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drawings/drawing3.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4.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5.xml" ContentType="application/vnd.openxmlformats-officedocument.drawing+xml"/>
  <Override PartName="/xl/tables/table1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2.xml" ContentType="application/vnd.openxmlformats-officedocument.spreadsheetml.table+xml"/>
  <Override PartName="/xl/drawings/drawing6.xml" ContentType="application/vnd.openxmlformats-officedocument.drawing+xml"/>
  <Override PartName="/xl/tables/table13.xml" ContentType="application/vnd.openxmlformats-officedocument.spreadsheetml.table+xml"/>
  <Override PartName="/xl/comments1.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7.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drawings/drawing8.xml" ContentType="application/vnd.openxmlformats-officedocument.drawing+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tables/table95.xml" ContentType="application/vnd.openxmlformats-officedocument.spreadsheetml.table+xml"/>
  <Override PartName="/xl/tables/table96.xml" ContentType="application/vnd.openxmlformats-officedocument.spreadsheetml.table+xml"/>
  <Override PartName="/xl/tables/table97.xml" ContentType="application/vnd.openxmlformats-officedocument.spreadsheetml.table+xml"/>
  <Override PartName="/xl/tables/table98.xml" ContentType="application/vnd.openxmlformats-officedocument.spreadsheetml.table+xml"/>
  <Override PartName="/xl/tables/table99.xml" ContentType="application/vnd.openxmlformats-officedocument.spreadsheetml.table+xml"/>
  <Override PartName="/xl/tables/table100.xml" ContentType="application/vnd.openxmlformats-officedocument.spreadsheetml.table+xml"/>
  <Override PartName="/xl/tables/table101.xml" ContentType="application/vnd.openxmlformats-officedocument.spreadsheetml.table+xml"/>
  <Override PartName="/xl/tables/table102.xml" ContentType="application/vnd.openxmlformats-officedocument.spreadsheetml.table+xml"/>
  <Override PartName="/xl/tables/table103.xml" ContentType="application/vnd.openxmlformats-officedocument.spreadsheetml.table+xml"/>
  <Override PartName="/xl/tables/table104.xml" ContentType="application/vnd.openxmlformats-officedocument.spreadsheetml.table+xml"/>
  <Override PartName="/xl/tables/table105.xml" ContentType="application/vnd.openxmlformats-officedocument.spreadsheetml.table+xml"/>
  <Override PartName="/xl/tables/table106.xml" ContentType="application/vnd.openxmlformats-officedocument.spreadsheetml.table+xml"/>
  <Override PartName="/xl/tables/table107.xml" ContentType="application/vnd.openxmlformats-officedocument.spreadsheetml.table+xml"/>
  <Override PartName="/xl/tables/table108.xml" ContentType="application/vnd.openxmlformats-officedocument.spreadsheetml.table+xml"/>
  <Override PartName="/xl/tables/table109.xml" ContentType="application/vnd.openxmlformats-officedocument.spreadsheetml.table+xml"/>
  <Override PartName="/xl/tables/table110.xml" ContentType="application/vnd.openxmlformats-officedocument.spreadsheetml.table+xml"/>
  <Override PartName="/xl/tables/table111.xml" ContentType="application/vnd.openxmlformats-officedocument.spreadsheetml.table+xml"/>
  <Override PartName="/xl/tables/table112.xml" ContentType="application/vnd.openxmlformats-officedocument.spreadsheetml.table+xml"/>
  <Override PartName="/xl/tables/table113.xml" ContentType="application/vnd.openxmlformats-officedocument.spreadsheetml.table+xml"/>
  <Override PartName="/xl/tables/table114.xml" ContentType="application/vnd.openxmlformats-officedocument.spreadsheetml.table+xml"/>
  <Override PartName="/xl/tables/table115.xml" ContentType="application/vnd.openxmlformats-officedocument.spreadsheetml.table+xml"/>
  <Override PartName="/xl/tables/table116.xml" ContentType="application/vnd.openxmlformats-officedocument.spreadsheetml.table+xml"/>
  <Override PartName="/xl/tables/table117.xml" ContentType="application/vnd.openxmlformats-officedocument.spreadsheetml.table+xml"/>
  <Override PartName="/xl/tables/table118.xml" ContentType="application/vnd.openxmlformats-officedocument.spreadsheetml.table+xml"/>
  <Override PartName="/xl/tables/table119.xml" ContentType="application/vnd.openxmlformats-officedocument.spreadsheetml.table+xml"/>
  <Override PartName="/xl/tables/table120.xml" ContentType="application/vnd.openxmlformats-officedocument.spreadsheetml.table+xml"/>
  <Override PartName="/xl/tables/table121.xml" ContentType="application/vnd.openxmlformats-officedocument.spreadsheetml.table+xml"/>
  <Override PartName="/xl/tables/table122.xml" ContentType="application/vnd.openxmlformats-officedocument.spreadsheetml.table+xml"/>
  <Override PartName="/xl/tables/table123.xml" ContentType="application/vnd.openxmlformats-officedocument.spreadsheetml.table+xml"/>
  <Override PartName="/xl/tables/table124.xml" ContentType="application/vnd.openxmlformats-officedocument.spreadsheetml.table+xml"/>
  <Override PartName="/xl/tables/table125.xml" ContentType="application/vnd.openxmlformats-officedocument.spreadsheetml.table+xml"/>
  <Override PartName="/xl/tables/table126.xml" ContentType="application/vnd.openxmlformats-officedocument.spreadsheetml.table+xml"/>
  <Override PartName="/xl/tables/table127.xml" ContentType="application/vnd.openxmlformats-officedocument.spreadsheetml.table+xml"/>
  <Override PartName="/xl/tables/table128.xml" ContentType="application/vnd.openxmlformats-officedocument.spreadsheetml.table+xml"/>
  <Override PartName="/xl/tables/table129.xml" ContentType="application/vnd.openxmlformats-officedocument.spreadsheetml.table+xml"/>
  <Override PartName="/xl/tables/table130.xml" ContentType="application/vnd.openxmlformats-officedocument.spreadsheetml.table+xml"/>
  <Override PartName="/xl/tables/table131.xml" ContentType="application/vnd.openxmlformats-officedocument.spreadsheetml.table+xml"/>
  <Override PartName="/xl/tables/table132.xml" ContentType="application/vnd.openxmlformats-officedocument.spreadsheetml.table+xml"/>
  <Override PartName="/xl/tables/table133.xml" ContentType="application/vnd.openxmlformats-officedocument.spreadsheetml.table+xml"/>
  <Override PartName="/xl/tables/table134.xml" ContentType="application/vnd.openxmlformats-officedocument.spreadsheetml.table+xml"/>
  <Override PartName="/xl/tables/table135.xml" ContentType="application/vnd.openxmlformats-officedocument.spreadsheetml.table+xml"/>
  <Override PartName="/xl/tables/table136.xml" ContentType="application/vnd.openxmlformats-officedocument.spreadsheetml.table+xml"/>
  <Override PartName="/xl/tables/table137.xml" ContentType="application/vnd.openxmlformats-officedocument.spreadsheetml.table+xml"/>
  <Override PartName="/xl/tables/table138.xml" ContentType="application/vnd.openxmlformats-officedocument.spreadsheetml.table+xml"/>
  <Override PartName="/xl/tables/table139.xml" ContentType="application/vnd.openxmlformats-officedocument.spreadsheetml.table+xml"/>
  <Override PartName="/xl/tables/table140.xml" ContentType="application/vnd.openxmlformats-officedocument.spreadsheetml.table+xml"/>
  <Override PartName="/xl/tables/table141.xml" ContentType="application/vnd.openxmlformats-officedocument.spreadsheetml.table+xml"/>
  <Override PartName="/xl/tables/table142.xml" ContentType="application/vnd.openxmlformats-officedocument.spreadsheetml.table+xml"/>
  <Override PartName="/xl/tables/table143.xml" ContentType="application/vnd.openxmlformats-officedocument.spreadsheetml.table+xml"/>
  <Override PartName="/xl/tables/table144.xml" ContentType="application/vnd.openxmlformats-officedocument.spreadsheetml.table+xml"/>
  <Override PartName="/xl/tables/table145.xml" ContentType="application/vnd.openxmlformats-officedocument.spreadsheetml.table+xml"/>
  <Override PartName="/xl/tables/table146.xml" ContentType="application/vnd.openxmlformats-officedocument.spreadsheetml.table+xml"/>
  <Override PartName="/xl/tables/table147.xml" ContentType="application/vnd.openxmlformats-officedocument.spreadsheetml.table+xml"/>
  <Override PartName="/xl/tables/table148.xml" ContentType="application/vnd.openxmlformats-officedocument.spreadsheetml.table+xml"/>
  <Override PartName="/xl/tables/table149.xml" ContentType="application/vnd.openxmlformats-officedocument.spreadsheetml.table+xml"/>
  <Override PartName="/xl/tables/table150.xml" ContentType="application/vnd.openxmlformats-officedocument.spreadsheetml.table+xml"/>
  <Override PartName="/xl/tables/table151.xml" ContentType="application/vnd.openxmlformats-officedocument.spreadsheetml.table+xml"/>
  <Override PartName="/xl/tables/table152.xml" ContentType="application/vnd.openxmlformats-officedocument.spreadsheetml.table+xml"/>
  <Override PartName="/xl/tables/table153.xml" ContentType="application/vnd.openxmlformats-officedocument.spreadsheetml.table+xml"/>
  <Override PartName="/xl/tables/table154.xml" ContentType="application/vnd.openxmlformats-officedocument.spreadsheetml.table+xml"/>
  <Override PartName="/xl/tables/table155.xml" ContentType="application/vnd.openxmlformats-officedocument.spreadsheetml.table+xml"/>
  <Override PartName="/xl/tables/table156.xml" ContentType="application/vnd.openxmlformats-officedocument.spreadsheetml.table+xml"/>
  <Override PartName="/xl/tables/table157.xml" ContentType="application/vnd.openxmlformats-officedocument.spreadsheetml.table+xml"/>
  <Override PartName="/xl/tables/table158.xml" ContentType="application/vnd.openxmlformats-officedocument.spreadsheetml.table+xml"/>
  <Override PartName="/xl/tables/table159.xml" ContentType="application/vnd.openxmlformats-officedocument.spreadsheetml.table+xml"/>
  <Override PartName="/xl/tables/table160.xml" ContentType="application/vnd.openxmlformats-officedocument.spreadsheetml.table+xml"/>
  <Override PartName="/xl/tables/table161.xml" ContentType="application/vnd.openxmlformats-officedocument.spreadsheetml.table+xml"/>
  <Override PartName="/xl/tables/table162.xml" ContentType="application/vnd.openxmlformats-officedocument.spreadsheetml.table+xml"/>
  <Override PartName="/xl/tables/table163.xml" ContentType="application/vnd.openxmlformats-officedocument.spreadsheetml.table+xml"/>
  <Override PartName="/xl/tables/table164.xml" ContentType="application/vnd.openxmlformats-officedocument.spreadsheetml.table+xml"/>
  <Override PartName="/xl/tables/table165.xml" ContentType="application/vnd.openxmlformats-officedocument.spreadsheetml.table+xml"/>
  <Override PartName="/xl/tables/table166.xml" ContentType="application/vnd.openxmlformats-officedocument.spreadsheetml.table+xml"/>
  <Override PartName="/xl/tables/table167.xml" ContentType="application/vnd.openxmlformats-officedocument.spreadsheetml.table+xml"/>
  <Override PartName="/xl/tables/table168.xml" ContentType="application/vnd.openxmlformats-officedocument.spreadsheetml.table+xml"/>
  <Override PartName="/xl/tables/table169.xml" ContentType="application/vnd.openxmlformats-officedocument.spreadsheetml.table+xml"/>
  <Override PartName="/xl/tables/table170.xml" ContentType="application/vnd.openxmlformats-officedocument.spreadsheetml.table+xml"/>
  <Override PartName="/xl/tables/table171.xml" ContentType="application/vnd.openxmlformats-officedocument.spreadsheetml.table+xml"/>
  <Override PartName="/xl/tables/table172.xml" ContentType="application/vnd.openxmlformats-officedocument.spreadsheetml.table+xml"/>
  <Override PartName="/xl/tables/table173.xml" ContentType="application/vnd.openxmlformats-officedocument.spreadsheetml.table+xml"/>
  <Override PartName="/xl/tables/table174.xml" ContentType="application/vnd.openxmlformats-officedocument.spreadsheetml.table+xml"/>
  <Override PartName="/xl/tables/table175.xml" ContentType="application/vnd.openxmlformats-officedocument.spreadsheetml.table+xml"/>
  <Override PartName="/xl/tables/table176.xml" ContentType="application/vnd.openxmlformats-officedocument.spreadsheetml.table+xml"/>
  <Override PartName="/xl/tables/table177.xml" ContentType="application/vnd.openxmlformats-officedocument.spreadsheetml.table+xml"/>
  <Override PartName="/xl/tables/table178.xml" ContentType="application/vnd.openxmlformats-officedocument.spreadsheetml.table+xml"/>
  <Override PartName="/xl/tables/table179.xml" ContentType="application/vnd.openxmlformats-officedocument.spreadsheetml.table+xml"/>
  <Override PartName="/xl/tables/table180.xml" ContentType="application/vnd.openxmlformats-officedocument.spreadsheetml.table+xml"/>
  <Override PartName="/xl/tables/table181.xml" ContentType="application/vnd.openxmlformats-officedocument.spreadsheetml.table+xml"/>
  <Override PartName="/xl/tables/table182.xml" ContentType="application/vnd.openxmlformats-officedocument.spreadsheetml.table+xml"/>
  <Override PartName="/xl/tables/table183.xml" ContentType="application/vnd.openxmlformats-officedocument.spreadsheetml.table+xml"/>
  <Override PartName="/xl/tables/table184.xml" ContentType="application/vnd.openxmlformats-officedocument.spreadsheetml.table+xml"/>
  <Override PartName="/xl/tables/table185.xml" ContentType="application/vnd.openxmlformats-officedocument.spreadsheetml.table+xml"/>
  <Override PartName="/xl/tables/table186.xml" ContentType="application/vnd.openxmlformats-officedocument.spreadsheetml.table+xml"/>
  <Override PartName="/xl/tables/table187.xml" ContentType="application/vnd.openxmlformats-officedocument.spreadsheetml.table+xml"/>
  <Override PartName="/xl/tables/table188.xml" ContentType="application/vnd.openxmlformats-officedocument.spreadsheetml.table+xml"/>
  <Override PartName="/xl/tables/table189.xml" ContentType="application/vnd.openxmlformats-officedocument.spreadsheetml.table+xml"/>
  <Override PartName="/xl/tables/table190.xml" ContentType="application/vnd.openxmlformats-officedocument.spreadsheetml.table+xml"/>
  <Override PartName="/xl/tables/table191.xml" ContentType="application/vnd.openxmlformats-officedocument.spreadsheetml.table+xml"/>
  <Override PartName="/xl/tables/table192.xml" ContentType="application/vnd.openxmlformats-officedocument.spreadsheetml.table+xml"/>
  <Override PartName="/xl/tables/table193.xml" ContentType="application/vnd.openxmlformats-officedocument.spreadsheetml.table+xml"/>
  <Override PartName="/xl/tables/table194.xml" ContentType="application/vnd.openxmlformats-officedocument.spreadsheetml.table+xml"/>
  <Override PartName="/xl/tables/table195.xml" ContentType="application/vnd.openxmlformats-officedocument.spreadsheetml.table+xml"/>
  <Override PartName="/xl/tables/table196.xml" ContentType="application/vnd.openxmlformats-officedocument.spreadsheetml.table+xml"/>
  <Override PartName="/xl/tables/table197.xml" ContentType="application/vnd.openxmlformats-officedocument.spreadsheetml.table+xml"/>
  <Override PartName="/xl/tables/table198.xml" ContentType="application/vnd.openxmlformats-officedocument.spreadsheetml.table+xml"/>
  <Override PartName="/xl/tables/table199.xml" ContentType="application/vnd.openxmlformats-officedocument.spreadsheetml.table+xml"/>
  <Override PartName="/xl/tables/table200.xml" ContentType="application/vnd.openxmlformats-officedocument.spreadsheetml.table+xml"/>
  <Override PartName="/xl/tables/table201.xml" ContentType="application/vnd.openxmlformats-officedocument.spreadsheetml.table+xml"/>
  <Override PartName="/xl/tables/table202.xml" ContentType="application/vnd.openxmlformats-officedocument.spreadsheetml.table+xml"/>
  <Override PartName="/xl/tables/table203.xml" ContentType="application/vnd.openxmlformats-officedocument.spreadsheetml.table+xml"/>
  <Override PartName="/xl/tables/table204.xml" ContentType="application/vnd.openxmlformats-officedocument.spreadsheetml.table+xml"/>
  <Override PartName="/xl/tables/table205.xml" ContentType="application/vnd.openxmlformats-officedocument.spreadsheetml.table+xml"/>
  <Override PartName="/xl/tables/table206.xml" ContentType="application/vnd.openxmlformats-officedocument.spreadsheetml.table+xml"/>
  <Override PartName="/xl/tables/table207.xml" ContentType="application/vnd.openxmlformats-officedocument.spreadsheetml.table+xml"/>
  <Override PartName="/xl/tables/table208.xml" ContentType="application/vnd.openxmlformats-officedocument.spreadsheetml.table+xml"/>
  <Override PartName="/xl/tables/table209.xml" ContentType="application/vnd.openxmlformats-officedocument.spreadsheetml.table+xml"/>
  <Override PartName="/xl/tables/table210.xml" ContentType="application/vnd.openxmlformats-officedocument.spreadsheetml.table+xml"/>
  <Override PartName="/xl/tables/table211.xml" ContentType="application/vnd.openxmlformats-officedocument.spreadsheetml.table+xml"/>
  <Override PartName="/xl/tables/table212.xml" ContentType="application/vnd.openxmlformats-officedocument.spreadsheetml.table+xml"/>
  <Override PartName="/xl/tables/table213.xml" ContentType="application/vnd.openxmlformats-officedocument.spreadsheetml.table+xml"/>
  <Override PartName="/xl/tables/table214.xml" ContentType="application/vnd.openxmlformats-officedocument.spreadsheetml.table+xml"/>
  <Override PartName="/xl/tables/table215.xml" ContentType="application/vnd.openxmlformats-officedocument.spreadsheetml.table+xml"/>
  <Override PartName="/xl/tables/table216.xml" ContentType="application/vnd.openxmlformats-officedocument.spreadsheetml.table+xml"/>
  <Override PartName="/xl/tables/table217.xml" ContentType="application/vnd.openxmlformats-officedocument.spreadsheetml.table+xml"/>
  <Override PartName="/xl/tables/table218.xml" ContentType="application/vnd.openxmlformats-officedocument.spreadsheetml.table+xml"/>
  <Override PartName="/xl/tables/table219.xml" ContentType="application/vnd.openxmlformats-officedocument.spreadsheetml.table+xml"/>
  <Override PartName="/xl/tables/table220.xml" ContentType="application/vnd.openxmlformats-officedocument.spreadsheetml.table+xml"/>
  <Override PartName="/xl/tables/table221.xml" ContentType="application/vnd.openxmlformats-officedocument.spreadsheetml.table+xml"/>
  <Override PartName="/xl/tables/table222.xml" ContentType="application/vnd.openxmlformats-officedocument.spreadsheetml.table+xml"/>
  <Override PartName="/xl/tables/table223.xml" ContentType="application/vnd.openxmlformats-officedocument.spreadsheetml.table+xml"/>
  <Override PartName="/xl/tables/table224.xml" ContentType="application/vnd.openxmlformats-officedocument.spreadsheetml.table+xml"/>
  <Override PartName="/xl/tables/table225.xml" ContentType="application/vnd.openxmlformats-officedocument.spreadsheetml.table+xml"/>
  <Override PartName="/xl/tables/table226.xml" ContentType="application/vnd.openxmlformats-officedocument.spreadsheetml.table+xml"/>
  <Override PartName="/xl/tables/table227.xml" ContentType="application/vnd.openxmlformats-officedocument.spreadsheetml.table+xml"/>
  <Override PartName="/xl/tables/table228.xml" ContentType="application/vnd.openxmlformats-officedocument.spreadsheetml.table+xml"/>
  <Override PartName="/xl/tables/table229.xml" ContentType="application/vnd.openxmlformats-officedocument.spreadsheetml.table+xml"/>
  <Override PartName="/xl/tables/table230.xml" ContentType="application/vnd.openxmlformats-officedocument.spreadsheetml.table+xml"/>
  <Override PartName="/xl/tables/table231.xml" ContentType="application/vnd.openxmlformats-officedocument.spreadsheetml.table+xml"/>
  <Override PartName="/xl/tables/table232.xml" ContentType="application/vnd.openxmlformats-officedocument.spreadsheetml.table+xml"/>
  <Override PartName="/xl/tables/table233.xml" ContentType="application/vnd.openxmlformats-officedocument.spreadsheetml.table+xml"/>
  <Override PartName="/xl/tables/table234.xml" ContentType="application/vnd.openxmlformats-officedocument.spreadsheetml.table+xml"/>
  <Override PartName="/xl/tables/table235.xml" ContentType="application/vnd.openxmlformats-officedocument.spreadsheetml.table+xml"/>
  <Override PartName="/xl/tables/table236.xml" ContentType="application/vnd.openxmlformats-officedocument.spreadsheetml.table+xml"/>
  <Override PartName="/xl/tables/table237.xml" ContentType="application/vnd.openxmlformats-officedocument.spreadsheetml.table+xml"/>
  <Override PartName="/xl/tables/table238.xml" ContentType="application/vnd.openxmlformats-officedocument.spreadsheetml.table+xml"/>
  <Override PartName="/xl/tables/table239.xml" ContentType="application/vnd.openxmlformats-officedocument.spreadsheetml.table+xml"/>
  <Override PartName="/xl/tables/table240.xml" ContentType="application/vnd.openxmlformats-officedocument.spreadsheetml.table+xml"/>
  <Override PartName="/xl/tables/table241.xml" ContentType="application/vnd.openxmlformats-officedocument.spreadsheetml.table+xml"/>
  <Override PartName="/xl/tables/table242.xml" ContentType="application/vnd.openxmlformats-officedocument.spreadsheetml.table+xml"/>
  <Override PartName="/xl/tables/table243.xml" ContentType="application/vnd.openxmlformats-officedocument.spreadsheetml.table+xml"/>
  <Override PartName="/xl/tables/table244.xml" ContentType="application/vnd.openxmlformats-officedocument.spreadsheetml.table+xml"/>
  <Override PartName="/xl/tables/table245.xml" ContentType="application/vnd.openxmlformats-officedocument.spreadsheetml.table+xml"/>
  <Override PartName="/xl/tables/table246.xml" ContentType="application/vnd.openxmlformats-officedocument.spreadsheetml.table+xml"/>
  <Override PartName="/xl/tables/table247.xml" ContentType="application/vnd.openxmlformats-officedocument.spreadsheetml.table+xml"/>
  <Override PartName="/xl/tables/table248.xml" ContentType="application/vnd.openxmlformats-officedocument.spreadsheetml.table+xml"/>
  <Override PartName="/xl/tables/table249.xml" ContentType="application/vnd.openxmlformats-officedocument.spreadsheetml.table+xml"/>
  <Override PartName="/xl/tables/table250.xml" ContentType="application/vnd.openxmlformats-officedocument.spreadsheetml.table+xml"/>
  <Override PartName="/xl/tables/table251.xml" ContentType="application/vnd.openxmlformats-officedocument.spreadsheetml.table+xml"/>
  <Override PartName="/xl/tables/table252.xml" ContentType="application/vnd.openxmlformats-officedocument.spreadsheetml.table+xml"/>
  <Override PartName="/xl/tables/table253.xml" ContentType="application/vnd.openxmlformats-officedocument.spreadsheetml.table+xml"/>
  <Override PartName="/xl/tables/table254.xml" ContentType="application/vnd.openxmlformats-officedocument.spreadsheetml.table+xml"/>
  <Override PartName="/xl/tables/table255.xml" ContentType="application/vnd.openxmlformats-officedocument.spreadsheetml.table+xml"/>
  <Override PartName="/xl/tables/table256.xml" ContentType="application/vnd.openxmlformats-officedocument.spreadsheetml.table+xml"/>
  <Override PartName="/xl/tables/table257.xml" ContentType="application/vnd.openxmlformats-officedocument.spreadsheetml.table+xml"/>
  <Override PartName="/xl/tables/table258.xml" ContentType="application/vnd.openxmlformats-officedocument.spreadsheetml.table+xml"/>
  <Override PartName="/xl/tables/table259.xml" ContentType="application/vnd.openxmlformats-officedocument.spreadsheetml.table+xml"/>
  <Override PartName="/xl/tables/table260.xml" ContentType="application/vnd.openxmlformats-officedocument.spreadsheetml.table+xml"/>
  <Override PartName="/xl/tables/table261.xml" ContentType="application/vnd.openxmlformats-officedocument.spreadsheetml.table+xml"/>
  <Override PartName="/xl/tables/table262.xml" ContentType="application/vnd.openxmlformats-officedocument.spreadsheetml.table+xml"/>
  <Override PartName="/xl/tables/table263.xml" ContentType="application/vnd.openxmlformats-officedocument.spreadsheetml.table+xml"/>
  <Override PartName="/xl/tables/table264.xml" ContentType="application/vnd.openxmlformats-officedocument.spreadsheetml.table+xml"/>
  <Override PartName="/xl/tables/table265.xml" ContentType="application/vnd.openxmlformats-officedocument.spreadsheetml.table+xml"/>
  <Override PartName="/xl/tables/table266.xml" ContentType="application/vnd.openxmlformats-officedocument.spreadsheetml.table+xml"/>
  <Override PartName="/xl/tables/table267.xml" ContentType="application/vnd.openxmlformats-officedocument.spreadsheetml.table+xml"/>
  <Override PartName="/xl/tables/table268.xml" ContentType="application/vnd.openxmlformats-officedocument.spreadsheetml.table+xml"/>
  <Override PartName="/xl/tables/table269.xml" ContentType="application/vnd.openxmlformats-officedocument.spreadsheetml.table+xml"/>
  <Override PartName="/xl/tables/table270.xml" ContentType="application/vnd.openxmlformats-officedocument.spreadsheetml.table+xml"/>
  <Override PartName="/xl/tables/table271.xml" ContentType="application/vnd.openxmlformats-officedocument.spreadsheetml.table+xml"/>
  <Override PartName="/xl/tables/table272.xml" ContentType="application/vnd.openxmlformats-officedocument.spreadsheetml.table+xml"/>
  <Override PartName="/xl/tables/table273.xml" ContentType="application/vnd.openxmlformats-officedocument.spreadsheetml.table+xml"/>
  <Override PartName="/xl/tables/table274.xml" ContentType="application/vnd.openxmlformats-officedocument.spreadsheetml.table+xml"/>
  <Override PartName="/xl/tables/table27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2007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customUI2010RelID"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showInkAnnotation="0" codeName="Множество"/>
  <mc:AlternateContent xmlns:mc="http://schemas.openxmlformats.org/markup-compatibility/2006">
    <mc:Choice Requires="x15">
      <x15ac:absPath xmlns:x15ac="http://schemas.microsoft.com/office/spreadsheetml/2010/11/ac" url="C:\5_VBA_экспертная система\Source\"/>
    </mc:Choice>
  </mc:AlternateContent>
  <xr:revisionPtr revIDLastSave="0" documentId="13_ncr:1_{861E93CF-D053-4E3C-B2CF-BE08453E68F9}" xr6:coauthVersionLast="47" xr6:coauthVersionMax="47" xr10:uidLastSave="{00000000-0000-0000-0000-000000000000}"/>
  <bookViews>
    <workbookView xWindow="-19320" yWindow="-120" windowWidth="19440" windowHeight="15150" tabRatio="636" firstSheet="5" activeTab="5" xr2:uid="{00000000-000D-0000-FFFF-FFFF00000000}"/>
  </bookViews>
  <sheets>
    <sheet name="Содержание" sheetId="1" state="hidden" r:id="rId1"/>
    <sheet name="Чувствительность" sheetId="111" state="hidden" r:id="rId2"/>
    <sheet name="Чувствительность (мини)" sheetId="13" state="hidden" r:id="rId3"/>
    <sheet name="Чувчтвительность 2" sheetId="89" state="hidden" r:id="rId4"/>
    <sheet name="Множество" sheetId="15" r:id="rId5"/>
    <sheet name="Множество_202207112140401240" sheetId="122" r:id="rId6"/>
    <sheet name="Почетный результат изъёбов 1" sheetId="116" state="hidden" r:id="rId7"/>
    <sheet name="Модель" sheetId="8" r:id="rId8"/>
    <sheet name="Лист1" sheetId="112" r:id="rId9"/>
    <sheet name="Подбор 2" sheetId="41" r:id="rId10"/>
    <sheet name="Перебор_2_20170709140117" sheetId="109" state="hidden" r:id="rId11"/>
    <sheet name="123" sheetId="98" state="hidden" r:id="rId12"/>
    <sheet name="Модель - Формы" sheetId="88" state="hidden" r:id="rId13"/>
    <sheet name="Перебор" sheetId="10" state="hidden" r:id="rId14"/>
    <sheet name="Лист9" sheetId="9" state="hidden" r:id="rId15"/>
    <sheet name="F0" sheetId="2" state="hidden" r:id="rId16"/>
    <sheet name="F1" sheetId="3" state="hidden" r:id="rId17"/>
    <sheet name="F2" sheetId="4" state="hidden" r:id="rId18"/>
    <sheet name="F3" sheetId="5" state="hidden" r:id="rId19"/>
    <sheet name="F4" sheetId="6" state="hidden" r:id="rId20"/>
    <sheet name="F5" sheetId="7" state="hidden" r:id="rId21"/>
  </sheets>
  <functionGroups builtInGroupCount="19"/>
  <externalReferences>
    <externalReference r:id="rId22"/>
  </externalReferences>
  <definedNames>
    <definedName name="COLUMNRIGHT" localSheetId="12">IF('Модель - Формы'!A2="F0",INDIRECT("П_Бок_F0[Бок_F0]"), IF('Модель - Формы'!A2="F1",INDIRECT("П_Бок_F1[Бок_F1]"), IF('Модель - Формы'!A2="F2",INDIRECT("П_Бок_F2[Бок_F2]"), IF('Модель - Формы'!A2="F3",INDIRECT("П_Бок_F3[Бок_F3]"), IF('Модель - Формы'!A2="F4",INDIRECT("П_Бок_F4[Бок_F4]"), IF('Модель - Формы'!A2="F5",INDIRECT("П_Бок_F5[Бок_F5]"),))))))</definedName>
    <definedName name="COLUMNRIGHT" comment="Упраление списком для правых вертикальных ячеек" localSheetId="1">IF(Модель!A2="F0",INDIRECT("П_Бок_F0[Бок_F0]"), IF(Модель!A2="F1",INDIRECT("П_Бок_F1[Бок_F1]"), IF(Модель!A2="F2",INDIRECT("П_Бок_F2[Бок_F2]"), IF(Модель!A2="F3",INDIRECT("П_Бок_F3[Бок_F3]"), IF(Модель!A2="F4",INDIRECT("П_Бок_F4[Бок_F4]"), IF(Модель!A2="F5",INDIRECT("П_Бок_F5[Бок_F5]"),))))))</definedName>
    <definedName name="COLUMNRIGHT" comment="Упраление списком для правых вертикальных ячеек">IF(Модель!A2="F0",INDIRECT("П_Бок_F0[Бок_F0]"), IF(Модель!A2="F1",INDIRECT("П_Бок_F1[Бок_F1]"), IF(Модель!A2="F2",INDIRECT("П_Бок_F2[Бок_F2]"), IF(Модель!A2="F3",INDIRECT("П_Бок_F3[Бок_F3]"), IF(Модель!A2="F4",INDIRECT("П_Бок_F4[Бок_F4]"), IF(Модель!A2="F5",INDIRECT("П_Бок_F5[Бок_F5]"),))))))</definedName>
    <definedName name="COLUMNRIGHT_1" localSheetId="12">IF('Модель - Формы'!A2="F0",INDIRECT("П_Бок_F0[Бок_F0]"),       IF('Модель - Формы'!A2="F1",INDIRECT("П_Бок_F1[Бок_F1]"),             IF('Модель - Формы'!A2="F2",INDIRECT("П_Бок_F2[Бок_F2]"),                   IF('Модель - Формы'!A2="F3",INDIRECT("П_Бок_F3[Бок_F3]"),                         IF('Модель - Формы'!A2="F4",INDIRECT("П_Бок_F4[Бок_F4]"),                               IF('Модель - Формы'!A2="F5",                                   IF('Модель - Формы'!A3="F5",INDIRECT("П_Бок_F5_5[Бок_F5_5]"),INDIRECT("П_Бок_F5[Бок_F5]")),))))))</definedName>
    <definedName name="COLUMNRIGHT_1" localSheetId="1">IF(Модель!A2="F0",INDIRECT("П_Бок_F0[Бок_F0]"),       IF(Модель!A2="F1",INDIRECT("П_Бок_F1[Бок_F1]"),             IF(Модель!A2="F2",INDIRECT("П_Бок_F2[Бок_F2]"),                   IF(Модель!A2="F3",INDIRECT("П_Бок_F3[Бок_F3]"),                         IF(Модель!A2="F4",INDIRECT("П_Бок_F4[Бок_F4]"),                               IF(Модель!A2="F5",                                   IF(Модель!A3="F5",INDIRECT("П_Бок_F5_5[Бок_F5_5]"),INDIRECT("П_Бок_F5[Бок_F5]")),))))))</definedName>
    <definedName name="COLUMNRIGHT_1">IF(Модель!A2="F0",INDIRECT("П_Бок_F0[Бок_F0]"),       IF(Модель!A2="F1",INDIRECT("П_Бок_F1[Бок_F1]"),             IF(Модель!A2="F2",INDIRECT("П_Бок_F2[Бок_F2]"),                   IF(Модель!A2="F3",INDIRECT("П_Бок_F3[Бок_F3]"),                         IF(Модель!A2="F4",INDIRECT("П_Бок_F4[Бок_F4]"),                               IF(Модель!A2="F5",                                   IF(Модель!A3="F5",INDIRECT("П_Бок_F5_5[Бок_F5_5]"),INDIRECT("П_Бок_F5[Бок_F5]")),))))))</definedName>
    <definedName name="EVA">EVALUATE(#REF!)</definedName>
    <definedName name="kach_1" localSheetId="12">IF('Модель - Формы'!A1048576="Прямая",1,IF('Модель - Формы'!A1048576="Обратная",4,IF('Модель - Формы'!A1048576="Опт. в макс.",1,IF('Модель - Формы'!A1048576="Опт. в мин.",4,))))</definedName>
    <definedName name="kach_1" localSheetId="1">IF(Модель!A1048576="Прямая",1,IF(Модель!A1048576="Обратная",4,IF(Модель!A1048576="Опт. в макс.",1,IF(Модель!A1048576="Опт. в мин.",4,))))</definedName>
    <definedName name="kach_1">IF(Модель!A1048576="Прямая",1,IF(Модель!A1048576="Обратная",4,IF(Модель!A1048576="Опт. в макс.",1,IF(Модель!A1048576="Опт. в мин.",4,))))</definedName>
    <definedName name="kach_2" localSheetId="12">IF(AND('Модель - Формы'!XFD1=4,'Модель - Формы'!B1=4),1,IF(AND('Модель - Формы'!XFD1=1,'Модель - Формы'!B1=1),4,(ABS('Модель - Формы'!B1-'Модель - Формы'!XFD1))/2+1))</definedName>
    <definedName name="kach_2" localSheetId="1">IF(AND(Модель!XFD1=4,Модель!B1=4),1,IF(AND(Модель!XFD1=1,Модель!B1=1),4,(ABS(Модель!B1-Модель!XFD1))/2+1))</definedName>
    <definedName name="kach_2">IF(AND(Модель!XFD1=4,Модель!B1=4),1,IF(AND(Модель!XFD1=1,Модель!B1=1),4,(ABS(Модель!B1-Модель!XFD1))/2+1))</definedName>
    <definedName name="kach_3" localSheetId="12">IF('Модель - Формы'!XFC1048576="Прямая",4,IF('Модель - Формы'!XFC1048576="Обратная",1,IF('Модель - Формы'!XFC1048576="Опт. в макс.",1,IF('Модель - Формы'!XFC1048576="Опт. в мин.",4,))))</definedName>
    <definedName name="kach_3" localSheetId="1">IF(Модель!XFC1048576="Прямая",4,IF(Модель!XFC1048576="Обратная",1,IF(Модель!XFC1048576="Опт. в макс.",1,IF(Модель!XFC1048576="Опт. в мин.",4,))))</definedName>
    <definedName name="kach_3">IF(Модель!XFC1048576="Прямая",4,IF(Модель!XFC1048576="Обратная",1,IF(Модель!XFC1048576="Опт. в макс.",1,IF(Модель!XFC1048576="Опт. в мин.",4,))))</definedName>
    <definedName name="Max_1">IF(INDIRECT("R[-1]C[-2]",FALSE)="Прямая",4,IF(INDIRECT("R[-1]C[-2]",FALSE)="Обратная",1,IF(INDIRECT("R[-1]C[-2]",FALSE)="Опт. в макс.",1,IF(INDIRECT("R[-1]C[-2]",FALSE)="Опт. в мин.",4,))))</definedName>
    <definedName name="Mid_1">IF(AND(INDIRECT("RC[-1]",FALSE)=4,INDIRECT("RC[1]",FALSE)=4),1,IF(AND(INDIRECT("RC[-1]",FALSE)=1,INDIRECT("RC[1]",FALSE)=1),4,(ABS(INDIRECT("RC[1]",FALSE)-INDIRECT("RC[-1]",FALSE)))/2+1))</definedName>
    <definedName name="Min_1">IF(INDIRECT("R[-1]C",FALSE)="Прямая",1,IF(INDIRECT("R[-1]C",FALSE)="Обратная",4,IF(INDIRECT("R[-1]C",FALSE)="Опт. в макс.",1,IF(INDIRECT("R[-1]C",FALSE)="Опт. в мин.",4,))))</definedName>
    <definedName name="ROWDOWN" localSheetId="12">IF('Модель - Формы'!B1="F0",INDIRECT("П_Низ_F0[Низ_F0]"), IF('Модель - Формы'!B1="F1",INDIRECT("П_Низ_F1[Низ_F1]"), IF('Модель - Формы'!B1="F2",INDIRECT("П_Низ_F2[Низ_F2]"), IF('Модель - Формы'!B1="F3",INDIRECT("П_Низ_F3[Низ_F3]"), IF('Модель - Формы'!B1="F4",INDIRECT("П_Низ_F4[Низ_F4]"), IF('Модель - Формы'!B1="F5",INDIRECT("П_Низ_F5[Низ_F5]"),))))))</definedName>
    <definedName name="ROWDOWN" comment="Упраление списком для нижних горизонтальных ячеек" localSheetId="1">IF(Модель!B1="F0",INDIRECT("П_Низ_F0[Низ_F0]"), IF(Модель!B1="F1",INDIRECT("П_Низ_F1[Низ_F1]"), IF(Модель!B1="F2",INDIRECT("П_Низ_F2[Низ_F2]"), IF(Модель!B1="F3",INDIRECT("П_Низ_F3[Низ_F3]"), IF(Модель!B1="F4",INDIRECT("П_Низ_F4[Низ_F4]"), IF(Модель!B1="F5",INDIRECT("П_Низ_F5[Низ_F5]"),))))))</definedName>
    <definedName name="ROWDOWN" comment="Упраление списком для нижних горизонтальных ячеек">IF(Модель!B1="F0",INDIRECT("П_Низ_F0[Низ_F0]"), IF(Модель!B1="F1",INDIRECT("П_Низ_F1[Низ_F1]"), IF(Модель!B1="F2",INDIRECT("П_Низ_F2[Низ_F2]"), IF(Модель!B1="F3",INDIRECT("П_Низ_F3[Низ_F3]"), IF(Модель!B1="F4",INDIRECT("П_Низ_F4[Низ_F4]"), IF(Модель!B1="F5",INDIRECT("П_Низ_F5[Низ_F5]"),))))))</definedName>
    <definedName name="ROWDOWN_1" localSheetId="12">IF('Модель - Формы'!B1="F0",INDIRECT("П_Низ_F0[Низ_F0]"),        IF('Модель - Формы'!B1="F1",INDIRECT("П_Низ_F1[Низ_F1]"),             IF('Модель - Формы'!B1="F2",INDIRECT("П_Низ_F2[Низ_F2]"),                   IF('Модель - Формы'!B1="F3",INDIRECT("П_Низ_F3[Низ_F3]"),                         IF('Модель - Формы'!B1="F4",INDIRECT("П_Низ_F4[Низ_F4]"),                               IF('Модель - Формы'!B1="F5",                                   IF('Модель - Формы'!C1="F5",INDIRECT("П_Низ_F5_5[Низ_F5_5]"),INDIRECT("П_Низ_F5[Низ_F5]")),))))))</definedName>
    <definedName name="ROWDOWN_1" localSheetId="1">IF(Модель!B1="F0",INDIRECT("П_Низ_F0[Низ_F0]"),        IF(Модель!B1="F1",INDIRECT("П_Низ_F1[Низ_F1]"),             IF(Модель!B1="F2",INDIRECT("П_Низ_F2[Низ_F2]"),                   IF(Модель!B1="F3",INDIRECT("П_Низ_F3[Низ_F3]"),                         IF(Модель!B1="F4",INDIRECT("П_Низ_F4[Низ_F4]"),                               IF(Модель!B1="F5",                                   IF(Модель!C1="F5",INDIRECT("П_Низ_F5_5[Низ_F5_5]"),INDIRECT("П_Низ_F5[Низ_F5]")),))))))</definedName>
    <definedName name="ROWDOWN_1">IF(Модель!B1="F0",INDIRECT("П_Низ_F0[Низ_F0]"),        IF(Модель!B1="F1",INDIRECT("П_Низ_F1[Низ_F1]"),             IF(Модель!B1="F2",INDIRECT("П_Низ_F2[Низ_F2]"),                   IF(Модель!B1="F3",INDIRECT("П_Низ_F3[Низ_F3]"),                         IF(Модель!B1="F4",INDIRECT("П_Низ_F4[Низ_F4]"),                               IF(Модель!B1="F5",                                   IF(Модель!C1="F5",INDIRECT("П_Низ_F5_5[Низ_F5_5]"),INDIRECT("П_Низ_F5[Низ_F5]")),))))))</definedName>
    <definedName name="UPLEFT" localSheetId="4">IF(OR(AND(Модель!A2="F0",OR(Модель!B1="F0",Модель!B1="F2",Модель!B1="F4")),AND(Модель!A2="F3",OR(Модель!B1="F0",Модель!B1="F2",Модель!B1="F4")),AND(Модель!A2="F4",OR(Модель!B1="F0",Модель!B1="F2",Модель!B1="F4")),),IF((VLOOKUP(Модель!B2,Длт[],4,FALSE)+VLOOKUP(Модель!C2,Длт[],3,FALSE))&gt;=3,INDIRECT("П_В_F0_F0т0[В_F0_F0т0]"),IF((VLOOKUP(Модель!B2,Длт[],4,FALSE)+VLOOKUP(Модель!C2,Длт[],3,FALSE))&gt;=2,INDIRECT("П_В_F0_F0_5[В_F0_F0_5]"),INDIRECT("П_В_F0_F0[В_F0_F0]"))), IF(OR(AND(Модель!A2="F0",OR(Модель!B1="F1",Модель!B1="F3",Модель!B1="F5")),AND(Модель!A2="F3",OR(Модель!B1="F1",Модель!B1="F3",Модель!B1="F5")),AND(Модель!A2="F4",OR(Модель!B1="F1",Модель!B1="F3",Модель!B1="F5")),),IF((VLOOKUP(Модель!B2,Длт[],4,FALSE)+VLOOKUP(Модель!C2,Длт[],3,FALSE))&gt;=3,INDIRECT("П_В_F0_F1т0[В_F0_F1т0]"),IF((VLOOKUP(Модель!B2,Длт[],4,FALSE)+VLOOKUP(Модель!C2,Длт[],3,FALSE))&gt;=2,INDIRECT("П_В_F0_F1_5[В_F0_F1_5]"),INDIRECT("П_В_F0_F1[В_F0_F1]"))),IF(OR(AND(Модель!A2="F1",OR(Модель!B1="F0",Модель!B1="F2",Модель!B1="F4")),AND(Модель!A2="F2",OR(Модель!B1="F0",Модель!B1="F2",Модель!B1="F4")),AND(Модель!A2="F5",OR(Модель!B1="F0",Модель!B1="F2",Модель!B1="F4")),),IF((VLOOKUP(Модель!B2,Длт[],4,FALSE)+VLOOKUP(Модель!C2,Длт[],3,FALSE))&gt;=3,INDIRECT("П_В_F1_F0т0[В_F1_F0т0]"),IF((VLOOKUP(Модель!B2,Длт[],4,FALSE)+VLOOKUP(Модель!C2,Длт[],3,FALSE))&gt;=2,INDIRECT("П_В_F1_F0_5[В_F1_F0_5]"),INDIRECT("П_В_F1_F0[В_F1_F0]"))),IF(OR(AND(Модель!A2="F1",OR(Модель!B1="F1",Модель!B1="F3",Модель!B1="F5")),AND(Модель!A2="F2",OR(Модель!B1="F1",Модель!B1="F3",Модель!B1="F5")),AND(Модель!A2="F5",OR(Модель!B1="F1",Модель!B1="F3",Модель!B1="F5")),),IF((VLOOKUP(Модель!B2,Длт[],4,FALSE)+VLOOKUP(Модель!C2,Длт[],3,FALSE))&gt;=3,INDIRECT("П_В_F1_F1т0[В_F1_F1т0]"),IF((VLOOKUP(Модель!B2,Длт[],4,FALSE)+VLOOKUP(Модель!C2,Длт[],3,FALSE))&gt;=2,INDIRECT("П_В_F1_F1_5[В_F1_F1_5]"),INDIRECT("П_В_F1_F1[В_F1_F1]"))),))))</definedName>
    <definedName name="UPLEFT" localSheetId="12">IF(OR(AND('Модель - Формы'!A2="F0",OR('Модель - Формы'!B1="F0",'Модель - Формы'!B1="F2",'Модель - Формы'!B1="F4")),AND('Модель - Формы'!A2="F3",OR('Модель - Формы'!B1="F0",'Модель - Формы'!B1="F2",'Модель - Формы'!B1="F4")),AND('Модель - Формы'!A2="F4",OR('Модель - Формы'!B1="F0",'Модель - Формы'!B1="F2",'Модель - Формы'!B1="F4")),),IF((VLOOKUP('Модель - Формы'!B2,Длт[],4,FALSE)+VLOOKUP('Модель - Формы'!C2,Длт[],3,FALSE))&gt;=3,INDIRECT("П_В_F0_F0т0[В_F0_F0т0]"),IF((VLOOKUP('Модель - Формы'!B2,Длт[],4,FALSE)+VLOOKUP('Модель - Формы'!C2,Длт[],3,FALSE))&gt;=2,INDIRECT("П_В_F0_F0_5[В_F0_F0_5]"),INDIRECT("П_В_F0_F0[В_F0_F0]"))), IF(OR(AND('Модель - Формы'!A2="F0",OR('Модель - Формы'!B1="F1",'Модель - Формы'!B1="F3",'Модель - Формы'!B1="F5")),AND('Модель - Формы'!A2="F3",OR('Модель - Формы'!B1="F1",'Модель - Формы'!B1="F3",'Модель - Формы'!B1="F5")),AND('Модель - Формы'!A2="F4",OR('Модель - Формы'!B1="F1",'Модель - Формы'!B1="F3",'Модель - Формы'!B1="F5")),),IF((VLOOKUP('Модель - Формы'!B2,Длт[],4,FALSE)+VLOOKUP('Модель - Формы'!C2,Длт[],3,FALSE))&gt;=3,INDIRECT("П_В_F0_F1т0[В_F0_F1т0]"),IF((VLOOKUP('Модель - Формы'!B2,Длт[],4,FALSE)+VLOOKUP('Модель - Формы'!C2,Длт[],3,FALSE))&gt;=2,INDIRECT("П_В_F0_F1_5[В_F0_F1_5]"),INDIRECT("П_В_F0_F1[В_F0_F1]"))),IF(OR(AND('Модель - Формы'!A2="F1",OR('Модель - Формы'!B1="F0",'Модель - Формы'!B1="F2",'Модель - Формы'!B1="F4")),AND('Модель - Формы'!A2="F2",OR('Модель - Формы'!B1="F0",'Модель - Формы'!B1="F2",'Модель - Формы'!B1="F4")),AND('Модель - Формы'!A2="F5",OR('Модель - Формы'!B1="F0",'Модель - Формы'!B1="F2",'Модель - Формы'!B1="F4")),),IF((VLOOKUP('Модель - Формы'!B2,Длт[],4,FALSE)+VLOOKUP('Модель - Формы'!C2,Длт[],3,FALSE))&gt;=3,INDIRECT("П_В_F1_F0т0[В_F1_F0т0]"),IF((VLOOKUP('Модель - Формы'!B2,Длт[],4,FALSE)+VLOOKUP('Модель - Формы'!C2,Длт[],3,FALSE))&gt;=2,INDIRECT("П_В_F1_F0_5[В_F1_F0_5]"),INDIRECT("П_В_F1_F0[В_F1_F0]"))),IF(OR(AND('Модель - Формы'!A2="F1",OR('Модель - Формы'!B1="F1",'Модель - Формы'!B1="F3",'Модель - Формы'!B1="F5")),AND('Модель - Формы'!A2="F2",OR('Модель - Формы'!B1="F1",'Модель - Формы'!B1="F3",'Модель - Формы'!B1="F5")),AND('Модель - Формы'!A2="F5",OR('Модель - Формы'!B1="F1",'Модель - Формы'!B1="F3",'Модель - Формы'!B1="F5")),),IF((VLOOKUP('Модель - Формы'!B2,Длт[],4,FALSE)+VLOOKUP('Модель - Формы'!C2,Длт[],3,FALSE))&gt;=3,INDIRECT("П_В_F1_F1т0[В_F1_F1т0]"),IF((VLOOKUP('Модель - Формы'!B2,Длт[],4,FALSE)+VLOOKUP('Модель - Формы'!C2,Длт[],3,FALSE))&gt;=2,INDIRECT("П_В_F1_F1_5[В_F1_F1_5]"),INDIRECT("П_В_F1_F1[В_F1_F1]"))),))))</definedName>
    <definedName name="UPLEFT" localSheetId="1">IF(OR(AND(Модель!A2="F0",OR(Модель!B1="F0",Модель!B1="F2",Модель!B1="F4")),AND(Модель!A2="F3",OR(Модель!B1="F0",Модель!B1="F2",Модель!B1="F4")),AND(Модель!A2="F4",OR(Модель!B1="F0",Модель!B1="F2",Модель!B1="F4")),),IF((VLOOKUP(Модель!B2,Длт[#Data],4,FALSE)+VLOOKUP(Модель!C2,Длт[#Data],3,FALSE))&gt;=3,INDIRECT("П_В_F0_F0т0[В_F0_F0т0]"),IF((VLOOKUP(Модель!B2,Длт[#Data],4,FALSE)+VLOOKUP(Модель!C2,Длт[#Data],3,FALSE))&gt;=2,INDIRECT("П_В_F0_F0_5[В_F0_F0_5]"),INDIRECT("П_В_F0_F0[В_F0_F0]"))), IF(OR(AND(Модель!A2="F0",OR(Модель!B1="F1",Модель!B1="F3",Модель!B1="F5")),AND(Модель!A2="F3",OR(Модель!B1="F1",Модель!B1="F3",Модель!B1="F5")),AND(Модель!A2="F4",OR(Модель!B1="F1",Модель!B1="F3",Модель!B1="F5")),),IF((VLOOKUP(Модель!B2,Длт[#Data],4,FALSE)+VLOOKUP(Модель!C2,Длт[#Data],3,FALSE))&gt;=3,INDIRECT("П_В_F0_F1т0[В_F0_F1т0]"),IF((VLOOKUP(Модель!B2,Длт[#Data],4,FALSE)+VLOOKUP(Модель!C2,Длт[#Data],3,FALSE))&gt;=2,INDIRECT("П_В_F0_F1_5[В_F0_F1_5]"),INDIRECT("П_В_F0_F1[В_F0_F1]"))),IF(OR(AND(Модель!A2="F1",OR(Модель!B1="F0",Модель!B1="F2",Модель!B1="F4")),AND(Модель!A2="F2",OR(Модель!B1="F0",Модель!B1="F2",Модель!B1="F4")),AND(Модель!A2="F5",OR(Модель!B1="F0",Модель!B1="F2",Модель!B1="F4")),),IF((VLOOKUP(Модель!B2,Длт[#Data],4,FALSE)+VLOOKUP(Модель!C2,Длт[#Data],3,FALSE))&gt;=3,INDIRECT("П_В_F1_F0т0[В_F1_F0т0]"),IF((VLOOKUP(Модель!B2,Длт[#Data],4,FALSE)+VLOOKUP(Модель!C2,Длт[#Data],3,FALSE))&gt;=2,INDIRECT("П_В_F1_F0_5[В_F1_F0_5]"),INDIRECT("П_В_F1_F0[В_F1_F0]"))),IF(OR(AND(Модель!A2="F1",OR(Модель!B1="F1",Модель!B1="F3",Модель!B1="F5")),AND(Модель!A2="F2",OR(Модель!B1="F1",Модель!B1="F3",Модель!B1="F5")),AND(Модель!A2="F5",OR(Модель!B1="F1",Модель!B1="F3",Модель!B1="F5")),),IF((VLOOKUP(Модель!B2,Длт[#Data],4,FALSE)+VLOOKUP(Модель!C2,Длт[#Data],3,FALSE))&gt;=3,INDIRECT("П_В_F1_F1т0[В_F1_F1т0]"),IF((VLOOKUP(Модель!B2,Длт[#Data],4,FALSE)+VLOOKUP(Модель!C2,Длт[#Data],3,FALSE))&gt;=2,INDIRECT("П_В_F1_F1_5[В_F1_F1_5]"),INDIRECT("П_В_F1_F1[В_F1_F1]"))),))))</definedName>
    <definedName name="UPLEFT" localSheetId="2">IF(OR(AND(Модель!A2="F0",OR(Модель!B1="F0",Модель!B1="F2",Модель!B1="F4")),AND(Модель!A2="F3",OR(Модель!B1="F0",Модель!B1="F2",Модель!B1="F4")),AND(Модель!A2="F4",OR(Модель!B1="F0",Модель!B1="F2",Модель!B1="F4")),),IF((VLOOKUP(Модель!B2,Длт[],4,FALSE)+VLOOKUP(Модель!C2,Длт[],3,FALSE))&gt;=3,INDIRECT("П_В_F0_F0т0[В_F0_F0т0]"),IF((VLOOKUP(Модель!B2,Длт[],4,FALSE)+VLOOKUP(Модель!C2,Длт[],3,FALSE))&gt;=2,INDIRECT("П_В_F0_F0_5[В_F0_F0_5]"),INDIRECT("П_В_F0_F0[В_F0_F0]"))), IF(OR(AND(Модель!A2="F0",OR(Модель!B1="F1",Модель!B1="F3",Модель!B1="F5")),AND(Модель!A2="F3",OR(Модель!B1="F1",Модель!B1="F3",Модель!B1="F5")),AND(Модель!A2="F4",OR(Модель!B1="F1",Модель!B1="F3",Модель!B1="F5")),),IF((VLOOKUP(Модель!B2,Длт[],4,FALSE)+VLOOKUP(Модель!C2,Длт[],3,FALSE))&gt;=3,INDIRECT("П_В_F0_F1т0[В_F0_F1т0]"),IF((VLOOKUP(Модель!B2,Длт[],4,FALSE)+VLOOKUP(Модель!C2,Длт[],3,FALSE))&gt;=2,INDIRECT("П_В_F0_F1_5[В_F0_F1_5]"),INDIRECT("П_В_F0_F1[В_F0_F1]"))),IF(OR(AND(Модель!A2="F1",OR(Модель!B1="F0",Модель!B1="F2",Модель!B1="F4")),AND(Модель!A2="F2",OR(Модель!B1="F0",Модель!B1="F2",Модель!B1="F4")),AND(Модель!A2="F5",OR(Модель!B1="F0",Модель!B1="F2",Модель!B1="F4")),),IF((VLOOKUP(Модель!B2,Длт[],4,FALSE)+VLOOKUP(Модель!C2,Длт[],3,FALSE))&gt;=3,INDIRECT("П_В_F1_F0т0[В_F1_F0т0]"),IF((VLOOKUP(Модель!B2,Длт[],4,FALSE)+VLOOKUP(Модель!C2,Длт[],3,FALSE))&gt;=2,INDIRECT("П_В_F1_F0_5[В_F1_F0_5]"),INDIRECT("П_В_F1_F0[В_F1_F0]"))),IF(OR(AND(Модель!A2="F1",OR(Модель!B1="F1",Модель!B1="F3",Модель!B1="F5")),AND(Модель!A2="F2",OR(Модель!B1="F1",Модель!B1="F3",Модель!B1="F5")),AND(Модель!A2="F5",OR(Модель!B1="F1",Модель!B1="F3",Модель!B1="F5")),),IF((VLOOKUP(Модель!B2,Длт[],4,FALSE)+VLOOKUP(Модель!C2,Длт[],3,FALSE))&gt;=3,INDIRECT("П_В_F1_F1т0[В_F1_F1т0]"),IF((VLOOKUP(Модель!B2,Длт[],4,FALSE)+VLOOKUP(Модель!C2,Длт[],3,FALSE))&gt;=2,INDIRECT("П_В_F1_F1_5[В_F1_F1_5]"),INDIRECT("П_В_F1_F1[В_F1_F1]"))),))))</definedName>
    <definedName name="UPLEFT">IF(OR(AND(Модель!A2="F0",OR(Модель!B1="F0",Модель!B1="F2",Модель!B1="F4")),AND(Модель!A2="F3",OR(Модель!B1="F0",Модель!B1="F2",Модель!B1="F4")),AND(Модель!A2="F4",OR(Модель!B1="F0",Модель!B1="F2",Модель!B1="F4")),),IF((VLOOKUP(Модель!B2,Длт[],4,FALSE)+VLOOKUP(Модель!C2,Длт[],3,FALSE))&gt;=3,INDIRECT("П_В_F0_F0т0[В_F0_F0т0]"),IF((VLOOKUP(Модель!B2,Длт[],4,FALSE)+VLOOKUP(Модель!C2,Длт[],3,FALSE))&gt;=2,INDIRECT("П_В_F0_F0_5[В_F0_F0_5]"),INDIRECT("П_В_F0_F0[В_F0_F0]"))), IF(OR(AND(Модель!A2="F0",OR(Модель!B1="F1",Модель!B1="F3",Модель!B1="F5")),AND(Модель!A2="F3",OR(Модель!B1="F1",Модель!B1="F3",Модель!B1="F5")),AND(Модель!A2="F4",OR(Модель!B1="F1",Модель!B1="F3",Модель!B1="F5")),),IF((VLOOKUP(Модель!B2,Длт[],4,FALSE)+VLOOKUP(Модель!C2,Длт[],3,FALSE))&gt;=3,INDIRECT("П_В_F0_F1т0[В_F0_F1т0]"),IF((VLOOKUP(Модель!B2,Длт[],4,FALSE)+VLOOKUP(Модель!C2,Длт[],3,FALSE))&gt;=2,INDIRECT("П_В_F0_F1_5[В_F0_F1_5]"),INDIRECT("П_В_F0_F1[В_F0_F1]"))),IF(OR(AND(Модель!A2="F1",OR(Модель!B1="F0",Модель!B1="F2",Модель!B1="F4")),AND(Модель!A2="F2",OR(Модель!B1="F0",Модель!B1="F2",Модель!B1="F4")),AND(Модель!A2="F5",OR(Модель!B1="F0",Модель!B1="F2",Модель!B1="F4")),),IF((VLOOKUP(Модель!B2,Длт[],4,FALSE)+VLOOKUP(Модель!C2,Длт[],3,FALSE))&gt;=3,INDIRECT("П_В_F1_F0т0[В_F1_F0т0]"),IF((VLOOKUP(Модель!B2,Длт[],4,FALSE)+VLOOKUP(Модель!C2,Длт[],3,FALSE))&gt;=2,INDIRECT("П_В_F1_F0_5[В_F1_F0_5]"),INDIRECT("П_В_F1_F0[В_F1_F0]"))),IF(OR(AND(Модель!A2="F1",OR(Модель!B1="F1",Модель!B1="F3",Модель!B1="F5")),AND(Модель!A2="F2",OR(Модель!B1="F1",Модель!B1="F3",Модель!B1="F5")),AND(Модель!A2="F5",OR(Модель!B1="F1",Модель!B1="F3",Модель!B1="F5")),),IF((VLOOKUP(Модель!B2,Длт[],4,FALSE)+VLOOKUP(Модель!C2,Длт[],3,FALSE))&gt;=3,INDIRECT("П_В_F1_F1т0[В_F1_F1т0]"),IF((VLOOKUP(Модель!B2,Длт[],4,FALSE)+VLOOKUP(Модель!C2,Длт[],3,FALSE))&gt;=2,INDIRECT("П_В_F1_F1_5[В_F1_F1_5]"),INDIRECT("П_В_F1_F1[В_F1_F1]"))),))))</definedName>
    <definedName name="UPMAIN_1" localSheetId="12">IF(OR(AND('Модель - Формы'!A2="F0",'Модель - Формы'!B1="F0"),AND('Модель - Формы'!A2="F0",'Модель - Формы'!B1="F2"),AND('Модель - Формы'!A2="F0",'Модель - Формы'!B1="F4"),AND('Модель - Формы'!A2="F3",'Модель - Формы'!B1="F0"),AND('Модель - Формы'!A2="F3",'Модель - Формы'!B1="F2"),AND('Модель - Формы'!A2="F3",'Модель - Формы'!B1="F4"),AND('Модель - Формы'!A2="F4",'Модель - Формы'!B1="F0"),AND('Модель - Формы'!A2="F4",'Модель - Формы'!B1="F2"),AND('Модель - Формы'!A2="F4",'Модель - Формы'!B1="F4")),IF('Модель - Формы'!B2="F0",INDIRECT("П_В_F0_F0_0[В_F0_F0_0]"),IF('Модель - Формы'!B2="F5",INDIRECT("П_В_F0_F0_5[В_F0_F0_5]"),INDIRECT("П_В_F0_F0[В_F0_F0]"))),IF(OR(AND('Модель - Формы'!A2="F0",'Модель - Формы'!B1="F1"),AND('Модель - Формы'!A2="F0",'Модель - Формы'!B1="F3"),AND('Модель - Формы'!A2="F0",'Модель - Формы'!B1="F5"),AND('Модель - Формы'!A2="F3",'Модель - Формы'!B1="F1"),AND('Модель - Формы'!A2="F3",'Модель - Формы'!B1="F3"),AND('Модель - Формы'!A2="F3",'Модель - Формы'!B1="F5"),AND('Модель - Формы'!A2="F4",'Модель - Формы'!B1="F1"),AND('Модель - Формы'!A2="F4",'Модель - Формы'!B1="F3"),AND('Модель - Формы'!A2="F4",'Модель - Формы'!B1="F5")),IF('Модель - Формы'!B2="F0",INDIRECT("П_В_F0_F1_0[В_F0_F1_0]"),IF('Модель - Формы'!B2="F5",INDIRECT("П_В_F0_F1_5[В_F0_F1_5]"),INDIRECT("П_В_F0_F1[В_F0_F1]"))),IF(OR(AND('Модель - Формы'!A2="F1",'Модель - Формы'!B1="F0"),AND('Модель - Формы'!A2="F1",'Модель - Формы'!B1="F2"),AND('Модель - Формы'!A2="F1",'Модель - Формы'!B1="F4"),AND('Модель - Формы'!A2="F2",'Модель - Формы'!B1="F0"),AND('Модель - Формы'!A2="F2",'Модель - Формы'!B1="F2"),AND('Модель - Формы'!A2="F2",'Модель - Формы'!B1="F4"),AND('Модель - Формы'!A2="F5",'Модель - Формы'!B1="F0"),AND('Модель - Формы'!A2="F5",'Модель - Формы'!B1="F2"),AND('Модель - Формы'!A2="F5",'Модель - Формы'!B1="F4")),IF('Модель - Формы'!B2="F0",INDIRECT("П_В_F1_F0_0[В_F1_F0_0]"),IF('Модель - Формы'!B2="F5",INDIRECT("П_В_F1_F0_5[В_F1_F0_5]"),INDIRECT("П_В_F1_F0[В_F1_F0]"))),IF(OR(AND('Модель - Формы'!A2="F1",'Модель - Формы'!B1="F1"),AND('Модель - Формы'!A2="F1",'Модель - Формы'!B1="F3"),AND('Модель - Формы'!A2="F1",'Модель - Формы'!B1="F5"),AND('Модель - Формы'!A2="F2",'Модель - Формы'!B1="F1"),AND('Модель - Формы'!A2="F2",'Модель - Формы'!B1="F3"),AND('Модель - Формы'!A2="F2",'Модель - Формы'!B1="F5"),AND('Модель - Формы'!A2="F5",'Модель - Формы'!B1="F1"),AND('Модель - Формы'!A2="F5",'Модель - Формы'!B1="F3"),AND('Модель - Формы'!A2="F5",'Модель - Формы'!B1="F5")),IF('Модель - Формы'!B2="F0",INDIRECT("П_В_F1_F1_0[В_F1_F1_0]"),IF('Модель - Формы'!B2="F5",INDIRECT("П_В_F1_F1_5[В_F1_F1_5]"),INDIRECT("П_В_F1_F1[В_F1_F1]"))),))))</definedName>
    <definedName name="UPMAIN_1" localSheetId="1">IF(OR(AND([1]Модель!A2="F0",[1]Модель!B1="F0"),AND([1]Модель!A2="F0",[1]Модель!B1="F2"),AND([1]Модель!A2="F0",[1]Модель!B1="F4"),AND([1]Модель!A2="F3",[1]Модель!B1="F0"),AND([1]Модель!A2="F3",[1]Модель!B1="F2"),AND([1]Модель!A2="F3",[1]Модель!B1="F4"),AND([1]Модель!A2="F4",[1]Модель!B1="F0"),AND([1]Модель!A2="F4",[1]Модель!B1="F2"),AND([1]Модель!A2="F4",[1]Модель!B1="F4")),IF([1]Модель!B2="F0",INDIRECT("П_В_F0_F0_0[В_F0_F0_0]"),IF([1]Модель!B2="F5",INDIRECT("П_В_F0_F0_5[В_F0_F0_5]"),INDIRECT("П_В_F0_F0[В_F0_F0]"))),IF(OR(AND([1]Модель!A2="F0",[1]Модель!B1="F1"),AND([1]Модель!A2="F0",[1]Модель!B1="F3"),AND([1]Модель!A2="F0",[1]Модель!B1="F5"),AND([1]Модель!A2="F3",[1]Модель!B1="F1"),AND([1]Модель!A2="F3",[1]Модель!B1="F3"),AND([1]Модель!A2="F3",[1]Модель!B1="F5"),AND([1]Модель!A2="F4",[1]Модель!B1="F1"),AND([1]Модель!A2="F4",[1]Модель!B1="F3"),AND([1]Модель!A2="F4",[1]Модель!B1="F5")),IF([1]Модель!B2="F0",INDIRECT("П_В_F0_F1_0[В_F0_F1_0]"),IF([1]Модель!B2="F5",INDIRECT("П_В_F0_F1_5[В_F0_F1_5]"),INDIRECT("П_В_F0_F1[В_F0_F1]"))),IF(OR(AND([1]Модель!A2="F1",[1]Модель!B1="F0"),AND([1]Модель!A2="F1",[1]Модель!B1="F2"),AND([1]Модель!A2="F1",[1]Модель!B1="F4"),AND([1]Модель!A2="F2",[1]Модель!B1="F0"),AND([1]Модель!A2="F2",[1]Модель!B1="F2"),AND([1]Модель!A2="F2",[1]Модель!B1="F4"),AND([1]Модель!A2="F5",[1]Модель!B1="F0"),AND([1]Модель!A2="F5",[1]Модель!B1="F2"),AND([1]Модель!A2="F5",[1]Модель!B1="F4")),IF([1]Модель!B2="F0",INDIRECT("П_В_F1_F0_0[В_F1_F0_0]"),IF([1]Модель!B2="F5",INDIRECT("П_В_F1_F0_5[В_F1_F0_5]"),INDIRECT("П_В_F1_F0[В_F1_F0]"))),IF(OR(AND([1]Модель!A2="F1",[1]Модель!B1="F1"),AND([1]Модель!A2="F1",[1]Модель!B1="F3"),AND([1]Модель!A2="F1",[1]Модель!B1="F5"),AND([1]Модель!A2="F2",[1]Модель!B1="F1"),AND([1]Модель!A2="F2",[1]Модель!B1="F3"),AND([1]Модель!A2="F2",[1]Модель!B1="F5"),AND([1]Модель!A2="F5",[1]Модель!B1="F1"),AND([1]Модель!A2="F5",[1]Модель!B1="F3"),AND([1]Модель!A2="F5",[1]Модель!B1="F5")),IF([1]Модель!B2="F0",INDIRECT("П_В_F1_F1_0[В_F1_F1_0]"),IF([1]Модель!B2="F5",INDIRECT("П_В_F1_F1_5[В_F1_F1_5]"),INDIRECT("П_В_F1_F1[В_F1_F1]"))),))))</definedName>
    <definedName name="UPMAIN_1">IF(OR(AND(Модель!A2="F0",Модель!B1="F0"),AND(Модель!A2="F0",Модель!B1="F2"),AND(Модель!A2="F0",Модель!B1="F4"),AND(Модель!A2="F3",Модель!B1="F0"),AND(Модель!A2="F3",Модель!B1="F2"),AND(Модель!A2="F3",Модель!B1="F4"),AND(Модель!A2="F4",Модель!B1="F0"),AND(Модель!A2="F4",Модель!B1="F2"),AND(Модель!A2="F4",Модель!B1="F4")),IF(Модель!B2="F0",INDIRECT("П_В_F0_F0_0[В_F0_F0_0]"),IF(Модель!B2="F5",INDIRECT("П_В_F0_F0_5[В_F0_F0_5]"),INDIRECT("П_В_F0_F0[В_F0_F0]"))),IF(OR(AND(Модель!A2="F0",Модель!B1="F1"),AND(Модель!A2="F0",Модель!B1="F3"),AND(Модель!A2="F0",Модель!B1="F5"),AND(Модель!A2="F3",Модель!B1="F1"),AND(Модель!A2="F3",Модель!B1="F3"),AND(Модель!A2="F3",Модель!B1="F5"),AND(Модель!A2="F4",Модель!B1="F1"),AND(Модель!A2="F4",Модель!B1="F3"),AND(Модель!A2="F4",Модель!B1="F5")),IF(Модель!B2="F0",INDIRECT("П_В_F0_F1_0[В_F0_F1_0]"),IF(Модель!B2="F5",INDIRECT("П_В_F0_F1_5[В_F0_F1_5]"),INDIRECT("П_В_F0_F1[В_F0_F1]"))),IF(OR(AND(Модель!A2="F1",Модель!B1="F0"),AND(Модель!A2="F1",Модель!B1="F2"),AND(Модель!A2="F1",Модель!B1="F4"),AND(Модель!A2="F2",Модель!B1="F0"),AND(Модель!A2="F2",Модель!B1="F2"),AND(Модель!A2="F2",Модель!B1="F4"),AND(Модель!A2="F5",Модель!B1="F0"),AND(Модель!A2="F5",Модель!B1="F2"),AND(Модель!A2="F5",Модель!B1="F4")),IF(Модель!B2="F0",INDIRECT("П_В_F1_F0_0[В_F1_F0_0]"),IF(Модель!B2="F5",INDIRECT("П_В_F1_F0_5[В_F1_F0_5]"),INDIRECT("П_В_F1_F0[В_F1_F0]"))),IF(OR(AND(Модель!A2="F1",Модель!B1="F1"),AND(Модель!A2="F1",Модель!B1="F3"),AND(Модель!A2="F1",Модель!B1="F5"),AND(Модель!A2="F2",Модель!B1="F1"),AND(Модель!A2="F2",Модель!B1="F3"),AND(Модель!A2="F2",Модель!B1="F5"),AND(Модель!A2="F5",Модель!B1="F1"),AND(Модель!A2="F5",Модель!B1="F3"),AND(Модель!A2="F5",Модель!B1="F5")),IF(Модель!B2="F0",INDIRECT("П_В_F1_F1_0[В_F1_F1_0]"),IF(Модель!B2="F5",INDIRECT("П_В_F1_F1_5[В_F1_F1_5]"),INDIRECT("П_В_F1_F1[В_F1_F1]"))),))))</definedName>
    <definedName name="UPMAIN_2" localSheetId="12">IF(OR(AND('Модель - Формы'!A2="F0",'Модель - Формы'!B1="F0"),AND('Модель - Формы'!A2="F0",'Модель - Формы'!B1="F2"),AND('Модель - Формы'!A2="F0",'Модель - Формы'!B1="F4"),AND('Модель - Формы'!A2="F3",'Модель - Формы'!B1="F0"),AND('Модель - Формы'!A2="F3",'Модель - Формы'!B1="F2"),AND('Модель - Формы'!A2="F3",'Модель - Формы'!B1="F4"),AND('Модель - Формы'!A2="F4",'Модель - Формы'!B1="F0"),AND('Модель - Формы'!A2="F4",'Модель - Формы'!B1="F2"),AND('Модель - Формы'!A2="F4",'Модель - Формы'!B1="F4")),IF(OR(AND('Модель - Формы'!B2="F0",'Модель - Формы'!C3="F5"),AND('Модель - Формы'!B2="F5",'Модель - Формы'!C3="F0")),INDIRECT("ПВF0F0_05[ВF0F0_05]"),IF(OR('Модель - Формы'!B2="F0",'Модель - Формы'!C3="F0"),INDIRECT("П_В_F0_F0т5[В_F0_F0т5]"),IF(OR('Модель - Формы'!B2="F5",'Модель - Формы'!C3="F5"),INDIRECT("П_В_F0_F0т0[В_F0_F0т0]"),INDIRECT("ПВF0F0_05[ВF0F0_05]")))),IF(OR(AND('Модель - Формы'!A2="F0",'Модель - Формы'!B1="F1"),AND('Модель - Формы'!A2="F0",'Модель - Формы'!B1="F3"),AND('Модель - Формы'!A2="F0",'Модель - Формы'!B1="F5"),AND('Модель - Формы'!A2="F3",'Модель - Формы'!B1="F1"),AND('Модель - Формы'!A2="F3",'Модель - Формы'!B1="F3"),AND('Модель - Формы'!A2="F3",'Модель - Формы'!B1="F5"),AND('Модель - Формы'!A2="F4",'Модель - Формы'!B1="F1"),AND('Модель - Формы'!A2="F4",'Модель - Формы'!B1="F3"),AND('Модель - Формы'!A2="F4",'Модель - Формы'!B1="F5")),IF(OR(AND('Модель - Формы'!B2="F0",'Модель - Формы'!C3="F5"),AND('Модель - Формы'!B2="F5",'Модель - Формы'!C3="F0")),INDIRECT("ПВF0F1_05[ВF0F1_05]"),IF(OR('Модель - Формы'!B2="F0",'Модель - Формы'!C3="F0"),INDIRECT("П_В_F0_F1т5[В_F0_F1т5]"),IF(OR('Модель - Формы'!B2="F5",'Модель - Формы'!C3="F5"),INDIRECT("П_В_F0_F1т0[В_F0_F1т0]"),INDIRECT("ПВF0F1_05[ВF0F1_05]")))),IF(OR(AND('Модель - Формы'!A2="F1",'Модель - Формы'!B1="F0"),AND('Модель - Формы'!A2="F1",'Модель - Формы'!B1="F2"),AND('Модель - Формы'!A2="F1",'Модель - Формы'!B1="F4"),AND('Модель - Формы'!A2="F2",'Модель - Формы'!B1="F0"),AND('Модель - Формы'!A2="F2",'Модель - Формы'!B1="F2"),AND('Модель - Формы'!A2="F2",'Модель - Формы'!B1="F4"),AND('Модель - Формы'!A2="F5",'Модель - Формы'!B1="F0"),AND('Модель - Формы'!A2="F5",'Модель - Формы'!B1="F2"),AND('Модель - Формы'!A2="F5",'Модель - Формы'!B1="F4")),IF(OR(AND('Модель - Формы'!B2="F0",'Модель - Формы'!C3="F5"),AND('Модель - Формы'!B2="F5",'Модель - Формы'!C3="F0")),INDIRECT("ПВF1F0_05[ВF1F0_05]"),IF(OR('Модель - Формы'!B2="F0",'Модель - Формы'!C3="F0"),INDIRECT("П_В_F1_F0т5[В_F1_F0т5]"),IF(OR('Модель - Формы'!B2="F5",'Модель - Формы'!C3="F5"),INDIRECT("П_В_F1_F0т0[В_F1_F0т0]"),INDIRECT("ПВF1F0_05[ВF1F0_05]")))),IF(OR(AND('Модель - Формы'!A2="F1",'Модель - Формы'!B1="F1"),AND('Модель - Формы'!A2="F1",'Модель - Формы'!B1="F3"),AND('Модель - Формы'!A2="F1",'Модель - Формы'!B1="F5"),AND('Модель - Формы'!A2="F2",'Модель - Формы'!B1="F1"),AND('Модель - Формы'!A2="F2",'Модель - Формы'!B1="F3"),AND('Модель - Формы'!A2="F2",'Модель - Формы'!B1="F5"),AND('Модель - Формы'!A2="F5",'Модель - Формы'!B1="F1"),AND('Модель - Формы'!A2="F5",'Модель - Формы'!B1="F3"),AND('Модель - Формы'!A2="F5",'Модель - Формы'!B1="F5")),IF(OR(AND('Модель - Формы'!B2="F0",'Модель - Формы'!C3="F5"),AND('Модель - Формы'!B2="F5",'Модель - Формы'!C3="F0")),INDIRECT("ПВF1F1_05[ВF1F1_05]"),IF(OR('Модель - Формы'!B2="F0",'Модель - Формы'!C3="F0"),INDIRECT("П_В_F1_F1т5[В_F1_F1т5]"),IF(OR('Модель - Формы'!B2="F5",'Модель - Формы'!C3="F5"),INDIRECT("П_В_F1_F1т0[В_F1_F1т0]"),INDIRECT("ПВF1F1_05[ВF1F1_05]")))),))))</definedName>
    <definedName name="UPMAIN_2" localSheetId="1">IF(OR(AND([1]Модель!A2="F0",[1]Модель!B1="F0"),AND([1]Модель!A2="F0",[1]Модель!B1="F2"),AND([1]Модель!A2="F0",[1]Модель!B1="F4"),AND([1]Модель!A2="F3",[1]Модель!B1="F0"),AND([1]Модель!A2="F3",[1]Модель!B1="F2"),AND([1]Модель!A2="F3",[1]Модель!B1="F4"),AND([1]Модель!A2="F4",[1]Модель!B1="F0"),AND([1]Модель!A2="F4",[1]Модель!B1="F2"),AND([1]Модель!A2="F4",[1]Модель!B1="F4")),IF(OR(AND([1]Модель!B2="F0",[1]Модель!C3="F5"),AND([1]Модель!B2="F5",[1]Модель!C3="F0")),INDIRECT("ПВF0F0_05[ВF0F0_05]"),IF(OR([1]Модель!B2="F0",[1]Модель!C3="F0"),INDIRECT("П_В_F0_F0т5[В_F0_F0т5]"),IF(OR([1]Модель!B2="F5",[1]Модель!C3="F5"),INDIRECT("П_В_F0_F0т0[В_F0_F0т0]"),INDIRECT("ПВF0F0_05[ВF0F0_05]")))),IF(OR(AND([1]Модель!A2="F0",[1]Модель!B1="F1"),AND([1]Модель!A2="F0",[1]Модель!B1="F3"),AND([1]Модель!A2="F0",[1]Модель!B1="F5"),AND([1]Модель!A2="F3",[1]Модель!B1="F1"),AND([1]Модель!A2="F3",[1]Модель!B1="F3"),AND([1]Модель!A2="F3",[1]Модель!B1="F5"),AND([1]Модель!A2="F4",[1]Модель!B1="F1"),AND([1]Модель!A2="F4",[1]Модель!B1="F3"),AND([1]Модель!A2="F4",[1]Модель!B1="F5")),IF(OR(AND([1]Модель!B2="F0",[1]Модель!C3="F5"),AND([1]Модель!B2="F5",[1]Модель!C3="F0")),INDIRECT("ПВF0F1_05[ВF0F1_05]"),IF(OR([1]Модель!B2="F0",[1]Модель!C3="F0"),INDIRECT("П_В_F0_F1т5[В_F0_F1т5]"),IF(OR([1]Модель!B2="F5",[1]Модель!C3="F5"),INDIRECT("П_В_F0_F1т0[В_F0_F1т0]"),INDIRECT("ПВF0F1_05[ВF0F1_05]")))),IF(OR(AND([1]Модель!A2="F1",[1]Модель!B1="F0"),AND([1]Модель!A2="F1",[1]Модель!B1="F2"),AND([1]Модель!A2="F1",[1]Модель!B1="F4"),AND([1]Модель!A2="F2",[1]Модель!B1="F0"),AND([1]Модель!A2="F2",[1]Модель!B1="F2"),AND([1]Модель!A2="F2",[1]Модель!B1="F4"),AND([1]Модель!A2="F5",[1]Модель!B1="F0"),AND([1]Модель!A2="F5",[1]Модель!B1="F2"),AND([1]Модель!A2="F5",[1]Модель!B1="F4")),IF(OR(AND([1]Модель!B2="F0",[1]Модель!C3="F5"),AND([1]Модель!B2="F5",[1]Модель!C3="F0")),INDIRECT("ПВF1F0_05[ВF1F0_05]"),IF(OR([1]Модель!B2="F0",[1]Модель!C3="F0"),INDIRECT("П_В_F1_F0т5[В_F1_F0т5]"),IF(OR([1]Модель!B2="F5",[1]Модель!C3="F5"),INDIRECT("П_В_F1_F0т0[В_F1_F0т0]"),INDIRECT("ПВF1F0_05[ВF1F0_05]")))),IF(OR(AND([1]Модель!A2="F1",[1]Модель!B1="F1"),AND([1]Модель!A2="F1",[1]Модель!B1="F3"),AND([1]Модель!A2="F1",[1]Модель!B1="F5"),AND([1]Модель!A2="F2",[1]Модель!B1="F1"),AND([1]Модель!A2="F2",[1]Модель!B1="F3"),AND([1]Модель!A2="F2",[1]Модель!B1="F5"),AND([1]Модель!A2="F5",[1]Модель!B1="F1"),AND([1]Модель!A2="F5",[1]Модель!B1="F3"),AND([1]Модель!A2="F5",[1]Модель!B1="F5")),IF(OR(AND([1]Модель!B2="F0",[1]Модель!C3="F5"),AND([1]Модель!B2="F5",[1]Модель!C3="F0")),INDIRECT("ПВF1F1_05[ВF1F1_05]"),IF(OR([1]Модель!B2="F0",[1]Модель!C3="F0"),INDIRECT("П_В_F1_F1т5[В_F1_F1т5]"),IF(OR([1]Модель!B2="F5",[1]Модель!C3="F5"),INDIRECT("П_В_F1_F1т0[В_F1_F1т0]"),INDIRECT("ПВF1F1_05[ВF1F1_05]")))),))))</definedName>
    <definedName name="UPMAIN_2">IF(OR(AND(Модель!A2="F0",Модель!B1="F0"),AND(Модель!A2="F0",Модель!B1="F2"),AND(Модель!A2="F0",Модель!B1="F4"),AND(Модель!A2="F3",Модель!B1="F0"),AND(Модель!A2="F3",Модель!B1="F2"),AND(Модель!A2="F3",Модель!B1="F4"),AND(Модель!A2="F4",Модель!B1="F0"),AND(Модель!A2="F4",Модель!B1="F2"),AND(Модель!A2="F4",Модель!B1="F4")),IF(OR(AND(Модель!B2="F0",Модель!C3="F5"),AND(Модель!B2="F5",Модель!C3="F0")),INDIRECT("ПВF0F0_05[ВF0F0_05]"),IF(OR(Модель!B2="F0",Модель!C3="F0"),INDIRECT("П_В_F0_F0т5[В_F0_F0т5]"),IF(OR(Модель!B2="F5",Модель!C3="F5"),INDIRECT("П_В_F0_F0т0[В_F0_F0т0]"),INDIRECT("ПВF0F0_05[ВF0F0_05]")))),IF(OR(AND(Модель!A2="F0",Модель!B1="F1"),AND(Модель!A2="F0",Модель!B1="F3"),AND(Модель!A2="F0",Модель!B1="F5"),AND(Модель!A2="F3",Модель!B1="F1"),AND(Модель!A2="F3",Модель!B1="F3"),AND(Модель!A2="F3",Модель!B1="F5"),AND(Модель!A2="F4",Модель!B1="F1"),AND(Модель!A2="F4",Модель!B1="F3"),AND(Модель!A2="F4",Модель!B1="F5")),IF(OR(AND(Модель!B2="F0",Модель!C3="F5"),AND(Модель!B2="F5",Модель!C3="F0")),INDIRECT("ПВF0F1_05[ВF0F1_05]"),IF(OR(Модель!B2="F0",Модель!C3="F0"),INDIRECT("П_В_F0_F1т5[В_F0_F1т5]"),IF(OR(Модель!B2="F5",Модель!C3="F5"),INDIRECT("П_В_F0_F1т0[В_F0_F1т0]"),INDIRECT("ПВF0F1_05[ВF0F1_05]")))),IF(OR(AND(Модель!A2="F1",Модель!B1="F0"),AND(Модель!A2="F1",Модель!B1="F2"),AND(Модель!A2="F1",Модель!B1="F4"),AND(Модель!A2="F2",Модель!B1="F0"),AND(Модель!A2="F2",Модель!B1="F2"),AND(Модель!A2="F2",Модель!B1="F4"),AND(Модель!A2="F5",Модель!B1="F0"),AND(Модель!A2="F5",Модель!B1="F2"),AND(Модель!A2="F5",Модель!B1="F4")),IF(OR(AND(Модель!B2="F0",Модель!C3="F5"),AND(Модель!B2="F5",Модель!C3="F0")),INDIRECT("ПВF1F0_05[ВF1F0_05]"),IF(OR(Модель!B2="F0",Модель!C3="F0"),INDIRECT("П_В_F1_F0т5[В_F1_F0т5]"),IF(OR(Модель!B2="F5",Модель!C3="F5"),INDIRECT("П_В_F1_F0т0[В_F1_F0т0]"),INDIRECT("ПВF1F0_05[ВF1F0_05]")))),IF(OR(AND(Модель!A2="F1",Модель!B1="F1"),AND(Модель!A2="F1",Модель!B1="F3"),AND(Модель!A2="F1",Модель!B1="F5"),AND(Модель!A2="F2",Модель!B1="F1"),AND(Модель!A2="F2",Модель!B1="F3"),AND(Модель!A2="F2",Модель!B1="F5"),AND(Модель!A2="F5",Модель!B1="F1"),AND(Модель!A2="F5",Модель!B1="F3"),AND(Модель!A2="F5",Модель!B1="F5")),IF(OR(AND(Модель!B2="F0",Модель!C3="F5"),AND(Модель!B2="F5",Модель!C3="F0")),INDIRECT("ПВF1F1_05[ВF1F1_05]"),IF(OR(Модель!B2="F0",Модель!C3="F0"),INDIRECT("П_В_F1_F1т5[В_F1_F1т5]"),IF(OR(Модель!B2="F5",Модель!C3="F5"),INDIRECT("П_В_F1_F1т0[В_F1_F1т0]"),INDIRECT("ПВF1F1_05[ВF1F1_05]")))),))))</definedName>
    <definedName name="UPUP" localSheetId="4">IF(OR(AND(Модель!A2="F0",OR(Модель!B1="F0",Модель!B1="F2",Модель!B1="F4")),AND(Модель!A2="F3",OR(Модель!B1="F0",Модель!B1="F2",Модель!B1="F4")),AND(Модель!A2="F4",OR(Модель!B1="F0",Модель!B1="F2",Модель!B1="F4")),),IF((VLOOKUP(Модель!B2,Длт[],4,FALSE)+VLOOKUP(Модель!B3,Длт[],2,FALSE))&gt;=3,INDIRECT("П_В_F0_F0т0[В_F0_F0т0]"),IF((VLOOKUP(Модель!B2,Длт[],4,FALSE)+VLOOKUP(Модель!B3,Длт[],2,FALSE))&gt;=2,INDIRECT("П_В_F0_F0_5[В_F0_F0_5]"),INDIRECT("П_В_F0_F0[В_F0_F0]"))),IF(OR(AND(Модель!A2="F0",OR(Модель!B1="F1",Модель!B1="F3",Модель!B1="F5")),AND(Модель!A2="F3",OR(Модель!B1="F1",Модель!B1="F3",Модель!B1="F5")),AND(Модель!A2="F4",OR(Модель!B1="F1",Модель!B1="F3",Модель!B1="F5")),),IF((VLOOKUP(Модель!B2,Длт[],4,FALSE)+VLOOKUP(Модель!B3,Длт[],2,FALSE))&gt;=3,INDIRECT("П_В_F0_F1т0[В_F0_F1т0]"),IF((VLOOKUP(Модель!B2,Длт[],4,FALSE)+VLOOKUP(Модель!B3,Длт[],2,FALSE))&gt;=2,INDIRECT("П_В_F0_F1_5[В_F0_F1_5]"),INDIRECT("П_В_F0_F1[В_F0_F1]"))),IF(OR(AND(Модель!A2="F1",OR(Модель!B1="F0",Модель!B1="F2",Модель!B1="F4")),AND(Модель!A2="F2",OR(Модель!B1="F0",Модель!B1="F2",Модель!B1="F4")),AND(Модель!A2="F5",OR(Модель!B1="F0",Модель!B1="F2",Модель!B1="F4")),),IF((VLOOKUP(Модель!B2,Длт[],4,FALSE)+VLOOKUP(Модель!B3,Длт[],2,FALSE))&gt;=3,INDIRECT("П_В_F1_F0т0[В_F1_F0т0]"),IF((VLOOKUP(Модель!B2,Длт[],4,FALSE)+VLOOKUP(Модель!B3,Длт[],2,FALSE))&gt;=2,INDIRECT("П_В_F1_F0_5[В_F1_F0_5]"),INDIRECT("П_В_F1_F0[В_F1_F0]"))),IF(OR(AND(Модель!A2="F1",OR(Модель!B1="F1",Модель!B1="F3",Модель!B1="F5")),AND(Модель!A2="F2",OR(Модель!B1="F1",Модель!B1="F3",Модель!B1="F5")),AND(Модель!A2="F5",OR(Модель!B1="F1",Модель!B1="F3",Модель!B1="F5")),),IF((VLOOKUP(Модель!B2,Длт[],4,FALSE)+VLOOKUP(Модель!B3,Длт[],2,FALSE))&gt;=3,INDIRECT("П_В_F1_F1т0[В_F1_F1т0]"),IF((VLOOKUP(Модель!B2,Длт[],4,FALSE)+VLOOKUP(Модель!B3,Длт[],2,FALSE))&gt;=2,INDIRECT("П_В_F1_F1_5[В_F1_F1_5]"),INDIRECT("П_В_F1_F1[В_F1_F1]"))),))))</definedName>
    <definedName name="UPUP" localSheetId="12">IF(OR(AND('Модель - Формы'!A2="F0",OR('Модель - Формы'!B1="F0",'Модель - Формы'!B1="F2",'Модель - Формы'!B1="F4")),AND('Модель - Формы'!A2="F3",OR('Модель - Формы'!B1="F0",'Модель - Формы'!B1="F2",'Модель - Формы'!B1="F4")),AND('Модель - Формы'!A2="F4",OR('Модель - Формы'!B1="F0",'Модель - Формы'!B1="F2",'Модель - Формы'!B1="F4")),),IF((VLOOKUP('Модель - Формы'!B2,Длт[],4,FALSE)+VLOOKUP('Модель - Формы'!B3,Длт[],2,FALSE))&gt;=3,INDIRECT("П_В_F0_F0т0[В_F0_F0т0]"),IF((VLOOKUP('Модель - Формы'!B2,Длт[],4,FALSE)+VLOOKUP('Модель - Формы'!B3,Длт[],2,FALSE))&gt;=2,INDIRECT("П_В_F0_F0_5[В_F0_F0_5]"),INDIRECT("П_В_F0_F0[В_F0_F0]"))),IF(OR(AND('Модель - Формы'!A2="F0",OR('Модель - Формы'!B1="F1",'Модель - Формы'!B1="F3",'Модель - Формы'!B1="F5")),AND('Модель - Формы'!A2="F3",OR('Модель - Формы'!B1="F1",'Модель - Формы'!B1="F3",'Модель - Формы'!B1="F5")),AND('Модель - Формы'!A2="F4",OR('Модель - Формы'!B1="F1",'Модель - Формы'!B1="F3",'Модель - Формы'!B1="F5")),),IF((VLOOKUP('Модель - Формы'!B2,Длт[],4,FALSE)+VLOOKUP('Модель - Формы'!B3,Длт[],2,FALSE))&gt;=3,INDIRECT("П_В_F0_F1т0[В_F0_F1т0]"),IF((VLOOKUP('Модель - Формы'!B2,Длт[],4,FALSE)+VLOOKUP('Модель - Формы'!B3,Длт[],2,FALSE))&gt;=2,INDIRECT("П_В_F0_F1_5[В_F0_F1_5]"),INDIRECT("П_В_F0_F1[В_F0_F1]"))),IF(OR(AND('Модель - Формы'!A2="F1",OR('Модель - Формы'!B1="F0",'Модель - Формы'!B1="F2",'Модель - Формы'!B1="F4")),AND('Модель - Формы'!A2="F2",OR('Модель - Формы'!B1="F0",'Модель - Формы'!B1="F2",'Модель - Формы'!B1="F4")),AND('Модель - Формы'!A2="F5",OR('Модель - Формы'!B1="F0",'Модель - Формы'!B1="F2",'Модель - Формы'!B1="F4")),),IF((VLOOKUP('Модель - Формы'!B2,Длт[],4,FALSE)+VLOOKUP('Модель - Формы'!B3,Длт[],2,FALSE))&gt;=3,INDIRECT("П_В_F1_F0т0[В_F1_F0т0]"),IF((VLOOKUP('Модель - Формы'!B2,Длт[],4,FALSE)+VLOOKUP('Модель - Формы'!B3,Длт[],2,FALSE))&gt;=2,INDIRECT("П_В_F1_F0_5[В_F1_F0_5]"),INDIRECT("П_В_F1_F0[В_F1_F0]"))),IF(OR(AND('Модель - Формы'!A2="F1",OR('Модель - Формы'!B1="F1",'Модель - Формы'!B1="F3",'Модель - Формы'!B1="F5")),AND('Модель - Формы'!A2="F2",OR('Модель - Формы'!B1="F1",'Модель - Формы'!B1="F3",'Модель - Формы'!B1="F5")),AND('Модель - Формы'!A2="F5",OR('Модель - Формы'!B1="F1",'Модель - Формы'!B1="F3",'Модель - Формы'!B1="F5")),),IF((VLOOKUP('Модель - Формы'!B2,Длт[],4,FALSE)+VLOOKUP('Модель - Формы'!B3,Длт[],2,FALSE))&gt;=3,INDIRECT("П_В_F1_F1т0[В_F1_F1т0]"),IF((VLOOKUP('Модель - Формы'!B2,Длт[],4,FALSE)+VLOOKUP('Модель - Формы'!B3,Длт[],2,FALSE))&gt;=2,INDIRECT("П_В_F1_F1_5[В_F1_F1_5]"),INDIRECT("П_В_F1_F1[В_F1_F1]"))),))))</definedName>
    <definedName name="UPUP" localSheetId="1">IF(OR(AND(Модель!A2="F0",OR(Модель!B1="F0",Модель!B1="F2",Модель!B1="F4")),AND(Модель!A2="F3",OR(Модель!B1="F0",Модель!B1="F2",Модель!B1="F4")),AND(Модель!A2="F4",OR(Модель!B1="F0",Модель!B1="F2",Модель!B1="F4")),),IF((VLOOKUP(Модель!B2,Длт[#Data],4,FALSE)+VLOOKUP(Модель!B3,Длт[#Data],2,FALSE))&gt;=3,INDIRECT("П_В_F0_F0т0[В_F0_F0т0]"),IF((VLOOKUP(Модель!B2,Длт[#Data],4,FALSE)+VLOOKUP(Модель!B3,Длт[#Data],2,FALSE))&gt;=2,INDIRECT("П_В_F0_F0_5[В_F0_F0_5]"),INDIRECT("П_В_F0_F0[В_F0_F0]"))),IF(OR(AND(Модель!A2="F0",OR(Модель!B1="F1",Модель!B1="F3",Модель!B1="F5")),AND(Модель!A2="F3",OR(Модель!B1="F1",Модель!B1="F3",Модель!B1="F5")),AND(Модель!A2="F4",OR(Модель!B1="F1",Модель!B1="F3",Модель!B1="F5")),),IF((VLOOKUP(Модель!B2,Длт[#Data],4,FALSE)+VLOOKUP(Модель!B3,Длт[#Data],2,FALSE))&gt;=3,INDIRECT("П_В_F0_F1т0[В_F0_F1т0]"),IF((VLOOKUP(Модель!B2,Длт[#Data],4,FALSE)+VLOOKUP(Модель!B3,Длт[#Data],2,FALSE))&gt;=2,INDIRECT("П_В_F0_F1_5[В_F0_F1_5]"),INDIRECT("П_В_F0_F1[В_F0_F1]"))),IF(OR(AND(Модель!A2="F1",OR(Модель!B1="F0",Модель!B1="F2",Модель!B1="F4")),AND(Модель!A2="F2",OR(Модель!B1="F0",Модель!B1="F2",Модель!B1="F4")),AND(Модель!A2="F5",OR(Модель!B1="F0",Модель!B1="F2",Модель!B1="F4")),),IF((VLOOKUP(Модель!B2,Длт[#Data],4,FALSE)+VLOOKUP(Модель!B3,Длт[#Data],2,FALSE))&gt;=3,INDIRECT("П_В_F1_F0т0[В_F1_F0т0]"),IF((VLOOKUP(Модель!B2,Длт[#Data],4,FALSE)+VLOOKUP(Модель!B3,Длт[#Data],2,FALSE))&gt;=2,INDIRECT("П_В_F1_F0_5[В_F1_F0_5]"),INDIRECT("П_В_F1_F0[В_F1_F0]"))),IF(OR(AND(Модель!A2="F1",OR(Модель!B1="F1",Модель!B1="F3",Модель!B1="F5")),AND(Модель!A2="F2",OR(Модель!B1="F1",Модель!B1="F3",Модель!B1="F5")),AND(Модель!A2="F5",OR(Модель!B1="F1",Модель!B1="F3",Модель!B1="F5")),),IF((VLOOKUP(Модель!B2,Длт[#Data],4,FALSE)+VLOOKUP(Модель!B3,Длт[#Data],2,FALSE))&gt;=3,INDIRECT("П_В_F1_F1т0[В_F1_F1т0]"),IF((VLOOKUP(Модель!B2,Длт[#Data],4,FALSE)+VLOOKUP(Модель!B3,Длт[#Data],2,FALSE))&gt;=2,INDIRECT("П_В_F1_F1_5[В_F1_F1_5]"),INDIRECT("П_В_F1_F1[В_F1_F1]"))),))))</definedName>
    <definedName name="UPUP" localSheetId="2">IF(OR(AND(Модель!A2="F0",OR(Модель!B1="F0",Модель!B1="F2",Модель!B1="F4")),AND(Модель!A2="F3",OR(Модель!B1="F0",Модель!B1="F2",Модель!B1="F4")),AND(Модель!A2="F4",OR(Модель!B1="F0",Модель!B1="F2",Модель!B1="F4")),),IF((VLOOKUP(Модель!B2,Длт[],4,FALSE)+VLOOKUP(Модель!B3,Длт[],2,FALSE))&gt;=3,INDIRECT("П_В_F0_F0т0[В_F0_F0т0]"),IF((VLOOKUP(Модель!B2,Длт[],4,FALSE)+VLOOKUP(Модель!B3,Длт[],2,FALSE))&gt;=2,INDIRECT("П_В_F0_F0_5[В_F0_F0_5]"),INDIRECT("П_В_F0_F0[В_F0_F0]"))),IF(OR(AND(Модель!A2="F0",OR(Модель!B1="F1",Модель!B1="F3",Модель!B1="F5")),AND(Модель!A2="F3",OR(Модель!B1="F1",Модель!B1="F3",Модель!B1="F5")),AND(Модель!A2="F4",OR(Модель!B1="F1",Модель!B1="F3",Модель!B1="F5")),),IF((VLOOKUP(Модель!B2,Длт[],4,FALSE)+VLOOKUP(Модель!B3,Длт[],2,FALSE))&gt;=3,INDIRECT("П_В_F0_F1т0[В_F0_F1т0]"),IF((VLOOKUP(Модель!B2,Длт[],4,FALSE)+VLOOKUP(Модель!B3,Длт[],2,FALSE))&gt;=2,INDIRECT("П_В_F0_F1_5[В_F0_F1_5]"),INDIRECT("П_В_F0_F1[В_F0_F1]"))),IF(OR(AND(Модель!A2="F1",OR(Модель!B1="F0",Модель!B1="F2",Модель!B1="F4")),AND(Модель!A2="F2",OR(Модель!B1="F0",Модель!B1="F2",Модель!B1="F4")),AND(Модель!A2="F5",OR(Модель!B1="F0",Модель!B1="F2",Модель!B1="F4")),),IF((VLOOKUP(Модель!B2,Длт[],4,FALSE)+VLOOKUP(Модель!B3,Длт[],2,FALSE))&gt;=3,INDIRECT("П_В_F1_F0т0[В_F1_F0т0]"),IF((VLOOKUP(Модель!B2,Длт[],4,FALSE)+VLOOKUP(Модель!B3,Длт[],2,FALSE))&gt;=2,INDIRECT("П_В_F1_F0_5[В_F1_F0_5]"),INDIRECT("П_В_F1_F0[В_F1_F0]"))),IF(OR(AND(Модель!A2="F1",OR(Модель!B1="F1",Модель!B1="F3",Модель!B1="F5")),AND(Модель!A2="F2",OR(Модель!B1="F1",Модель!B1="F3",Модель!B1="F5")),AND(Модель!A2="F5",OR(Модель!B1="F1",Модель!B1="F3",Модель!B1="F5")),),IF((VLOOKUP(Модель!B2,Длт[],4,FALSE)+VLOOKUP(Модель!B3,Длт[],2,FALSE))&gt;=3,INDIRECT("П_В_F1_F1т0[В_F1_F1т0]"),IF((VLOOKUP(Модель!B2,Длт[],4,FALSE)+VLOOKUP(Модель!B3,Длт[],2,FALSE))&gt;=2,INDIRECT("П_В_F1_F1_5[В_F1_F1_5]"),INDIRECT("П_В_F1_F1[В_F1_F1]"))),))))</definedName>
    <definedName name="UPUP">IF(OR(AND(Модель!A2="F0",OR(Модель!B1="F0",Модель!B1="F2",Модель!B1="F4")),AND(Модель!A2="F3",OR(Модель!B1="F0",Модель!B1="F2",Модель!B1="F4")),AND(Модель!A2="F4",OR(Модель!B1="F0",Модель!B1="F2",Модель!B1="F4")),),IF((VLOOKUP(Модель!B2,Длт[],4,FALSE)+VLOOKUP(Модель!B3,Длт[],2,FALSE))&gt;=3,INDIRECT("П_В_F0_F0т0[В_F0_F0т0]"),IF((VLOOKUP(Модель!B2,Длт[],4,FALSE)+VLOOKUP(Модель!B3,Длт[],2,FALSE))&gt;=2,INDIRECT("П_В_F0_F0_5[В_F0_F0_5]"),INDIRECT("П_В_F0_F0[В_F0_F0]"))),IF(OR(AND(Модель!A2="F0",OR(Модель!B1="F1",Модель!B1="F3",Модель!B1="F5")),AND(Модель!A2="F3",OR(Модель!B1="F1",Модель!B1="F3",Модель!B1="F5")),AND(Модель!A2="F4",OR(Модель!B1="F1",Модель!B1="F3",Модель!B1="F5")),),IF((VLOOKUP(Модель!B2,Длт[],4,FALSE)+VLOOKUP(Модель!B3,Длт[],2,FALSE))&gt;=3,INDIRECT("П_В_F0_F1т0[В_F0_F1т0]"),IF((VLOOKUP(Модель!B2,Длт[],4,FALSE)+VLOOKUP(Модель!B3,Длт[],2,FALSE))&gt;=2,INDIRECT("П_В_F0_F1_5[В_F0_F1_5]"),INDIRECT("П_В_F0_F1[В_F0_F1]"))),IF(OR(AND(Модель!A2="F1",OR(Модель!B1="F0",Модель!B1="F2",Модель!B1="F4")),AND(Модель!A2="F2",OR(Модель!B1="F0",Модель!B1="F2",Модель!B1="F4")),AND(Модель!A2="F5",OR(Модель!B1="F0",Модель!B1="F2",Модель!B1="F4")),),IF((VLOOKUP(Модель!B2,Длт[],4,FALSE)+VLOOKUP(Модель!B3,Длт[],2,FALSE))&gt;=3,INDIRECT("П_В_F1_F0т0[В_F1_F0т0]"),IF((VLOOKUP(Модель!B2,Длт[],4,FALSE)+VLOOKUP(Модель!B3,Длт[],2,FALSE))&gt;=2,INDIRECT("П_В_F1_F0_5[В_F1_F0_5]"),INDIRECT("П_В_F1_F0[В_F1_F0]"))),IF(OR(AND(Модель!A2="F1",OR(Модель!B1="F1",Модель!B1="F3",Модель!B1="F5")),AND(Модель!A2="F2",OR(Модель!B1="F1",Модель!B1="F3",Модель!B1="F5")),AND(Модель!A2="F5",OR(Модель!B1="F1",Модель!B1="F3",Модель!B1="F5")),),IF((VLOOKUP(Модель!B2,Длт[],4,FALSE)+VLOOKUP(Модель!B3,Длт[],2,FALSE))&gt;=3,INDIRECT("П_В_F1_F1т0[В_F1_F1т0]"),IF((VLOOKUP(Модель!B2,Длт[],4,FALSE)+VLOOKUP(Модель!B3,Длт[],2,FALSE))&gt;=2,INDIRECT("П_В_F1_F1_5[В_F1_F1_5]"),INDIRECT("П_В_F1_F1[В_F1_F1]"))),))))</definedName>
    <definedName name="Вычисление_1_1" localSheetId="4">IF(Модель!D1="F0",INDEX(MatrixF0[],(Модель!A1048575-1+0.01)*100,(Модель!A1048576-1+0.02)*100), IF(Модель!D1="F1",INDEX(MatrixF1[],(Модель!A1048575-1+0.01)*100,(Модель!A1048576-1+0.02)*100), IF(Модель!D1="F2",INDEX(MatrixF2[],(Модель!A1048575-1+0.01)*100,(Модель!A1048576-1+0.02)*100), IF(Модель!D1="F3",INDEX(MatrixF3[],(Модель!A1048575-1+0.01)*100,(Модель!A1048576-1+0.02)*100), IF(Модель!D1="F4",INDEX(MatrixF4[],(Модель!A1048575-1+0.01)*100,(Модель!A1048576-1+0.02)*100), IF(Модель!D1="F5",INDEX(MatrixF5[],(Модель!A1048575-1+0.01)*100,(Модель!A1048576-1+0.02)*100),""))))))</definedName>
    <definedName name="Вычисление_1_1" localSheetId="12">IF('Модель - Формы'!D1="F0",INDEX(MatrixF0[],('Модель - Формы'!A1048575-1+0.01)*100,('Модель - Формы'!A1048576-1+0.02)*100), IF('Модель - Формы'!D1="F1",INDEX(MatrixF1[],('Модель - Формы'!A1048575-1+0.01)*100,('Модель - Формы'!A1048576-1+0.02)*100), IF('Модель - Формы'!D1="F2",INDEX(MatrixF2[],('Модель - Формы'!A1048575-1+0.01)*100,('Модель - Формы'!A1048576-1+0.02)*100), IF('Модель - Формы'!D1="F3",INDEX(MatrixF3[],('Модель - Формы'!A1048575-1+0.01)*100,('Модель - Формы'!A1048576-1+0.02)*100), IF('Модель - Формы'!D1="F4",INDEX(MatrixF4[],('Модель - Формы'!A1048575-1+0.01)*100,('Модель - Формы'!A1048576-1+0.02)*100), IF('Модель - Формы'!D1="F5",INDEX(MatrixF5[],('Модель - Формы'!A1048575-1+0.01)*100,('Модель - Формы'!A1048576-1+0.02)*100),""))))))</definedName>
    <definedName name="Вычисление_1_1" localSheetId="1">IF(Модель!D1="F0",INDEX(MatrixF0[#Data],(Модель!A1048575-1+0.01)*100,(Модель!A1048576-1+0.02)*100), IF(Модель!D1="F1",INDEX(MatrixF1[#Data],(Модель!A1048575-1+0.01)*100,(Модель!A1048576-1+0.02)*100), IF(Модель!D1="F2",INDEX(MatrixF2[#Data],(Модель!A1048575-1+0.01)*100,(Модель!A1048576-1+0.02)*100), IF(Модель!D1="F3",INDEX(MatrixF3[#Data],(Модель!A1048575-1+0.01)*100,(Модель!A1048576-1+0.02)*100), IF(Модель!D1="F4",INDEX(MatrixF4[#Data],(Модель!A1048575-1+0.01)*100,(Модель!A1048576-1+0.02)*100), IF(Модель!D1="F5",INDEX(MatrixF5[#Data],(Модель!A1048575-1+0.01)*100,(Модель!A1048576-1+0.02)*100),""))))))</definedName>
    <definedName name="Вычисление_1_1" localSheetId="2">IF(Модель!D1="F0",INDEX(MatrixF0[],(Модель!A1048575-1+0.01)*100,(Модель!A1048576-1+0.02)*100), IF(Модель!D1="F1",INDEX(MatrixF1[],(Модель!A1048575-1+0.01)*100,(Модель!A1048576-1+0.02)*100), IF(Модель!D1="F2",INDEX(MatrixF2[],(Модель!A1048575-1+0.01)*100,(Модель!A1048576-1+0.02)*100), IF(Модель!D1="F3",INDEX(MatrixF3[],(Модель!A1048575-1+0.01)*100,(Модель!A1048576-1+0.02)*100), IF(Модель!D1="F4",INDEX(MatrixF4[],(Модель!A1048575-1+0.01)*100,(Модель!A1048576-1+0.02)*100), IF(Модель!D1="F5",INDEX(MatrixF5[],(Модель!A1048575-1+0.01)*100,(Модель!A1048576-1+0.02)*100),""))))))</definedName>
    <definedName name="Вычисление_1_1">IF(Модель!D1="F0",INDEX(MatrixF0[],(Модель!A1048575-1+0.01)*100,(Модель!A1048576-1+0.02)*100), IF(Модель!D1="F1",INDEX(MatrixF1[],(Модель!A1048575-1+0.01)*100,(Модель!A1048576-1+0.02)*100), IF(Модель!D1="F2",INDEX(MatrixF2[],(Модель!A1048575-1+0.01)*100,(Модель!A1048576-1+0.02)*100), IF(Модель!D1="F3",INDEX(MatrixF3[],(Модель!A1048575-1+0.01)*100,(Модель!A1048576-1+0.02)*100), IF(Модель!D1="F4",INDEX(MatrixF4[],(Модель!A1048575-1+0.01)*100,(Модель!A1048576-1+0.02)*100), IF(Модель!D1="F5",INDEX(MatrixF5[],(Модель!A1048575-1+0.01)*100,(Модель!A1048576-1+0.02)*100),""))))))</definedName>
    <definedName name="Вычисление_1_2" localSheetId="4">IF(Модель!C1="F0",INDEX(MatrixF0[],(Модель!A1048575-1+0.01)*100,(Модель!A1048576-2+0.02)*100), IF(Модель!C1="F1",INDEX(MatrixF1[],(Модель!A1048575-1+0.01)*100,(Модель!A1048576-2+0.02)*100), IF(Модель!C1="F2",INDEX(MatrixF2[],(Модель!A1048575-1+0.01)*100,(Модель!A1048576-2+0.02)*100), IF(Модель!C1="F3",INDEX(MatrixF3[],(Модель!A1048575-1+0.01)*100,(Модель!A1048576-2+0.02)*100), IF(Модель!C1="F4",INDEX(MatrixF4[],(Модель!A1048575-1+0.01)*100,(Модель!A1048576-2+0.02)*100), IF(Модель!C1="F5",INDEX(MatrixF5[],(Модель!A1048575-1+0.01)*100,(Модель!A1048576-2+0.02)*100),""))))))</definedName>
    <definedName name="Вычисление_1_2" localSheetId="12">IF('Модель - Формы'!C1="F0",INDEX(MatrixF0[],('Модель - Формы'!A1048575-1+0.01)*100,('Модель - Формы'!A1048576-2+0.02)*100), IF('Модель - Формы'!C1="F1",INDEX(MatrixF1[],('Модель - Формы'!A1048575-1+0.01)*100,('Модель - Формы'!A1048576-2+0.02)*100), IF('Модель - Формы'!C1="F2",INDEX(MatrixF2[],('Модель - Формы'!A1048575-1+0.01)*100,('Модель - Формы'!A1048576-2+0.02)*100), IF('Модель - Формы'!C1="F3",INDEX(MatrixF3[],('Модель - Формы'!A1048575-1+0.01)*100,('Модель - Формы'!A1048576-2+0.02)*100), IF('Модель - Формы'!C1="F4",INDEX(MatrixF4[],('Модель - Формы'!A1048575-1+0.01)*100,('Модель - Формы'!A1048576-2+0.02)*100), IF('Модель - Формы'!C1="F5",INDEX(MatrixF5[],('Модель - Формы'!A1048575-1+0.01)*100,('Модель - Формы'!A1048576-2+0.02)*100),""))))))</definedName>
    <definedName name="Вычисление_1_2" localSheetId="1">IF(Модель!C1="F0",INDEX(MatrixF0[#Data],(Модель!A1048575-1+0.01)*100,(Модель!A1048576-2+0.02)*100), IF(Модель!C1="F1",INDEX(MatrixF1[#Data],(Модель!A1048575-1+0.01)*100,(Модель!A1048576-2+0.02)*100), IF(Модель!C1="F2",INDEX(MatrixF2[#Data],(Модель!A1048575-1+0.01)*100,(Модель!A1048576-2+0.02)*100), IF(Модель!C1="F3",INDEX(MatrixF3[#Data],(Модель!A1048575-1+0.01)*100,(Модель!A1048576-2+0.02)*100), IF(Модель!C1="F4",INDEX(MatrixF4[#Data],(Модель!A1048575-1+0.01)*100,(Модель!A1048576-2+0.02)*100), IF(Модель!C1="F5",INDEX(MatrixF5[#Data],(Модель!A1048575-1+0.01)*100,(Модель!A1048576-2+0.02)*100),""))))))</definedName>
    <definedName name="Вычисление_1_2" localSheetId="2">IF(Модель!C1="F0",INDEX(MatrixF0[],(Модель!A1048575-1+0.01)*100,(Модель!A1048576-2+0.02)*100), IF(Модель!C1="F1",INDEX(MatrixF1[],(Модель!A1048575-1+0.01)*100,(Модель!A1048576-2+0.02)*100), IF(Модель!C1="F2",INDEX(MatrixF2[],(Модель!A1048575-1+0.01)*100,(Модель!A1048576-2+0.02)*100), IF(Модель!C1="F3",INDEX(MatrixF3[],(Модель!A1048575-1+0.01)*100,(Модель!A1048576-2+0.02)*100), IF(Модель!C1="F4",INDEX(MatrixF4[],(Модель!A1048575-1+0.01)*100,(Модель!A1048576-2+0.02)*100), IF(Модель!C1="F5",INDEX(MatrixF5[],(Модель!A1048575-1+0.01)*100,(Модель!A1048576-2+0.02)*100),""))))))</definedName>
    <definedName name="Вычисление_1_2">IF(Модель!C1="F0",INDEX(MatrixF0[],(Модель!A1048575-1+0.01)*100,(Модель!A1048576-2+0.02)*100), IF(Модель!C1="F1",INDEX(MatrixF1[],(Модель!A1048575-1+0.01)*100,(Модель!A1048576-2+0.02)*100), IF(Модель!C1="F2",INDEX(MatrixF2[],(Модель!A1048575-1+0.01)*100,(Модель!A1048576-2+0.02)*100), IF(Модель!C1="F3",INDEX(MatrixF3[],(Модель!A1048575-1+0.01)*100,(Модель!A1048576-2+0.02)*100), IF(Модель!C1="F4",INDEX(MatrixF4[],(Модель!A1048575-1+0.01)*100,(Модель!A1048576-2+0.02)*100), IF(Модель!C1="F5",INDEX(MatrixF5[],(Модель!A1048575-1+0.01)*100,(Модель!A1048576-2+0.02)*100),""))))))</definedName>
    <definedName name="Вычисление_1_3" localSheetId="4">IF(Модель!B1="F0",INDEX(MatrixF0[],(Модель!A1048575-1+0.01)*100,(Модель!A1048576-3+0.02)*100), IF(Модель!B1="F1",INDEX(MatrixF1[],(Модель!A1048575-1+0.01)*100,(Модель!A1048576-3+0.02)*100), IF(Модель!B1="F2",INDEX(MatrixF2[],(Модель!A1048575-1+0.01)*100,(Модель!A1048576-3+0.02)*100), IF(Модель!B1="F3",INDEX(MatrixF3[],(Модель!A1048575-1+0.01)*100,(Модель!A1048576-3+0.02)*100), IF(Модель!B1="F4",INDEX(MatrixF4[],(Модель!A1048575-1+0.01)*100,(Модель!A1048576-3+0.02)*100), IF(Модель!B1="F5",INDEX(MatrixF5[],(Модель!A1048575-1+0.01)*100,(Модель!A1048576-3+0.02)*100),""))))))</definedName>
    <definedName name="Вычисление_1_3" localSheetId="12">IF('Модель - Формы'!B1="F0",INDEX(MatrixF0[],('Модель - Формы'!A1048575-1+0.01)*100,('Модель - Формы'!A1048576-3+0.02)*100), IF('Модель - Формы'!B1="F1",INDEX(MatrixF1[],('Модель - Формы'!A1048575-1+0.01)*100,('Модель - Формы'!A1048576-3+0.02)*100), IF('Модель - Формы'!B1="F2",INDEX(MatrixF2[],('Модель - Формы'!A1048575-1+0.01)*100,('Модель - Формы'!A1048576-3+0.02)*100), IF('Модель - Формы'!B1="F3",INDEX(MatrixF3[],('Модель - Формы'!A1048575-1+0.01)*100,('Модель - Формы'!A1048576-3+0.02)*100), IF('Модель - Формы'!B1="F4",INDEX(MatrixF4[],('Модель - Формы'!A1048575-1+0.01)*100,('Модель - Формы'!A1048576-3+0.02)*100), IF('Модель - Формы'!B1="F5",INDEX(MatrixF5[],('Модель - Формы'!A1048575-1+0.01)*100,('Модель - Формы'!A1048576-3+0.02)*100),""))))))</definedName>
    <definedName name="Вычисление_1_3" localSheetId="1">IF(Модель!B1="F0",INDEX(MatrixF0[#Data],(Модель!A1048575-1+0.01)*100,(Модель!A1048576-3+0.02)*100), IF(Модель!B1="F1",INDEX(MatrixF1[#Data],(Модель!A1048575-1+0.01)*100,(Модель!A1048576-3+0.02)*100), IF(Модель!B1="F2",INDEX(MatrixF2[#Data],(Модель!A1048575-1+0.01)*100,(Модель!A1048576-3+0.02)*100), IF(Модель!B1="F3",INDEX(MatrixF3[#Data],(Модель!A1048575-1+0.01)*100,(Модель!A1048576-3+0.02)*100), IF(Модель!B1="F4",INDEX(MatrixF4[#Data],(Модель!A1048575-1+0.01)*100,(Модель!A1048576-3+0.02)*100), IF(Модель!B1="F5",INDEX(MatrixF5[#Data],(Модель!A1048575-1+0.01)*100,(Модель!A1048576-3+0.02)*100),""))))))</definedName>
    <definedName name="Вычисление_1_3" localSheetId="2">IF(Модель!B1="F0",INDEX(MatrixF0[],(Модель!A1048575-1+0.01)*100,(Модель!A1048576-3+0.02)*100), IF(Модель!B1="F1",INDEX(MatrixF1[],(Модель!A1048575-1+0.01)*100,(Модель!A1048576-3+0.02)*100), IF(Модель!B1="F2",INDEX(MatrixF2[],(Модель!A1048575-1+0.01)*100,(Модель!A1048576-3+0.02)*100), IF(Модель!B1="F3",INDEX(MatrixF3[],(Модель!A1048575-1+0.01)*100,(Модель!A1048576-3+0.02)*100), IF(Модель!B1="F4",INDEX(MatrixF4[],(Модель!A1048575-1+0.01)*100,(Модель!A1048576-3+0.02)*100), IF(Модель!B1="F5",INDEX(MatrixF5[],(Модель!A1048575-1+0.01)*100,(Модель!A1048576-3+0.02)*100),""))))))</definedName>
    <definedName name="Вычисление_1_3">IF(Модель!B1="F0",INDEX(MatrixF0[],(Модель!A1048575-1+0.01)*100,(Модель!A1048576-3+0.02)*100), IF(Модель!B1="F1",INDEX(MatrixF1[],(Модель!A1048575-1+0.01)*100,(Модель!A1048576-3+0.02)*100), IF(Модель!B1="F2",INDEX(MatrixF2[],(Модель!A1048575-1+0.01)*100,(Модель!A1048576-3+0.02)*100), IF(Модель!B1="F3",INDEX(MatrixF3[],(Модель!A1048575-1+0.01)*100,(Модель!A1048576-3+0.02)*100), IF(Модель!B1="F4",INDEX(MatrixF4[],(Модель!A1048575-1+0.01)*100,(Модель!A1048576-3+0.02)*100), IF(Модель!B1="F5",INDEX(MatrixF5[],(Модель!A1048575-1+0.01)*100,(Модель!A1048576-3+0.02)*100),""))))))</definedName>
    <definedName name="Вычисление_2_1" localSheetId="4">IF(Модель!D1048576="F0",INDEX(MatrixF0[],(Модель!A1048575-2+0.01)*100,(Модель!A1048576-1+0.02)*100), IF(Модель!D1048576="F1",INDEX(MatrixF1[],(Модель!A1048575-2+0.01)*100,(Модель!A1048576-1+0.02)*100), IF(Модель!D1048576="F2",INDEX(MatrixF2[],(Модель!A1048575-2+0.01)*100,(Модель!A1048576-1+0.02)*100), IF(Модель!D1048576="F3",INDEX(MatrixF3[],(Модель!A1048575-2+0.01)*100,(Модель!A1048576-1+0.02)*100), IF(Модель!D1048576="F4",INDEX(MatrixF4[],(Модель!A1048575-2+0.01)*100,(Модель!A1048576-1+0.02)*100), IF(Модель!D1048576="F5",INDEX(MatrixF5[],(Модель!A1048575-2+0.01)*100,(Модель!A1048576-1+0.02)*100),""))))))</definedName>
    <definedName name="Вычисление_2_1" localSheetId="12">IF('Модель - Формы'!D1048576="F0",INDEX(MatrixF0[],('Модель - Формы'!A1048575-2+0.01)*100,('Модель - Формы'!A1048576-1+0.02)*100), IF('Модель - Формы'!D1048576="F1",INDEX(MatrixF1[],('Модель - Формы'!A1048575-2+0.01)*100,('Модель - Формы'!A1048576-1+0.02)*100), IF('Модель - Формы'!D1048576="F2",INDEX(MatrixF2[],('Модель - Формы'!A1048575-2+0.01)*100,('Модель - Формы'!A1048576-1+0.02)*100), IF('Модель - Формы'!D1048576="F3",INDEX(MatrixF3[],('Модель - Формы'!A1048575-2+0.01)*100,('Модель - Формы'!A1048576-1+0.02)*100), IF('Модель - Формы'!D1048576="F4",INDEX(MatrixF4[],('Модель - Формы'!A1048575-2+0.01)*100,('Модель - Формы'!A1048576-1+0.02)*100), IF('Модель - Формы'!D1048576="F5",INDEX(MatrixF5[],('Модель - Формы'!A1048575-2+0.01)*100,('Модель - Формы'!A1048576-1+0.02)*100),""))))))</definedName>
    <definedName name="Вычисление_2_1" localSheetId="1">IF(Модель!D1048576="F0",INDEX(MatrixF0[#Data],(Модель!A1048575-2+0.01)*100,(Модель!A1048576-1+0.02)*100), IF(Модель!D1048576="F1",INDEX(MatrixF1[#Data],(Модель!A1048575-2+0.01)*100,(Модель!A1048576-1+0.02)*100), IF(Модель!D1048576="F2",INDEX(MatrixF2[#Data],(Модель!A1048575-2+0.01)*100,(Модель!A1048576-1+0.02)*100), IF(Модель!D1048576="F3",INDEX(MatrixF3[#Data],(Модель!A1048575-2+0.01)*100,(Модель!A1048576-1+0.02)*100), IF(Модель!D1048576="F4",INDEX(MatrixF4[#Data],(Модель!A1048575-2+0.01)*100,(Модель!A1048576-1+0.02)*100), IF(Модель!D1048576="F5",INDEX(MatrixF5[#Data],(Модель!A1048575-2+0.01)*100,(Модель!A1048576-1+0.02)*100),""))))))</definedName>
    <definedName name="Вычисление_2_1" localSheetId="2">IF(Модель!D1048576="F0",INDEX(MatrixF0[],(Модель!A1048575-2+0.01)*100,(Модель!A1048576-1+0.02)*100), IF(Модель!D1048576="F1",INDEX(MatrixF1[],(Модель!A1048575-2+0.01)*100,(Модель!A1048576-1+0.02)*100), IF(Модель!D1048576="F2",INDEX(MatrixF2[],(Модель!A1048575-2+0.01)*100,(Модель!A1048576-1+0.02)*100), IF(Модель!D1048576="F3",INDEX(MatrixF3[],(Модель!A1048575-2+0.01)*100,(Модель!A1048576-1+0.02)*100), IF(Модель!D1048576="F4",INDEX(MatrixF4[],(Модель!A1048575-2+0.01)*100,(Модель!A1048576-1+0.02)*100), IF(Модель!D1048576="F5",INDEX(MatrixF5[],(Модель!A1048575-2+0.01)*100,(Модель!A1048576-1+0.02)*100),""))))))</definedName>
    <definedName name="Вычисление_2_1">IF(Модель!D1048576="F0",INDEX(MatrixF0[],(Модель!A1048575-2+0.01)*100,(Модель!A1048576-1+0.02)*100), IF(Модель!D1048576="F1",INDEX(MatrixF1[],(Модель!A1048575-2+0.01)*100,(Модель!A1048576-1+0.02)*100), IF(Модель!D1048576="F2",INDEX(MatrixF2[],(Модель!A1048575-2+0.01)*100,(Модель!A1048576-1+0.02)*100), IF(Модель!D1048576="F3",INDEX(MatrixF3[],(Модель!A1048575-2+0.01)*100,(Модель!A1048576-1+0.02)*100), IF(Модель!D1048576="F4",INDEX(MatrixF4[],(Модель!A1048575-2+0.01)*100,(Модель!A1048576-1+0.02)*100), IF(Модель!D1048576="F5",INDEX(MatrixF5[],(Модель!A1048575-2+0.01)*100,(Модель!A1048576-1+0.02)*100),""))))))</definedName>
    <definedName name="Вычисление_2_2" localSheetId="4">IF(Модель!C1048576="F0",INDEX(MatrixF0[],(Модель!A1048575-2+0.01)*100,(Модель!A1048576-2+0.02)*100), IF(Модель!C1048576="F1",INDEX(MatrixF1[],(Модель!A1048575-2+0.01)*100,(Модель!A1048576-2+0.02)*100), IF(Модель!C1048576="F2",INDEX(MatrixF2[],(Модель!A1048575-2+0.01)*100,(Модель!A1048576-2+0.02)*100), IF(Модель!C1048576="F3",INDEX(MatrixF3[],(Модель!A1048575-2+0.01)*100,(Модель!A1048576-2+0.02)*100), IF(Модель!C1048576="F4",INDEX(MatrixF4[],(Модель!A1048575-2+0.01)*100,(Модель!A1048576-2+0.02)*100), IF(Модель!C1048576="F5",INDEX(MatrixF5[],(Модель!A1048575-2+0.01)*100,(Модель!A1048576-2+0.02)*100),""))))))</definedName>
    <definedName name="Вычисление_2_2" localSheetId="12">IF('Модель - Формы'!C1048576="F0",INDEX(MatrixF0[],('Модель - Формы'!A1048575-2+0.01)*100,('Модель - Формы'!A1048576-2+0.02)*100), IF('Модель - Формы'!C1048576="F1",INDEX(MatrixF1[],('Модель - Формы'!A1048575-2+0.01)*100,('Модель - Формы'!A1048576-2+0.02)*100), IF('Модель - Формы'!C1048576="F2",INDEX(MatrixF2[],('Модель - Формы'!A1048575-2+0.01)*100,('Модель - Формы'!A1048576-2+0.02)*100), IF('Модель - Формы'!C1048576="F3",INDEX(MatrixF3[],('Модель - Формы'!A1048575-2+0.01)*100,('Модель - Формы'!A1048576-2+0.02)*100), IF('Модель - Формы'!C1048576="F4",INDEX(MatrixF4[],('Модель - Формы'!A1048575-2+0.01)*100,('Модель - Формы'!A1048576-2+0.02)*100), IF('Модель - Формы'!C1048576="F5",INDEX(MatrixF5[],('Модель - Формы'!A1048575-2+0.01)*100,('Модель - Формы'!A1048576-2+0.02)*100),""))))))</definedName>
    <definedName name="Вычисление_2_2" localSheetId="1">IF(Модель!C1048576="F0",INDEX(MatrixF0[#Data],(Модель!A1048575-2+0.01)*100,(Модель!A1048576-2+0.02)*100), IF(Модель!C1048576="F1",INDEX(MatrixF1[#Data],(Модель!A1048575-2+0.01)*100,(Модель!A1048576-2+0.02)*100), IF(Модель!C1048576="F2",INDEX(MatrixF2[#Data],(Модель!A1048575-2+0.01)*100,(Модель!A1048576-2+0.02)*100), IF(Модель!C1048576="F3",INDEX(MatrixF3[#Data],(Модель!A1048575-2+0.01)*100,(Модель!A1048576-2+0.02)*100), IF(Модель!C1048576="F4",INDEX(MatrixF4[#Data],(Модель!A1048575-2+0.01)*100,(Модель!A1048576-2+0.02)*100), IF(Модель!C1048576="F5",INDEX(MatrixF5[#Data],(Модель!A1048575-2+0.01)*100,(Модель!A1048576-2+0.02)*100),""))))))</definedName>
    <definedName name="Вычисление_2_2" localSheetId="2">IF(Модель!C1048576="F0",INDEX(MatrixF0[],(Модель!A1048575-2+0.01)*100,(Модель!A1048576-2+0.02)*100), IF(Модель!C1048576="F1",INDEX(MatrixF1[],(Модель!A1048575-2+0.01)*100,(Модель!A1048576-2+0.02)*100), IF(Модель!C1048576="F2",INDEX(MatrixF2[],(Модель!A1048575-2+0.01)*100,(Модель!A1048576-2+0.02)*100), IF(Модель!C1048576="F3",INDEX(MatrixF3[],(Модель!A1048575-2+0.01)*100,(Модель!A1048576-2+0.02)*100), IF(Модель!C1048576="F4",INDEX(MatrixF4[],(Модель!A1048575-2+0.01)*100,(Модель!A1048576-2+0.02)*100), IF(Модель!C1048576="F5",INDEX(MatrixF5[],(Модель!A1048575-2+0.01)*100,(Модель!A1048576-2+0.02)*100),""))))))</definedName>
    <definedName name="Вычисление_2_2">IF(Модель!C1048576="F0",INDEX(MatrixF0[],(Модель!A1048575-2+0.01)*100,(Модель!A1048576-2+0.02)*100), IF(Модель!C1048576="F1",INDEX(MatrixF1[],(Модель!A1048575-2+0.01)*100,(Модель!A1048576-2+0.02)*100), IF(Модель!C1048576="F2",INDEX(MatrixF2[],(Модель!A1048575-2+0.01)*100,(Модель!A1048576-2+0.02)*100), IF(Модель!C1048576="F3",INDEX(MatrixF3[],(Модель!A1048575-2+0.01)*100,(Модель!A1048576-2+0.02)*100), IF(Модель!C1048576="F4",INDEX(MatrixF4[],(Модель!A1048575-2+0.01)*100,(Модель!A1048576-2+0.02)*100), IF(Модель!C1048576="F5",INDEX(MatrixF5[],(Модель!A1048575-2+0.01)*100,(Модель!A1048576-2+0.02)*100),""))))))</definedName>
    <definedName name="Вычисление_2_3" localSheetId="4">IF(Модель!B1048576="F0",INDEX(MatrixF0[],(Модель!A1048575-2+0.01)*100,(Модель!A1048576-3+0.02)*100), IF(Модель!B1048576="F1",INDEX(MatrixF1[],(Модель!A1048575-2+0.01)*100,(Модель!A1048576-3+0.02)*100), IF(Модель!B1048576="F2",INDEX(MatrixF2[],(Модель!A1048575-2+0.01)*100,(Модель!A1048576-3+0.02)*100), IF(Модель!B1048576="F3",INDEX(MatrixF3[],(Модель!A1048575-2+0.01)*100,(Модель!A1048576-3+0.02)*100), IF(Модель!B1048576="F4",INDEX(MatrixF4[],(Модель!A1048575-2+0.01)*100,(Модель!A1048576-3+0.02)*100), IF(Модель!B1048576="F5",INDEX(MatrixF5[],(Модель!A1048575-2+0.01)*100,(Модель!A1048576-3+0.02)*100),""))))))</definedName>
    <definedName name="Вычисление_2_3" localSheetId="12">IF('Модель - Формы'!B1048576="F0",INDEX(MatrixF0[],('Модель - Формы'!A1048575-2+0.01)*100,('Модель - Формы'!A1048576-3+0.02)*100), IF('Модель - Формы'!B1048576="F1",INDEX(MatrixF1[],('Модель - Формы'!A1048575-2+0.01)*100,('Модель - Формы'!A1048576-3+0.02)*100), IF('Модель - Формы'!B1048576="F2",INDEX(MatrixF2[],('Модель - Формы'!A1048575-2+0.01)*100,('Модель - Формы'!A1048576-3+0.02)*100), IF('Модель - Формы'!B1048576="F3",INDEX(MatrixF3[],('Модель - Формы'!A1048575-2+0.01)*100,('Модель - Формы'!A1048576-3+0.02)*100), IF('Модель - Формы'!B1048576="F4",INDEX(MatrixF4[],('Модель - Формы'!A1048575-2+0.01)*100,('Модель - Формы'!A1048576-3+0.02)*100), IF('Модель - Формы'!B1048576="F5",INDEX(MatrixF5[],('Модель - Формы'!A1048575-2+0.01)*100,('Модель - Формы'!A1048576-3+0.02)*100),""))))))</definedName>
    <definedName name="Вычисление_2_3" localSheetId="1">IF(Модель!B1048576="F0",INDEX(MatrixF0[#Data],(Модель!A1048575-2+0.01)*100,(Модель!A1048576-3+0.02)*100), IF(Модель!B1048576="F1",INDEX(MatrixF1[#Data],(Модель!A1048575-2+0.01)*100,(Модель!A1048576-3+0.02)*100), IF(Модель!B1048576="F2",INDEX(MatrixF2[#Data],(Модель!A1048575-2+0.01)*100,(Модель!A1048576-3+0.02)*100), IF(Модель!B1048576="F3",INDEX(MatrixF3[#Data],(Модель!A1048575-2+0.01)*100,(Модель!A1048576-3+0.02)*100), IF(Модель!B1048576="F4",INDEX(MatrixF4[#Data],(Модель!A1048575-2+0.01)*100,(Модель!A1048576-3+0.02)*100), IF(Модель!B1048576="F5",INDEX(MatrixF5[#Data],(Модель!A1048575-2+0.01)*100,(Модель!A1048576-3+0.02)*100),""))))))</definedName>
    <definedName name="Вычисление_2_3" localSheetId="2">IF(Модель!B1048576="F0",INDEX(MatrixF0[],(Модель!A1048575-2+0.01)*100,(Модель!A1048576-3+0.02)*100), IF(Модель!B1048576="F1",INDEX(MatrixF1[],(Модель!A1048575-2+0.01)*100,(Модель!A1048576-3+0.02)*100), IF(Модель!B1048576="F2",INDEX(MatrixF2[],(Модель!A1048575-2+0.01)*100,(Модель!A1048576-3+0.02)*100), IF(Модель!B1048576="F3",INDEX(MatrixF3[],(Модель!A1048575-2+0.01)*100,(Модель!A1048576-3+0.02)*100), IF(Модель!B1048576="F4",INDEX(MatrixF4[],(Модель!A1048575-2+0.01)*100,(Модель!A1048576-3+0.02)*100), IF(Модель!B1048576="F5",INDEX(MatrixF5[],(Модель!A1048575-2+0.01)*100,(Модель!A1048576-3+0.02)*100),""))))))</definedName>
    <definedName name="Вычисление_2_3">IF(Модель!B1048576="F0",INDEX(MatrixF0[],(Модель!A1048575-2+0.01)*100,(Модель!A1048576-3+0.02)*100), IF(Модель!B1048576="F1",INDEX(MatrixF1[],(Модель!A1048575-2+0.01)*100,(Модель!A1048576-3+0.02)*100), IF(Модель!B1048576="F2",INDEX(MatrixF2[],(Модель!A1048575-2+0.01)*100,(Модель!A1048576-3+0.02)*100), IF(Модель!B1048576="F3",INDEX(MatrixF3[],(Модель!A1048575-2+0.01)*100,(Модель!A1048576-3+0.02)*100), IF(Модель!B1048576="F4",INDEX(MatrixF4[],(Модель!A1048575-2+0.01)*100,(Модель!A1048576-3+0.02)*100), IF(Модель!B1048576="F5",INDEX(MatrixF5[],(Модель!A1048575-2+0.01)*100,(Модель!A1048576-3+0.02)*100),""))))))</definedName>
    <definedName name="Вычисление_3_1" localSheetId="4">IF(Модель!D1048575="F0",INDEX(MatrixF0[],(Модель!A1048575-3+0.01)*100,(Модель!A1048576-1+0.02)*100), IF(Модель!D1048575="F1",INDEX(MatrixF1[],(Модель!A1048575-3+0.01)*100,(Модель!A1048576-1+0.02)*100), IF(Модель!D1048575="F2",INDEX(MatrixF2[],(Модель!A1048575-3+0.01)*100,(Модель!A1048576-1+0.02)*100), IF(Модель!D1048575="F3",INDEX(MatrixF3[],(Модель!A1048575-3+0.01)*100,(Модель!A1048576-1+0.02)*100), IF(Модель!D1048575="F4",INDEX(MatrixF4[],(Модель!A1048575-3+0.01)*100,(Модель!A1048576-1+0.02)*100), IF(Модель!D1048575="F5",INDEX(MatrixF5[],(Модель!A1048575-3+0.01)*100,(Модель!A1048576-1+0.02)*100),""))))))</definedName>
    <definedName name="Вычисление_3_1" localSheetId="12">IF('Модель - Формы'!D1048575="F0",INDEX(MatrixF0[],('Модель - Формы'!A1048575-3+0.01)*100,('Модель - Формы'!A1048576-1+0.02)*100), IF('Модель - Формы'!D1048575="F1",INDEX(MatrixF1[],('Модель - Формы'!A1048575-3+0.01)*100,('Модель - Формы'!A1048576-1+0.02)*100), IF('Модель - Формы'!D1048575="F2",INDEX(MatrixF2[],('Модель - Формы'!A1048575-3+0.01)*100,('Модель - Формы'!A1048576-1+0.02)*100), IF('Модель - Формы'!D1048575="F3",INDEX(MatrixF3[],('Модель - Формы'!A1048575-3+0.01)*100,('Модель - Формы'!A1048576-1+0.02)*100), IF('Модель - Формы'!D1048575="F4",INDEX(MatrixF4[],('Модель - Формы'!A1048575-3+0.01)*100,('Модель - Формы'!A1048576-1+0.02)*100), IF('Модель - Формы'!D1048575="F5",INDEX(MatrixF5[],('Модель - Формы'!A1048575-3+0.01)*100,('Модель - Формы'!A1048576-1+0.02)*100),""))))))</definedName>
    <definedName name="Вычисление_3_1" localSheetId="1">IF(Модель!D1048575="F0",INDEX(MatrixF0[#Data],(Модель!A1048575-3+0.01)*100,(Модель!A1048576-1+0.02)*100), IF(Модель!D1048575="F1",INDEX(MatrixF1[#Data],(Модель!A1048575-3+0.01)*100,(Модель!A1048576-1+0.02)*100), IF(Модель!D1048575="F2",INDEX(MatrixF2[#Data],(Модель!A1048575-3+0.01)*100,(Модель!A1048576-1+0.02)*100), IF(Модель!D1048575="F3",INDEX(MatrixF3[#Data],(Модель!A1048575-3+0.01)*100,(Модель!A1048576-1+0.02)*100), IF(Модель!D1048575="F4",INDEX(MatrixF4[#Data],(Модель!A1048575-3+0.01)*100,(Модель!A1048576-1+0.02)*100), IF(Модель!D1048575="F5",INDEX(MatrixF5[#Data],(Модель!A1048575-3+0.01)*100,(Модель!A1048576-1+0.02)*100),""))))))</definedName>
    <definedName name="Вычисление_3_1" localSheetId="2">IF(Модель!D1048575="F0",INDEX(MatrixF0[],(Модель!A1048575-3+0.01)*100,(Модель!A1048576-1+0.02)*100), IF(Модель!D1048575="F1",INDEX(MatrixF1[],(Модель!A1048575-3+0.01)*100,(Модель!A1048576-1+0.02)*100), IF(Модель!D1048575="F2",INDEX(MatrixF2[],(Модель!A1048575-3+0.01)*100,(Модель!A1048576-1+0.02)*100), IF(Модель!D1048575="F3",INDEX(MatrixF3[],(Модель!A1048575-3+0.01)*100,(Модель!A1048576-1+0.02)*100), IF(Модель!D1048575="F4",INDEX(MatrixF4[],(Модель!A1048575-3+0.01)*100,(Модель!A1048576-1+0.02)*100), IF(Модель!D1048575="F5",INDEX(MatrixF5[],(Модель!A1048575-3+0.01)*100,(Модель!A1048576-1+0.02)*100),""))))))</definedName>
    <definedName name="Вычисление_3_1">IF(Модель!D1048575="F0",INDEX(MatrixF0[],(Модель!A1048575-3+0.01)*100,(Модель!A1048576-1+0.02)*100), IF(Модель!D1048575="F1",INDEX(MatrixF1[],(Модель!A1048575-3+0.01)*100,(Модель!A1048576-1+0.02)*100), IF(Модель!D1048575="F2",INDEX(MatrixF2[],(Модель!A1048575-3+0.01)*100,(Модель!A1048576-1+0.02)*100), IF(Модель!D1048575="F3",INDEX(MatrixF3[],(Модель!A1048575-3+0.01)*100,(Модель!A1048576-1+0.02)*100), IF(Модель!D1048575="F4",INDEX(MatrixF4[],(Модель!A1048575-3+0.01)*100,(Модель!A1048576-1+0.02)*100), IF(Модель!D1048575="F5",INDEX(MatrixF5[],(Модель!A1048575-3+0.01)*100,(Модель!A1048576-1+0.02)*100),""))))))</definedName>
    <definedName name="Вычисление_3_2" localSheetId="4">IF(Модель!C1048575="F0",INDEX(MatrixF0[],(Модель!A1048575-3+0.01)*100,(Модель!A1048576-2+0.02)*100), IF(Модель!C1048575="F1",INDEX(MatrixF1[],(Модель!A1048575-3+0.01)*100,(Модель!A1048576-2+0.02)*100), IF(Модель!C1048575="F2",INDEX(MatrixF2[],(Модель!A1048575-3+0.01)*100,(Модель!A1048576-2+0.02)*100), IF(Модель!C1048575="F3",INDEX(MatrixF3[],(Модель!A1048575-3+0.01)*100,(Модель!A1048576-2+0.02)*100), IF(Модель!C1048575="F4",INDEX(MatrixF4[],(Модель!A1048575-3+0.01)*100,(Модель!A1048576-2+0.02)*100), IF(Модель!C1048575="F5",INDEX(MatrixF5[],(Модель!A1048575-3+0.01)*100,(Модель!A1048576-2+0.02)*100),""))))))</definedName>
    <definedName name="Вычисление_3_2" localSheetId="12">IF('Модель - Формы'!C1048575="F0",INDEX(MatrixF0[],('Модель - Формы'!A1048575-3+0.01)*100,('Модель - Формы'!A1048576-2+0.02)*100), IF('Модель - Формы'!C1048575="F1",INDEX(MatrixF1[],('Модель - Формы'!A1048575-3+0.01)*100,('Модель - Формы'!A1048576-2+0.02)*100), IF('Модель - Формы'!C1048575="F2",INDEX(MatrixF2[],('Модель - Формы'!A1048575-3+0.01)*100,('Модель - Формы'!A1048576-2+0.02)*100), IF('Модель - Формы'!C1048575="F3",INDEX(MatrixF3[],('Модель - Формы'!A1048575-3+0.01)*100,('Модель - Формы'!A1048576-2+0.02)*100), IF('Модель - Формы'!C1048575="F4",INDEX(MatrixF4[],('Модель - Формы'!A1048575-3+0.01)*100,('Модель - Формы'!A1048576-2+0.02)*100), IF('Модель - Формы'!C1048575="F5",INDEX(MatrixF5[],('Модель - Формы'!A1048575-3+0.01)*100,('Модель - Формы'!A1048576-2+0.02)*100),""))))))</definedName>
    <definedName name="Вычисление_3_2" localSheetId="1">IF(Модель!C1048575="F0",INDEX(MatrixF0[#Data],(Модель!A1048575-3+0.01)*100,(Модель!A1048576-2+0.02)*100), IF(Модель!C1048575="F1",INDEX(MatrixF1[#Data],(Модель!A1048575-3+0.01)*100,(Модель!A1048576-2+0.02)*100), IF(Модель!C1048575="F2",INDEX(MatrixF2[#Data],(Модель!A1048575-3+0.01)*100,(Модель!A1048576-2+0.02)*100), IF(Модель!C1048575="F3",INDEX(MatrixF3[#Data],(Модель!A1048575-3+0.01)*100,(Модель!A1048576-2+0.02)*100), IF(Модель!C1048575="F4",INDEX(MatrixF4[#Data],(Модель!A1048575-3+0.01)*100,(Модель!A1048576-2+0.02)*100), IF(Модель!C1048575="F5",INDEX(MatrixF5[#Data],(Модель!A1048575-3+0.01)*100,(Модель!A1048576-2+0.02)*100),""))))))</definedName>
    <definedName name="Вычисление_3_2" localSheetId="2">IF(Модель!C1048575="F0",INDEX(MatrixF0[],(Модель!A1048575-3+0.01)*100,(Модель!A1048576-2+0.02)*100), IF(Модель!C1048575="F1",INDEX(MatrixF1[],(Модель!A1048575-3+0.01)*100,(Модель!A1048576-2+0.02)*100), IF(Модель!C1048575="F2",INDEX(MatrixF2[],(Модель!A1048575-3+0.01)*100,(Модель!A1048576-2+0.02)*100), IF(Модель!C1048575="F3",INDEX(MatrixF3[],(Модель!A1048575-3+0.01)*100,(Модель!A1048576-2+0.02)*100), IF(Модель!C1048575="F4",INDEX(MatrixF4[],(Модель!A1048575-3+0.01)*100,(Модель!A1048576-2+0.02)*100), IF(Модель!C1048575="F5",INDEX(MatrixF5[],(Модель!A1048575-3+0.01)*100,(Модель!A1048576-2+0.02)*100),""))))))</definedName>
    <definedName name="Вычисление_3_2">IF(Модель!C1048575="F0",INDEX(MatrixF0[],(Модель!A1048575-3+0.01)*100,(Модель!A1048576-2+0.02)*100), IF(Модель!C1048575="F1",INDEX(MatrixF1[],(Модель!A1048575-3+0.01)*100,(Модель!A1048576-2+0.02)*100), IF(Модель!C1048575="F2",INDEX(MatrixF2[],(Модель!A1048575-3+0.01)*100,(Модель!A1048576-2+0.02)*100), IF(Модель!C1048575="F3",INDEX(MatrixF3[],(Модель!A1048575-3+0.01)*100,(Модель!A1048576-2+0.02)*100), IF(Модель!C1048575="F4",INDEX(MatrixF4[],(Модель!A1048575-3+0.01)*100,(Модель!A1048576-2+0.02)*100), IF(Модель!C1048575="F5",INDEX(MatrixF5[],(Модель!A1048575-3+0.01)*100,(Модель!A1048576-2+0.02)*100),""))))))</definedName>
    <definedName name="Вычисление_3_3" localSheetId="4">IF(Модель!B1048575="F0",INDEX(MatrixF0[],(Модель!A1048575-3+0.01)*100,(Модель!A1048576-3+0.02)*100), IF(Модель!B1048575="F1",INDEX(MatrixF1[],(Модель!A1048575-3+0.01)*100,(Модель!A1048576-3+0.02)*100), IF(Модель!B1048575="F2",INDEX(MatrixF2[],(Модель!A1048575-3+0.01)*100,(Модель!A1048576-3+0.02)*100), IF(Модель!B1048575="F3",INDEX(MatrixF3[],(Модель!A1048575-3+0.01)*100,(Модель!A1048576-3+0.02)*100), IF(Модель!B1048575="F4",INDEX(MatrixF4[],(Модель!A1048575-3+0.01)*100,(Модель!A1048576-3+0.02)*100), IF(Модель!B1048575="F5",INDEX(MatrixF5[],(Модель!A1048575-3+0.01)*100,(Модель!A1048576-3+0.02)*100),""))))))</definedName>
    <definedName name="Вычисление_3_3" localSheetId="12">IF('Модель - Формы'!B1048575="F0",INDEX(MatrixF0[],('Модель - Формы'!A1048575-3+0.01)*100,('Модель - Формы'!A1048576-3+0.02)*100), IF('Модель - Формы'!B1048575="F1",INDEX(MatrixF1[],('Модель - Формы'!A1048575-3+0.01)*100,('Модель - Формы'!A1048576-3+0.02)*100), IF('Модель - Формы'!B1048575="F2",INDEX(MatrixF2[],('Модель - Формы'!A1048575-3+0.01)*100,('Модель - Формы'!A1048576-3+0.02)*100), IF('Модель - Формы'!B1048575="F3",INDEX(MatrixF3[],('Модель - Формы'!A1048575-3+0.01)*100,('Модель - Формы'!A1048576-3+0.02)*100), IF('Модель - Формы'!B1048575="F4",INDEX(MatrixF4[],('Модель - Формы'!A1048575-3+0.01)*100,('Модель - Формы'!A1048576-3+0.02)*100), IF('Модель - Формы'!B1048575="F5",INDEX(MatrixF5[],('Модель - Формы'!A1048575-3+0.01)*100,('Модель - Формы'!A1048576-3+0.02)*100),""))))))</definedName>
    <definedName name="Вычисление_3_3" localSheetId="1">IF(Модель!B1048575="F0",INDEX(MatrixF0[#Data],(Модель!A1048575-3+0.01)*100,(Модель!A1048576-3+0.02)*100), IF(Модель!B1048575="F1",INDEX(MatrixF1[#Data],(Модель!A1048575-3+0.01)*100,(Модель!A1048576-3+0.02)*100), IF(Модель!B1048575="F2",INDEX(MatrixF2[#Data],(Модель!A1048575-3+0.01)*100,(Модель!A1048576-3+0.02)*100), IF(Модель!B1048575="F3",INDEX(MatrixF3[#Data],(Модель!A1048575-3+0.01)*100,(Модель!A1048576-3+0.02)*100), IF(Модель!B1048575="F4",INDEX(MatrixF4[#Data],(Модель!A1048575-3+0.01)*100,(Модель!A1048576-3+0.02)*100), IF(Модель!B1048575="F5",INDEX(MatrixF5[#Data],(Модель!A1048575-3+0.01)*100,(Модель!A1048576-3+0.02)*100),""))))))</definedName>
    <definedName name="Вычисление_3_3" localSheetId="2">IF(Модель!B1048575="F0",INDEX(MatrixF0[],(Модель!A1048575-3+0.01)*100,(Модель!A1048576-3+0.02)*100), IF(Модель!B1048575="F1",INDEX(MatrixF1[],(Модель!A1048575-3+0.01)*100,(Модель!A1048576-3+0.02)*100), IF(Модель!B1048575="F2",INDEX(MatrixF2[],(Модель!A1048575-3+0.01)*100,(Модель!A1048576-3+0.02)*100), IF(Модель!B1048575="F3",INDEX(MatrixF3[],(Модель!A1048575-3+0.01)*100,(Модель!A1048576-3+0.02)*100), IF(Модель!B1048575="F4",INDEX(MatrixF4[],(Модель!A1048575-3+0.01)*100,(Модель!A1048576-3+0.02)*100), IF(Модель!B1048575="F5",INDEX(MatrixF5[],(Модель!A1048575-3+0.01)*100,(Модель!A1048576-3+0.02)*100),""))))))</definedName>
    <definedName name="Вычисление_3_3">IF(Модель!B1048575="F0",INDEX(MatrixF0[],(Модель!A1048575-3+0.01)*100,(Модель!A1048576-3+0.02)*100), IF(Модель!B1048575="F1",INDEX(MatrixF1[],(Модель!A1048575-3+0.01)*100,(Модель!A1048576-3+0.02)*100), IF(Модель!B1048575="F2",INDEX(MatrixF2[],(Модель!A1048575-3+0.01)*100,(Модель!A1048576-3+0.02)*100), IF(Модель!B1048575="F3",INDEX(MatrixF3[],(Модель!A1048575-3+0.01)*100,(Модель!A1048576-3+0.02)*100), IF(Модель!B1048575="F4",INDEX(MatrixF4[],(Модель!A1048575-3+0.01)*100,(Модель!A1048576-3+0.02)*100), IF(Модель!B1048575="F5",INDEX(MatrixF5[],(Модель!A1048575-3+0.01)*100,(Модель!A1048576-3+0.02)*100),""))))))</definedName>
    <definedName name="Изопрайса" localSheetId="12">IF('Модель - Формы'!XFB1="F5","Y",IF('Модель - Формы'!XFB1="F4","T",IF('Модель - Формы'!XFB1="F3","R",IF('Модель - Формы'!XFB1="F2","E",IF('Модель - Формы'!XFB1="F1","W",IF('Модель - Формы'!XFB1="F0","Q",""))))))</definedName>
    <definedName name="Изопрайса" localSheetId="1">IF(Модель!XFB1="F5","Y",IF(Модель!XFB1="F4","T",IF(Модель!XFB1="F3","R",IF(Модель!XFB1="F2","E",IF(Модель!XFB1="F1","W",IF(Модель!XFB1="F0","Q",""))))))</definedName>
    <definedName name="Изопрайса">IF(Модель!XFB1="F5","Y",IF(Модель!XFB1="F4","T",IF(Модель!XFB1="F3","R",IF(Модель!XFB1="F2","E",IF(Модель!XFB1="F1","W",IF(Модель!XFB1="F0","Q",""))))))</definedName>
    <definedName name="Матрица_Расчёт" localSheetId="1">IFERROR(IF(AND(ROUNDDOWN(Модель!A1048575,0)&gt;=1,ROUNDDOWN(Модель!A1048576,0)&gt;=1), IF(AND(ROUNDDOWN(Модель!A1048575,0)&lt;2,ROUNDDOWN(Модель!A1048576,0)&lt;2),Чувствительность!Вычисление_1_1, IF(AND(ROUNDDOWN(Модель!A1048575,0)&lt;2,ROUNDDOWN(Модель!A1048576,0)&lt;3),Чувствительность!Вычисление_1_2+VLOOKUP(Модель!D1,Длт[#Data],3,FALSE), IF(AND(ROUNDDOWN(Модель!A1048575,0)&lt;2,ROUNDDOWN(Модель!A1048576,0)&lt;=4),Чувствительность!Вычисление_1_3+VLOOKUP(Модель!D1,Длт[#Data],3,FALSE)+VLOOKUP(Модель!C1,Длт[#Data],3,FALSE), IF(AND(ROUNDDOWN(Модель!A1048575,0)&lt;3,ROUNDDOWN(Модель!A1048576,0)&lt;2),Чувствительность!Вычисление_2_1+VLOOKUP(Модель!D1,Длт[#Data],2,FALSE), IF(AND(ROUNDDOWN(Модель!A1048575,0)&lt;3,ROUNDDOWN(Модель!A1048576,0)&lt;3),Чувствительность!Вычисление_2_2+VLOOKUP(Модель!D1,Длт[#Data],4,FALSE), IF(AND(ROUNDDOWN(Модель!A1048575,0)&lt;3,ROUNDDOWN(Модель!A1048576,0)&lt;=4),Чувствительность!Вычисление_2_3+VLOOKUP(Модель!D1,Длт[#Data],4,FALSE)+VLOOKUP(Модель!C1048576,Длт[#Data],3,FALSE), IF(AND(ROUNDDOWN(Модель!A1048575,0)&lt;=4,ROUNDDOWN(Модель!A1048576,0)&lt;2),Чувствительность!Вычисление_3_1+VLOOKUP(Модель!D1,Длт[#Data],2,FALSE)+VLOOKUP(Модель!D1048576,Длт[#Data],2,FALSE), IF(AND(ROUNDDOWN(Модель!A1048575,0)&lt;=4,ROUNDDOWN(Модель!A1048576,0)&lt;3),Чувствительность!Вычисление_3_2+VLOOKUP(Модель!D1,Длт[#Data],2,FALSE)+VLOOKUP(Модель!D1048576,Длт[#Data],4,FALSE), IF(AND(ROUNDDOWN(Модель!A1048575,0)&lt;=4,ROUNDDOWN(Модель!A1048576,0)&lt;=4),Чувствительность!Вычисление_3_3+VLOOKUP(Модель!D1,Длт[#Data],4,FALSE)+VLOOKUP(Модель!C1048576,Длт[#Data],4,FALSE),"" ))))))))),""),)</definedName>
    <definedName name="Матрица_Расчёт">IFERROR(IF(AND(ROUNDDOWN(Модель!A1048575,0)&gt;=1,ROUNDDOWN(Модель!A1048576,0)&gt;=1), IF(AND(ROUNDDOWN(Модель!A1048575,0)&lt;2,ROUNDDOWN(Модель!A1048576,0)&lt;2),Вычисление_1_1, IF(AND(ROUNDDOWN(Модель!A1048575,0)&lt;2,ROUNDDOWN(Модель!A1048576,0)&lt;3),Вычисление_1_2+VLOOKUP(Модель!D1,Длт[],3,FALSE), IF(AND(ROUNDDOWN(Модель!A1048575,0)&lt;2,ROUNDDOWN(Модель!A1048576,0)&lt;=4),Вычисление_1_3+VLOOKUP(Модель!D1,Длт[],3,FALSE)+VLOOKUP(Модель!C1,Длт[],3,FALSE), IF(AND(ROUNDDOWN(Модель!A1048575,0)&lt;3,ROUNDDOWN(Модель!A1048576,0)&lt;2),Вычисление_2_1+VLOOKUP(Модель!D1,Длт[],2,FALSE), IF(AND(ROUNDDOWN(Модель!A1048575,0)&lt;3,ROUNDDOWN(Модель!A1048576,0)&lt;3),Вычисление_2_2+VLOOKUP(Модель!D1,Длт[],4,FALSE), IF(AND(ROUNDDOWN(Модель!A1048575,0)&lt;3,ROUNDDOWN(Модель!A1048576,0)&lt;=4),Вычисление_2_3+VLOOKUP(Модель!D1,Длт[],4,FALSE)+VLOOKUP(Модель!C1048576,Длт[],3,FALSE), IF(AND(ROUNDDOWN(Модель!A1048575,0)&lt;=4,ROUNDDOWN(Модель!A1048576,0)&lt;2),Вычисление_3_1+VLOOKUP(Модель!D1,Длт[],2,FALSE)+VLOOKUP(Модель!D1048576,Длт[],2,FALSE), IF(AND(ROUNDDOWN(Модель!A1048575,0)&lt;=4,ROUNDDOWN(Модель!A1048576,0)&lt;3),Вычисление_3_2+VLOOKUP(Модель!D1,Длт[],2,FALSE)+VLOOKUP(Модель!D1048576,Длт[],4,FALSE), IF(AND(ROUNDDOWN(Модель!A1048575,0)&lt;=4,ROUNDDOWN(Модель!A1048576,0)&lt;=4),Вычисление_3_3+VLOOKUP(Модель!D1,Длт[],4,FALSE)+VLOOKUP(Модель!C1048576,Длт[],4,FALSE),"" ))))))))),""),)</definedName>
    <definedName name="Приведение" localSheetId="12">IFERROR(IF(AND(Модель!A2&lt;=MAX(Модель!XFB2:XFD2),Модель!A2&gt;=MIN(Модель!XFB2:XFD2)), IF(Модель!XFC2&lt;=MAX(Модель!XFB2,Модель!XFD2), IF(OR(Модель!XFB1048576="Прямая",Модель!XFB1048576="Обратная"),((Модель!A2-Модель!XFB2)*(Модель!XFD1-Модель!XFB1)/(Модель!XFD2-Модель!XFB2))+Модель!XFB1,IF(MIN(Модель!XFB2:XFD2)=Модель!XFB2, IF((Модель!A2)&lt;=Модель!XFC2,((Модель!A2-Модель!XFB2)*(Модель!XFC1-Модель!XFB1)/(Модель!XFC2-Модель!XFB2))+Модель!XFB1,((Модель!A2-Модель!XFC2)*(Модель!XFD1-Модель!XFC1)/(Модель!XFD2-Модель!XFC2))+Модель!XFC1), IF(MIN(Модель!XFB2:XFD2)=Модель!XFD2,IF((+Модель!A2)&lt;=Модель!XFC2,((Модель!A2-Модель!XFC2)*(Модель!XFD1-Модель!XFC1)/(Модель!XFD2-Модель!XFC2))+Модель!XFC1,((Модель!A2-Модель!XFB2)*(Модель!XFC1-Модель!XFB1)/(Модель!XFC2-Модель!XFB2))+Модель!XFB1),"!!!"))),"!!!"),"!!!"),"!!!")</definedName>
    <definedName name="Приведение" localSheetId="1">IFERROR(IF(AND(Модель!A2&lt;=MAX(Модель!XFB2:XFD2),Модель!A2&gt;=MIN(Модель!XFB2:XFD2)), IF(Модель!XFC2&lt;=MAX(Модель!XFB2,Модель!XFD2), IF(OR(Модель!XFB1048576="Прямая",Модель!XFB1048576="Обратная"),((Модель!A2-Модель!XFB2)*(Модель!XFD1-Модель!XFB1)/(Модель!XFD2-Модель!XFB2))+Модель!XFB1,IF(MIN(Модель!XFB2:XFD2)=Модель!XFB2, IF((Модель!A2)&lt;=Модель!XFC2,((Модель!A2-Модель!XFB2)*(Модель!XFC1-Модель!XFB1)/(Модель!XFC2-Модель!XFB2))+Модель!XFB1,((Модель!A2-Модель!XFC2)*(Модель!XFD1-Модель!XFC1)/(Модель!XFD2-Модель!XFC2))+Модель!XFC1), IF(MIN(Модель!XFB2:XFD2)=Модель!XFD2,IF((+Модель!A2)&lt;=Модель!XFC2,((Модель!A2-Модель!XFC2)*(Модель!XFD1-Модель!XFC1)/(Модель!XFD2-Модель!XFC2))+Модель!XFC1,((Модель!A2-Модель!XFB2)*(Модель!XFC1-Модель!XFB1)/(Модель!XFC2-Модель!XFB2))+Модель!XFB1),"!!!"))),"!!!"),"!!!"),"!!!")</definedName>
    <definedName name="Приведение">IFERROR(IF(AND(Модель!A2&lt;=MAX(Модель!XFB2:XFD2),Модель!A2&gt;=MIN(Модель!XFB2:XFD2)), IF(OR(Модель!XFB1048576="Прямая",Модель!XFB1048576="Обратная"),((Модель!A2-Модель!XFB2)*(Модель!XFD1-Модель!XFB1)/(Модель!XFD2-Модель!XFB2))+Модель!XFB1,IF(Модель!XFC2&lt;=MAX(Модель!XFB2,Модель!XFD2), IF(MIN(Модель!XFB2:XFD2)=Модель!XFB2, IF((Модель!A2)&lt;=Модель!XFC2,((Модель!A2-Модель!XFB2)*(Модель!XFC1-Модель!XFB1)/(Модель!XFC2-Модель!XFB2))+Модель!XFB1,((Модель!A2-Модель!XFC2)*(Модель!XFD1-Модель!XFC1)/(Модель!XFD2-Модель!XFC2))+Модель!XFC1), IF(MIN(Модель!XFB2:XFD2)=Модель!XFD2,IF((+Модель!A2)&lt;=Модель!XFC2,((Модель!A2-Модель!XFC2)*(Модель!XFD1-Модель!XFC1)/(Модель!XFD2-Модель!XFC2))+Модель!XFC1,((Модель!A2-Модель!XFB2)*(Модель!XFC1-Модель!XFB1)/(Модель!XFC2-Модель!XFB2))+Модель!XFB1),"!!!")),"!!!")),"!!!"),"!!!")</definedName>
    <definedName name="Проба" localSheetId="12">'Модель - Формы'!B2*3</definedName>
    <definedName name="Проба" localSheetId="1">Модель!B2*3</definedName>
    <definedName name="Проба">Модель!B2*3</definedName>
    <definedName name="Ссылка_на_лист_Множество_Критерий">INDIRECT("Критерий[№]")</definedName>
    <definedName name="Фантом" localSheetId="1">IFERROR(IF(Ячейка_Т&lt;&gt;1,((Ячейка_Т-1)*Чувствительность!Ячейка_min+(Чувствительность!Ячейка_макс-(Ячейка_Т-1))*Чувствительность!Ячейка_max)/Чувствительность!Ячейка_макс,""),"")</definedName>
    <definedName name="Фантом">IFERROR(IF(Ячейка_Т&lt;&gt;1,((Ячейка_Т-1)*Ячейка_min+(Ячейка_макс-(Ячейка_Т-1))*Ячейка_max)/Ячейка_макс,""),"")</definedName>
    <definedName name="Ячейка_max" localSheetId="1">INDIRECT(ADDRESS(ROW()-Ячейка_Т-1,COLUMN()+1))</definedName>
    <definedName name="Ячейка_max">INDIRECT(ADDRESS(ROW()-Ячейка_Т-1,COLUMN()+1))</definedName>
    <definedName name="Ячейка_min" localSheetId="1">INDIRECT(ADDRESS(ROW()-Ячейка_Т-1,COLUMN()-1))</definedName>
    <definedName name="Ячейка_min">INDIRECT(ADDRESS(ROW()-Ячейка_Т-1,COLUMN()-1))</definedName>
    <definedName name="Ячейка_макс" localSheetId="1">INDIRECT(ADDRESS(ROW()-Ячейка_Т-1,COLUMN()))</definedName>
    <definedName name="Ячейка_макс">INDIRECT(ADDRESS(ROW()-Ячейка_Т-1,COLUMN()))</definedName>
    <definedName name="Ячейка_Т">INDIRECT(ADDRESS(ROW(),COLUMN()-1))</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X2" i="122" l="1"/>
  <c r="AB2" i="122"/>
  <c r="AB3" i="122"/>
  <c r="AB4" i="122"/>
  <c r="AC4" i="122" s="1"/>
  <c r="AB5" i="122"/>
  <c r="AB6" i="122"/>
  <c r="AB7" i="122"/>
  <c r="AB8" i="122"/>
  <c r="AC8" i="122" s="1"/>
  <c r="AB9" i="122"/>
  <c r="AB10" i="122"/>
  <c r="AB11" i="122"/>
  <c r="AB12" i="122"/>
  <c r="AC12" i="122" s="1"/>
  <c r="AB13" i="122"/>
  <c r="AB14" i="122"/>
  <c r="AB15" i="122"/>
  <c r="AB16" i="122"/>
  <c r="AC16" i="122" s="1"/>
  <c r="AB17" i="122"/>
  <c r="AB18" i="122"/>
  <c r="AB19" i="122"/>
  <c r="AB20" i="122"/>
  <c r="AC20" i="122" s="1"/>
  <c r="AB21" i="122"/>
  <c r="AB22" i="122"/>
  <c r="AB23" i="122"/>
  <c r="AB24" i="122"/>
  <c r="AB25" i="122"/>
  <c r="AB26" i="122"/>
  <c r="AB27" i="122"/>
  <c r="AB28" i="122"/>
  <c r="AC28" i="122" s="1"/>
  <c r="AB29" i="122"/>
  <c r="AB30" i="122"/>
  <c r="AB31" i="122"/>
  <c r="AB32" i="122"/>
  <c r="AC32" i="122" s="1"/>
  <c r="AB33" i="122"/>
  <c r="AB34" i="122"/>
  <c r="AB35" i="122"/>
  <c r="AB36" i="122"/>
  <c r="AC36" i="122" s="1"/>
  <c r="AB37" i="122"/>
  <c r="AB38" i="122"/>
  <c r="AB39" i="122"/>
  <c r="AB40" i="122"/>
  <c r="AC40" i="122" s="1"/>
  <c r="AB41" i="122"/>
  <c r="AB42" i="122"/>
  <c r="AB43" i="122"/>
  <c r="AB44" i="122"/>
  <c r="AC44" i="122" s="1"/>
  <c r="AB45" i="122"/>
  <c r="AB46" i="122"/>
  <c r="AB47" i="122"/>
  <c r="AB48" i="122"/>
  <c r="AC48" i="122" s="1"/>
  <c r="AB49" i="122"/>
  <c r="AB50" i="122"/>
  <c r="AB51" i="122"/>
  <c r="AB52" i="122"/>
  <c r="AB53" i="122"/>
  <c r="AB54" i="122"/>
  <c r="AB55" i="122"/>
  <c r="AB56" i="122"/>
  <c r="AC56" i="122" s="1"/>
  <c r="AB57" i="122"/>
  <c r="AB58" i="122"/>
  <c r="AB59" i="122"/>
  <c r="AB60" i="122"/>
  <c r="AB61" i="122"/>
  <c r="AB62" i="122"/>
  <c r="AB63" i="122"/>
  <c r="AB64" i="122"/>
  <c r="AC64" i="122" s="1"/>
  <c r="AB65" i="122"/>
  <c r="AB66" i="122"/>
  <c r="AB67" i="122"/>
  <c r="AB68" i="122"/>
  <c r="AC68" i="122" s="1"/>
  <c r="AB69" i="122"/>
  <c r="AB70" i="122"/>
  <c r="AB71" i="122"/>
  <c r="AB72" i="122"/>
  <c r="AC72" i="122" s="1"/>
  <c r="AB73" i="122"/>
  <c r="AB74" i="122"/>
  <c r="AB75" i="122"/>
  <c r="AB76" i="122"/>
  <c r="AC76" i="122" s="1"/>
  <c r="AB77" i="122"/>
  <c r="AB78" i="122"/>
  <c r="AB79" i="122"/>
  <c r="AB80" i="122"/>
  <c r="AB81" i="122"/>
  <c r="AB82" i="122"/>
  <c r="AB83" i="122"/>
  <c r="AB84" i="122"/>
  <c r="AC84" i="122" s="1"/>
  <c r="AB85" i="122"/>
  <c r="AB86" i="122"/>
  <c r="AB87" i="122"/>
  <c r="AB88" i="122"/>
  <c r="AC88" i="122" s="1"/>
  <c r="AB89" i="122"/>
  <c r="AB90" i="122"/>
  <c r="AB91" i="122"/>
  <c r="AB92" i="122"/>
  <c r="AB93" i="122"/>
  <c r="AB94" i="122"/>
  <c r="AB95" i="122"/>
  <c r="AB96" i="122"/>
  <c r="AC96" i="122" s="1"/>
  <c r="AB97" i="122"/>
  <c r="AB98" i="122"/>
  <c r="AB99" i="122"/>
  <c r="AB100" i="122"/>
  <c r="AC100" i="122" s="1"/>
  <c r="AB101" i="122"/>
  <c r="AB102" i="122"/>
  <c r="AB103" i="122"/>
  <c r="AB104" i="122"/>
  <c r="AC104" i="122" s="1"/>
  <c r="AB105" i="122"/>
  <c r="AB106" i="122"/>
  <c r="AB107" i="122"/>
  <c r="AB108" i="122"/>
  <c r="AC108" i="122" s="1"/>
  <c r="AB109" i="122"/>
  <c r="AB110" i="122"/>
  <c r="AB111" i="122"/>
  <c r="AB112" i="122"/>
  <c r="AB113" i="122"/>
  <c r="AB114" i="122"/>
  <c r="AB115" i="122"/>
  <c r="AB116" i="122"/>
  <c r="AC116" i="122" s="1"/>
  <c r="AB117" i="122"/>
  <c r="AB118" i="122"/>
  <c r="AB119" i="122"/>
  <c r="AB120" i="122"/>
  <c r="AC120" i="122" s="1"/>
  <c r="AB121" i="122"/>
  <c r="AB122" i="122"/>
  <c r="AB123" i="122"/>
  <c r="AB124" i="122"/>
  <c r="AB125" i="122"/>
  <c r="AB126" i="122"/>
  <c r="AB127" i="122"/>
  <c r="AB128" i="122"/>
  <c r="AC128" i="122" s="1"/>
  <c r="AB129" i="122"/>
  <c r="AB130" i="122"/>
  <c r="AB131" i="122"/>
  <c r="AB132" i="122"/>
  <c r="AC132" i="122" s="1"/>
  <c r="AB133" i="122"/>
  <c r="AB134" i="122"/>
  <c r="AB135" i="122"/>
  <c r="AB136" i="122"/>
  <c r="AC136" i="122" s="1"/>
  <c r="AB137" i="122"/>
  <c r="AB138" i="122"/>
  <c r="AB139" i="122"/>
  <c r="AB140" i="122"/>
  <c r="AC140" i="122" s="1"/>
  <c r="AB141" i="122"/>
  <c r="AB142" i="122"/>
  <c r="AB143" i="122"/>
  <c r="AB144" i="122"/>
  <c r="AB145" i="122"/>
  <c r="AB146" i="122"/>
  <c r="AB147" i="122"/>
  <c r="AB148" i="122"/>
  <c r="AC148" i="122" s="1"/>
  <c r="AB149" i="122"/>
  <c r="AB150" i="122"/>
  <c r="AB151" i="122"/>
  <c r="AB152" i="122"/>
  <c r="AC152" i="122" s="1"/>
  <c r="AB153" i="122"/>
  <c r="AB154" i="122"/>
  <c r="AB155" i="122"/>
  <c r="AB156" i="122"/>
  <c r="AB157" i="122"/>
  <c r="AB158" i="122"/>
  <c r="AB159" i="122"/>
  <c r="AB160" i="122"/>
  <c r="AC160" i="122" s="1"/>
  <c r="AB161" i="122"/>
  <c r="AB162" i="122"/>
  <c r="AB163" i="122"/>
  <c r="AB164" i="122"/>
  <c r="AC164" i="122" s="1"/>
  <c r="AB165" i="122"/>
  <c r="AB166" i="122"/>
  <c r="AB167" i="122"/>
  <c r="AB168" i="122"/>
  <c r="AC168" i="122" s="1"/>
  <c r="AB169" i="122"/>
  <c r="AB170" i="122"/>
  <c r="AB171" i="122"/>
  <c r="AB172" i="122"/>
  <c r="AC172" i="122" s="1"/>
  <c r="AB173" i="122"/>
  <c r="AB174" i="122"/>
  <c r="AB175" i="122"/>
  <c r="AB176" i="122"/>
  <c r="AB177" i="122"/>
  <c r="AB178" i="122"/>
  <c r="AB179" i="122"/>
  <c r="AB180" i="122"/>
  <c r="AC180" i="122" s="1"/>
  <c r="AB181" i="122"/>
  <c r="AB182" i="122"/>
  <c r="AB183" i="122"/>
  <c r="AB184" i="122"/>
  <c r="AC184" i="122" s="1"/>
  <c r="AB185" i="122"/>
  <c r="AB186" i="122"/>
  <c r="AB187" i="122"/>
  <c r="AB188" i="122"/>
  <c r="AB189" i="122"/>
  <c r="AB190" i="122"/>
  <c r="AB191" i="122"/>
  <c r="AB192" i="122"/>
  <c r="AC192" i="122" s="1"/>
  <c r="AB193" i="122"/>
  <c r="AB194" i="122"/>
  <c r="AB195" i="122"/>
  <c r="AB196" i="122"/>
  <c r="AC196" i="122" s="1"/>
  <c r="AB197" i="122"/>
  <c r="AB198" i="122"/>
  <c r="AB199" i="122"/>
  <c r="AB200" i="122"/>
  <c r="AC200" i="122" s="1"/>
  <c r="AB201" i="122"/>
  <c r="AB202" i="122"/>
  <c r="AB203" i="122"/>
  <c r="AB204" i="122"/>
  <c r="AC204" i="122" s="1"/>
  <c r="AB205" i="122"/>
  <c r="AB206" i="122"/>
  <c r="AB207" i="122"/>
  <c r="AB208" i="122"/>
  <c r="AB209" i="122"/>
  <c r="AB210" i="122"/>
  <c r="AB211" i="122"/>
  <c r="AB212" i="122"/>
  <c r="AC212" i="122" s="1"/>
  <c r="AB213" i="122"/>
  <c r="AB214" i="122"/>
  <c r="AB215" i="122"/>
  <c r="AB216" i="122"/>
  <c r="AC216" i="122" s="1"/>
  <c r="AB217" i="122"/>
  <c r="AB218" i="122"/>
  <c r="AB219" i="122"/>
  <c r="AB220" i="122"/>
  <c r="AB221" i="122"/>
  <c r="AB222" i="122"/>
  <c r="AB223" i="122"/>
  <c r="AB224" i="122"/>
  <c r="AC224" i="122" s="1"/>
  <c r="AB225" i="122"/>
  <c r="AB226" i="122"/>
  <c r="AB227" i="122"/>
  <c r="AB228" i="122"/>
  <c r="AC228" i="122" s="1"/>
  <c r="AB229" i="122"/>
  <c r="AB230" i="122"/>
  <c r="AB231" i="122"/>
  <c r="AB232" i="122"/>
  <c r="AC232" i="122" s="1"/>
  <c r="AB233" i="122"/>
  <c r="AB234" i="122"/>
  <c r="AB235" i="122"/>
  <c r="AB236" i="122"/>
  <c r="AC236" i="122" s="1"/>
  <c r="AB237" i="122"/>
  <c r="AB238" i="122"/>
  <c r="AB239" i="122"/>
  <c r="AB240" i="122"/>
  <c r="AB241" i="122"/>
  <c r="AB242" i="122"/>
  <c r="AB243" i="122"/>
  <c r="AB244" i="122"/>
  <c r="AC244" i="122" s="1"/>
  <c r="AB245" i="122"/>
  <c r="AB246" i="122"/>
  <c r="AB247" i="122"/>
  <c r="AB248" i="122"/>
  <c r="AC248" i="122" s="1"/>
  <c r="AB249" i="122"/>
  <c r="AB250" i="122"/>
  <c r="AB251" i="122"/>
  <c r="AB252" i="122"/>
  <c r="AB253" i="122"/>
  <c r="AB254" i="122"/>
  <c r="AB255" i="122"/>
  <c r="AB256" i="122"/>
  <c r="AC256" i="122" s="1"/>
  <c r="AB257" i="122"/>
  <c r="AB258" i="122"/>
  <c r="AB259" i="122"/>
  <c r="AB260" i="122"/>
  <c r="AC260" i="122" s="1"/>
  <c r="AB261" i="122"/>
  <c r="AB262" i="122"/>
  <c r="AB263" i="122"/>
  <c r="AB264" i="122"/>
  <c r="AC264" i="122" s="1"/>
  <c r="AB265" i="122"/>
  <c r="AB266" i="122"/>
  <c r="AB267" i="122"/>
  <c r="AB268" i="122"/>
  <c r="AC268" i="122" s="1"/>
  <c r="AB269" i="122"/>
  <c r="AB270" i="122"/>
  <c r="AB271" i="122"/>
  <c r="AB272" i="122"/>
  <c r="AB273" i="122"/>
  <c r="AB274" i="122"/>
  <c r="AB275" i="122"/>
  <c r="AB276" i="122"/>
  <c r="AC276" i="122" s="1"/>
  <c r="AB277" i="122"/>
  <c r="AB278" i="122"/>
  <c r="AB279" i="122"/>
  <c r="AB280" i="122"/>
  <c r="AC280" i="122" s="1"/>
  <c r="AB281" i="122"/>
  <c r="AB282" i="122"/>
  <c r="AB283" i="122"/>
  <c r="AB284" i="122"/>
  <c r="AB285" i="122"/>
  <c r="AB286" i="122"/>
  <c r="AB287" i="122"/>
  <c r="AB288" i="122"/>
  <c r="AC288" i="122" s="1"/>
  <c r="AB289" i="122"/>
  <c r="AB290" i="122"/>
  <c r="AB291" i="122"/>
  <c r="AB292" i="122"/>
  <c r="AC292" i="122" s="1"/>
  <c r="AB293" i="122"/>
  <c r="AB294" i="122"/>
  <c r="AB295" i="122"/>
  <c r="AB296" i="122"/>
  <c r="AC296" i="122" s="1"/>
  <c r="AB297" i="122"/>
  <c r="AB298" i="122"/>
  <c r="AB299" i="122"/>
  <c r="AB300" i="122"/>
  <c r="AC300" i="122" s="1"/>
  <c r="AB301" i="122"/>
  <c r="AB302" i="122"/>
  <c r="AB303" i="122"/>
  <c r="AB304" i="122"/>
  <c r="AB305" i="122"/>
  <c r="AB306" i="122"/>
  <c r="AB307" i="122"/>
  <c r="AB308" i="122"/>
  <c r="AC308" i="122" s="1"/>
  <c r="AB309" i="122"/>
  <c r="AB310" i="122"/>
  <c r="AB311" i="122"/>
  <c r="AB312" i="122"/>
  <c r="AB313" i="122"/>
  <c r="AB314" i="122"/>
  <c r="AB315" i="122"/>
  <c r="AB316" i="122"/>
  <c r="AC316" i="122" s="1"/>
  <c r="AB317" i="122"/>
  <c r="AB318" i="122"/>
  <c r="AB319" i="122"/>
  <c r="AB320" i="122"/>
  <c r="AB321" i="122"/>
  <c r="AB322" i="122"/>
  <c r="AB323" i="122"/>
  <c r="AB324" i="122"/>
  <c r="AC324" i="122" s="1"/>
  <c r="AB325" i="122"/>
  <c r="AB326" i="122"/>
  <c r="AB327" i="122"/>
  <c r="AB328" i="122"/>
  <c r="AB329" i="122"/>
  <c r="AB330" i="122"/>
  <c r="AB331" i="122"/>
  <c r="AB332" i="122"/>
  <c r="AC332" i="122" s="1"/>
  <c r="AB333" i="122"/>
  <c r="AB334" i="122"/>
  <c r="AB335" i="122"/>
  <c r="AB336" i="122"/>
  <c r="AB337" i="122"/>
  <c r="AB338" i="122"/>
  <c r="AB339" i="122"/>
  <c r="AB340" i="122"/>
  <c r="AC340" i="122" s="1"/>
  <c r="AB341" i="122"/>
  <c r="AB342" i="122"/>
  <c r="AB343" i="122"/>
  <c r="AB344" i="122"/>
  <c r="AB345" i="122"/>
  <c r="AB346" i="122"/>
  <c r="AB347" i="122"/>
  <c r="AB348" i="122"/>
  <c r="AC348" i="122" s="1"/>
  <c r="AB349" i="122"/>
  <c r="AB350" i="122"/>
  <c r="AA2" i="122"/>
  <c r="AA3" i="122"/>
  <c r="AA4" i="122"/>
  <c r="AA5" i="122"/>
  <c r="AA6" i="122"/>
  <c r="AC6" i="122" s="1"/>
  <c r="AA7" i="122"/>
  <c r="AC7" i="122" s="1"/>
  <c r="AA8" i="122"/>
  <c r="AA9" i="122"/>
  <c r="AA10" i="122"/>
  <c r="AA11" i="122"/>
  <c r="AC11" i="122" s="1"/>
  <c r="AA12" i="122"/>
  <c r="AA13" i="122"/>
  <c r="AA14" i="122"/>
  <c r="AC14" i="122" s="1"/>
  <c r="AA15" i="122"/>
  <c r="AC15" i="122" s="1"/>
  <c r="AA16" i="122"/>
  <c r="AA17" i="122"/>
  <c r="AA18" i="122"/>
  <c r="AA19" i="122"/>
  <c r="AC19" i="122" s="1"/>
  <c r="AA20" i="122"/>
  <c r="AA21" i="122"/>
  <c r="AA22" i="122"/>
  <c r="AC22" i="122" s="1"/>
  <c r="AA23" i="122"/>
  <c r="AC23" i="122" s="1"/>
  <c r="AA24" i="122"/>
  <c r="AA25" i="122"/>
  <c r="AA26" i="122"/>
  <c r="AC26" i="122" s="1"/>
  <c r="AA27" i="122"/>
  <c r="AC27" i="122" s="1"/>
  <c r="AA28" i="122"/>
  <c r="AA29" i="122"/>
  <c r="AA30" i="122"/>
  <c r="AA31" i="122"/>
  <c r="AA32" i="122"/>
  <c r="AA33" i="122"/>
  <c r="AA34" i="122"/>
  <c r="AC34" i="122" s="1"/>
  <c r="AA35" i="122"/>
  <c r="AC35" i="122" s="1"/>
  <c r="AA36" i="122"/>
  <c r="AA37" i="122"/>
  <c r="AA38" i="122"/>
  <c r="AC38" i="122" s="1"/>
  <c r="AA39" i="122"/>
  <c r="AA40" i="122"/>
  <c r="AA41" i="122"/>
  <c r="AA42" i="122"/>
  <c r="AC42" i="122" s="1"/>
  <c r="AA43" i="122"/>
  <c r="AC43" i="122" s="1"/>
  <c r="AA44" i="122"/>
  <c r="AA45" i="122"/>
  <c r="AA46" i="122"/>
  <c r="AA47" i="122"/>
  <c r="AC47" i="122" s="1"/>
  <c r="AA48" i="122"/>
  <c r="AA49" i="122"/>
  <c r="AA50" i="122"/>
  <c r="AC50" i="122" s="1"/>
  <c r="AA51" i="122"/>
  <c r="AC51" i="122" s="1"/>
  <c r="AA52" i="122"/>
  <c r="AA53" i="122"/>
  <c r="AA54" i="122"/>
  <c r="AC54" i="122" s="1"/>
  <c r="AA55" i="122"/>
  <c r="AC55" i="122" s="1"/>
  <c r="AA56" i="122"/>
  <c r="AA57" i="122"/>
  <c r="AA58" i="122"/>
  <c r="AA59" i="122"/>
  <c r="AC59" i="122" s="1"/>
  <c r="AA60" i="122"/>
  <c r="AA61" i="122"/>
  <c r="AA62" i="122"/>
  <c r="AC62" i="122" s="1"/>
  <c r="AA63" i="122"/>
  <c r="AA64" i="122"/>
  <c r="AA65" i="122"/>
  <c r="AA66" i="122"/>
  <c r="AC66" i="122" s="1"/>
  <c r="AA67" i="122"/>
  <c r="AA68" i="122"/>
  <c r="AA69" i="122"/>
  <c r="AA70" i="122"/>
  <c r="AA71" i="122"/>
  <c r="AA72" i="122"/>
  <c r="AA73" i="122"/>
  <c r="AA74" i="122"/>
  <c r="AC74" i="122" s="1"/>
  <c r="AA75" i="122"/>
  <c r="AA76" i="122"/>
  <c r="AA77" i="122"/>
  <c r="AA78" i="122"/>
  <c r="AA79" i="122"/>
  <c r="AA80" i="122"/>
  <c r="AA81" i="122"/>
  <c r="AA82" i="122"/>
  <c r="AC82" i="122" s="1"/>
  <c r="AA83" i="122"/>
  <c r="AA84" i="122"/>
  <c r="AA85" i="122"/>
  <c r="AA86" i="122"/>
  <c r="AC86" i="122" s="1"/>
  <c r="AA87" i="122"/>
  <c r="AA88" i="122"/>
  <c r="AA89" i="122"/>
  <c r="AA90" i="122"/>
  <c r="AC90" i="122" s="1"/>
  <c r="AA91" i="122"/>
  <c r="AA92" i="122"/>
  <c r="AA93" i="122"/>
  <c r="AA94" i="122"/>
  <c r="AC94" i="122" s="1"/>
  <c r="AA95" i="122"/>
  <c r="AA96" i="122"/>
  <c r="AA97" i="122"/>
  <c r="AA98" i="122"/>
  <c r="AC98" i="122" s="1"/>
  <c r="AA99" i="122"/>
  <c r="AA100" i="122"/>
  <c r="AA101" i="122"/>
  <c r="AA102" i="122"/>
  <c r="AA103" i="122"/>
  <c r="AA104" i="122"/>
  <c r="AA105" i="122"/>
  <c r="AA106" i="122"/>
  <c r="AC106" i="122" s="1"/>
  <c r="AA107" i="122"/>
  <c r="AA108" i="122"/>
  <c r="AA109" i="122"/>
  <c r="AA110" i="122"/>
  <c r="AA111" i="122"/>
  <c r="AA112" i="122"/>
  <c r="AA113" i="122"/>
  <c r="AA114" i="122"/>
  <c r="AC114" i="122" s="1"/>
  <c r="AA115" i="122"/>
  <c r="AA116" i="122"/>
  <c r="AA117" i="122"/>
  <c r="AA118" i="122"/>
  <c r="AC118" i="122" s="1"/>
  <c r="AA119" i="122"/>
  <c r="AA120" i="122"/>
  <c r="AA121" i="122"/>
  <c r="AA122" i="122"/>
  <c r="AC122" i="122" s="1"/>
  <c r="AA123" i="122"/>
  <c r="AA124" i="122"/>
  <c r="AA125" i="122"/>
  <c r="AA126" i="122"/>
  <c r="AC126" i="122" s="1"/>
  <c r="AA127" i="122"/>
  <c r="AA128" i="122"/>
  <c r="AA129" i="122"/>
  <c r="AA130" i="122"/>
  <c r="AC130" i="122" s="1"/>
  <c r="AA131" i="122"/>
  <c r="AA132" i="122"/>
  <c r="AA133" i="122"/>
  <c r="AA134" i="122"/>
  <c r="AA135" i="122"/>
  <c r="AA136" i="122"/>
  <c r="AA137" i="122"/>
  <c r="AA138" i="122"/>
  <c r="AC138" i="122" s="1"/>
  <c r="AA139" i="122"/>
  <c r="AA140" i="122"/>
  <c r="AA141" i="122"/>
  <c r="AA142" i="122"/>
  <c r="AA143" i="122"/>
  <c r="AA144" i="122"/>
  <c r="AA145" i="122"/>
  <c r="AA146" i="122"/>
  <c r="AC146" i="122" s="1"/>
  <c r="AA147" i="122"/>
  <c r="AA148" i="122"/>
  <c r="AA149" i="122"/>
  <c r="AA150" i="122"/>
  <c r="AC150" i="122" s="1"/>
  <c r="AA151" i="122"/>
  <c r="AA152" i="122"/>
  <c r="AA153" i="122"/>
  <c r="AA154" i="122"/>
  <c r="AC154" i="122" s="1"/>
  <c r="AA155" i="122"/>
  <c r="AA156" i="122"/>
  <c r="AA157" i="122"/>
  <c r="AA158" i="122"/>
  <c r="AC158" i="122" s="1"/>
  <c r="AA159" i="122"/>
  <c r="AA160" i="122"/>
  <c r="AA161" i="122"/>
  <c r="AA162" i="122"/>
  <c r="AC162" i="122" s="1"/>
  <c r="AA163" i="122"/>
  <c r="AA164" i="122"/>
  <c r="AA165" i="122"/>
  <c r="AA166" i="122"/>
  <c r="AA167" i="122"/>
  <c r="AA168" i="122"/>
  <c r="AA169" i="122"/>
  <c r="AA170" i="122"/>
  <c r="AC170" i="122" s="1"/>
  <c r="AA171" i="122"/>
  <c r="AA172" i="122"/>
  <c r="AA173" i="122"/>
  <c r="AA174" i="122"/>
  <c r="AA175" i="122"/>
  <c r="AA176" i="122"/>
  <c r="AA177" i="122"/>
  <c r="AA178" i="122"/>
  <c r="AC178" i="122" s="1"/>
  <c r="AA179" i="122"/>
  <c r="AA180" i="122"/>
  <c r="AA181" i="122"/>
  <c r="AA182" i="122"/>
  <c r="AC182" i="122" s="1"/>
  <c r="AA183" i="122"/>
  <c r="AA184" i="122"/>
  <c r="AA185" i="122"/>
  <c r="AA186" i="122"/>
  <c r="AC186" i="122" s="1"/>
  <c r="AA187" i="122"/>
  <c r="AA188" i="122"/>
  <c r="AA189" i="122"/>
  <c r="AA190" i="122"/>
  <c r="AC190" i="122" s="1"/>
  <c r="AA191" i="122"/>
  <c r="AA192" i="122"/>
  <c r="AA193" i="122"/>
  <c r="AA194" i="122"/>
  <c r="AC194" i="122" s="1"/>
  <c r="AA195" i="122"/>
  <c r="AA196" i="122"/>
  <c r="AA197" i="122"/>
  <c r="AA198" i="122"/>
  <c r="AA199" i="122"/>
  <c r="AA200" i="122"/>
  <c r="AA201" i="122"/>
  <c r="AA202" i="122"/>
  <c r="AC202" i="122" s="1"/>
  <c r="AA203" i="122"/>
  <c r="AA204" i="122"/>
  <c r="AA205" i="122"/>
  <c r="AA206" i="122"/>
  <c r="AA207" i="122"/>
  <c r="AA208" i="122"/>
  <c r="AA209" i="122"/>
  <c r="AA210" i="122"/>
  <c r="AC210" i="122" s="1"/>
  <c r="AA211" i="122"/>
  <c r="AA212" i="122"/>
  <c r="AA213" i="122"/>
  <c r="AA214" i="122"/>
  <c r="AC214" i="122" s="1"/>
  <c r="AA215" i="122"/>
  <c r="AA216" i="122"/>
  <c r="AA217" i="122"/>
  <c r="AA218" i="122"/>
  <c r="AC218" i="122" s="1"/>
  <c r="AA219" i="122"/>
  <c r="AA220" i="122"/>
  <c r="AA221" i="122"/>
  <c r="AA222" i="122"/>
  <c r="AC222" i="122" s="1"/>
  <c r="AA223" i="122"/>
  <c r="AA224" i="122"/>
  <c r="AA225" i="122"/>
  <c r="AA226" i="122"/>
  <c r="AC226" i="122" s="1"/>
  <c r="AA227" i="122"/>
  <c r="AA228" i="122"/>
  <c r="AA229" i="122"/>
  <c r="AA230" i="122"/>
  <c r="AA231" i="122"/>
  <c r="AA232" i="122"/>
  <c r="AA233" i="122"/>
  <c r="AA234" i="122"/>
  <c r="AC234" i="122" s="1"/>
  <c r="AA235" i="122"/>
  <c r="AA236" i="122"/>
  <c r="AA237" i="122"/>
  <c r="AA238" i="122"/>
  <c r="AA239" i="122"/>
  <c r="AA240" i="122"/>
  <c r="AA241" i="122"/>
  <c r="AA242" i="122"/>
  <c r="AC242" i="122" s="1"/>
  <c r="AA243" i="122"/>
  <c r="AA244" i="122"/>
  <c r="AA245" i="122"/>
  <c r="AA246" i="122"/>
  <c r="AC246" i="122" s="1"/>
  <c r="AA247" i="122"/>
  <c r="AA248" i="122"/>
  <c r="AA249" i="122"/>
  <c r="AA250" i="122"/>
  <c r="AC250" i="122" s="1"/>
  <c r="AA251" i="122"/>
  <c r="AA252" i="122"/>
  <c r="AA253" i="122"/>
  <c r="AA254" i="122"/>
  <c r="AC254" i="122" s="1"/>
  <c r="AA255" i="122"/>
  <c r="AA256" i="122"/>
  <c r="AA257" i="122"/>
  <c r="AA258" i="122"/>
  <c r="AC258" i="122" s="1"/>
  <c r="AA259" i="122"/>
  <c r="AA260" i="122"/>
  <c r="AA261" i="122"/>
  <c r="AA262" i="122"/>
  <c r="AA263" i="122"/>
  <c r="AA264" i="122"/>
  <c r="AA265" i="122"/>
  <c r="AA266" i="122"/>
  <c r="AC266" i="122" s="1"/>
  <c r="AA267" i="122"/>
  <c r="AA268" i="122"/>
  <c r="AA269" i="122"/>
  <c r="AA270" i="122"/>
  <c r="AA271" i="122"/>
  <c r="AA272" i="122"/>
  <c r="AA273" i="122"/>
  <c r="AA274" i="122"/>
  <c r="AC274" i="122" s="1"/>
  <c r="AA275" i="122"/>
  <c r="AA276" i="122"/>
  <c r="AA277" i="122"/>
  <c r="AA278" i="122"/>
  <c r="AC278" i="122" s="1"/>
  <c r="AA279" i="122"/>
  <c r="AA280" i="122"/>
  <c r="AA281" i="122"/>
  <c r="AA282" i="122"/>
  <c r="AC282" i="122" s="1"/>
  <c r="AA283" i="122"/>
  <c r="AA284" i="122"/>
  <c r="AA285" i="122"/>
  <c r="AA286" i="122"/>
  <c r="AC286" i="122" s="1"/>
  <c r="AA287" i="122"/>
  <c r="AA288" i="122"/>
  <c r="AA289" i="122"/>
  <c r="AA290" i="122"/>
  <c r="AC290" i="122" s="1"/>
  <c r="AA291" i="122"/>
  <c r="AA292" i="122"/>
  <c r="AA293" i="122"/>
  <c r="AA294" i="122"/>
  <c r="AA295" i="122"/>
  <c r="AA296" i="122"/>
  <c r="AA297" i="122"/>
  <c r="AA298" i="122"/>
  <c r="AC298" i="122" s="1"/>
  <c r="AA299" i="122"/>
  <c r="AA300" i="122"/>
  <c r="AA301" i="122"/>
  <c r="AA302" i="122"/>
  <c r="AA303" i="122"/>
  <c r="AA304" i="122"/>
  <c r="AA305" i="122"/>
  <c r="AA306" i="122"/>
  <c r="AC306" i="122" s="1"/>
  <c r="AA307" i="122"/>
  <c r="AA308" i="122"/>
  <c r="AA309" i="122"/>
  <c r="AA310" i="122"/>
  <c r="AA311" i="122"/>
  <c r="AA312" i="122"/>
  <c r="AA313" i="122"/>
  <c r="AA314" i="122"/>
  <c r="AC314" i="122" s="1"/>
  <c r="AA315" i="122"/>
  <c r="AA316" i="122"/>
  <c r="AA317" i="122"/>
  <c r="AA318" i="122"/>
  <c r="AA319" i="122"/>
  <c r="AA320" i="122"/>
  <c r="AA321" i="122"/>
  <c r="AA322" i="122"/>
  <c r="AC322" i="122" s="1"/>
  <c r="AA323" i="122"/>
  <c r="AA324" i="122"/>
  <c r="AA325" i="122"/>
  <c r="AA326" i="122"/>
  <c r="AA327" i="122"/>
  <c r="AA328" i="122"/>
  <c r="AA329" i="122"/>
  <c r="AA330" i="122"/>
  <c r="AC330" i="122" s="1"/>
  <c r="AA331" i="122"/>
  <c r="AA332" i="122"/>
  <c r="AA333" i="122"/>
  <c r="AA334" i="122"/>
  <c r="AA335" i="122"/>
  <c r="AA336" i="122"/>
  <c r="AA337" i="122"/>
  <c r="AA338" i="122"/>
  <c r="AC338" i="122" s="1"/>
  <c r="AA339" i="122"/>
  <c r="AA340" i="122"/>
  <c r="AA341" i="122"/>
  <c r="AA342" i="122"/>
  <c r="AA343" i="122"/>
  <c r="AA344" i="122"/>
  <c r="AA345" i="122"/>
  <c r="AA346" i="122"/>
  <c r="AC346" i="122" s="1"/>
  <c r="AA347" i="122"/>
  <c r="AA348" i="122"/>
  <c r="AA349" i="122"/>
  <c r="AA350" i="122"/>
  <c r="AC3" i="122"/>
  <c r="AC10" i="122"/>
  <c r="AC18" i="122"/>
  <c r="AC24" i="122"/>
  <c r="AC30" i="122"/>
  <c r="AC31" i="122"/>
  <c r="AC39" i="122"/>
  <c r="AC46" i="122"/>
  <c r="AC52" i="122"/>
  <c r="AC58" i="122"/>
  <c r="AC60" i="122"/>
  <c r="AC70" i="122"/>
  <c r="AC78" i="122"/>
  <c r="AC80" i="122"/>
  <c r="AC92" i="122"/>
  <c r="AC102" i="122"/>
  <c r="AC110" i="122"/>
  <c r="AC112" i="122"/>
  <c r="AC124" i="122"/>
  <c r="AC134" i="122"/>
  <c r="AC142" i="122"/>
  <c r="AC144" i="122"/>
  <c r="AC156" i="122"/>
  <c r="AC166" i="122"/>
  <c r="AC174" i="122"/>
  <c r="AC176" i="122"/>
  <c r="AC188" i="122"/>
  <c r="AC198" i="122"/>
  <c r="AC206" i="122"/>
  <c r="AC208" i="122"/>
  <c r="AC220" i="122"/>
  <c r="AC230" i="122"/>
  <c r="AC238" i="122"/>
  <c r="AC240" i="122"/>
  <c r="AC252" i="122"/>
  <c r="AC262" i="122"/>
  <c r="AC270" i="122"/>
  <c r="AC272" i="122"/>
  <c r="AC284" i="122"/>
  <c r="AC294" i="122"/>
  <c r="AC302" i="122"/>
  <c r="AC304" i="122"/>
  <c r="AC310" i="122"/>
  <c r="AC312" i="122"/>
  <c r="AC318" i="122"/>
  <c r="AC320" i="122"/>
  <c r="AC326" i="122"/>
  <c r="AC328" i="122"/>
  <c r="AC334" i="122"/>
  <c r="AC336" i="122"/>
  <c r="AC342" i="122"/>
  <c r="AC344" i="122"/>
  <c r="AC349" i="122"/>
  <c r="AC350" i="122"/>
  <c r="K89" i="122"/>
  <c r="K90" i="122"/>
  <c r="K91" i="122"/>
  <c r="K92" i="122"/>
  <c r="K93" i="122"/>
  <c r="K94" i="122"/>
  <c r="K95" i="122"/>
  <c r="K96" i="122"/>
  <c r="K97" i="122"/>
  <c r="K98" i="122"/>
  <c r="K99" i="122"/>
  <c r="K100" i="122"/>
  <c r="K101" i="122"/>
  <c r="K102" i="122"/>
  <c r="K103" i="122"/>
  <c r="K104" i="122"/>
  <c r="K105" i="122"/>
  <c r="K106" i="122"/>
  <c r="K107" i="122"/>
  <c r="K108" i="122"/>
  <c r="K109" i="122"/>
  <c r="K110" i="122"/>
  <c r="K111" i="122"/>
  <c r="K112" i="122"/>
  <c r="K113" i="122"/>
  <c r="K114" i="122"/>
  <c r="K115" i="122"/>
  <c r="K116" i="122"/>
  <c r="K117" i="122"/>
  <c r="K118" i="122"/>
  <c r="K119" i="122"/>
  <c r="K120" i="122"/>
  <c r="K121" i="122"/>
  <c r="K122" i="122"/>
  <c r="K123" i="122"/>
  <c r="K124" i="122"/>
  <c r="K125" i="122"/>
  <c r="K126" i="122"/>
  <c r="K127" i="122"/>
  <c r="K128" i="122"/>
  <c r="K129" i="122"/>
  <c r="K130" i="122"/>
  <c r="K131" i="122"/>
  <c r="K132" i="122"/>
  <c r="K133" i="122"/>
  <c r="K134" i="122"/>
  <c r="K135" i="122"/>
  <c r="K136" i="122"/>
  <c r="K137" i="122"/>
  <c r="K138" i="122"/>
  <c r="K139" i="122"/>
  <c r="M139" i="122" s="1"/>
  <c r="K140" i="122"/>
  <c r="K141" i="122"/>
  <c r="K142" i="122"/>
  <c r="K143" i="122"/>
  <c r="K144" i="122"/>
  <c r="K145" i="122"/>
  <c r="K146" i="122"/>
  <c r="K147" i="122"/>
  <c r="K148" i="122"/>
  <c r="K149" i="122"/>
  <c r="K150" i="122"/>
  <c r="K151" i="122"/>
  <c r="K152" i="122"/>
  <c r="K153" i="122"/>
  <c r="K154" i="122"/>
  <c r="K155" i="122"/>
  <c r="K156" i="122"/>
  <c r="K157" i="122"/>
  <c r="K158" i="122"/>
  <c r="K159" i="122"/>
  <c r="K160" i="122"/>
  <c r="K161" i="122"/>
  <c r="K162" i="122"/>
  <c r="K163" i="122"/>
  <c r="K164" i="122"/>
  <c r="K165" i="122"/>
  <c r="K166" i="122"/>
  <c r="K167" i="122"/>
  <c r="K168" i="122"/>
  <c r="K169" i="122"/>
  <c r="K170" i="122"/>
  <c r="K171" i="122"/>
  <c r="K172" i="122"/>
  <c r="K173" i="122"/>
  <c r="K174" i="122"/>
  <c r="K175" i="122"/>
  <c r="M175" i="122" s="1"/>
  <c r="K176" i="122"/>
  <c r="K177" i="122"/>
  <c r="K178" i="122"/>
  <c r="K179" i="122"/>
  <c r="K180" i="122"/>
  <c r="K181" i="122"/>
  <c r="K182" i="122"/>
  <c r="K183" i="122"/>
  <c r="K184" i="122"/>
  <c r="K185" i="122"/>
  <c r="K186" i="122"/>
  <c r="K187" i="122"/>
  <c r="K188" i="122"/>
  <c r="K189" i="122"/>
  <c r="K190" i="122"/>
  <c r="K191" i="122"/>
  <c r="K192" i="122"/>
  <c r="K193" i="122"/>
  <c r="K194" i="122"/>
  <c r="K195" i="122"/>
  <c r="K196" i="122"/>
  <c r="K197" i="122"/>
  <c r="K198" i="122"/>
  <c r="K199" i="122"/>
  <c r="K200" i="122"/>
  <c r="K201" i="122"/>
  <c r="K202" i="122"/>
  <c r="K203" i="122"/>
  <c r="M203" i="122" s="1"/>
  <c r="K204" i="122"/>
  <c r="K205" i="122"/>
  <c r="K206" i="122"/>
  <c r="K207" i="122"/>
  <c r="K208" i="122"/>
  <c r="K209" i="122"/>
  <c r="K210" i="122"/>
  <c r="K211" i="122"/>
  <c r="K212" i="122"/>
  <c r="K213" i="122"/>
  <c r="K214" i="122"/>
  <c r="K215" i="122"/>
  <c r="K216" i="122"/>
  <c r="K217" i="122"/>
  <c r="K218" i="122"/>
  <c r="K219" i="122"/>
  <c r="K220" i="122"/>
  <c r="K221" i="122"/>
  <c r="K222" i="122"/>
  <c r="K223" i="122"/>
  <c r="K224" i="122"/>
  <c r="K225" i="122"/>
  <c r="K226" i="122"/>
  <c r="K227" i="122"/>
  <c r="K228" i="122"/>
  <c r="K229" i="122"/>
  <c r="K230" i="122"/>
  <c r="K231" i="122"/>
  <c r="K232" i="122"/>
  <c r="K233" i="122"/>
  <c r="K234" i="122"/>
  <c r="K235" i="122"/>
  <c r="K236" i="122"/>
  <c r="K237" i="122"/>
  <c r="K238" i="122"/>
  <c r="K239" i="122"/>
  <c r="M239" i="122" s="1"/>
  <c r="K240" i="122"/>
  <c r="K241" i="122"/>
  <c r="K242" i="122"/>
  <c r="K243" i="122"/>
  <c r="K244" i="122"/>
  <c r="K245" i="122"/>
  <c r="K246" i="122"/>
  <c r="K247" i="122"/>
  <c r="K248" i="122"/>
  <c r="K249" i="122"/>
  <c r="K250" i="122"/>
  <c r="K251" i="122"/>
  <c r="K252" i="122"/>
  <c r="K253" i="122"/>
  <c r="K254" i="122"/>
  <c r="K255" i="122"/>
  <c r="K256" i="122"/>
  <c r="K257" i="122"/>
  <c r="K258" i="122"/>
  <c r="K259" i="122"/>
  <c r="K260" i="122"/>
  <c r="K261" i="122"/>
  <c r="K262" i="122"/>
  <c r="K263" i="122"/>
  <c r="K264" i="122"/>
  <c r="K265" i="122"/>
  <c r="K266" i="122"/>
  <c r="K267" i="122"/>
  <c r="M267" i="122" s="1"/>
  <c r="K268" i="122"/>
  <c r="K269" i="122"/>
  <c r="K270" i="122"/>
  <c r="K271" i="122"/>
  <c r="K272" i="122"/>
  <c r="K273" i="122"/>
  <c r="K274" i="122"/>
  <c r="K275" i="122"/>
  <c r="K276" i="122"/>
  <c r="K277" i="122"/>
  <c r="K278" i="122"/>
  <c r="K279" i="122"/>
  <c r="K280" i="122"/>
  <c r="K281" i="122"/>
  <c r="K282" i="122"/>
  <c r="K283" i="122"/>
  <c r="K284" i="122"/>
  <c r="K285" i="122"/>
  <c r="K286" i="122"/>
  <c r="K287" i="122"/>
  <c r="K288" i="122"/>
  <c r="K289" i="122"/>
  <c r="K290" i="122"/>
  <c r="K291" i="122"/>
  <c r="K292" i="122"/>
  <c r="K293" i="122"/>
  <c r="K294" i="122"/>
  <c r="K295" i="122"/>
  <c r="K296" i="122"/>
  <c r="K297" i="122"/>
  <c r="K298" i="122"/>
  <c r="K299" i="122"/>
  <c r="K300" i="122"/>
  <c r="K301" i="122"/>
  <c r="K302" i="122"/>
  <c r="K303" i="122"/>
  <c r="K304" i="122"/>
  <c r="K305" i="122"/>
  <c r="K306" i="122"/>
  <c r="K307" i="122"/>
  <c r="K308" i="122"/>
  <c r="K309" i="122"/>
  <c r="K310" i="122"/>
  <c r="K311" i="122"/>
  <c r="K312" i="122"/>
  <c r="K313" i="122"/>
  <c r="K314" i="122"/>
  <c r="K315" i="122"/>
  <c r="K316" i="122"/>
  <c r="K317" i="122"/>
  <c r="K318" i="122"/>
  <c r="K319" i="122"/>
  <c r="K320" i="122"/>
  <c r="K321" i="122"/>
  <c r="K322" i="122"/>
  <c r="K323" i="122"/>
  <c r="K324" i="122"/>
  <c r="K325" i="122"/>
  <c r="K326" i="122"/>
  <c r="K327" i="122"/>
  <c r="K328" i="122"/>
  <c r="K329" i="122"/>
  <c r="K330" i="122"/>
  <c r="K331" i="122"/>
  <c r="K332" i="122"/>
  <c r="K333" i="122"/>
  <c r="K334" i="122"/>
  <c r="K335" i="122"/>
  <c r="K336" i="122"/>
  <c r="K337" i="122"/>
  <c r="K338" i="122"/>
  <c r="K339" i="122"/>
  <c r="K340" i="122"/>
  <c r="K341" i="122"/>
  <c r="K342" i="122"/>
  <c r="K343" i="122"/>
  <c r="K344" i="122"/>
  <c r="K345" i="122"/>
  <c r="K346" i="122"/>
  <c r="K347" i="122"/>
  <c r="K348" i="122"/>
  <c r="K349" i="122"/>
  <c r="K350" i="122"/>
  <c r="L89" i="122"/>
  <c r="M89" i="122" s="1"/>
  <c r="L90" i="122"/>
  <c r="L91" i="122"/>
  <c r="L92" i="122"/>
  <c r="L93" i="122"/>
  <c r="L94" i="122"/>
  <c r="L95" i="122"/>
  <c r="L96" i="122"/>
  <c r="L97" i="122"/>
  <c r="M97" i="122" s="1"/>
  <c r="L98" i="122"/>
  <c r="L99" i="122"/>
  <c r="L100" i="122"/>
  <c r="L101" i="122"/>
  <c r="L102" i="122"/>
  <c r="L103" i="122"/>
  <c r="L104" i="122"/>
  <c r="L105" i="122"/>
  <c r="M105" i="122" s="1"/>
  <c r="L106" i="122"/>
  <c r="L107" i="122"/>
  <c r="L108" i="122"/>
  <c r="L109" i="122"/>
  <c r="L110" i="122"/>
  <c r="L111" i="122"/>
  <c r="L112" i="122"/>
  <c r="L113" i="122"/>
  <c r="M113" i="122" s="1"/>
  <c r="L114" i="122"/>
  <c r="L115" i="122"/>
  <c r="L116" i="122"/>
  <c r="L117" i="122"/>
  <c r="L118" i="122"/>
  <c r="L119" i="122"/>
  <c r="L120" i="122"/>
  <c r="L121" i="122"/>
  <c r="L122" i="122"/>
  <c r="L123" i="122"/>
  <c r="L124" i="122"/>
  <c r="L125" i="122"/>
  <c r="M125" i="122" s="1"/>
  <c r="L126" i="122"/>
  <c r="L127" i="122"/>
  <c r="L128" i="122"/>
  <c r="L129" i="122"/>
  <c r="L130" i="122"/>
  <c r="L131" i="122"/>
  <c r="L132" i="122"/>
  <c r="L133" i="122"/>
  <c r="M133" i="122" s="1"/>
  <c r="L134" i="122"/>
  <c r="L135" i="122"/>
  <c r="L136" i="122"/>
  <c r="L137" i="122"/>
  <c r="L138" i="122"/>
  <c r="L139" i="122"/>
  <c r="L140" i="122"/>
  <c r="L141" i="122"/>
  <c r="M141" i="122" s="1"/>
  <c r="L142" i="122"/>
  <c r="L143" i="122"/>
  <c r="L144" i="122"/>
  <c r="L145" i="122"/>
  <c r="L146" i="122"/>
  <c r="L147" i="122"/>
  <c r="L148" i="122"/>
  <c r="L149" i="122"/>
  <c r="M149" i="122" s="1"/>
  <c r="L150" i="122"/>
  <c r="L151" i="122"/>
  <c r="L152" i="122"/>
  <c r="L153" i="122"/>
  <c r="M153" i="122" s="1"/>
  <c r="L154" i="122"/>
  <c r="L155" i="122"/>
  <c r="L156" i="122"/>
  <c r="L157" i="122"/>
  <c r="L158" i="122"/>
  <c r="L159" i="122"/>
  <c r="L160" i="122"/>
  <c r="L161" i="122"/>
  <c r="M161" i="122" s="1"/>
  <c r="L162" i="122"/>
  <c r="L163" i="122"/>
  <c r="L164" i="122"/>
  <c r="L165" i="122"/>
  <c r="L166" i="122"/>
  <c r="L167" i="122"/>
  <c r="L168" i="122"/>
  <c r="L169" i="122"/>
  <c r="M169" i="122" s="1"/>
  <c r="L170" i="122"/>
  <c r="L171" i="122"/>
  <c r="L172" i="122"/>
  <c r="L173" i="122"/>
  <c r="L174" i="122"/>
  <c r="L175" i="122"/>
  <c r="L176" i="122"/>
  <c r="L177" i="122"/>
  <c r="M177" i="122" s="1"/>
  <c r="L178" i="122"/>
  <c r="L179" i="122"/>
  <c r="L180" i="122"/>
  <c r="L181" i="122"/>
  <c r="L182" i="122"/>
  <c r="L183" i="122"/>
  <c r="L184" i="122"/>
  <c r="L185" i="122"/>
  <c r="L186" i="122"/>
  <c r="L187" i="122"/>
  <c r="L188" i="122"/>
  <c r="L189" i="122"/>
  <c r="M189" i="122" s="1"/>
  <c r="L190" i="122"/>
  <c r="L191" i="122"/>
  <c r="L192" i="122"/>
  <c r="L193" i="122"/>
  <c r="L194" i="122"/>
  <c r="L195" i="122"/>
  <c r="L196" i="122"/>
  <c r="L197" i="122"/>
  <c r="M197" i="122" s="1"/>
  <c r="L198" i="122"/>
  <c r="L199" i="122"/>
  <c r="L200" i="122"/>
  <c r="L201" i="122"/>
  <c r="L202" i="122"/>
  <c r="L203" i="122"/>
  <c r="L204" i="122"/>
  <c r="L205" i="122"/>
  <c r="M205" i="122" s="1"/>
  <c r="L206" i="122"/>
  <c r="L207" i="122"/>
  <c r="L208" i="122"/>
  <c r="L209" i="122"/>
  <c r="L210" i="122"/>
  <c r="L211" i="122"/>
  <c r="L212" i="122"/>
  <c r="L213" i="122"/>
  <c r="M213" i="122" s="1"/>
  <c r="L214" i="122"/>
  <c r="L215" i="122"/>
  <c r="L216" i="122"/>
  <c r="L217" i="122"/>
  <c r="M217" i="122" s="1"/>
  <c r="L218" i="122"/>
  <c r="L219" i="122"/>
  <c r="L220" i="122"/>
  <c r="L221" i="122"/>
  <c r="L222" i="122"/>
  <c r="L223" i="122"/>
  <c r="L224" i="122"/>
  <c r="L225" i="122"/>
  <c r="M225" i="122" s="1"/>
  <c r="L226" i="122"/>
  <c r="L227" i="122"/>
  <c r="L228" i="122"/>
  <c r="L229" i="122"/>
  <c r="L230" i="122"/>
  <c r="L231" i="122"/>
  <c r="L232" i="122"/>
  <c r="L233" i="122"/>
  <c r="M233" i="122" s="1"/>
  <c r="L234" i="122"/>
  <c r="L235" i="122"/>
  <c r="L236" i="122"/>
  <c r="L237" i="122"/>
  <c r="L238" i="122"/>
  <c r="L239" i="122"/>
  <c r="L240" i="122"/>
  <c r="L241" i="122"/>
  <c r="M241" i="122" s="1"/>
  <c r="L242" i="122"/>
  <c r="L243" i="122"/>
  <c r="L244" i="122"/>
  <c r="L245" i="122"/>
  <c r="L246" i="122"/>
  <c r="L247" i="122"/>
  <c r="L248" i="122"/>
  <c r="L249" i="122"/>
  <c r="L250" i="122"/>
  <c r="L251" i="122"/>
  <c r="L252" i="122"/>
  <c r="L253" i="122"/>
  <c r="M253" i="122" s="1"/>
  <c r="L254" i="122"/>
  <c r="L255" i="122"/>
  <c r="L256" i="122"/>
  <c r="L257" i="122"/>
  <c r="L258" i="122"/>
  <c r="L259" i="122"/>
  <c r="L260" i="122"/>
  <c r="L261" i="122"/>
  <c r="M261" i="122" s="1"/>
  <c r="L262" i="122"/>
  <c r="L263" i="122"/>
  <c r="L264" i="122"/>
  <c r="L265" i="122"/>
  <c r="L266" i="122"/>
  <c r="L267" i="122"/>
  <c r="L268" i="122"/>
  <c r="L269" i="122"/>
  <c r="M269" i="122" s="1"/>
  <c r="L270" i="122"/>
  <c r="L271" i="122"/>
  <c r="L272" i="122"/>
  <c r="L273" i="122"/>
  <c r="L274" i="122"/>
  <c r="L275" i="122"/>
  <c r="L276" i="122"/>
  <c r="L277" i="122"/>
  <c r="M277" i="122" s="1"/>
  <c r="L278" i="122"/>
  <c r="L279" i="122"/>
  <c r="L280" i="122"/>
  <c r="L281" i="122"/>
  <c r="M281" i="122" s="1"/>
  <c r="L282" i="122"/>
  <c r="L283" i="122"/>
  <c r="L284" i="122"/>
  <c r="L285" i="122"/>
  <c r="L286" i="122"/>
  <c r="L287" i="122"/>
  <c r="L288" i="122"/>
  <c r="L289" i="122"/>
  <c r="M289" i="122" s="1"/>
  <c r="L290" i="122"/>
  <c r="L291" i="122"/>
  <c r="L292" i="122"/>
  <c r="L293" i="122"/>
  <c r="L294" i="122"/>
  <c r="L295" i="122"/>
  <c r="L296" i="122"/>
  <c r="L297" i="122"/>
  <c r="M297" i="122" s="1"/>
  <c r="L298" i="122"/>
  <c r="L299" i="122"/>
  <c r="L300" i="122"/>
  <c r="L301" i="122"/>
  <c r="L302" i="122"/>
  <c r="L303" i="122"/>
  <c r="L304" i="122"/>
  <c r="L305" i="122"/>
  <c r="M305" i="122" s="1"/>
  <c r="L306" i="122"/>
  <c r="L307" i="122"/>
  <c r="L308" i="122"/>
  <c r="L309" i="122"/>
  <c r="L310" i="122"/>
  <c r="L311" i="122"/>
  <c r="L312" i="122"/>
  <c r="L313" i="122"/>
  <c r="L314" i="122"/>
  <c r="L315" i="122"/>
  <c r="L316" i="122"/>
  <c r="L317" i="122"/>
  <c r="M317" i="122" s="1"/>
  <c r="L318" i="122"/>
  <c r="L319" i="122"/>
  <c r="L320" i="122"/>
  <c r="L321" i="122"/>
  <c r="L322" i="122"/>
  <c r="L323" i="122"/>
  <c r="L324" i="122"/>
  <c r="L325" i="122"/>
  <c r="M325" i="122" s="1"/>
  <c r="L326" i="122"/>
  <c r="L327" i="122"/>
  <c r="L328" i="122"/>
  <c r="L329" i="122"/>
  <c r="L330" i="122"/>
  <c r="L331" i="122"/>
  <c r="L332" i="122"/>
  <c r="L333" i="122"/>
  <c r="M333" i="122" s="1"/>
  <c r="L334" i="122"/>
  <c r="L335" i="122"/>
  <c r="L336" i="122"/>
  <c r="L337" i="122"/>
  <c r="L338" i="122"/>
  <c r="L339" i="122"/>
  <c r="L340" i="122"/>
  <c r="L341" i="122"/>
  <c r="M341" i="122" s="1"/>
  <c r="L342" i="122"/>
  <c r="L343" i="122"/>
  <c r="L344" i="122"/>
  <c r="L345" i="122"/>
  <c r="M345" i="122" s="1"/>
  <c r="L346" i="122"/>
  <c r="L347" i="122"/>
  <c r="L348" i="122"/>
  <c r="L349" i="122"/>
  <c r="L350" i="122"/>
  <c r="N89" i="122"/>
  <c r="N90" i="122"/>
  <c r="N91" i="122"/>
  <c r="N92" i="122"/>
  <c r="N93" i="122"/>
  <c r="N94" i="122"/>
  <c r="N95" i="122"/>
  <c r="N96" i="122"/>
  <c r="N97" i="122"/>
  <c r="N98" i="122"/>
  <c r="N99" i="122"/>
  <c r="N100" i="122"/>
  <c r="N101" i="122"/>
  <c r="N102" i="122"/>
  <c r="N103" i="122"/>
  <c r="N104" i="122"/>
  <c r="N105" i="122"/>
  <c r="N106" i="122"/>
  <c r="N107" i="122"/>
  <c r="N108" i="122"/>
  <c r="N109" i="122"/>
  <c r="N110" i="122"/>
  <c r="N111" i="122"/>
  <c r="N112" i="122"/>
  <c r="N113" i="122"/>
  <c r="N114" i="122"/>
  <c r="N115" i="122"/>
  <c r="N116" i="122"/>
  <c r="N117" i="122"/>
  <c r="N118" i="122"/>
  <c r="N119" i="122"/>
  <c r="N120" i="122"/>
  <c r="N121" i="122"/>
  <c r="N122" i="122"/>
  <c r="N123" i="122"/>
  <c r="N124" i="122"/>
  <c r="N125" i="122"/>
  <c r="N126" i="122"/>
  <c r="N127" i="122"/>
  <c r="N128" i="122"/>
  <c r="N129" i="122"/>
  <c r="N130" i="122"/>
  <c r="N131" i="122"/>
  <c r="N132" i="122"/>
  <c r="N133" i="122"/>
  <c r="N134" i="122"/>
  <c r="N135" i="122"/>
  <c r="N136" i="122"/>
  <c r="N137" i="122"/>
  <c r="N138" i="122"/>
  <c r="N139" i="122"/>
  <c r="N140" i="122"/>
  <c r="N141" i="122"/>
  <c r="N142" i="122"/>
  <c r="N143" i="122"/>
  <c r="N144" i="122"/>
  <c r="N145" i="122"/>
  <c r="N146" i="122"/>
  <c r="N147" i="122"/>
  <c r="N148" i="122"/>
  <c r="N149" i="122"/>
  <c r="N150" i="122"/>
  <c r="N151" i="122"/>
  <c r="N152" i="122"/>
  <c r="N153" i="122"/>
  <c r="N154" i="122"/>
  <c r="N155" i="122"/>
  <c r="N156" i="122"/>
  <c r="N157" i="122"/>
  <c r="N158" i="122"/>
  <c r="N159" i="122"/>
  <c r="N160" i="122"/>
  <c r="N161" i="122"/>
  <c r="N162" i="122"/>
  <c r="N163" i="122"/>
  <c r="N164" i="122"/>
  <c r="N165" i="122"/>
  <c r="N166" i="122"/>
  <c r="N167" i="122"/>
  <c r="N168" i="122"/>
  <c r="N169" i="122"/>
  <c r="N170" i="122"/>
  <c r="N171" i="122"/>
  <c r="N172" i="122"/>
  <c r="N173" i="122"/>
  <c r="N174" i="122"/>
  <c r="N175" i="122"/>
  <c r="N176" i="122"/>
  <c r="N177" i="122"/>
  <c r="N178" i="122"/>
  <c r="N179" i="122"/>
  <c r="N180" i="122"/>
  <c r="N181" i="122"/>
  <c r="N182" i="122"/>
  <c r="N183" i="122"/>
  <c r="N184" i="122"/>
  <c r="N185" i="122"/>
  <c r="N186" i="122"/>
  <c r="N187" i="122"/>
  <c r="N188" i="122"/>
  <c r="N189" i="122"/>
  <c r="N190" i="122"/>
  <c r="N191" i="122"/>
  <c r="N192" i="122"/>
  <c r="N193" i="122"/>
  <c r="N194" i="122"/>
  <c r="N195" i="122"/>
  <c r="N196" i="122"/>
  <c r="N197" i="122"/>
  <c r="N198" i="122"/>
  <c r="N199" i="122"/>
  <c r="N200" i="122"/>
  <c r="N201" i="122"/>
  <c r="N202" i="122"/>
  <c r="N203" i="122"/>
  <c r="N204" i="122"/>
  <c r="N205" i="122"/>
  <c r="N206" i="122"/>
  <c r="N207" i="122"/>
  <c r="N208" i="122"/>
  <c r="N209" i="122"/>
  <c r="N210" i="122"/>
  <c r="N211" i="122"/>
  <c r="N212" i="122"/>
  <c r="N213" i="122"/>
  <c r="N214" i="122"/>
  <c r="N215" i="122"/>
  <c r="N216" i="122"/>
  <c r="N217" i="122"/>
  <c r="N218" i="122"/>
  <c r="N219" i="122"/>
  <c r="N220" i="122"/>
  <c r="N221" i="122"/>
  <c r="N222" i="122"/>
  <c r="N223" i="122"/>
  <c r="N224" i="122"/>
  <c r="N225" i="122"/>
  <c r="N226" i="122"/>
  <c r="N227" i="122"/>
  <c r="N228" i="122"/>
  <c r="N229" i="122"/>
  <c r="N230" i="122"/>
  <c r="N231" i="122"/>
  <c r="N232" i="122"/>
  <c r="N233" i="122"/>
  <c r="N234" i="122"/>
  <c r="N235" i="122"/>
  <c r="N236" i="122"/>
  <c r="N237" i="122"/>
  <c r="N238" i="122"/>
  <c r="N239" i="122"/>
  <c r="N240" i="122"/>
  <c r="N241" i="122"/>
  <c r="N242" i="122"/>
  <c r="N243" i="122"/>
  <c r="N244" i="122"/>
  <c r="N245" i="122"/>
  <c r="N246" i="122"/>
  <c r="N247" i="122"/>
  <c r="N248" i="122"/>
  <c r="N249" i="122"/>
  <c r="N250" i="122"/>
  <c r="N251" i="122"/>
  <c r="N252" i="122"/>
  <c r="N253" i="122"/>
  <c r="N254" i="122"/>
  <c r="N255" i="122"/>
  <c r="N256" i="122"/>
  <c r="N257" i="122"/>
  <c r="N258" i="122"/>
  <c r="N259" i="122"/>
  <c r="N260" i="122"/>
  <c r="N261" i="122"/>
  <c r="N262" i="122"/>
  <c r="N263" i="122"/>
  <c r="N264" i="122"/>
  <c r="N265" i="122"/>
  <c r="N266" i="122"/>
  <c r="N267" i="122"/>
  <c r="N268" i="122"/>
  <c r="N269" i="122"/>
  <c r="N270" i="122"/>
  <c r="N271" i="122"/>
  <c r="N272" i="122"/>
  <c r="N273" i="122"/>
  <c r="N274" i="122"/>
  <c r="N275" i="122"/>
  <c r="N276" i="122"/>
  <c r="N277" i="122"/>
  <c r="N278" i="122"/>
  <c r="N279" i="122"/>
  <c r="N280" i="122"/>
  <c r="N281" i="122"/>
  <c r="N282" i="122"/>
  <c r="N283" i="122"/>
  <c r="N284" i="122"/>
  <c r="N285" i="122"/>
  <c r="N286" i="122"/>
  <c r="N287" i="122"/>
  <c r="N288" i="122"/>
  <c r="N289" i="122"/>
  <c r="N290" i="122"/>
  <c r="N291" i="122"/>
  <c r="N292" i="122"/>
  <c r="N293" i="122"/>
  <c r="N294" i="122"/>
  <c r="N295" i="122"/>
  <c r="N296" i="122"/>
  <c r="N297" i="122"/>
  <c r="N298" i="122"/>
  <c r="N299" i="122"/>
  <c r="N300" i="122"/>
  <c r="N301" i="122"/>
  <c r="N302" i="122"/>
  <c r="N303" i="122"/>
  <c r="N304" i="122"/>
  <c r="N305" i="122"/>
  <c r="N306" i="122"/>
  <c r="N307" i="122"/>
  <c r="N308" i="122"/>
  <c r="N309" i="122"/>
  <c r="N310" i="122"/>
  <c r="N311" i="122"/>
  <c r="N312" i="122"/>
  <c r="N313" i="122"/>
  <c r="N314" i="122"/>
  <c r="N315" i="122"/>
  <c r="N316" i="122"/>
  <c r="N317" i="122"/>
  <c r="N318" i="122"/>
  <c r="N319" i="122"/>
  <c r="N320" i="122"/>
  <c r="N321" i="122"/>
  <c r="N322" i="122"/>
  <c r="N323" i="122"/>
  <c r="N324" i="122"/>
  <c r="N325" i="122"/>
  <c r="N326" i="122"/>
  <c r="N327" i="122"/>
  <c r="N328" i="122"/>
  <c r="N329" i="122"/>
  <c r="N330" i="122"/>
  <c r="N331" i="122"/>
  <c r="N332" i="122"/>
  <c r="N333" i="122"/>
  <c r="N334" i="122"/>
  <c r="N335" i="122"/>
  <c r="N336" i="122"/>
  <c r="N337" i="122"/>
  <c r="N338" i="122"/>
  <c r="N339" i="122"/>
  <c r="N340" i="122"/>
  <c r="N341" i="122"/>
  <c r="N342" i="122"/>
  <c r="N343" i="122"/>
  <c r="N344" i="122"/>
  <c r="N345" i="122"/>
  <c r="N346" i="122"/>
  <c r="N347" i="122"/>
  <c r="N348" i="122"/>
  <c r="N349" i="122"/>
  <c r="N350" i="122"/>
  <c r="U89" i="122"/>
  <c r="U90" i="122"/>
  <c r="U91" i="122"/>
  <c r="U92" i="122"/>
  <c r="U93" i="122"/>
  <c r="U94" i="122"/>
  <c r="U95" i="122"/>
  <c r="U96" i="122"/>
  <c r="U97" i="122"/>
  <c r="U98" i="122"/>
  <c r="U99" i="122"/>
  <c r="U100" i="122"/>
  <c r="U101" i="122"/>
  <c r="U102" i="122"/>
  <c r="U103" i="122"/>
  <c r="U104" i="122"/>
  <c r="U105" i="122"/>
  <c r="U106" i="122"/>
  <c r="U107" i="122"/>
  <c r="U108" i="122"/>
  <c r="U109" i="122"/>
  <c r="U110" i="122"/>
  <c r="U111" i="122"/>
  <c r="U112" i="122"/>
  <c r="U113" i="122"/>
  <c r="U114" i="122"/>
  <c r="U115" i="122"/>
  <c r="U116" i="122"/>
  <c r="U117" i="122"/>
  <c r="U118" i="122"/>
  <c r="U119" i="122"/>
  <c r="U120" i="122"/>
  <c r="U121" i="122"/>
  <c r="U122" i="122"/>
  <c r="U123" i="122"/>
  <c r="U124" i="122"/>
  <c r="U125" i="122"/>
  <c r="U126" i="122"/>
  <c r="U127" i="122"/>
  <c r="U128" i="122"/>
  <c r="U129" i="122"/>
  <c r="U130" i="122"/>
  <c r="U131" i="122"/>
  <c r="U132" i="122"/>
  <c r="U133" i="122"/>
  <c r="U134" i="122"/>
  <c r="U135" i="122"/>
  <c r="U136" i="122"/>
  <c r="U137" i="122"/>
  <c r="U138" i="122"/>
  <c r="U139" i="122"/>
  <c r="U140" i="122"/>
  <c r="U141" i="122"/>
  <c r="U142" i="122"/>
  <c r="U143" i="122"/>
  <c r="U144" i="122"/>
  <c r="U145" i="122"/>
  <c r="U146" i="122"/>
  <c r="U147" i="122"/>
  <c r="U148" i="122"/>
  <c r="U149" i="122"/>
  <c r="U150" i="122"/>
  <c r="U151" i="122"/>
  <c r="U152" i="122"/>
  <c r="U153" i="122"/>
  <c r="U154" i="122"/>
  <c r="U155" i="122"/>
  <c r="U156" i="122"/>
  <c r="U157" i="122"/>
  <c r="U158" i="122"/>
  <c r="U159" i="122"/>
  <c r="U160" i="122"/>
  <c r="U161" i="122"/>
  <c r="U162" i="122"/>
  <c r="U163" i="122"/>
  <c r="U164" i="122"/>
  <c r="U165" i="122"/>
  <c r="U166" i="122"/>
  <c r="U167" i="122"/>
  <c r="U168" i="122"/>
  <c r="U169" i="122"/>
  <c r="U170" i="122"/>
  <c r="U171" i="122"/>
  <c r="U172" i="122"/>
  <c r="U173" i="122"/>
  <c r="U174" i="122"/>
  <c r="U175" i="122"/>
  <c r="U176" i="122"/>
  <c r="U177" i="122"/>
  <c r="U178" i="122"/>
  <c r="U179" i="122"/>
  <c r="U180" i="122"/>
  <c r="U181" i="122"/>
  <c r="U182" i="122"/>
  <c r="U183" i="122"/>
  <c r="U184" i="122"/>
  <c r="U185" i="122"/>
  <c r="U186" i="122"/>
  <c r="U187" i="122"/>
  <c r="U188" i="122"/>
  <c r="U189" i="122"/>
  <c r="U190" i="122"/>
  <c r="U191" i="122"/>
  <c r="U192" i="122"/>
  <c r="U193" i="122"/>
  <c r="U194" i="122"/>
  <c r="U195" i="122"/>
  <c r="U196" i="122"/>
  <c r="U197" i="122"/>
  <c r="U198" i="122"/>
  <c r="U199" i="122"/>
  <c r="U200" i="122"/>
  <c r="U201" i="122"/>
  <c r="U202" i="122"/>
  <c r="U203" i="122"/>
  <c r="U204" i="122"/>
  <c r="U205" i="122"/>
  <c r="U206" i="122"/>
  <c r="U207" i="122"/>
  <c r="U208" i="122"/>
  <c r="U209" i="122"/>
  <c r="U210" i="122"/>
  <c r="U211" i="122"/>
  <c r="U212" i="122"/>
  <c r="U213" i="122"/>
  <c r="U214" i="122"/>
  <c r="U215" i="122"/>
  <c r="U216" i="122"/>
  <c r="U217" i="122"/>
  <c r="U218" i="122"/>
  <c r="U219" i="122"/>
  <c r="U220" i="122"/>
  <c r="U221" i="122"/>
  <c r="U222" i="122"/>
  <c r="U223" i="122"/>
  <c r="U224" i="122"/>
  <c r="U225" i="122"/>
  <c r="U226" i="122"/>
  <c r="U227" i="122"/>
  <c r="U228" i="122"/>
  <c r="U229" i="122"/>
  <c r="U230" i="122"/>
  <c r="U231" i="122"/>
  <c r="U232" i="122"/>
  <c r="U233" i="122"/>
  <c r="U234" i="122"/>
  <c r="U235" i="122"/>
  <c r="U236" i="122"/>
  <c r="U237" i="122"/>
  <c r="U238" i="122"/>
  <c r="U239" i="122"/>
  <c r="U240" i="122"/>
  <c r="U241" i="122"/>
  <c r="U242" i="122"/>
  <c r="U243" i="122"/>
  <c r="U244" i="122"/>
  <c r="U245" i="122"/>
  <c r="U246" i="122"/>
  <c r="U247" i="122"/>
  <c r="U248" i="122"/>
  <c r="U249" i="122"/>
  <c r="U250" i="122"/>
  <c r="U251" i="122"/>
  <c r="U252" i="122"/>
  <c r="U253" i="122"/>
  <c r="U254" i="122"/>
  <c r="U255" i="122"/>
  <c r="U256" i="122"/>
  <c r="U257" i="122"/>
  <c r="U258" i="122"/>
  <c r="U259" i="122"/>
  <c r="U260" i="122"/>
  <c r="U261" i="122"/>
  <c r="U262" i="122"/>
  <c r="U263" i="122"/>
  <c r="U264" i="122"/>
  <c r="U265" i="122"/>
  <c r="U266" i="122"/>
  <c r="U267" i="122"/>
  <c r="U268" i="122"/>
  <c r="U269" i="122"/>
  <c r="U270" i="122"/>
  <c r="U271" i="122"/>
  <c r="U272" i="122"/>
  <c r="U273" i="122"/>
  <c r="U274" i="122"/>
  <c r="U275" i="122"/>
  <c r="U276" i="122"/>
  <c r="U277" i="122"/>
  <c r="U278" i="122"/>
  <c r="U279" i="122"/>
  <c r="U280" i="122"/>
  <c r="U281" i="122"/>
  <c r="U282" i="122"/>
  <c r="U283" i="122"/>
  <c r="U284" i="122"/>
  <c r="U285" i="122"/>
  <c r="U286" i="122"/>
  <c r="U287" i="122"/>
  <c r="U288" i="122"/>
  <c r="U289" i="122"/>
  <c r="U290" i="122"/>
  <c r="U291" i="122"/>
  <c r="U292" i="122"/>
  <c r="U293" i="122"/>
  <c r="U294" i="122"/>
  <c r="U295" i="122"/>
  <c r="U296" i="122"/>
  <c r="U297" i="122"/>
  <c r="U298" i="122"/>
  <c r="U299" i="122"/>
  <c r="U300" i="122"/>
  <c r="U301" i="122"/>
  <c r="U302" i="122"/>
  <c r="U303" i="122"/>
  <c r="U304" i="122"/>
  <c r="U305" i="122"/>
  <c r="U306" i="122"/>
  <c r="U307" i="122"/>
  <c r="U308" i="122"/>
  <c r="U309" i="122"/>
  <c r="U310" i="122"/>
  <c r="U311" i="122"/>
  <c r="U312" i="122"/>
  <c r="U313" i="122"/>
  <c r="U314" i="122"/>
  <c r="U315" i="122"/>
  <c r="U316" i="122"/>
  <c r="U317" i="122"/>
  <c r="U318" i="122"/>
  <c r="U319" i="122"/>
  <c r="U320" i="122"/>
  <c r="U321" i="122"/>
  <c r="U322" i="122"/>
  <c r="U323" i="122"/>
  <c r="U324" i="122"/>
  <c r="U325" i="122"/>
  <c r="U326" i="122"/>
  <c r="U327" i="122"/>
  <c r="U328" i="122"/>
  <c r="U329" i="122"/>
  <c r="U330" i="122"/>
  <c r="U331" i="122"/>
  <c r="U332" i="122"/>
  <c r="U333" i="122"/>
  <c r="U334" i="122"/>
  <c r="U335" i="122"/>
  <c r="U336" i="122"/>
  <c r="U337" i="122"/>
  <c r="U338" i="122"/>
  <c r="U339" i="122"/>
  <c r="U340" i="122"/>
  <c r="U341" i="122"/>
  <c r="U342" i="122"/>
  <c r="U343" i="122"/>
  <c r="U344" i="122"/>
  <c r="U345" i="122"/>
  <c r="U346" i="122"/>
  <c r="U347" i="122"/>
  <c r="U348" i="122"/>
  <c r="U349" i="122"/>
  <c r="U350" i="122"/>
  <c r="V89" i="122"/>
  <c r="V90" i="122"/>
  <c r="V91" i="122"/>
  <c r="V92" i="122"/>
  <c r="V93" i="122"/>
  <c r="V94" i="122"/>
  <c r="V95" i="122"/>
  <c r="V96" i="122"/>
  <c r="V97" i="122"/>
  <c r="V98" i="122"/>
  <c r="V99" i="122"/>
  <c r="V100" i="122"/>
  <c r="V101" i="122"/>
  <c r="V102" i="122"/>
  <c r="V103" i="122"/>
  <c r="V104" i="122"/>
  <c r="V105" i="122"/>
  <c r="V106" i="122"/>
  <c r="V107" i="122"/>
  <c r="V108" i="122"/>
  <c r="V109" i="122"/>
  <c r="V110" i="122"/>
  <c r="V111" i="122"/>
  <c r="V112" i="122"/>
  <c r="V113" i="122"/>
  <c r="V114" i="122"/>
  <c r="V115" i="122"/>
  <c r="V116" i="122"/>
  <c r="V117" i="122"/>
  <c r="V118" i="122"/>
  <c r="V119" i="122"/>
  <c r="V120" i="122"/>
  <c r="V121" i="122"/>
  <c r="V122" i="122"/>
  <c r="V123" i="122"/>
  <c r="V124" i="122"/>
  <c r="V125" i="122"/>
  <c r="V126" i="122"/>
  <c r="V127" i="122"/>
  <c r="V128" i="122"/>
  <c r="V129" i="122"/>
  <c r="V130" i="122"/>
  <c r="V131" i="122"/>
  <c r="V132" i="122"/>
  <c r="V133" i="122"/>
  <c r="V134" i="122"/>
  <c r="V135" i="122"/>
  <c r="V136" i="122"/>
  <c r="V137" i="122"/>
  <c r="V138" i="122"/>
  <c r="V139" i="122"/>
  <c r="V140" i="122"/>
  <c r="V141" i="122"/>
  <c r="V142" i="122"/>
  <c r="V143" i="122"/>
  <c r="V144" i="122"/>
  <c r="V145" i="122"/>
  <c r="V146" i="122"/>
  <c r="V147" i="122"/>
  <c r="V148" i="122"/>
  <c r="V149" i="122"/>
  <c r="V150" i="122"/>
  <c r="V151" i="122"/>
  <c r="V152" i="122"/>
  <c r="V153" i="122"/>
  <c r="V154" i="122"/>
  <c r="V155" i="122"/>
  <c r="V156" i="122"/>
  <c r="V157" i="122"/>
  <c r="V158" i="122"/>
  <c r="V159" i="122"/>
  <c r="V160" i="122"/>
  <c r="V161" i="122"/>
  <c r="V162" i="122"/>
  <c r="V163" i="122"/>
  <c r="V164" i="122"/>
  <c r="V165" i="122"/>
  <c r="V166" i="122"/>
  <c r="V167" i="122"/>
  <c r="V168" i="122"/>
  <c r="V169" i="122"/>
  <c r="V170" i="122"/>
  <c r="V171" i="122"/>
  <c r="V172" i="122"/>
  <c r="V173" i="122"/>
  <c r="V174" i="122"/>
  <c r="V175" i="122"/>
  <c r="V176" i="122"/>
  <c r="V177" i="122"/>
  <c r="V178" i="122"/>
  <c r="V179" i="122"/>
  <c r="V180" i="122"/>
  <c r="V181" i="122"/>
  <c r="V182" i="122"/>
  <c r="V183" i="122"/>
  <c r="V184" i="122"/>
  <c r="V185" i="122"/>
  <c r="V186" i="122"/>
  <c r="V187" i="122"/>
  <c r="V188" i="122"/>
  <c r="V189" i="122"/>
  <c r="V190" i="122"/>
  <c r="V191" i="122"/>
  <c r="V192" i="122"/>
  <c r="V193" i="122"/>
  <c r="V194" i="122"/>
  <c r="V195" i="122"/>
  <c r="V196" i="122"/>
  <c r="V197" i="122"/>
  <c r="V198" i="122"/>
  <c r="V199" i="122"/>
  <c r="V200" i="122"/>
  <c r="V201" i="122"/>
  <c r="V202" i="122"/>
  <c r="V203" i="122"/>
  <c r="V204" i="122"/>
  <c r="V205" i="122"/>
  <c r="V206" i="122"/>
  <c r="V207" i="122"/>
  <c r="V208" i="122"/>
  <c r="V209" i="122"/>
  <c r="V210" i="122"/>
  <c r="V211" i="122"/>
  <c r="V212" i="122"/>
  <c r="V213" i="122"/>
  <c r="V214" i="122"/>
  <c r="V215" i="122"/>
  <c r="V216" i="122"/>
  <c r="V217" i="122"/>
  <c r="V218" i="122"/>
  <c r="V219" i="122"/>
  <c r="V220" i="122"/>
  <c r="V221" i="122"/>
  <c r="V222" i="122"/>
  <c r="V223" i="122"/>
  <c r="V224" i="122"/>
  <c r="V225" i="122"/>
  <c r="V226" i="122"/>
  <c r="V227" i="122"/>
  <c r="V228" i="122"/>
  <c r="V229" i="122"/>
  <c r="V230" i="122"/>
  <c r="V231" i="122"/>
  <c r="V232" i="122"/>
  <c r="V233" i="122"/>
  <c r="V234" i="122"/>
  <c r="V235" i="122"/>
  <c r="V236" i="122"/>
  <c r="V237" i="122"/>
  <c r="V238" i="122"/>
  <c r="V239" i="122"/>
  <c r="V240" i="122"/>
  <c r="V241" i="122"/>
  <c r="V242" i="122"/>
  <c r="V243" i="122"/>
  <c r="V244" i="122"/>
  <c r="V245" i="122"/>
  <c r="V246" i="122"/>
  <c r="V247" i="122"/>
  <c r="V248" i="122"/>
  <c r="V249" i="122"/>
  <c r="V250" i="122"/>
  <c r="V251" i="122"/>
  <c r="V252" i="122"/>
  <c r="V253" i="122"/>
  <c r="V254" i="122"/>
  <c r="V255" i="122"/>
  <c r="V256" i="122"/>
  <c r="V257" i="122"/>
  <c r="V258" i="122"/>
  <c r="V259" i="122"/>
  <c r="V260" i="122"/>
  <c r="V261" i="122"/>
  <c r="V262" i="122"/>
  <c r="V263" i="122"/>
  <c r="V264" i="122"/>
  <c r="V265" i="122"/>
  <c r="V266" i="122"/>
  <c r="V267" i="122"/>
  <c r="V268" i="122"/>
  <c r="V269" i="122"/>
  <c r="V270" i="122"/>
  <c r="V271" i="122"/>
  <c r="V272" i="122"/>
  <c r="V273" i="122"/>
  <c r="V274" i="122"/>
  <c r="V275" i="122"/>
  <c r="V276" i="122"/>
  <c r="V277" i="122"/>
  <c r="V278" i="122"/>
  <c r="V279" i="122"/>
  <c r="V280" i="122"/>
  <c r="V281" i="122"/>
  <c r="V282" i="122"/>
  <c r="V283" i="122"/>
  <c r="V284" i="122"/>
  <c r="V285" i="122"/>
  <c r="V286" i="122"/>
  <c r="V287" i="122"/>
  <c r="V288" i="122"/>
  <c r="V289" i="122"/>
  <c r="V290" i="122"/>
  <c r="V291" i="122"/>
  <c r="V292" i="122"/>
  <c r="V293" i="122"/>
  <c r="V294" i="122"/>
  <c r="V295" i="122"/>
  <c r="V296" i="122"/>
  <c r="V297" i="122"/>
  <c r="V298" i="122"/>
  <c r="V299" i="122"/>
  <c r="V300" i="122"/>
  <c r="V301" i="122"/>
  <c r="V302" i="122"/>
  <c r="V303" i="122"/>
  <c r="V304" i="122"/>
  <c r="V305" i="122"/>
  <c r="V306" i="122"/>
  <c r="V307" i="122"/>
  <c r="V308" i="122"/>
  <c r="V309" i="122"/>
  <c r="V310" i="122"/>
  <c r="V311" i="122"/>
  <c r="V312" i="122"/>
  <c r="V313" i="122"/>
  <c r="V314" i="122"/>
  <c r="V315" i="122"/>
  <c r="V316" i="122"/>
  <c r="V317" i="122"/>
  <c r="V318" i="122"/>
  <c r="V319" i="122"/>
  <c r="V320" i="122"/>
  <c r="V321" i="122"/>
  <c r="V322" i="122"/>
  <c r="V323" i="122"/>
  <c r="V324" i="122"/>
  <c r="V325" i="122"/>
  <c r="V326" i="122"/>
  <c r="V327" i="122"/>
  <c r="V328" i="122"/>
  <c r="V329" i="122"/>
  <c r="V330" i="122"/>
  <c r="V331" i="122"/>
  <c r="V332" i="122"/>
  <c r="V333" i="122"/>
  <c r="V334" i="122"/>
  <c r="V335" i="122"/>
  <c r="V336" i="122"/>
  <c r="V337" i="122"/>
  <c r="V338" i="122"/>
  <c r="V339" i="122"/>
  <c r="V340" i="122"/>
  <c r="V341" i="122"/>
  <c r="V342" i="122"/>
  <c r="V343" i="122"/>
  <c r="V344" i="122"/>
  <c r="V345" i="122"/>
  <c r="V346" i="122"/>
  <c r="V347" i="122"/>
  <c r="V348" i="122"/>
  <c r="V349" i="122"/>
  <c r="V350" i="122"/>
  <c r="K87" i="122"/>
  <c r="K88" i="122"/>
  <c r="L87" i="122"/>
  <c r="L88" i="122"/>
  <c r="N87" i="122"/>
  <c r="N88" i="122"/>
  <c r="U87" i="122"/>
  <c r="U88" i="122"/>
  <c r="V87" i="122"/>
  <c r="V88" i="122"/>
  <c r="V2" i="122"/>
  <c r="V3" i="122"/>
  <c r="V4" i="122"/>
  <c r="V5" i="122"/>
  <c r="V6" i="122"/>
  <c r="V7" i="122"/>
  <c r="V8" i="122"/>
  <c r="V9" i="122"/>
  <c r="V10" i="122"/>
  <c r="V11" i="122"/>
  <c r="V12" i="122"/>
  <c r="V13" i="122"/>
  <c r="V14" i="122"/>
  <c r="V15" i="122"/>
  <c r="V16" i="122"/>
  <c r="V17" i="122"/>
  <c r="V18" i="122"/>
  <c r="V19" i="122"/>
  <c r="V20" i="122"/>
  <c r="V21" i="122"/>
  <c r="V22" i="122"/>
  <c r="V23" i="122"/>
  <c r="V24" i="122"/>
  <c r="V25" i="122"/>
  <c r="V26" i="122"/>
  <c r="V27" i="122"/>
  <c r="V28" i="122"/>
  <c r="V29" i="122"/>
  <c r="V30" i="122"/>
  <c r="V31" i="122"/>
  <c r="V32" i="122"/>
  <c r="V33" i="122"/>
  <c r="V34" i="122"/>
  <c r="V35" i="122"/>
  <c r="V36" i="122"/>
  <c r="V37" i="122"/>
  <c r="V38" i="122"/>
  <c r="V39" i="122"/>
  <c r="V40" i="122"/>
  <c r="V41" i="122"/>
  <c r="V42" i="122"/>
  <c r="V43" i="122"/>
  <c r="V44" i="122"/>
  <c r="V45" i="122"/>
  <c r="V46" i="122"/>
  <c r="V47" i="122"/>
  <c r="V48" i="122"/>
  <c r="V49" i="122"/>
  <c r="V50" i="122"/>
  <c r="V51" i="122"/>
  <c r="V52" i="122"/>
  <c r="V53" i="122"/>
  <c r="V54" i="122"/>
  <c r="V55" i="122"/>
  <c r="V56" i="122"/>
  <c r="V57" i="122"/>
  <c r="V58" i="122"/>
  <c r="V59" i="122"/>
  <c r="V60" i="122"/>
  <c r="V61" i="122"/>
  <c r="V62" i="122"/>
  <c r="V63" i="122"/>
  <c r="V64" i="122"/>
  <c r="V65" i="122"/>
  <c r="V66" i="122"/>
  <c r="V67" i="122"/>
  <c r="V68" i="122"/>
  <c r="V69" i="122"/>
  <c r="V70" i="122"/>
  <c r="V71" i="122"/>
  <c r="V72" i="122"/>
  <c r="V73" i="122"/>
  <c r="V74" i="122"/>
  <c r="V75" i="122"/>
  <c r="V76" i="122"/>
  <c r="V77" i="122"/>
  <c r="V78" i="122"/>
  <c r="V79" i="122"/>
  <c r="V80" i="122"/>
  <c r="V81" i="122"/>
  <c r="V82" i="122"/>
  <c r="V83" i="122"/>
  <c r="V84" i="122"/>
  <c r="V85" i="122"/>
  <c r="V86" i="122"/>
  <c r="U2" i="122"/>
  <c r="U3" i="122"/>
  <c r="U4" i="122"/>
  <c r="U5" i="122"/>
  <c r="U6" i="122"/>
  <c r="U7" i="122"/>
  <c r="U8" i="122"/>
  <c r="U9" i="122"/>
  <c r="U10" i="122"/>
  <c r="U11" i="122"/>
  <c r="U12" i="122"/>
  <c r="U13" i="122"/>
  <c r="U14" i="122"/>
  <c r="U15" i="122"/>
  <c r="U16" i="122"/>
  <c r="U17" i="122"/>
  <c r="U18" i="122"/>
  <c r="U19" i="122"/>
  <c r="U20" i="122"/>
  <c r="U21" i="122"/>
  <c r="U22" i="122"/>
  <c r="U23" i="122"/>
  <c r="U24" i="122"/>
  <c r="U25" i="122"/>
  <c r="U26" i="122"/>
  <c r="U27" i="122"/>
  <c r="U28" i="122"/>
  <c r="U29" i="122"/>
  <c r="U30" i="122"/>
  <c r="U31" i="122"/>
  <c r="U32" i="122"/>
  <c r="U33" i="122"/>
  <c r="U34" i="122"/>
  <c r="U35" i="122"/>
  <c r="U36" i="122"/>
  <c r="U37" i="122"/>
  <c r="U38" i="122"/>
  <c r="U39" i="122"/>
  <c r="U40" i="122"/>
  <c r="U41" i="122"/>
  <c r="U42" i="122"/>
  <c r="U43" i="122"/>
  <c r="U44" i="122"/>
  <c r="U45" i="122"/>
  <c r="U46" i="122"/>
  <c r="U47" i="122"/>
  <c r="U48" i="122"/>
  <c r="U49" i="122"/>
  <c r="U50" i="122"/>
  <c r="U51" i="122"/>
  <c r="U52" i="122"/>
  <c r="U53" i="122"/>
  <c r="U54" i="122"/>
  <c r="U55" i="122"/>
  <c r="U56" i="122"/>
  <c r="U57" i="122"/>
  <c r="U58" i="122"/>
  <c r="U59" i="122"/>
  <c r="U60" i="122"/>
  <c r="U61" i="122"/>
  <c r="U62" i="122"/>
  <c r="U63" i="122"/>
  <c r="U64" i="122"/>
  <c r="U65" i="122"/>
  <c r="U66" i="122"/>
  <c r="U67" i="122"/>
  <c r="U68" i="122"/>
  <c r="U69" i="122"/>
  <c r="U70" i="122"/>
  <c r="U71" i="122"/>
  <c r="U72" i="122"/>
  <c r="U73" i="122"/>
  <c r="U74" i="122"/>
  <c r="U75" i="122"/>
  <c r="U76" i="122"/>
  <c r="U77" i="122"/>
  <c r="U78" i="122"/>
  <c r="U79" i="122"/>
  <c r="U80" i="122"/>
  <c r="U81" i="122"/>
  <c r="U82" i="122"/>
  <c r="U83" i="122"/>
  <c r="U84" i="122"/>
  <c r="U85" i="122"/>
  <c r="U86" i="122"/>
  <c r="N2" i="122"/>
  <c r="N3" i="122"/>
  <c r="N4" i="122"/>
  <c r="N5" i="122"/>
  <c r="N6" i="122"/>
  <c r="N7" i="122"/>
  <c r="N8" i="122"/>
  <c r="N9" i="122"/>
  <c r="N10" i="122"/>
  <c r="N11" i="122"/>
  <c r="N12" i="122"/>
  <c r="N13" i="122"/>
  <c r="N14" i="122"/>
  <c r="N15" i="122"/>
  <c r="N16" i="122"/>
  <c r="N17" i="122"/>
  <c r="N18" i="122"/>
  <c r="N19" i="122"/>
  <c r="N20" i="122"/>
  <c r="N21" i="122"/>
  <c r="N22" i="122"/>
  <c r="N23" i="122"/>
  <c r="N24" i="122"/>
  <c r="N25" i="122"/>
  <c r="N26" i="122"/>
  <c r="N27" i="122"/>
  <c r="N28" i="122"/>
  <c r="N29" i="122"/>
  <c r="N30" i="122"/>
  <c r="N31" i="122"/>
  <c r="N32" i="122"/>
  <c r="N33" i="122"/>
  <c r="N34" i="122"/>
  <c r="N35" i="122"/>
  <c r="N36" i="122"/>
  <c r="N37" i="122"/>
  <c r="N38" i="122"/>
  <c r="N39" i="122"/>
  <c r="N40" i="122"/>
  <c r="N41" i="122"/>
  <c r="N42" i="122"/>
  <c r="N43" i="122"/>
  <c r="N44" i="122"/>
  <c r="N45" i="122"/>
  <c r="N46" i="122"/>
  <c r="N47" i="122"/>
  <c r="N48" i="122"/>
  <c r="N49" i="122"/>
  <c r="N50" i="122"/>
  <c r="N51" i="122"/>
  <c r="N52" i="122"/>
  <c r="N53" i="122"/>
  <c r="N54" i="122"/>
  <c r="N55" i="122"/>
  <c r="N56" i="122"/>
  <c r="N57" i="122"/>
  <c r="N58" i="122"/>
  <c r="N59" i="122"/>
  <c r="N60" i="122"/>
  <c r="N61" i="122"/>
  <c r="N62" i="122"/>
  <c r="N63" i="122"/>
  <c r="N64" i="122"/>
  <c r="N65" i="122"/>
  <c r="N66" i="122"/>
  <c r="N67" i="122"/>
  <c r="N68" i="122"/>
  <c r="N69" i="122"/>
  <c r="N70" i="122"/>
  <c r="N71" i="122"/>
  <c r="N72" i="122"/>
  <c r="N73" i="122"/>
  <c r="N74" i="122"/>
  <c r="N75" i="122"/>
  <c r="N76" i="122"/>
  <c r="N77" i="122"/>
  <c r="N78" i="122"/>
  <c r="N79" i="122"/>
  <c r="N80" i="122"/>
  <c r="N81" i="122"/>
  <c r="N82" i="122"/>
  <c r="N83" i="122"/>
  <c r="N84" i="122"/>
  <c r="N85" i="122"/>
  <c r="N86" i="122"/>
  <c r="K2" i="122"/>
  <c r="K3" i="122"/>
  <c r="K4" i="122"/>
  <c r="K5" i="122"/>
  <c r="K6" i="122"/>
  <c r="K7" i="122"/>
  <c r="K8" i="122"/>
  <c r="K9" i="122"/>
  <c r="K10" i="122"/>
  <c r="K11" i="122"/>
  <c r="K12" i="122"/>
  <c r="K13" i="122"/>
  <c r="K14" i="122"/>
  <c r="K15" i="122"/>
  <c r="K16" i="122"/>
  <c r="K17" i="122"/>
  <c r="K18" i="122"/>
  <c r="K19" i="122"/>
  <c r="K20" i="122"/>
  <c r="K21" i="122"/>
  <c r="K22" i="122"/>
  <c r="K23" i="122"/>
  <c r="K24" i="122"/>
  <c r="K25" i="122"/>
  <c r="K26" i="122"/>
  <c r="K27" i="122"/>
  <c r="K28" i="122"/>
  <c r="K29" i="122"/>
  <c r="K30" i="122"/>
  <c r="K31" i="122"/>
  <c r="K32" i="122"/>
  <c r="K33" i="122"/>
  <c r="K34" i="122"/>
  <c r="K35" i="122"/>
  <c r="K36" i="122"/>
  <c r="K37" i="122"/>
  <c r="K38" i="122"/>
  <c r="K39" i="122"/>
  <c r="K40" i="122"/>
  <c r="K41" i="122"/>
  <c r="K42" i="122"/>
  <c r="K43" i="122"/>
  <c r="K44" i="122"/>
  <c r="K45" i="122"/>
  <c r="K46" i="122"/>
  <c r="K47" i="122"/>
  <c r="K48" i="122"/>
  <c r="K49" i="122"/>
  <c r="K50" i="122"/>
  <c r="K51" i="122"/>
  <c r="K52" i="122"/>
  <c r="K53" i="122"/>
  <c r="K54" i="122"/>
  <c r="K55" i="122"/>
  <c r="K56" i="122"/>
  <c r="K57" i="122"/>
  <c r="K58" i="122"/>
  <c r="K59" i="122"/>
  <c r="K60" i="122"/>
  <c r="K61" i="122"/>
  <c r="K62" i="122"/>
  <c r="K63" i="122"/>
  <c r="K64" i="122"/>
  <c r="K65" i="122"/>
  <c r="K66" i="122"/>
  <c r="K67" i="122"/>
  <c r="K68" i="122"/>
  <c r="K69" i="122"/>
  <c r="K70" i="122"/>
  <c r="K71" i="122"/>
  <c r="K72" i="122"/>
  <c r="K73" i="122"/>
  <c r="K74" i="122"/>
  <c r="K75" i="122"/>
  <c r="K76" i="122"/>
  <c r="K77" i="122"/>
  <c r="K78" i="122"/>
  <c r="K79" i="122"/>
  <c r="K80" i="122"/>
  <c r="K81" i="122"/>
  <c r="K82" i="122"/>
  <c r="K83" i="122"/>
  <c r="K84" i="122"/>
  <c r="K85" i="122"/>
  <c r="K86" i="122"/>
  <c r="L2" i="122"/>
  <c r="L3" i="122"/>
  <c r="L4" i="122"/>
  <c r="L5" i="122"/>
  <c r="L6" i="122"/>
  <c r="L7" i="122"/>
  <c r="L8" i="122"/>
  <c r="L9" i="122"/>
  <c r="L10" i="122"/>
  <c r="L11" i="122"/>
  <c r="L12" i="122"/>
  <c r="L13" i="122"/>
  <c r="L14" i="122"/>
  <c r="L15" i="122"/>
  <c r="L16" i="122"/>
  <c r="L17" i="122"/>
  <c r="L18" i="122"/>
  <c r="L19" i="122"/>
  <c r="L20" i="122"/>
  <c r="L21" i="122"/>
  <c r="L22" i="122"/>
  <c r="L23" i="122"/>
  <c r="L24" i="122"/>
  <c r="L25" i="122"/>
  <c r="L26" i="122"/>
  <c r="L27" i="122"/>
  <c r="L28" i="122"/>
  <c r="L29" i="122"/>
  <c r="L30" i="122"/>
  <c r="L31" i="122"/>
  <c r="L32" i="122"/>
  <c r="L33" i="122"/>
  <c r="L34" i="122"/>
  <c r="L35" i="122"/>
  <c r="L36" i="122"/>
  <c r="L37" i="122"/>
  <c r="L38" i="122"/>
  <c r="L39" i="122"/>
  <c r="L40" i="122"/>
  <c r="L41" i="122"/>
  <c r="L42" i="122"/>
  <c r="L43" i="122"/>
  <c r="L44" i="122"/>
  <c r="L45" i="122"/>
  <c r="L46" i="122"/>
  <c r="L47" i="122"/>
  <c r="L48" i="122"/>
  <c r="L49" i="122"/>
  <c r="L50" i="122"/>
  <c r="L51" i="122"/>
  <c r="L52" i="122"/>
  <c r="L53" i="122"/>
  <c r="L54" i="122"/>
  <c r="L55" i="122"/>
  <c r="L56" i="122"/>
  <c r="L57" i="122"/>
  <c r="L58" i="122"/>
  <c r="L59" i="122"/>
  <c r="L60" i="122"/>
  <c r="L61" i="122"/>
  <c r="L62" i="122"/>
  <c r="L63" i="122"/>
  <c r="L64" i="122"/>
  <c r="L65" i="122"/>
  <c r="L66" i="122"/>
  <c r="L67" i="122"/>
  <c r="L68" i="122"/>
  <c r="L69" i="122"/>
  <c r="L70" i="122"/>
  <c r="L71" i="122"/>
  <c r="L72" i="122"/>
  <c r="L73" i="122"/>
  <c r="L74" i="122"/>
  <c r="L75" i="122"/>
  <c r="L76" i="122"/>
  <c r="L77" i="122"/>
  <c r="L78" i="122"/>
  <c r="L79" i="122"/>
  <c r="L80" i="122"/>
  <c r="L81" i="122"/>
  <c r="L82" i="122"/>
  <c r="L83" i="122"/>
  <c r="L84" i="122"/>
  <c r="L85" i="122"/>
  <c r="L86" i="122"/>
  <c r="AL1009" i="15"/>
  <c r="AL1008" i="15"/>
  <c r="AL1007" i="15"/>
  <c r="AL1006" i="15"/>
  <c r="AL1005" i="15"/>
  <c r="AL1004" i="15"/>
  <c r="AL1003" i="15"/>
  <c r="AL1002" i="15"/>
  <c r="AL1001" i="15"/>
  <c r="AL1000" i="15"/>
  <c r="AL999" i="15"/>
  <c r="AL998" i="15"/>
  <c r="AL997" i="15"/>
  <c r="AL996" i="15"/>
  <c r="AL995" i="15"/>
  <c r="AL994" i="15"/>
  <c r="AL993" i="15"/>
  <c r="AL992" i="15"/>
  <c r="AL991" i="15"/>
  <c r="AL990" i="15"/>
  <c r="AL989" i="15"/>
  <c r="AL988" i="15"/>
  <c r="AL987" i="15"/>
  <c r="AL986" i="15"/>
  <c r="AL985" i="15"/>
  <c r="AL984" i="15"/>
  <c r="AL983" i="15"/>
  <c r="AL982" i="15"/>
  <c r="AL981" i="15"/>
  <c r="AL980" i="15"/>
  <c r="AL979" i="15"/>
  <c r="AL978" i="15"/>
  <c r="AL977" i="15"/>
  <c r="AL976" i="15"/>
  <c r="AL975" i="15"/>
  <c r="AL974" i="15"/>
  <c r="AL973" i="15"/>
  <c r="AL972" i="15"/>
  <c r="AL971" i="15"/>
  <c r="AL970" i="15"/>
  <c r="AL969" i="15"/>
  <c r="AL968" i="15"/>
  <c r="AL967" i="15"/>
  <c r="AL966" i="15"/>
  <c r="AL965" i="15"/>
  <c r="AL964" i="15"/>
  <c r="AL963" i="15"/>
  <c r="AL962" i="15"/>
  <c r="AL961" i="15"/>
  <c r="AL960" i="15"/>
  <c r="AL959" i="15"/>
  <c r="AL958" i="15"/>
  <c r="AL957" i="15"/>
  <c r="AL956" i="15"/>
  <c r="AL955" i="15"/>
  <c r="AL954" i="15"/>
  <c r="AL953" i="15"/>
  <c r="AL952" i="15"/>
  <c r="AL951" i="15"/>
  <c r="AL950" i="15"/>
  <c r="AL949" i="15"/>
  <c r="AL948" i="15"/>
  <c r="AL947" i="15"/>
  <c r="AL946" i="15"/>
  <c r="AL945" i="15"/>
  <c r="AL944" i="15"/>
  <c r="AL943" i="15"/>
  <c r="AL942" i="15"/>
  <c r="AL941" i="15"/>
  <c r="AL940" i="15"/>
  <c r="AL939" i="15"/>
  <c r="AL938" i="15"/>
  <c r="AL937" i="15"/>
  <c r="AL936" i="15"/>
  <c r="AL935" i="15"/>
  <c r="AL934" i="15"/>
  <c r="AL933" i="15"/>
  <c r="AL932" i="15"/>
  <c r="AL931" i="15"/>
  <c r="AL930" i="15"/>
  <c r="AL929" i="15"/>
  <c r="AL928" i="15"/>
  <c r="AL927" i="15"/>
  <c r="AL926" i="15"/>
  <c r="AL925" i="15"/>
  <c r="AL924" i="15"/>
  <c r="AL923" i="15"/>
  <c r="AL922" i="15"/>
  <c r="AL921" i="15"/>
  <c r="AL920" i="15"/>
  <c r="AL919" i="15"/>
  <c r="AL918" i="15"/>
  <c r="AL917" i="15"/>
  <c r="AL916" i="15"/>
  <c r="AL915" i="15"/>
  <c r="AL914" i="15"/>
  <c r="AL913" i="15"/>
  <c r="AL912" i="15"/>
  <c r="AL911" i="15"/>
  <c r="AL910" i="15"/>
  <c r="AL909" i="15"/>
  <c r="AL908" i="15"/>
  <c r="AL907" i="15"/>
  <c r="AL906" i="15"/>
  <c r="AL905" i="15"/>
  <c r="AL904" i="15"/>
  <c r="AL903" i="15"/>
  <c r="AL902" i="15"/>
  <c r="AL901" i="15"/>
  <c r="AL900" i="15"/>
  <c r="AL899" i="15"/>
  <c r="AL898" i="15"/>
  <c r="AL897" i="15"/>
  <c r="AL896" i="15"/>
  <c r="AL895" i="15"/>
  <c r="AL894" i="15"/>
  <c r="AL893" i="15"/>
  <c r="AL892" i="15"/>
  <c r="AL891" i="15"/>
  <c r="AL890" i="15"/>
  <c r="AL889" i="15"/>
  <c r="AL888" i="15"/>
  <c r="AL887" i="15"/>
  <c r="AL886" i="15"/>
  <c r="AL885" i="15"/>
  <c r="AL884" i="15"/>
  <c r="AL883" i="15"/>
  <c r="AL882" i="15"/>
  <c r="AL881" i="15"/>
  <c r="AL880" i="15"/>
  <c r="AL879" i="15"/>
  <c r="AL878" i="15"/>
  <c r="AL877" i="15"/>
  <c r="AL876" i="15"/>
  <c r="AL875" i="15"/>
  <c r="AL874" i="15"/>
  <c r="AL873" i="15"/>
  <c r="AL872" i="15"/>
  <c r="AL871" i="15"/>
  <c r="AL870" i="15"/>
  <c r="AL869" i="15"/>
  <c r="AL868" i="15"/>
  <c r="AL867" i="15"/>
  <c r="AL866" i="15"/>
  <c r="AL865" i="15"/>
  <c r="AL864" i="15"/>
  <c r="AL863" i="15"/>
  <c r="AL862" i="15"/>
  <c r="AL861" i="15"/>
  <c r="AL860" i="15"/>
  <c r="AL859" i="15"/>
  <c r="AL858" i="15"/>
  <c r="AL857" i="15"/>
  <c r="AL856" i="15"/>
  <c r="AL855" i="15"/>
  <c r="AL854" i="15"/>
  <c r="AL853" i="15"/>
  <c r="AL852" i="15"/>
  <c r="AL851" i="15"/>
  <c r="AL850" i="15"/>
  <c r="AL849" i="15"/>
  <c r="AL848" i="15"/>
  <c r="AL847" i="15"/>
  <c r="AL846" i="15"/>
  <c r="AL845" i="15"/>
  <c r="AL844" i="15"/>
  <c r="AL843" i="15"/>
  <c r="AL842" i="15"/>
  <c r="AL841" i="15"/>
  <c r="AL840" i="15"/>
  <c r="AL839" i="15"/>
  <c r="AL838" i="15"/>
  <c r="AL837" i="15"/>
  <c r="AL836" i="15"/>
  <c r="AL835" i="15"/>
  <c r="AL834" i="15"/>
  <c r="AL833" i="15"/>
  <c r="AL832" i="15"/>
  <c r="AL831" i="15"/>
  <c r="AL830" i="15"/>
  <c r="AL829" i="15"/>
  <c r="AL828" i="15"/>
  <c r="AL827" i="15"/>
  <c r="AL826" i="15"/>
  <c r="AL825" i="15"/>
  <c r="AL824" i="15"/>
  <c r="AL823" i="15"/>
  <c r="AL822" i="15"/>
  <c r="AL821" i="15"/>
  <c r="AL820" i="15"/>
  <c r="AL819" i="15"/>
  <c r="AL818" i="15"/>
  <c r="AL817" i="15"/>
  <c r="AL816" i="15"/>
  <c r="AL815" i="15"/>
  <c r="AL814" i="15"/>
  <c r="AL813" i="15"/>
  <c r="AL812" i="15"/>
  <c r="AL811" i="15"/>
  <c r="AL810" i="15"/>
  <c r="AL809" i="15"/>
  <c r="AL808" i="15"/>
  <c r="AL807" i="15"/>
  <c r="AL806" i="15"/>
  <c r="AL805" i="15"/>
  <c r="AL804" i="15"/>
  <c r="AL803" i="15"/>
  <c r="AL802" i="15"/>
  <c r="AL801" i="15"/>
  <c r="AL800" i="15"/>
  <c r="AL799" i="15"/>
  <c r="AL798" i="15"/>
  <c r="AL797" i="15"/>
  <c r="AL796" i="15"/>
  <c r="AL795" i="15"/>
  <c r="AL794" i="15"/>
  <c r="AL793" i="15"/>
  <c r="AL792" i="15"/>
  <c r="AL791" i="15"/>
  <c r="AL790" i="15"/>
  <c r="AL789" i="15"/>
  <c r="AL788" i="15"/>
  <c r="AL787" i="15"/>
  <c r="AL786" i="15"/>
  <c r="AL785" i="15"/>
  <c r="AL784" i="15"/>
  <c r="AL783" i="15"/>
  <c r="AL782" i="15"/>
  <c r="AL781" i="15"/>
  <c r="AL780" i="15"/>
  <c r="AL779" i="15"/>
  <c r="AL778" i="15"/>
  <c r="AL777" i="15"/>
  <c r="AL776" i="15"/>
  <c r="AL775" i="15"/>
  <c r="AL774" i="15"/>
  <c r="AL773" i="15"/>
  <c r="AL772" i="15"/>
  <c r="AL771" i="15"/>
  <c r="AL770" i="15"/>
  <c r="AL769" i="15"/>
  <c r="AL768" i="15"/>
  <c r="AL767" i="15"/>
  <c r="AL766" i="15"/>
  <c r="AL765" i="15"/>
  <c r="AL764" i="15"/>
  <c r="AL763" i="15"/>
  <c r="AL762" i="15"/>
  <c r="AL761" i="15"/>
  <c r="AL760" i="15"/>
  <c r="AL759" i="15"/>
  <c r="AL758" i="15"/>
  <c r="AL757" i="15"/>
  <c r="AL756" i="15"/>
  <c r="AL755" i="15"/>
  <c r="AL754" i="15"/>
  <c r="AL753" i="15"/>
  <c r="AL752" i="15"/>
  <c r="AL751" i="15"/>
  <c r="AL750" i="15"/>
  <c r="AL749" i="15"/>
  <c r="AL748" i="15"/>
  <c r="AL747" i="15"/>
  <c r="AL746" i="15"/>
  <c r="AL745" i="15"/>
  <c r="AL744" i="15"/>
  <c r="AL743" i="15"/>
  <c r="AL742" i="15"/>
  <c r="AL741" i="15"/>
  <c r="AL740" i="15"/>
  <c r="AL739" i="15"/>
  <c r="AL738" i="15"/>
  <c r="AL737" i="15"/>
  <c r="AL736" i="15"/>
  <c r="AL735" i="15"/>
  <c r="AL734" i="15"/>
  <c r="AL733" i="15"/>
  <c r="AL732" i="15"/>
  <c r="AL731" i="15"/>
  <c r="AL730" i="15"/>
  <c r="AL729" i="15"/>
  <c r="AL728" i="15"/>
  <c r="AL727" i="15"/>
  <c r="AL726" i="15"/>
  <c r="AL725" i="15"/>
  <c r="AL724" i="15"/>
  <c r="AL723" i="15"/>
  <c r="AL722" i="15"/>
  <c r="AL721" i="15"/>
  <c r="AL720" i="15"/>
  <c r="AL719" i="15"/>
  <c r="AL718" i="15"/>
  <c r="AL717" i="15"/>
  <c r="AL716" i="15"/>
  <c r="AL715" i="15"/>
  <c r="AL714" i="15"/>
  <c r="AL713" i="15"/>
  <c r="AL712" i="15"/>
  <c r="AL711" i="15"/>
  <c r="AL710" i="15"/>
  <c r="AL709" i="15"/>
  <c r="AL708" i="15"/>
  <c r="AL707" i="15"/>
  <c r="AL706" i="15"/>
  <c r="AL705" i="15"/>
  <c r="AL704" i="15"/>
  <c r="AL703" i="15"/>
  <c r="AL702" i="15"/>
  <c r="AL701" i="15"/>
  <c r="AL700" i="15"/>
  <c r="AL699" i="15"/>
  <c r="AL698" i="15"/>
  <c r="AL697" i="15"/>
  <c r="AL696" i="15"/>
  <c r="AL695" i="15"/>
  <c r="AL694" i="15"/>
  <c r="AL693" i="15"/>
  <c r="AL692" i="15"/>
  <c r="AL691" i="15"/>
  <c r="AL690" i="15"/>
  <c r="AL689" i="15"/>
  <c r="AL688" i="15"/>
  <c r="AL687" i="15"/>
  <c r="AL686" i="15"/>
  <c r="AL685" i="15"/>
  <c r="AL684" i="15"/>
  <c r="AL683" i="15"/>
  <c r="AL682" i="15"/>
  <c r="AL681" i="15"/>
  <c r="AL680" i="15"/>
  <c r="AL679" i="15"/>
  <c r="AL678" i="15"/>
  <c r="AL677" i="15"/>
  <c r="AL676" i="15"/>
  <c r="AL675" i="15"/>
  <c r="AL674" i="15"/>
  <c r="AL673" i="15"/>
  <c r="AL672" i="15"/>
  <c r="AL671" i="15"/>
  <c r="AL670" i="15"/>
  <c r="AL669" i="15"/>
  <c r="AL668" i="15"/>
  <c r="AL667" i="15"/>
  <c r="AL666" i="15"/>
  <c r="AL665" i="15"/>
  <c r="AL664" i="15"/>
  <c r="AL663" i="15"/>
  <c r="AL662" i="15"/>
  <c r="AL661" i="15"/>
  <c r="AL660" i="15"/>
  <c r="AL659" i="15"/>
  <c r="AL658" i="15"/>
  <c r="AL657" i="15"/>
  <c r="AL656" i="15"/>
  <c r="AL655" i="15"/>
  <c r="AL654" i="15"/>
  <c r="AL653" i="15"/>
  <c r="AL652" i="15"/>
  <c r="AL651" i="15"/>
  <c r="AL650" i="15"/>
  <c r="AL649" i="15"/>
  <c r="AL648" i="15"/>
  <c r="AL647" i="15"/>
  <c r="AL646" i="15"/>
  <c r="AL645" i="15"/>
  <c r="AL644" i="15"/>
  <c r="AL643" i="15"/>
  <c r="AL642" i="15"/>
  <c r="AL641" i="15"/>
  <c r="AL640" i="15"/>
  <c r="AL639" i="15"/>
  <c r="AL638" i="15"/>
  <c r="AL637" i="15"/>
  <c r="AL636" i="15"/>
  <c r="AL635" i="15"/>
  <c r="AL634" i="15"/>
  <c r="AL633" i="15"/>
  <c r="AL632" i="15"/>
  <c r="AL631" i="15"/>
  <c r="AL630" i="15"/>
  <c r="AL629" i="15"/>
  <c r="AL628" i="15"/>
  <c r="AL627" i="15"/>
  <c r="AL626" i="15"/>
  <c r="AL625" i="15"/>
  <c r="AL624" i="15"/>
  <c r="AL623" i="15"/>
  <c r="AL622" i="15"/>
  <c r="AL621" i="15"/>
  <c r="AL620" i="15"/>
  <c r="AL619" i="15"/>
  <c r="AL618" i="15"/>
  <c r="AL617" i="15"/>
  <c r="AL616" i="15"/>
  <c r="AL615" i="15"/>
  <c r="AL614" i="15"/>
  <c r="AL613" i="15"/>
  <c r="AL612" i="15"/>
  <c r="AL611" i="15"/>
  <c r="AL610" i="15"/>
  <c r="AL609" i="15"/>
  <c r="AL608" i="15"/>
  <c r="AL607" i="15"/>
  <c r="AL606" i="15"/>
  <c r="AL605" i="15"/>
  <c r="AL604" i="15"/>
  <c r="AL603" i="15"/>
  <c r="AL602" i="15"/>
  <c r="AL601" i="15"/>
  <c r="AL600" i="15"/>
  <c r="AL599" i="15"/>
  <c r="AL598" i="15"/>
  <c r="AL597" i="15"/>
  <c r="AL596" i="15"/>
  <c r="AL595" i="15"/>
  <c r="AL594" i="15"/>
  <c r="AL593" i="15"/>
  <c r="AL592" i="15"/>
  <c r="AL591" i="15"/>
  <c r="AL590" i="15"/>
  <c r="AL589" i="15"/>
  <c r="AL588" i="15"/>
  <c r="AL587" i="15"/>
  <c r="AL586" i="15"/>
  <c r="AL585" i="15"/>
  <c r="AL584" i="15"/>
  <c r="AL583" i="15"/>
  <c r="AL582" i="15"/>
  <c r="AL581" i="15"/>
  <c r="AL580" i="15"/>
  <c r="AL579" i="15"/>
  <c r="AL578" i="15"/>
  <c r="AL577" i="15"/>
  <c r="AL576" i="15"/>
  <c r="AL575" i="15"/>
  <c r="AL574" i="15"/>
  <c r="AL573" i="15"/>
  <c r="AL572" i="15"/>
  <c r="AL571" i="15"/>
  <c r="AL570" i="15"/>
  <c r="AL569" i="15"/>
  <c r="AL568" i="15"/>
  <c r="AL567" i="15"/>
  <c r="AL566" i="15"/>
  <c r="AL565" i="15"/>
  <c r="AL564" i="15"/>
  <c r="AL563" i="15"/>
  <c r="AL562" i="15"/>
  <c r="AL561" i="15"/>
  <c r="AL560" i="15"/>
  <c r="AL559" i="15"/>
  <c r="AL558" i="15"/>
  <c r="AL557" i="15"/>
  <c r="AL556" i="15"/>
  <c r="AL555" i="15"/>
  <c r="AL554" i="15"/>
  <c r="AL553" i="15"/>
  <c r="AL552" i="15"/>
  <c r="AL551" i="15"/>
  <c r="AL550" i="15"/>
  <c r="AL549" i="15"/>
  <c r="AL548" i="15"/>
  <c r="AL547" i="15"/>
  <c r="AL546" i="15"/>
  <c r="AL545" i="15"/>
  <c r="AL544" i="15"/>
  <c r="AL543" i="15"/>
  <c r="AL542" i="15"/>
  <c r="AL541" i="15"/>
  <c r="AL540" i="15"/>
  <c r="AL539" i="15"/>
  <c r="AL538" i="15"/>
  <c r="AL537" i="15"/>
  <c r="AL536" i="15"/>
  <c r="AL535" i="15"/>
  <c r="AL534" i="15"/>
  <c r="AL533" i="15"/>
  <c r="AL532" i="15"/>
  <c r="AL531" i="15"/>
  <c r="AL530" i="15"/>
  <c r="AL529" i="15"/>
  <c r="AL528" i="15"/>
  <c r="AL527" i="15"/>
  <c r="AL526" i="15"/>
  <c r="AL525" i="15"/>
  <c r="AL524" i="15"/>
  <c r="AL523" i="15"/>
  <c r="AL522" i="15"/>
  <c r="AL521" i="15"/>
  <c r="AL520" i="15"/>
  <c r="AL519" i="15"/>
  <c r="AL518" i="15"/>
  <c r="AL517" i="15"/>
  <c r="AL516" i="15"/>
  <c r="AL515" i="15"/>
  <c r="AL514" i="15"/>
  <c r="AL513" i="15"/>
  <c r="AL512" i="15"/>
  <c r="AL511" i="15"/>
  <c r="AL510" i="15"/>
  <c r="AL509" i="15"/>
  <c r="AL508" i="15"/>
  <c r="AL507" i="15"/>
  <c r="AL506" i="15"/>
  <c r="AL505" i="15"/>
  <c r="AL504" i="15"/>
  <c r="AL503" i="15"/>
  <c r="AL502" i="15"/>
  <c r="AL501" i="15"/>
  <c r="AL500" i="15"/>
  <c r="AL499" i="15"/>
  <c r="AL498" i="15"/>
  <c r="AL497" i="15"/>
  <c r="AL496" i="15"/>
  <c r="AL495" i="15"/>
  <c r="AL494" i="15"/>
  <c r="AL493" i="15"/>
  <c r="AL492" i="15"/>
  <c r="AL491" i="15"/>
  <c r="AL490" i="15"/>
  <c r="AL489" i="15"/>
  <c r="AL488" i="15"/>
  <c r="AL487" i="15"/>
  <c r="AL486" i="15"/>
  <c r="AL485" i="15"/>
  <c r="AL484" i="15"/>
  <c r="AL483" i="15"/>
  <c r="AL482" i="15"/>
  <c r="AL481" i="15"/>
  <c r="AL480" i="15"/>
  <c r="AL479" i="15"/>
  <c r="AL478" i="15"/>
  <c r="AL477" i="15"/>
  <c r="AJ1009" i="15"/>
  <c r="AJ1008" i="15"/>
  <c r="AJ1007" i="15"/>
  <c r="AJ1006" i="15"/>
  <c r="AJ1005" i="15"/>
  <c r="AJ1004" i="15"/>
  <c r="AJ1003" i="15"/>
  <c r="AJ1002" i="15"/>
  <c r="AJ1001" i="15"/>
  <c r="AJ1000" i="15"/>
  <c r="AJ999" i="15"/>
  <c r="AJ998" i="15"/>
  <c r="AJ997" i="15"/>
  <c r="AJ996" i="15"/>
  <c r="AJ995" i="15"/>
  <c r="AJ994" i="15"/>
  <c r="AJ993" i="15"/>
  <c r="AJ992" i="15"/>
  <c r="AJ991" i="15"/>
  <c r="AJ990" i="15"/>
  <c r="AJ989" i="15"/>
  <c r="AJ988" i="15"/>
  <c r="AJ987" i="15"/>
  <c r="AJ986" i="15"/>
  <c r="AJ985" i="15"/>
  <c r="AJ984" i="15"/>
  <c r="AJ983" i="15"/>
  <c r="AJ982" i="15"/>
  <c r="AJ981" i="15"/>
  <c r="AJ980" i="15"/>
  <c r="AJ979" i="15"/>
  <c r="AJ978" i="15"/>
  <c r="AJ977" i="15"/>
  <c r="AJ976" i="15"/>
  <c r="AJ975" i="15"/>
  <c r="AJ974" i="15"/>
  <c r="AJ973" i="15"/>
  <c r="AJ972" i="15"/>
  <c r="AJ971" i="15"/>
  <c r="AJ970" i="15"/>
  <c r="AJ969" i="15"/>
  <c r="AJ968" i="15"/>
  <c r="AJ967" i="15"/>
  <c r="AJ966" i="15"/>
  <c r="AJ965" i="15"/>
  <c r="AJ964" i="15"/>
  <c r="AJ963" i="15"/>
  <c r="AJ962" i="15"/>
  <c r="AJ961" i="15"/>
  <c r="AJ960" i="15"/>
  <c r="AJ959" i="15"/>
  <c r="AJ958" i="15"/>
  <c r="AJ957" i="15"/>
  <c r="AJ956" i="15"/>
  <c r="AJ955" i="15"/>
  <c r="AJ954" i="15"/>
  <c r="AJ953" i="15"/>
  <c r="AJ952" i="15"/>
  <c r="AJ951" i="15"/>
  <c r="AJ950" i="15"/>
  <c r="AJ949" i="15"/>
  <c r="AJ948" i="15"/>
  <c r="AJ947" i="15"/>
  <c r="AJ946" i="15"/>
  <c r="AJ945" i="15"/>
  <c r="AJ944" i="15"/>
  <c r="AJ943" i="15"/>
  <c r="AJ942" i="15"/>
  <c r="AJ941" i="15"/>
  <c r="AJ940" i="15"/>
  <c r="AJ939" i="15"/>
  <c r="AJ938" i="15"/>
  <c r="AJ937" i="15"/>
  <c r="AJ936" i="15"/>
  <c r="AJ935" i="15"/>
  <c r="AJ934" i="15"/>
  <c r="AJ933" i="15"/>
  <c r="AJ932" i="15"/>
  <c r="AJ931" i="15"/>
  <c r="AJ930" i="15"/>
  <c r="AJ929" i="15"/>
  <c r="AJ928" i="15"/>
  <c r="AJ927" i="15"/>
  <c r="AJ926" i="15"/>
  <c r="AJ925" i="15"/>
  <c r="AJ924" i="15"/>
  <c r="AJ923" i="15"/>
  <c r="AJ922" i="15"/>
  <c r="AJ921" i="15"/>
  <c r="AJ920" i="15"/>
  <c r="AJ919" i="15"/>
  <c r="AJ918" i="15"/>
  <c r="AJ917" i="15"/>
  <c r="AJ916" i="15"/>
  <c r="AJ915" i="15"/>
  <c r="AJ914" i="15"/>
  <c r="AJ913" i="15"/>
  <c r="AJ912" i="15"/>
  <c r="AJ911" i="15"/>
  <c r="AJ910" i="15"/>
  <c r="AJ909" i="15"/>
  <c r="AJ908" i="15"/>
  <c r="AJ907" i="15"/>
  <c r="AJ906" i="15"/>
  <c r="AJ905" i="15"/>
  <c r="AJ904" i="15"/>
  <c r="AJ903" i="15"/>
  <c r="AJ902" i="15"/>
  <c r="AJ901" i="15"/>
  <c r="AJ900" i="15"/>
  <c r="AJ899" i="15"/>
  <c r="AJ898" i="15"/>
  <c r="AJ897" i="15"/>
  <c r="AJ896" i="15"/>
  <c r="AJ895" i="15"/>
  <c r="AJ894" i="15"/>
  <c r="AJ893" i="15"/>
  <c r="AJ892" i="15"/>
  <c r="AJ891" i="15"/>
  <c r="AJ890" i="15"/>
  <c r="AJ889" i="15"/>
  <c r="AJ888" i="15"/>
  <c r="AJ887" i="15"/>
  <c r="AJ886" i="15"/>
  <c r="AJ885" i="15"/>
  <c r="AJ884" i="15"/>
  <c r="AJ883" i="15"/>
  <c r="AJ882" i="15"/>
  <c r="AJ881" i="15"/>
  <c r="AJ880" i="15"/>
  <c r="AJ879" i="15"/>
  <c r="AJ878" i="15"/>
  <c r="AJ877" i="15"/>
  <c r="AJ876" i="15"/>
  <c r="AJ875" i="15"/>
  <c r="AJ874" i="15"/>
  <c r="AJ873" i="15"/>
  <c r="AJ872" i="15"/>
  <c r="AJ871" i="15"/>
  <c r="AJ870" i="15"/>
  <c r="AJ869" i="15"/>
  <c r="AJ868" i="15"/>
  <c r="AJ867" i="15"/>
  <c r="AJ866" i="15"/>
  <c r="AJ865" i="15"/>
  <c r="AJ864" i="15"/>
  <c r="AJ863" i="15"/>
  <c r="AJ862" i="15"/>
  <c r="AJ861" i="15"/>
  <c r="AJ860" i="15"/>
  <c r="AJ859" i="15"/>
  <c r="AJ858" i="15"/>
  <c r="AJ857" i="15"/>
  <c r="AJ856" i="15"/>
  <c r="AJ855" i="15"/>
  <c r="AJ854" i="15"/>
  <c r="AJ853" i="15"/>
  <c r="AJ852" i="15"/>
  <c r="AJ851" i="15"/>
  <c r="AJ850" i="15"/>
  <c r="AJ849" i="15"/>
  <c r="AJ848" i="15"/>
  <c r="AJ847" i="15"/>
  <c r="AJ846" i="15"/>
  <c r="AJ845" i="15"/>
  <c r="AJ844" i="15"/>
  <c r="AJ843" i="15"/>
  <c r="AJ842" i="15"/>
  <c r="AJ841" i="15"/>
  <c r="AJ840" i="15"/>
  <c r="AJ839" i="15"/>
  <c r="AJ838" i="15"/>
  <c r="AJ837" i="15"/>
  <c r="AJ836" i="15"/>
  <c r="AJ835" i="15"/>
  <c r="AJ834" i="15"/>
  <c r="AJ833" i="15"/>
  <c r="AJ832" i="15"/>
  <c r="AJ831" i="15"/>
  <c r="AJ830" i="15"/>
  <c r="AJ829" i="15"/>
  <c r="AJ828" i="15"/>
  <c r="AJ827" i="15"/>
  <c r="AJ826" i="15"/>
  <c r="AJ825" i="15"/>
  <c r="AJ824" i="15"/>
  <c r="AJ823" i="15"/>
  <c r="AJ822" i="15"/>
  <c r="AJ821" i="15"/>
  <c r="AJ820" i="15"/>
  <c r="AJ819" i="15"/>
  <c r="AJ818" i="15"/>
  <c r="AJ817" i="15"/>
  <c r="AJ816" i="15"/>
  <c r="AJ815" i="15"/>
  <c r="AJ814" i="15"/>
  <c r="AJ813" i="15"/>
  <c r="AJ812" i="15"/>
  <c r="AJ811" i="15"/>
  <c r="AJ810" i="15"/>
  <c r="AJ809" i="15"/>
  <c r="AJ808" i="15"/>
  <c r="AJ807" i="15"/>
  <c r="AJ806" i="15"/>
  <c r="AJ805" i="15"/>
  <c r="AJ804" i="15"/>
  <c r="AJ803" i="15"/>
  <c r="AJ802" i="15"/>
  <c r="AJ801" i="15"/>
  <c r="AJ800" i="15"/>
  <c r="AJ799" i="15"/>
  <c r="AJ798" i="15"/>
  <c r="AJ797" i="15"/>
  <c r="AJ796" i="15"/>
  <c r="AJ795" i="15"/>
  <c r="AJ794" i="15"/>
  <c r="AJ793" i="15"/>
  <c r="AJ792" i="15"/>
  <c r="AJ791" i="15"/>
  <c r="AJ790" i="15"/>
  <c r="AJ789" i="15"/>
  <c r="AJ788" i="15"/>
  <c r="AJ787" i="15"/>
  <c r="AJ786" i="15"/>
  <c r="AJ785" i="15"/>
  <c r="AJ784" i="15"/>
  <c r="AJ783" i="15"/>
  <c r="AJ782" i="15"/>
  <c r="AJ781" i="15"/>
  <c r="AJ780" i="15"/>
  <c r="AJ779" i="15"/>
  <c r="AJ778" i="15"/>
  <c r="AJ777" i="15"/>
  <c r="AJ776" i="15"/>
  <c r="AJ775" i="15"/>
  <c r="AJ774" i="15"/>
  <c r="AJ773" i="15"/>
  <c r="AJ772" i="15"/>
  <c r="AJ771" i="15"/>
  <c r="AJ770" i="15"/>
  <c r="AJ769" i="15"/>
  <c r="AJ768" i="15"/>
  <c r="AJ767" i="15"/>
  <c r="AJ766" i="15"/>
  <c r="AJ765" i="15"/>
  <c r="AJ764" i="15"/>
  <c r="AJ763" i="15"/>
  <c r="AJ762" i="15"/>
  <c r="AJ761" i="15"/>
  <c r="AJ760" i="15"/>
  <c r="AJ759" i="15"/>
  <c r="AJ758" i="15"/>
  <c r="AJ757" i="15"/>
  <c r="AJ756" i="15"/>
  <c r="AJ755" i="15"/>
  <c r="AJ754" i="15"/>
  <c r="AJ753" i="15"/>
  <c r="AJ752" i="15"/>
  <c r="AJ751" i="15"/>
  <c r="AJ750" i="15"/>
  <c r="AJ749" i="15"/>
  <c r="AJ748" i="15"/>
  <c r="AJ747" i="15"/>
  <c r="AJ746" i="15"/>
  <c r="AJ745" i="15"/>
  <c r="AJ744" i="15"/>
  <c r="AJ743" i="15"/>
  <c r="AJ742" i="15"/>
  <c r="AJ741" i="15"/>
  <c r="AJ740" i="15"/>
  <c r="AJ739" i="15"/>
  <c r="AJ738" i="15"/>
  <c r="AJ737" i="15"/>
  <c r="AJ736" i="15"/>
  <c r="AJ735" i="15"/>
  <c r="AJ734" i="15"/>
  <c r="AJ733" i="15"/>
  <c r="AJ732" i="15"/>
  <c r="AJ731" i="15"/>
  <c r="AJ730" i="15"/>
  <c r="AJ729" i="15"/>
  <c r="AJ728" i="15"/>
  <c r="AJ727" i="15"/>
  <c r="AJ726" i="15"/>
  <c r="AJ725" i="15"/>
  <c r="AJ724" i="15"/>
  <c r="AJ723" i="15"/>
  <c r="AJ722" i="15"/>
  <c r="AJ721" i="15"/>
  <c r="AJ720" i="15"/>
  <c r="AJ719" i="15"/>
  <c r="AJ718" i="15"/>
  <c r="AJ717" i="15"/>
  <c r="AJ716" i="15"/>
  <c r="AJ715" i="15"/>
  <c r="AJ714" i="15"/>
  <c r="AJ713" i="15"/>
  <c r="AJ712" i="15"/>
  <c r="AJ711" i="15"/>
  <c r="AJ710" i="15"/>
  <c r="AJ709" i="15"/>
  <c r="AJ708" i="15"/>
  <c r="AJ707" i="15"/>
  <c r="AJ706" i="15"/>
  <c r="AJ705" i="15"/>
  <c r="AJ704" i="15"/>
  <c r="AJ703" i="15"/>
  <c r="AJ702" i="15"/>
  <c r="AJ701" i="15"/>
  <c r="AJ700" i="15"/>
  <c r="AJ699" i="15"/>
  <c r="AJ698" i="15"/>
  <c r="AJ697" i="15"/>
  <c r="AJ696" i="15"/>
  <c r="AJ695" i="15"/>
  <c r="AJ694" i="15"/>
  <c r="AJ693" i="15"/>
  <c r="AJ692" i="15"/>
  <c r="AJ691" i="15"/>
  <c r="AJ690" i="15"/>
  <c r="AJ689" i="15"/>
  <c r="AJ688" i="15"/>
  <c r="AJ687" i="15"/>
  <c r="AJ686" i="15"/>
  <c r="AJ685" i="15"/>
  <c r="AJ684" i="15"/>
  <c r="AJ683" i="15"/>
  <c r="AJ682" i="15"/>
  <c r="AJ681" i="15"/>
  <c r="AJ680" i="15"/>
  <c r="AJ679" i="15"/>
  <c r="AJ678" i="15"/>
  <c r="AJ677" i="15"/>
  <c r="AJ676" i="15"/>
  <c r="AJ675" i="15"/>
  <c r="AJ674" i="15"/>
  <c r="AJ673" i="15"/>
  <c r="AJ672" i="15"/>
  <c r="AJ671" i="15"/>
  <c r="AJ670" i="15"/>
  <c r="AJ669" i="15"/>
  <c r="AJ668" i="15"/>
  <c r="AJ667" i="15"/>
  <c r="AJ666" i="15"/>
  <c r="AJ665" i="15"/>
  <c r="AJ664" i="15"/>
  <c r="AJ663" i="15"/>
  <c r="AJ662" i="15"/>
  <c r="AJ661" i="15"/>
  <c r="AJ660" i="15"/>
  <c r="AJ659" i="15"/>
  <c r="AJ658" i="15"/>
  <c r="AJ657" i="15"/>
  <c r="AJ656" i="15"/>
  <c r="AJ655" i="15"/>
  <c r="AJ654" i="15"/>
  <c r="AJ653" i="15"/>
  <c r="AJ652" i="15"/>
  <c r="AJ651" i="15"/>
  <c r="AJ650" i="15"/>
  <c r="AJ649" i="15"/>
  <c r="AJ648" i="15"/>
  <c r="AJ647" i="15"/>
  <c r="AJ646" i="15"/>
  <c r="AJ645" i="15"/>
  <c r="AJ644" i="15"/>
  <c r="AJ643" i="15"/>
  <c r="AJ642" i="15"/>
  <c r="AJ641" i="15"/>
  <c r="AJ640" i="15"/>
  <c r="AJ639" i="15"/>
  <c r="AJ638" i="15"/>
  <c r="AJ637" i="15"/>
  <c r="AJ636" i="15"/>
  <c r="AJ635" i="15"/>
  <c r="AJ634" i="15"/>
  <c r="AJ633" i="15"/>
  <c r="AJ632" i="15"/>
  <c r="AJ631" i="15"/>
  <c r="AJ630" i="15"/>
  <c r="AJ629" i="15"/>
  <c r="AJ628" i="15"/>
  <c r="AJ627" i="15"/>
  <c r="AJ626" i="15"/>
  <c r="AJ625" i="15"/>
  <c r="AJ624" i="15"/>
  <c r="AJ623" i="15"/>
  <c r="AJ622" i="15"/>
  <c r="AJ621" i="15"/>
  <c r="AJ620" i="15"/>
  <c r="AJ619" i="15"/>
  <c r="AJ618" i="15"/>
  <c r="AJ617" i="15"/>
  <c r="AJ616" i="15"/>
  <c r="AJ615" i="15"/>
  <c r="AJ614" i="15"/>
  <c r="AJ613" i="15"/>
  <c r="AJ612" i="15"/>
  <c r="AJ611" i="15"/>
  <c r="AJ610" i="15"/>
  <c r="AJ609" i="15"/>
  <c r="AJ608" i="15"/>
  <c r="AJ607" i="15"/>
  <c r="AJ606" i="15"/>
  <c r="AJ605" i="15"/>
  <c r="AJ604" i="15"/>
  <c r="AJ603" i="15"/>
  <c r="AJ602" i="15"/>
  <c r="AJ601" i="15"/>
  <c r="AJ600" i="15"/>
  <c r="AJ599" i="15"/>
  <c r="AJ598" i="15"/>
  <c r="AJ597" i="15"/>
  <c r="AJ596" i="15"/>
  <c r="AJ595" i="15"/>
  <c r="AJ594" i="15"/>
  <c r="AJ593" i="15"/>
  <c r="AJ592" i="15"/>
  <c r="AJ591" i="15"/>
  <c r="AJ590" i="15"/>
  <c r="AJ589" i="15"/>
  <c r="AJ588" i="15"/>
  <c r="AJ587" i="15"/>
  <c r="AJ586" i="15"/>
  <c r="AJ585" i="15"/>
  <c r="AJ584" i="15"/>
  <c r="AJ583" i="15"/>
  <c r="AJ582" i="15"/>
  <c r="AJ581" i="15"/>
  <c r="AJ580" i="15"/>
  <c r="AJ579" i="15"/>
  <c r="AJ578" i="15"/>
  <c r="AJ577" i="15"/>
  <c r="AJ576" i="15"/>
  <c r="AJ575" i="15"/>
  <c r="AJ574" i="15"/>
  <c r="AJ573" i="15"/>
  <c r="AJ572" i="15"/>
  <c r="AJ571" i="15"/>
  <c r="AJ570" i="15"/>
  <c r="AJ569" i="15"/>
  <c r="AJ568" i="15"/>
  <c r="AJ567" i="15"/>
  <c r="AJ566" i="15"/>
  <c r="AJ565" i="15"/>
  <c r="AJ564" i="15"/>
  <c r="AJ563" i="15"/>
  <c r="AJ562" i="15"/>
  <c r="AJ561" i="15"/>
  <c r="AJ560" i="15"/>
  <c r="AJ559" i="15"/>
  <c r="AJ558" i="15"/>
  <c r="AJ557" i="15"/>
  <c r="AJ556" i="15"/>
  <c r="AJ555" i="15"/>
  <c r="AJ554" i="15"/>
  <c r="AJ553" i="15"/>
  <c r="AJ552" i="15"/>
  <c r="AJ551" i="15"/>
  <c r="AJ550" i="15"/>
  <c r="AJ549" i="15"/>
  <c r="AJ548" i="15"/>
  <c r="AJ547" i="15"/>
  <c r="AJ546" i="15"/>
  <c r="AJ545" i="15"/>
  <c r="AJ544" i="15"/>
  <c r="AJ543" i="15"/>
  <c r="AJ542" i="15"/>
  <c r="AJ541" i="15"/>
  <c r="AJ540" i="15"/>
  <c r="AJ539" i="15"/>
  <c r="AJ538" i="15"/>
  <c r="AJ537" i="15"/>
  <c r="AJ536" i="15"/>
  <c r="AJ535" i="15"/>
  <c r="AJ534" i="15"/>
  <c r="AJ533" i="15"/>
  <c r="AJ532" i="15"/>
  <c r="AJ531" i="15"/>
  <c r="AJ530" i="15"/>
  <c r="AJ529" i="15"/>
  <c r="AJ528" i="15"/>
  <c r="AJ527" i="15"/>
  <c r="AJ526" i="15"/>
  <c r="AJ525" i="15"/>
  <c r="AJ524" i="15"/>
  <c r="AJ523" i="15"/>
  <c r="AJ522" i="15"/>
  <c r="AJ521" i="15"/>
  <c r="AJ520" i="15"/>
  <c r="AJ519" i="15"/>
  <c r="AJ518" i="15"/>
  <c r="AJ517" i="15"/>
  <c r="AJ516" i="15"/>
  <c r="AJ515" i="15"/>
  <c r="AJ514" i="15"/>
  <c r="AJ513" i="15"/>
  <c r="AJ512" i="15"/>
  <c r="AJ511" i="15"/>
  <c r="AJ510" i="15"/>
  <c r="AJ509" i="15"/>
  <c r="AJ508" i="15"/>
  <c r="AJ507" i="15"/>
  <c r="AJ506" i="15"/>
  <c r="AJ505" i="15"/>
  <c r="AJ504" i="15"/>
  <c r="AJ503" i="15"/>
  <c r="AJ502" i="15"/>
  <c r="AJ501" i="15"/>
  <c r="AJ500" i="15"/>
  <c r="AJ499" i="15"/>
  <c r="AJ498" i="15"/>
  <c r="AJ497" i="15"/>
  <c r="AJ496" i="15"/>
  <c r="AJ495" i="15"/>
  <c r="AJ494" i="15"/>
  <c r="AJ493" i="15"/>
  <c r="AJ492" i="15"/>
  <c r="AJ491" i="15"/>
  <c r="AJ490" i="15"/>
  <c r="AJ489" i="15"/>
  <c r="AJ488" i="15"/>
  <c r="AJ487" i="15"/>
  <c r="AJ486" i="15"/>
  <c r="AJ485" i="15"/>
  <c r="AJ484" i="15"/>
  <c r="AJ483" i="15"/>
  <c r="AJ482" i="15"/>
  <c r="AJ481" i="15"/>
  <c r="AJ480" i="15"/>
  <c r="AJ479" i="15"/>
  <c r="AJ478" i="15"/>
  <c r="AJ477" i="15"/>
  <c r="CT15" i="8"/>
  <c r="CS15" i="8"/>
  <c r="CR15" i="8"/>
  <c r="CT14" i="8"/>
  <c r="CS14" i="8"/>
  <c r="CR14" i="8"/>
  <c r="CT13" i="8"/>
  <c r="CS13" i="8"/>
  <c r="CR13" i="8"/>
  <c r="AL476" i="15"/>
  <c r="AL475" i="15"/>
  <c r="AL474" i="15"/>
  <c r="AL473" i="15"/>
  <c r="AL472" i="15"/>
  <c r="AL471" i="15"/>
  <c r="AL470" i="15"/>
  <c r="AL469" i="15"/>
  <c r="AL468" i="15"/>
  <c r="AL467" i="15"/>
  <c r="AL466" i="15"/>
  <c r="AL465" i="15"/>
  <c r="AL464" i="15"/>
  <c r="AL463" i="15"/>
  <c r="AL462" i="15"/>
  <c r="AL461" i="15"/>
  <c r="AL460" i="15"/>
  <c r="AL459" i="15"/>
  <c r="AL458" i="15"/>
  <c r="AL457" i="15"/>
  <c r="AL456" i="15"/>
  <c r="AL455" i="15"/>
  <c r="AL454" i="15"/>
  <c r="AL453" i="15"/>
  <c r="AL452" i="15"/>
  <c r="AL451" i="15"/>
  <c r="AL450" i="15"/>
  <c r="AL449" i="15"/>
  <c r="AL448" i="15"/>
  <c r="AL447" i="15"/>
  <c r="AL446" i="15"/>
  <c r="AL445" i="15"/>
  <c r="AL444" i="15"/>
  <c r="AL443" i="15"/>
  <c r="AL442" i="15"/>
  <c r="AL441" i="15"/>
  <c r="AL440" i="15"/>
  <c r="AL439" i="15"/>
  <c r="AL438" i="15"/>
  <c r="AL437" i="15"/>
  <c r="AL436" i="15"/>
  <c r="AL435" i="15"/>
  <c r="AL434" i="15"/>
  <c r="AL433" i="15"/>
  <c r="AL432" i="15"/>
  <c r="AL431" i="15"/>
  <c r="AL430" i="15"/>
  <c r="AL429" i="15"/>
  <c r="AL428" i="15"/>
  <c r="AL427" i="15"/>
  <c r="AL426" i="15"/>
  <c r="AL425" i="15"/>
  <c r="AL424" i="15"/>
  <c r="AL423" i="15"/>
  <c r="AL422" i="15"/>
  <c r="AL421" i="15"/>
  <c r="AL420" i="15"/>
  <c r="AL419" i="15"/>
  <c r="AL418" i="15"/>
  <c r="AL417" i="15"/>
  <c r="AL416" i="15"/>
  <c r="AL415" i="15"/>
  <c r="AL414" i="15"/>
  <c r="AL413" i="15"/>
  <c r="AL412" i="15"/>
  <c r="AL411" i="15"/>
  <c r="AL410" i="15"/>
  <c r="AL409" i="15"/>
  <c r="AL408" i="15"/>
  <c r="AL407" i="15"/>
  <c r="AL406" i="15"/>
  <c r="AL405" i="15"/>
  <c r="AL404" i="15"/>
  <c r="AL403" i="15"/>
  <c r="AL402" i="15"/>
  <c r="AL401" i="15"/>
  <c r="AL400" i="15"/>
  <c r="AL399" i="15"/>
  <c r="AL398" i="15"/>
  <c r="AL397" i="15"/>
  <c r="AL396" i="15"/>
  <c r="AL395" i="15"/>
  <c r="AL394" i="15"/>
  <c r="AL393" i="15"/>
  <c r="AL392" i="15"/>
  <c r="AL391" i="15"/>
  <c r="AL390" i="15"/>
  <c r="AL389" i="15"/>
  <c r="AL388" i="15"/>
  <c r="AL387" i="15"/>
  <c r="AL386" i="15"/>
  <c r="AL385" i="15"/>
  <c r="AL384" i="15"/>
  <c r="AL383" i="15"/>
  <c r="AL382" i="15"/>
  <c r="AL381" i="15"/>
  <c r="AJ476" i="15"/>
  <c r="AJ475" i="15"/>
  <c r="AJ474" i="15"/>
  <c r="AJ473" i="15"/>
  <c r="AJ472" i="15"/>
  <c r="AJ471" i="15"/>
  <c r="AJ470" i="15"/>
  <c r="AJ469" i="15"/>
  <c r="AJ468" i="15"/>
  <c r="AJ467" i="15"/>
  <c r="AJ466" i="15"/>
  <c r="AJ465" i="15"/>
  <c r="AJ464" i="15"/>
  <c r="AJ463" i="15"/>
  <c r="AJ462" i="15"/>
  <c r="AJ461" i="15"/>
  <c r="AJ460" i="15"/>
  <c r="AJ459" i="15"/>
  <c r="AJ458" i="15"/>
  <c r="AJ457" i="15"/>
  <c r="AJ456" i="15"/>
  <c r="AJ455" i="15"/>
  <c r="AJ454" i="15"/>
  <c r="AJ453" i="15"/>
  <c r="AJ452" i="15"/>
  <c r="AJ451" i="15"/>
  <c r="AJ450" i="15"/>
  <c r="AJ449" i="15"/>
  <c r="AJ448" i="15"/>
  <c r="AJ447" i="15"/>
  <c r="AJ446" i="15"/>
  <c r="AJ445" i="15"/>
  <c r="AJ444" i="15"/>
  <c r="AJ443" i="15"/>
  <c r="AJ442" i="15"/>
  <c r="AJ441" i="15"/>
  <c r="AJ440" i="15"/>
  <c r="AJ439" i="15"/>
  <c r="AJ438" i="15"/>
  <c r="AJ437" i="15"/>
  <c r="AJ436" i="15"/>
  <c r="AJ435" i="15"/>
  <c r="AJ434" i="15"/>
  <c r="AJ433" i="15"/>
  <c r="AJ432" i="15"/>
  <c r="AJ431" i="15"/>
  <c r="AJ430" i="15"/>
  <c r="AJ429" i="15"/>
  <c r="AJ428" i="15"/>
  <c r="AJ427" i="15"/>
  <c r="AJ426" i="15"/>
  <c r="AJ425" i="15"/>
  <c r="AJ424" i="15"/>
  <c r="AJ423" i="15"/>
  <c r="AJ422" i="15"/>
  <c r="AJ421" i="15"/>
  <c r="AJ420" i="15"/>
  <c r="AJ419" i="15"/>
  <c r="AJ418" i="15"/>
  <c r="AJ417" i="15"/>
  <c r="AJ416" i="15"/>
  <c r="AJ415" i="15"/>
  <c r="AJ414" i="15"/>
  <c r="AJ413" i="15"/>
  <c r="AJ412" i="15"/>
  <c r="AJ411" i="15"/>
  <c r="AJ410" i="15"/>
  <c r="AJ409" i="15"/>
  <c r="AJ408" i="15"/>
  <c r="AJ407" i="15"/>
  <c r="AJ406" i="15"/>
  <c r="AJ405" i="15"/>
  <c r="AJ404" i="15"/>
  <c r="AJ403" i="15"/>
  <c r="AJ402" i="15"/>
  <c r="AJ401" i="15"/>
  <c r="AJ400" i="15"/>
  <c r="AJ399" i="15"/>
  <c r="AJ398" i="15"/>
  <c r="AJ397" i="15"/>
  <c r="AJ396" i="15"/>
  <c r="AJ395" i="15"/>
  <c r="AJ394" i="15"/>
  <c r="AJ393" i="15"/>
  <c r="AJ392" i="15"/>
  <c r="AJ391" i="15"/>
  <c r="AJ390" i="15"/>
  <c r="AJ389" i="15"/>
  <c r="AJ388" i="15"/>
  <c r="AJ387" i="15"/>
  <c r="AJ386" i="15"/>
  <c r="AJ385" i="15"/>
  <c r="AJ384" i="15"/>
  <c r="AJ383" i="15"/>
  <c r="AJ382" i="15"/>
  <c r="AJ381" i="15"/>
  <c r="CX106" i="7"/>
  <c r="CW106" i="7"/>
  <c r="CV106" i="7"/>
  <c r="CU106" i="7"/>
  <c r="CT106" i="7"/>
  <c r="CS106" i="7"/>
  <c r="CR106" i="7"/>
  <c r="CQ106" i="7"/>
  <c r="CP106" i="7"/>
  <c r="CO106" i="7"/>
  <c r="CN106" i="7"/>
  <c r="CM106" i="7"/>
  <c r="CL106" i="7"/>
  <c r="CK106" i="7"/>
  <c r="CJ106" i="7"/>
  <c r="CI106" i="7"/>
  <c r="CH106" i="7"/>
  <c r="CG106" i="7"/>
  <c r="CF106" i="7"/>
  <c r="CE106" i="7"/>
  <c r="CD106" i="7"/>
  <c r="CC106" i="7"/>
  <c r="CB106" i="7"/>
  <c r="CA106" i="7"/>
  <c r="BZ106" i="7"/>
  <c r="BY106" i="7"/>
  <c r="BX106" i="7"/>
  <c r="BW106" i="7"/>
  <c r="BV106" i="7"/>
  <c r="BU106" i="7"/>
  <c r="BT106" i="7"/>
  <c r="BS106" i="7"/>
  <c r="BR106" i="7"/>
  <c r="BQ106" i="7"/>
  <c r="BP106" i="7"/>
  <c r="BO106" i="7"/>
  <c r="BN106" i="7"/>
  <c r="BM106" i="7"/>
  <c r="BL106" i="7"/>
  <c r="BK106" i="7"/>
  <c r="BJ106" i="7"/>
  <c r="BI106" i="7"/>
  <c r="BH106" i="7"/>
  <c r="BG106" i="7"/>
  <c r="BF106" i="7"/>
  <c r="BE106" i="7"/>
  <c r="BD106" i="7"/>
  <c r="BC106" i="7"/>
  <c r="BB106" i="7"/>
  <c r="BA106" i="7"/>
  <c r="AZ106" i="7"/>
  <c r="AY106" i="7"/>
  <c r="AX106" i="7"/>
  <c r="AW106" i="7"/>
  <c r="AV106" i="7"/>
  <c r="AU106" i="7"/>
  <c r="AT106" i="7"/>
  <c r="AS106" i="7"/>
  <c r="AR106" i="7"/>
  <c r="AQ106" i="7"/>
  <c r="AP106" i="7"/>
  <c r="AO106" i="7"/>
  <c r="AN106" i="7"/>
  <c r="AM106" i="7"/>
  <c r="AL106" i="7"/>
  <c r="AK106" i="7"/>
  <c r="AJ106" i="7"/>
  <c r="AI106" i="7"/>
  <c r="AH106" i="7"/>
  <c r="AG106" i="7"/>
  <c r="AF106" i="7"/>
  <c r="AE106" i="7"/>
  <c r="AD106" i="7"/>
  <c r="AC106" i="7"/>
  <c r="AB106" i="7"/>
  <c r="AA106" i="7"/>
  <c r="Z106" i="7"/>
  <c r="Y106" i="7"/>
  <c r="X106" i="7"/>
  <c r="W106" i="7"/>
  <c r="V106" i="7"/>
  <c r="U106" i="7"/>
  <c r="T106" i="7"/>
  <c r="S106" i="7"/>
  <c r="R106" i="7"/>
  <c r="Q106" i="7"/>
  <c r="P106" i="7"/>
  <c r="O106" i="7"/>
  <c r="N106" i="7"/>
  <c r="M106" i="7"/>
  <c r="L106" i="7"/>
  <c r="K106" i="7"/>
  <c r="J106" i="7"/>
  <c r="I106" i="7"/>
  <c r="H106" i="7"/>
  <c r="G106" i="7"/>
  <c r="F106" i="7"/>
  <c r="E106" i="7"/>
  <c r="D106" i="7"/>
  <c r="C106" i="7"/>
  <c r="CX105" i="7"/>
  <c r="CW105" i="7"/>
  <c r="CV105" i="7"/>
  <c r="CU105" i="7"/>
  <c r="CT105" i="7"/>
  <c r="CS105" i="7"/>
  <c r="CR105" i="7"/>
  <c r="CQ105" i="7"/>
  <c r="CP105" i="7"/>
  <c r="CO105" i="7"/>
  <c r="CN105" i="7"/>
  <c r="CM105" i="7"/>
  <c r="CL105" i="7"/>
  <c r="CK105" i="7"/>
  <c r="CJ105" i="7"/>
  <c r="CI105" i="7"/>
  <c r="CH105" i="7"/>
  <c r="CG105" i="7"/>
  <c r="CF105" i="7"/>
  <c r="CE105" i="7"/>
  <c r="CD105" i="7"/>
  <c r="CC105" i="7"/>
  <c r="CB105" i="7"/>
  <c r="CA105" i="7"/>
  <c r="BZ105" i="7"/>
  <c r="BY105" i="7"/>
  <c r="BX105" i="7"/>
  <c r="BW105" i="7"/>
  <c r="BV105" i="7"/>
  <c r="BU105" i="7"/>
  <c r="BT105" i="7"/>
  <c r="BS105" i="7"/>
  <c r="BR105" i="7"/>
  <c r="BQ105" i="7"/>
  <c r="BP105" i="7"/>
  <c r="BO105" i="7"/>
  <c r="BN105" i="7"/>
  <c r="BM105" i="7"/>
  <c r="BL105" i="7"/>
  <c r="BK105" i="7"/>
  <c r="BJ105" i="7"/>
  <c r="BI105" i="7"/>
  <c r="BH105" i="7"/>
  <c r="BG105" i="7"/>
  <c r="BF105" i="7"/>
  <c r="BE105" i="7"/>
  <c r="BD105" i="7"/>
  <c r="BC105" i="7"/>
  <c r="BB105" i="7"/>
  <c r="BA105" i="7"/>
  <c r="AZ105" i="7"/>
  <c r="AY105" i="7"/>
  <c r="AX105" i="7"/>
  <c r="AW105" i="7"/>
  <c r="AV105" i="7"/>
  <c r="AU105" i="7"/>
  <c r="AT105" i="7"/>
  <c r="AS105" i="7"/>
  <c r="AR105" i="7"/>
  <c r="AQ105" i="7"/>
  <c r="AP105" i="7"/>
  <c r="AO105" i="7"/>
  <c r="AN105" i="7"/>
  <c r="AM105" i="7"/>
  <c r="AL105" i="7"/>
  <c r="AK105" i="7"/>
  <c r="AJ105" i="7"/>
  <c r="AI105" i="7"/>
  <c r="AH105" i="7"/>
  <c r="AG105" i="7"/>
  <c r="AF105" i="7"/>
  <c r="AE105" i="7"/>
  <c r="AD105" i="7"/>
  <c r="AC105" i="7"/>
  <c r="AB105" i="7"/>
  <c r="AA105" i="7"/>
  <c r="Z105" i="7"/>
  <c r="Y105" i="7"/>
  <c r="X105" i="7"/>
  <c r="W105" i="7"/>
  <c r="V105" i="7"/>
  <c r="U105" i="7"/>
  <c r="T105" i="7"/>
  <c r="S105" i="7"/>
  <c r="R105" i="7"/>
  <c r="Q105" i="7"/>
  <c r="P105" i="7"/>
  <c r="O105" i="7"/>
  <c r="N105" i="7"/>
  <c r="M105" i="7"/>
  <c r="L105" i="7"/>
  <c r="K105" i="7"/>
  <c r="J105" i="7"/>
  <c r="I105" i="7"/>
  <c r="H105" i="7"/>
  <c r="G105" i="7"/>
  <c r="F105" i="7"/>
  <c r="E105" i="7"/>
  <c r="D105" i="7"/>
  <c r="C105" i="7"/>
  <c r="B105" i="7"/>
  <c r="DA103" i="7"/>
  <c r="CZ103" i="7"/>
  <c r="DA102" i="7"/>
  <c r="CZ102" i="7"/>
  <c r="DA101" i="7"/>
  <c r="CZ101" i="7"/>
  <c r="DA100" i="7"/>
  <c r="CZ100" i="7"/>
  <c r="DA99" i="7"/>
  <c r="CZ99" i="7"/>
  <c r="DA98" i="7"/>
  <c r="CZ98" i="7"/>
  <c r="DA97" i="7"/>
  <c r="CZ97" i="7"/>
  <c r="DA96" i="7"/>
  <c r="CZ96" i="7"/>
  <c r="DA95" i="7"/>
  <c r="CZ95" i="7"/>
  <c r="DA94" i="7"/>
  <c r="CZ94" i="7"/>
  <c r="DA93" i="7"/>
  <c r="CZ93" i="7"/>
  <c r="DA92" i="7"/>
  <c r="CZ92" i="7"/>
  <c r="DA91" i="7"/>
  <c r="CZ91" i="7"/>
  <c r="DA90" i="7"/>
  <c r="CZ90" i="7"/>
  <c r="DA89" i="7"/>
  <c r="CZ89" i="7"/>
  <c r="DA88" i="7"/>
  <c r="CZ88" i="7"/>
  <c r="DA87" i="7"/>
  <c r="CZ87" i="7"/>
  <c r="DA86" i="7"/>
  <c r="CZ86" i="7"/>
  <c r="DA85" i="7"/>
  <c r="CZ85" i="7"/>
  <c r="DA84" i="7"/>
  <c r="CZ84" i="7"/>
  <c r="DA83" i="7"/>
  <c r="CZ83" i="7"/>
  <c r="DA82" i="7"/>
  <c r="CZ82" i="7"/>
  <c r="DA81" i="7"/>
  <c r="CZ81" i="7"/>
  <c r="DA80" i="7"/>
  <c r="CZ80" i="7"/>
  <c r="DA79" i="7"/>
  <c r="CZ79" i="7"/>
  <c r="DA78" i="7"/>
  <c r="CZ78" i="7"/>
  <c r="DA77" i="7"/>
  <c r="CZ77" i="7"/>
  <c r="DA76" i="7"/>
  <c r="CZ76" i="7"/>
  <c r="DA75" i="7"/>
  <c r="CZ75" i="7"/>
  <c r="DA74" i="7"/>
  <c r="CZ74" i="7"/>
  <c r="DA73" i="7"/>
  <c r="CZ73" i="7"/>
  <c r="DA72" i="7"/>
  <c r="CZ72" i="7"/>
  <c r="DA71" i="7"/>
  <c r="CZ71" i="7"/>
  <c r="DA70" i="7"/>
  <c r="CZ70" i="7"/>
  <c r="DA69" i="7"/>
  <c r="CZ69" i="7"/>
  <c r="DA68" i="7"/>
  <c r="CZ68" i="7"/>
  <c r="DA67" i="7"/>
  <c r="CZ67" i="7"/>
  <c r="DA66" i="7"/>
  <c r="CZ66" i="7"/>
  <c r="DA65" i="7"/>
  <c r="CZ65" i="7"/>
  <c r="DA64" i="7"/>
  <c r="CZ64" i="7"/>
  <c r="DA63" i="7"/>
  <c r="CZ63" i="7"/>
  <c r="DA62" i="7"/>
  <c r="CZ62" i="7"/>
  <c r="DA61" i="7"/>
  <c r="CZ61" i="7"/>
  <c r="DA60" i="7"/>
  <c r="CZ60" i="7"/>
  <c r="DA59" i="7"/>
  <c r="CZ59" i="7"/>
  <c r="DA58" i="7"/>
  <c r="CZ58" i="7"/>
  <c r="DA57" i="7"/>
  <c r="CZ57" i="7"/>
  <c r="DA56" i="7"/>
  <c r="CZ56" i="7"/>
  <c r="DA55" i="7"/>
  <c r="CZ55" i="7"/>
  <c r="DA54" i="7"/>
  <c r="CZ54" i="7"/>
  <c r="DA53" i="7"/>
  <c r="CZ53" i="7"/>
  <c r="DA52" i="7"/>
  <c r="CZ52" i="7"/>
  <c r="DA51" i="7"/>
  <c r="CZ51" i="7"/>
  <c r="DA50" i="7"/>
  <c r="CZ50" i="7"/>
  <c r="DA49" i="7"/>
  <c r="CZ49" i="7"/>
  <c r="DA48" i="7"/>
  <c r="CZ48" i="7"/>
  <c r="DA47" i="7"/>
  <c r="CZ47" i="7"/>
  <c r="DA46" i="7"/>
  <c r="CZ46" i="7"/>
  <c r="DA45" i="7"/>
  <c r="CZ45" i="7"/>
  <c r="DA44" i="7"/>
  <c r="CZ44" i="7"/>
  <c r="DA43" i="7"/>
  <c r="CZ43" i="7"/>
  <c r="DA42" i="7"/>
  <c r="CZ42" i="7"/>
  <c r="DA41" i="7"/>
  <c r="CZ41" i="7"/>
  <c r="DA40" i="7"/>
  <c r="CZ40" i="7"/>
  <c r="DA39" i="7"/>
  <c r="CZ39" i="7"/>
  <c r="DA38" i="7"/>
  <c r="CZ38" i="7"/>
  <c r="DA37" i="7"/>
  <c r="CZ37" i="7"/>
  <c r="DA36" i="7"/>
  <c r="CZ36" i="7"/>
  <c r="DA35" i="7"/>
  <c r="CZ35" i="7"/>
  <c r="DA34" i="7"/>
  <c r="CZ34" i="7"/>
  <c r="DA33" i="7"/>
  <c r="CZ33" i="7"/>
  <c r="DA32" i="7"/>
  <c r="CZ32" i="7"/>
  <c r="DA31" i="7"/>
  <c r="CZ31" i="7"/>
  <c r="DA30" i="7"/>
  <c r="CZ30" i="7"/>
  <c r="DA29" i="7"/>
  <c r="CZ29" i="7"/>
  <c r="DA28" i="7"/>
  <c r="CZ28" i="7"/>
  <c r="DA27" i="7"/>
  <c r="CZ27" i="7"/>
  <c r="DA26" i="7"/>
  <c r="CZ26" i="7"/>
  <c r="DA25" i="7"/>
  <c r="CZ25" i="7"/>
  <c r="DA24" i="7"/>
  <c r="CZ24" i="7"/>
  <c r="DA23" i="7"/>
  <c r="CZ23" i="7"/>
  <c r="DA22" i="7"/>
  <c r="CZ22" i="7"/>
  <c r="DA21" i="7"/>
  <c r="CZ21" i="7"/>
  <c r="DA20" i="7"/>
  <c r="CZ20" i="7"/>
  <c r="DA19" i="7"/>
  <c r="CZ19" i="7"/>
  <c r="DA18" i="7"/>
  <c r="CZ18" i="7"/>
  <c r="DA17" i="7"/>
  <c r="CZ17" i="7"/>
  <c r="DA16" i="7"/>
  <c r="CZ16" i="7"/>
  <c r="DA15" i="7"/>
  <c r="CZ15" i="7"/>
  <c r="DA14" i="7"/>
  <c r="CZ14" i="7"/>
  <c r="DA13" i="7"/>
  <c r="CZ13" i="7"/>
  <c r="DA12" i="7"/>
  <c r="CZ12" i="7"/>
  <c r="DA11" i="7"/>
  <c r="CZ11" i="7"/>
  <c r="DA10" i="7"/>
  <c r="CZ10" i="7"/>
  <c r="DA9" i="7"/>
  <c r="CZ9" i="7"/>
  <c r="DA8" i="7"/>
  <c r="CZ8" i="7"/>
  <c r="DA7" i="7"/>
  <c r="CZ7" i="7"/>
  <c r="DA6" i="7"/>
  <c r="CZ6" i="7"/>
  <c r="DA5" i="7"/>
  <c r="CZ5" i="7"/>
  <c r="DA4" i="7"/>
  <c r="CZ4" i="7"/>
  <c r="CZ3" i="7"/>
  <c r="G1" i="7"/>
  <c r="CX105" i="6"/>
  <c r="CW105" i="6"/>
  <c r="CV105" i="6"/>
  <c r="CU105" i="6"/>
  <c r="CT105" i="6"/>
  <c r="CS105" i="6"/>
  <c r="CR105" i="6"/>
  <c r="CQ105" i="6"/>
  <c r="CP105" i="6"/>
  <c r="CO105" i="6"/>
  <c r="CN105" i="6"/>
  <c r="CM105" i="6"/>
  <c r="CL105" i="6"/>
  <c r="CK105" i="6"/>
  <c r="CJ105" i="6"/>
  <c r="CI105" i="6"/>
  <c r="CH105" i="6"/>
  <c r="CG105" i="6"/>
  <c r="CF105" i="6"/>
  <c r="CE105" i="6"/>
  <c r="CD105" i="6"/>
  <c r="CC105" i="6"/>
  <c r="CB105" i="6"/>
  <c r="CA105" i="6"/>
  <c r="BZ105" i="6"/>
  <c r="BY105" i="6"/>
  <c r="BX105" i="6"/>
  <c r="BW105" i="6"/>
  <c r="BV105" i="6"/>
  <c r="BU105" i="6"/>
  <c r="BT105" i="6"/>
  <c r="BS105" i="6"/>
  <c r="BR105" i="6"/>
  <c r="BQ105" i="6"/>
  <c r="BP105" i="6"/>
  <c r="BO105" i="6"/>
  <c r="BN105" i="6"/>
  <c r="BM105" i="6"/>
  <c r="BL105" i="6"/>
  <c r="BK105" i="6"/>
  <c r="BJ105" i="6"/>
  <c r="BI105" i="6"/>
  <c r="BH105" i="6"/>
  <c r="BG105" i="6"/>
  <c r="BF105" i="6"/>
  <c r="BE105" i="6"/>
  <c r="BD105" i="6"/>
  <c r="BC105" i="6"/>
  <c r="BB105" i="6"/>
  <c r="BA105" i="6"/>
  <c r="AZ105" i="6"/>
  <c r="AY105" i="6"/>
  <c r="AX105" i="6"/>
  <c r="AW105" i="6"/>
  <c r="AV105" i="6"/>
  <c r="AU105" i="6"/>
  <c r="AT105" i="6"/>
  <c r="AS105" i="6"/>
  <c r="AR105" i="6"/>
  <c r="AQ105" i="6"/>
  <c r="AP105" i="6"/>
  <c r="AO105" i="6"/>
  <c r="AN105" i="6"/>
  <c r="AM105" i="6"/>
  <c r="AL105" i="6"/>
  <c r="AK105" i="6"/>
  <c r="AJ105" i="6"/>
  <c r="AI105" i="6"/>
  <c r="AH105" i="6"/>
  <c r="AG105" i="6"/>
  <c r="AF105" i="6"/>
  <c r="AE105" i="6"/>
  <c r="AD105" i="6"/>
  <c r="AC105" i="6"/>
  <c r="AB105" i="6"/>
  <c r="AA105" i="6"/>
  <c r="Z105" i="6"/>
  <c r="Y105" i="6"/>
  <c r="X105" i="6"/>
  <c r="W105" i="6"/>
  <c r="V105" i="6"/>
  <c r="U105" i="6"/>
  <c r="T105" i="6"/>
  <c r="S105" i="6"/>
  <c r="R105" i="6"/>
  <c r="Q105" i="6"/>
  <c r="P105" i="6"/>
  <c r="O105" i="6"/>
  <c r="N105" i="6"/>
  <c r="M105" i="6"/>
  <c r="L105" i="6"/>
  <c r="K105" i="6"/>
  <c r="J105" i="6"/>
  <c r="I105" i="6"/>
  <c r="H105" i="6"/>
  <c r="G105" i="6"/>
  <c r="F105" i="6"/>
  <c r="E105" i="6"/>
  <c r="D105" i="6"/>
  <c r="C105" i="6"/>
  <c r="B105" i="6"/>
  <c r="CZ103" i="6"/>
  <c r="CZ102" i="6"/>
  <c r="CZ101" i="6"/>
  <c r="CZ100" i="6"/>
  <c r="CZ99" i="6"/>
  <c r="CZ98" i="6"/>
  <c r="CZ97" i="6"/>
  <c r="CZ96" i="6"/>
  <c r="CZ95" i="6"/>
  <c r="CZ94" i="6"/>
  <c r="CZ93" i="6"/>
  <c r="CZ92" i="6"/>
  <c r="CZ91" i="6"/>
  <c r="CZ90" i="6"/>
  <c r="CZ89" i="6"/>
  <c r="CZ88" i="6"/>
  <c r="CZ87" i="6"/>
  <c r="CZ86" i="6"/>
  <c r="CZ85" i="6"/>
  <c r="CZ84" i="6"/>
  <c r="CZ83" i="6"/>
  <c r="CZ82" i="6"/>
  <c r="CZ81" i="6"/>
  <c r="CZ80" i="6"/>
  <c r="CZ79" i="6"/>
  <c r="CZ78" i="6"/>
  <c r="CZ77" i="6"/>
  <c r="CZ76" i="6"/>
  <c r="CZ75" i="6"/>
  <c r="CZ74" i="6"/>
  <c r="CZ73" i="6"/>
  <c r="CZ72" i="6"/>
  <c r="CZ71" i="6"/>
  <c r="CZ70" i="6"/>
  <c r="CZ69" i="6"/>
  <c r="CZ68" i="6"/>
  <c r="CZ67" i="6"/>
  <c r="CZ66" i="6"/>
  <c r="CZ65" i="6"/>
  <c r="CZ64" i="6"/>
  <c r="CZ63" i="6"/>
  <c r="CZ62" i="6"/>
  <c r="CZ61" i="6"/>
  <c r="CZ60" i="6"/>
  <c r="CZ59" i="6"/>
  <c r="CZ58" i="6"/>
  <c r="CZ57" i="6"/>
  <c r="CZ56" i="6"/>
  <c r="CZ55" i="6"/>
  <c r="CZ54" i="6"/>
  <c r="CZ53" i="6"/>
  <c r="CZ52" i="6"/>
  <c r="CZ51" i="6"/>
  <c r="CZ50" i="6"/>
  <c r="CZ49" i="6"/>
  <c r="CZ48" i="6"/>
  <c r="CZ47" i="6"/>
  <c r="CZ46" i="6"/>
  <c r="CZ45" i="6"/>
  <c r="CZ44" i="6"/>
  <c r="CZ43" i="6"/>
  <c r="CZ42" i="6"/>
  <c r="CZ41" i="6"/>
  <c r="CZ40" i="6"/>
  <c r="CZ39" i="6"/>
  <c r="CZ38" i="6"/>
  <c r="CZ37" i="6"/>
  <c r="CZ36" i="6"/>
  <c r="CZ35" i="6"/>
  <c r="CZ34" i="6"/>
  <c r="CZ33" i="6"/>
  <c r="CZ32" i="6"/>
  <c r="CZ31" i="6"/>
  <c r="CZ30" i="6"/>
  <c r="CZ29" i="6"/>
  <c r="CZ28" i="6"/>
  <c r="CZ27" i="6"/>
  <c r="CZ26" i="6"/>
  <c r="CZ25" i="6"/>
  <c r="CZ24" i="6"/>
  <c r="CZ23" i="6"/>
  <c r="CZ22" i="6"/>
  <c r="CZ21" i="6"/>
  <c r="CZ20" i="6"/>
  <c r="CZ19" i="6"/>
  <c r="CZ18" i="6"/>
  <c r="CZ17" i="6"/>
  <c r="CZ16" i="6"/>
  <c r="CZ15" i="6"/>
  <c r="CZ14" i="6"/>
  <c r="CZ13" i="6"/>
  <c r="CZ12" i="6"/>
  <c r="CZ11" i="6"/>
  <c r="CZ10" i="6"/>
  <c r="CZ9" i="6"/>
  <c r="CZ8" i="6"/>
  <c r="CZ7" i="6"/>
  <c r="CZ6" i="6"/>
  <c r="CZ5" i="6"/>
  <c r="CZ4" i="6"/>
  <c r="CZ3" i="6"/>
  <c r="I1" i="6"/>
  <c r="CX105" i="5"/>
  <c r="CW105" i="5"/>
  <c r="CV105" i="5"/>
  <c r="CU105" i="5"/>
  <c r="CT105" i="5"/>
  <c r="CS105" i="5"/>
  <c r="CR105" i="5"/>
  <c r="CQ105" i="5"/>
  <c r="CP105" i="5"/>
  <c r="CO105" i="5"/>
  <c r="CN105" i="5"/>
  <c r="CM105" i="5"/>
  <c r="CL105" i="5"/>
  <c r="CK105" i="5"/>
  <c r="CJ105" i="5"/>
  <c r="CI105" i="5"/>
  <c r="CH105" i="5"/>
  <c r="CG105" i="5"/>
  <c r="CF105" i="5"/>
  <c r="CE105" i="5"/>
  <c r="CD105" i="5"/>
  <c r="CC105" i="5"/>
  <c r="CB105" i="5"/>
  <c r="CA105" i="5"/>
  <c r="BZ105" i="5"/>
  <c r="BY105" i="5"/>
  <c r="BX105" i="5"/>
  <c r="BW105" i="5"/>
  <c r="BV105" i="5"/>
  <c r="BU105" i="5"/>
  <c r="BT105" i="5"/>
  <c r="BS105" i="5"/>
  <c r="BR105" i="5"/>
  <c r="BQ105" i="5"/>
  <c r="BP105" i="5"/>
  <c r="BO105" i="5"/>
  <c r="BN105" i="5"/>
  <c r="BM105" i="5"/>
  <c r="BL105" i="5"/>
  <c r="BK105" i="5"/>
  <c r="BJ105" i="5"/>
  <c r="BI105" i="5"/>
  <c r="BH105" i="5"/>
  <c r="BG105" i="5"/>
  <c r="BF105" i="5"/>
  <c r="BE105" i="5"/>
  <c r="BD105" i="5"/>
  <c r="BC105" i="5"/>
  <c r="BB105" i="5"/>
  <c r="BA105" i="5"/>
  <c r="AZ105" i="5"/>
  <c r="AY105" i="5"/>
  <c r="AX105" i="5"/>
  <c r="AW105" i="5"/>
  <c r="AV105" i="5"/>
  <c r="AU105" i="5"/>
  <c r="AT105" i="5"/>
  <c r="AS105" i="5"/>
  <c r="AR105" i="5"/>
  <c r="AQ105" i="5"/>
  <c r="AP105" i="5"/>
  <c r="AO105" i="5"/>
  <c r="AN105" i="5"/>
  <c r="AM105" i="5"/>
  <c r="AL105" i="5"/>
  <c r="AK105" i="5"/>
  <c r="AJ105" i="5"/>
  <c r="AI105" i="5"/>
  <c r="AH105" i="5"/>
  <c r="AG105" i="5"/>
  <c r="AF105" i="5"/>
  <c r="AE105" i="5"/>
  <c r="AD105" i="5"/>
  <c r="AC105" i="5"/>
  <c r="AB105" i="5"/>
  <c r="AA105" i="5"/>
  <c r="Z105" i="5"/>
  <c r="Y105" i="5"/>
  <c r="X105" i="5"/>
  <c r="W105" i="5"/>
  <c r="V105" i="5"/>
  <c r="U105" i="5"/>
  <c r="T105" i="5"/>
  <c r="S105" i="5"/>
  <c r="R105" i="5"/>
  <c r="Q105" i="5"/>
  <c r="P105" i="5"/>
  <c r="O105" i="5"/>
  <c r="N105" i="5"/>
  <c r="M105" i="5"/>
  <c r="L105" i="5"/>
  <c r="K105" i="5"/>
  <c r="J105" i="5"/>
  <c r="I105" i="5"/>
  <c r="H105" i="5"/>
  <c r="G105" i="5"/>
  <c r="F105" i="5"/>
  <c r="E105" i="5"/>
  <c r="D105" i="5"/>
  <c r="C105" i="5"/>
  <c r="B105" i="5"/>
  <c r="CZ103" i="5"/>
  <c r="CZ102" i="5"/>
  <c r="CZ101" i="5"/>
  <c r="CZ100" i="5"/>
  <c r="CZ99" i="5"/>
  <c r="CZ98" i="5"/>
  <c r="CZ97" i="5"/>
  <c r="CZ96" i="5"/>
  <c r="CZ95" i="5"/>
  <c r="CZ94" i="5"/>
  <c r="CZ93" i="5"/>
  <c r="CZ92" i="5"/>
  <c r="CZ91" i="5"/>
  <c r="CZ90" i="5"/>
  <c r="CZ89" i="5"/>
  <c r="CZ88" i="5"/>
  <c r="CZ87" i="5"/>
  <c r="CZ86" i="5"/>
  <c r="CZ85" i="5"/>
  <c r="CZ84" i="5"/>
  <c r="CZ83" i="5"/>
  <c r="CZ82" i="5"/>
  <c r="CZ81" i="5"/>
  <c r="CZ80" i="5"/>
  <c r="CZ79" i="5"/>
  <c r="CZ78" i="5"/>
  <c r="CZ77" i="5"/>
  <c r="CZ76" i="5"/>
  <c r="CZ75" i="5"/>
  <c r="CZ74" i="5"/>
  <c r="CZ73" i="5"/>
  <c r="CZ72" i="5"/>
  <c r="CZ71" i="5"/>
  <c r="CZ70" i="5"/>
  <c r="CZ69" i="5"/>
  <c r="CZ68" i="5"/>
  <c r="CZ67" i="5"/>
  <c r="CZ66" i="5"/>
  <c r="CZ65" i="5"/>
  <c r="CZ64" i="5"/>
  <c r="CZ63" i="5"/>
  <c r="CZ62" i="5"/>
  <c r="CZ61" i="5"/>
  <c r="CZ60" i="5"/>
  <c r="CZ59" i="5"/>
  <c r="CZ58" i="5"/>
  <c r="CZ57" i="5"/>
  <c r="CZ56" i="5"/>
  <c r="CZ55" i="5"/>
  <c r="CZ54" i="5"/>
  <c r="CZ53" i="5"/>
  <c r="CZ52" i="5"/>
  <c r="CZ51" i="5"/>
  <c r="CZ50" i="5"/>
  <c r="CZ49" i="5"/>
  <c r="CZ48" i="5"/>
  <c r="CZ47" i="5"/>
  <c r="CZ46" i="5"/>
  <c r="CZ45" i="5"/>
  <c r="CZ44" i="5"/>
  <c r="CZ43" i="5"/>
  <c r="CZ42" i="5"/>
  <c r="CZ41" i="5"/>
  <c r="CZ40" i="5"/>
  <c r="CZ39" i="5"/>
  <c r="CZ38" i="5"/>
  <c r="CZ37" i="5"/>
  <c r="CZ36" i="5"/>
  <c r="CZ35" i="5"/>
  <c r="CZ34" i="5"/>
  <c r="CZ33" i="5"/>
  <c r="CZ32" i="5"/>
  <c r="CZ31" i="5"/>
  <c r="CZ30" i="5"/>
  <c r="CZ29" i="5"/>
  <c r="CZ28" i="5"/>
  <c r="CZ27" i="5"/>
  <c r="CZ26" i="5"/>
  <c r="CZ25" i="5"/>
  <c r="CZ24" i="5"/>
  <c r="CZ23" i="5"/>
  <c r="CZ22" i="5"/>
  <c r="CZ21" i="5"/>
  <c r="CZ20" i="5"/>
  <c r="CZ19" i="5"/>
  <c r="CZ18" i="5"/>
  <c r="CZ17" i="5"/>
  <c r="CZ16" i="5"/>
  <c r="CZ15" i="5"/>
  <c r="CZ14" i="5"/>
  <c r="CZ13" i="5"/>
  <c r="CZ12" i="5"/>
  <c r="CZ11" i="5"/>
  <c r="CZ10" i="5"/>
  <c r="CZ9" i="5"/>
  <c r="CZ8" i="5"/>
  <c r="CZ7" i="5"/>
  <c r="CZ6" i="5"/>
  <c r="CZ5" i="5"/>
  <c r="CZ4" i="5"/>
  <c r="CZ3" i="5"/>
  <c r="F1" i="5"/>
  <c r="CX105" i="4"/>
  <c r="CW105" i="4"/>
  <c r="CV105" i="4"/>
  <c r="CU105" i="4"/>
  <c r="CT105" i="4"/>
  <c r="CS105" i="4"/>
  <c r="CR105" i="4"/>
  <c r="CQ105" i="4"/>
  <c r="CP105" i="4"/>
  <c r="CO105" i="4"/>
  <c r="CN105" i="4"/>
  <c r="CM105" i="4"/>
  <c r="CL105" i="4"/>
  <c r="CK105" i="4"/>
  <c r="CJ105" i="4"/>
  <c r="CI105" i="4"/>
  <c r="CH105" i="4"/>
  <c r="CG105" i="4"/>
  <c r="CF105" i="4"/>
  <c r="CE105" i="4"/>
  <c r="CD105" i="4"/>
  <c r="CC105" i="4"/>
  <c r="CB105" i="4"/>
  <c r="CA105" i="4"/>
  <c r="BZ105" i="4"/>
  <c r="BY105" i="4"/>
  <c r="BX105" i="4"/>
  <c r="BW105" i="4"/>
  <c r="BV105" i="4"/>
  <c r="BU105" i="4"/>
  <c r="BT105" i="4"/>
  <c r="BS105" i="4"/>
  <c r="BR105" i="4"/>
  <c r="BQ105" i="4"/>
  <c r="BP105" i="4"/>
  <c r="BO105" i="4"/>
  <c r="BN105" i="4"/>
  <c r="BM105" i="4"/>
  <c r="BL105" i="4"/>
  <c r="BK105" i="4"/>
  <c r="BJ105" i="4"/>
  <c r="BI105" i="4"/>
  <c r="BH105" i="4"/>
  <c r="BG105" i="4"/>
  <c r="BF105" i="4"/>
  <c r="BE105" i="4"/>
  <c r="BD105" i="4"/>
  <c r="BC105" i="4"/>
  <c r="BB105" i="4"/>
  <c r="BA105" i="4"/>
  <c r="AZ105" i="4"/>
  <c r="AY105" i="4"/>
  <c r="AX105" i="4"/>
  <c r="AW105" i="4"/>
  <c r="AV105" i="4"/>
  <c r="AU105" i="4"/>
  <c r="AT105" i="4"/>
  <c r="AS105" i="4"/>
  <c r="AR105" i="4"/>
  <c r="AQ105" i="4"/>
  <c r="AP105" i="4"/>
  <c r="AO105" i="4"/>
  <c r="AN105" i="4"/>
  <c r="AM105" i="4"/>
  <c r="AL105" i="4"/>
  <c r="AK105" i="4"/>
  <c r="AJ105" i="4"/>
  <c r="AI105" i="4"/>
  <c r="AH105" i="4"/>
  <c r="AG105" i="4"/>
  <c r="AF105" i="4"/>
  <c r="AE105" i="4"/>
  <c r="AD105" i="4"/>
  <c r="AC105" i="4"/>
  <c r="AB105" i="4"/>
  <c r="AA105" i="4"/>
  <c r="Z105" i="4"/>
  <c r="Y105" i="4"/>
  <c r="X105" i="4"/>
  <c r="W105" i="4"/>
  <c r="V105" i="4"/>
  <c r="U105" i="4"/>
  <c r="T105" i="4"/>
  <c r="S105" i="4"/>
  <c r="R105" i="4"/>
  <c r="Q105" i="4"/>
  <c r="P105" i="4"/>
  <c r="O105" i="4"/>
  <c r="N105" i="4"/>
  <c r="M105" i="4"/>
  <c r="L105" i="4"/>
  <c r="K105" i="4"/>
  <c r="J105" i="4"/>
  <c r="I105" i="4"/>
  <c r="H105" i="4"/>
  <c r="G105" i="4"/>
  <c r="F105" i="4"/>
  <c r="E105" i="4"/>
  <c r="D105" i="4"/>
  <c r="C105" i="4"/>
  <c r="B105" i="4"/>
  <c r="CZ103" i="4"/>
  <c r="CZ102" i="4"/>
  <c r="CZ101" i="4"/>
  <c r="CZ100" i="4"/>
  <c r="CZ99" i="4"/>
  <c r="CZ98" i="4"/>
  <c r="CZ97" i="4"/>
  <c r="CZ96" i="4"/>
  <c r="CZ95" i="4"/>
  <c r="CZ94" i="4"/>
  <c r="CZ93" i="4"/>
  <c r="CZ92" i="4"/>
  <c r="CZ91" i="4"/>
  <c r="CZ90" i="4"/>
  <c r="CZ89" i="4"/>
  <c r="CZ88" i="4"/>
  <c r="CZ87" i="4"/>
  <c r="CZ86" i="4"/>
  <c r="CZ85" i="4"/>
  <c r="CZ84" i="4"/>
  <c r="CZ83" i="4"/>
  <c r="CZ82" i="4"/>
  <c r="CZ81" i="4"/>
  <c r="CZ80" i="4"/>
  <c r="CZ79" i="4"/>
  <c r="CZ78" i="4"/>
  <c r="CZ77" i="4"/>
  <c r="CZ76" i="4"/>
  <c r="CZ75" i="4"/>
  <c r="CZ74" i="4"/>
  <c r="CZ73" i="4"/>
  <c r="CZ72" i="4"/>
  <c r="CZ71" i="4"/>
  <c r="CZ70" i="4"/>
  <c r="CZ69" i="4"/>
  <c r="CZ68" i="4"/>
  <c r="CZ67" i="4"/>
  <c r="CZ66" i="4"/>
  <c r="CZ65" i="4"/>
  <c r="CZ64" i="4"/>
  <c r="CZ63" i="4"/>
  <c r="CZ62" i="4"/>
  <c r="CZ61" i="4"/>
  <c r="CZ60" i="4"/>
  <c r="CZ59" i="4"/>
  <c r="CZ58" i="4"/>
  <c r="CZ57" i="4"/>
  <c r="CZ56" i="4"/>
  <c r="CZ55" i="4"/>
  <c r="CZ54" i="4"/>
  <c r="CZ53" i="4"/>
  <c r="CZ52" i="4"/>
  <c r="CZ51" i="4"/>
  <c r="CZ50" i="4"/>
  <c r="CZ49" i="4"/>
  <c r="CZ48" i="4"/>
  <c r="CZ47" i="4"/>
  <c r="CZ46" i="4"/>
  <c r="CZ45" i="4"/>
  <c r="CZ44" i="4"/>
  <c r="CZ43" i="4"/>
  <c r="CZ42" i="4"/>
  <c r="CZ41" i="4"/>
  <c r="CZ40" i="4"/>
  <c r="CZ39" i="4"/>
  <c r="CZ38" i="4"/>
  <c r="CZ37" i="4"/>
  <c r="CZ36" i="4"/>
  <c r="CZ35" i="4"/>
  <c r="CZ34" i="4"/>
  <c r="CZ33" i="4"/>
  <c r="CZ32" i="4"/>
  <c r="CZ31" i="4"/>
  <c r="CZ30" i="4"/>
  <c r="CZ29" i="4"/>
  <c r="CZ28" i="4"/>
  <c r="CZ27" i="4"/>
  <c r="CZ26" i="4"/>
  <c r="CZ25" i="4"/>
  <c r="CZ24" i="4"/>
  <c r="CZ23" i="4"/>
  <c r="CZ22" i="4"/>
  <c r="CZ21" i="4"/>
  <c r="CZ20" i="4"/>
  <c r="CZ19" i="4"/>
  <c r="CZ18" i="4"/>
  <c r="CZ17" i="4"/>
  <c r="CZ16" i="4"/>
  <c r="CZ15" i="4"/>
  <c r="CZ14" i="4"/>
  <c r="CZ13" i="4"/>
  <c r="CZ12" i="4"/>
  <c r="CZ11" i="4"/>
  <c r="CZ10" i="4"/>
  <c r="CZ9" i="4"/>
  <c r="CZ8" i="4"/>
  <c r="CZ7" i="4"/>
  <c r="CZ6" i="4"/>
  <c r="CZ5" i="4"/>
  <c r="CZ4" i="4"/>
  <c r="CZ3" i="4"/>
  <c r="G1" i="4"/>
  <c r="CX105" i="3"/>
  <c r="CW105" i="3"/>
  <c r="CV105" i="3"/>
  <c r="CU105" i="3"/>
  <c r="CT105" i="3"/>
  <c r="CS105" i="3"/>
  <c r="CR105" i="3"/>
  <c r="CQ105" i="3"/>
  <c r="CP105" i="3"/>
  <c r="CO105" i="3"/>
  <c r="CN105" i="3"/>
  <c r="CM105" i="3"/>
  <c r="CL105" i="3"/>
  <c r="CK105" i="3"/>
  <c r="CJ105" i="3"/>
  <c r="CI105" i="3"/>
  <c r="CH105" i="3"/>
  <c r="CG105" i="3"/>
  <c r="CF105" i="3"/>
  <c r="CE105" i="3"/>
  <c r="CD105" i="3"/>
  <c r="CC105" i="3"/>
  <c r="CB105" i="3"/>
  <c r="CA105" i="3"/>
  <c r="BZ105" i="3"/>
  <c r="BY105" i="3"/>
  <c r="BX105" i="3"/>
  <c r="BW105" i="3"/>
  <c r="BV105" i="3"/>
  <c r="BU105" i="3"/>
  <c r="BT105" i="3"/>
  <c r="BS105" i="3"/>
  <c r="BR105" i="3"/>
  <c r="BQ105" i="3"/>
  <c r="BP105" i="3"/>
  <c r="BO105" i="3"/>
  <c r="BN105" i="3"/>
  <c r="BM105" i="3"/>
  <c r="BL105" i="3"/>
  <c r="BK105" i="3"/>
  <c r="BJ105" i="3"/>
  <c r="BI105" i="3"/>
  <c r="BH105" i="3"/>
  <c r="BG105" i="3"/>
  <c r="BF105" i="3"/>
  <c r="BE105" i="3"/>
  <c r="BD105" i="3"/>
  <c r="BC105" i="3"/>
  <c r="BB105" i="3"/>
  <c r="BA105" i="3"/>
  <c r="AZ105" i="3"/>
  <c r="AY105" i="3"/>
  <c r="AX105" i="3"/>
  <c r="AW105" i="3"/>
  <c r="AV105" i="3"/>
  <c r="AU105" i="3"/>
  <c r="AT105" i="3"/>
  <c r="AS105" i="3"/>
  <c r="AR105" i="3"/>
  <c r="AQ105" i="3"/>
  <c r="AP105" i="3"/>
  <c r="AO105" i="3"/>
  <c r="AN105" i="3"/>
  <c r="AM105" i="3"/>
  <c r="AL105" i="3"/>
  <c r="AK105" i="3"/>
  <c r="AJ105" i="3"/>
  <c r="AI105" i="3"/>
  <c r="AH105" i="3"/>
  <c r="AG105" i="3"/>
  <c r="AF105" i="3"/>
  <c r="AE105" i="3"/>
  <c r="AD105" i="3"/>
  <c r="AC105" i="3"/>
  <c r="AB105" i="3"/>
  <c r="AA105" i="3"/>
  <c r="Z105" i="3"/>
  <c r="Y105" i="3"/>
  <c r="X105" i="3"/>
  <c r="W105" i="3"/>
  <c r="V105" i="3"/>
  <c r="U105" i="3"/>
  <c r="T105" i="3"/>
  <c r="S105" i="3"/>
  <c r="R105" i="3"/>
  <c r="Q105" i="3"/>
  <c r="P105" i="3"/>
  <c r="O105" i="3"/>
  <c r="N105" i="3"/>
  <c r="M105" i="3"/>
  <c r="L105" i="3"/>
  <c r="K105" i="3"/>
  <c r="J105" i="3"/>
  <c r="I105" i="3"/>
  <c r="H105" i="3"/>
  <c r="G105" i="3"/>
  <c r="F105" i="3"/>
  <c r="E105" i="3"/>
  <c r="D105" i="3"/>
  <c r="C105" i="3"/>
  <c r="B105" i="3"/>
  <c r="CZ103" i="3"/>
  <c r="CZ102" i="3"/>
  <c r="CZ101" i="3"/>
  <c r="CZ100" i="3"/>
  <c r="CZ99" i="3"/>
  <c r="CZ98" i="3"/>
  <c r="CZ97" i="3"/>
  <c r="CZ96" i="3"/>
  <c r="CZ95" i="3"/>
  <c r="CZ94" i="3"/>
  <c r="CZ93" i="3"/>
  <c r="CZ92" i="3"/>
  <c r="CZ91" i="3"/>
  <c r="CZ90" i="3"/>
  <c r="CZ89" i="3"/>
  <c r="CZ88" i="3"/>
  <c r="CZ87" i="3"/>
  <c r="CZ86" i="3"/>
  <c r="CZ85" i="3"/>
  <c r="CZ84" i="3"/>
  <c r="CZ83" i="3"/>
  <c r="CZ82" i="3"/>
  <c r="CZ81" i="3"/>
  <c r="CZ80" i="3"/>
  <c r="CZ79" i="3"/>
  <c r="CZ78" i="3"/>
  <c r="CZ77" i="3"/>
  <c r="CZ76" i="3"/>
  <c r="CZ75" i="3"/>
  <c r="CZ74" i="3"/>
  <c r="CZ73" i="3"/>
  <c r="CZ72" i="3"/>
  <c r="CZ71" i="3"/>
  <c r="CZ70" i="3"/>
  <c r="CZ69" i="3"/>
  <c r="CZ68" i="3"/>
  <c r="CZ67" i="3"/>
  <c r="CZ66" i="3"/>
  <c r="CZ65" i="3"/>
  <c r="CZ64" i="3"/>
  <c r="CZ63" i="3"/>
  <c r="CZ62" i="3"/>
  <c r="CZ61" i="3"/>
  <c r="CZ60" i="3"/>
  <c r="CZ59" i="3"/>
  <c r="CZ58" i="3"/>
  <c r="CZ57" i="3"/>
  <c r="CZ56" i="3"/>
  <c r="CZ55" i="3"/>
  <c r="CZ54" i="3"/>
  <c r="CZ53" i="3"/>
  <c r="CZ52" i="3"/>
  <c r="CZ51" i="3"/>
  <c r="CZ50" i="3"/>
  <c r="CZ49" i="3"/>
  <c r="CZ48" i="3"/>
  <c r="CZ47" i="3"/>
  <c r="CZ46" i="3"/>
  <c r="CZ45" i="3"/>
  <c r="CZ44" i="3"/>
  <c r="CZ43" i="3"/>
  <c r="CZ42" i="3"/>
  <c r="CZ41" i="3"/>
  <c r="CZ40" i="3"/>
  <c r="CZ39" i="3"/>
  <c r="CZ38" i="3"/>
  <c r="CZ37" i="3"/>
  <c r="CZ36" i="3"/>
  <c r="CZ35" i="3"/>
  <c r="CZ34" i="3"/>
  <c r="CZ33" i="3"/>
  <c r="CZ32" i="3"/>
  <c r="CZ31" i="3"/>
  <c r="CZ30" i="3"/>
  <c r="CZ29" i="3"/>
  <c r="CZ28" i="3"/>
  <c r="CZ27" i="3"/>
  <c r="CZ26" i="3"/>
  <c r="CZ25" i="3"/>
  <c r="CZ24" i="3"/>
  <c r="CZ23" i="3"/>
  <c r="CZ22" i="3"/>
  <c r="CZ21" i="3"/>
  <c r="CZ20" i="3"/>
  <c r="CZ19" i="3"/>
  <c r="CZ18" i="3"/>
  <c r="CZ17" i="3"/>
  <c r="CZ16" i="3"/>
  <c r="CZ15" i="3"/>
  <c r="CZ14" i="3"/>
  <c r="CZ13" i="3"/>
  <c r="CZ12" i="3"/>
  <c r="CZ11" i="3"/>
  <c r="CZ10" i="3"/>
  <c r="CZ9" i="3"/>
  <c r="CZ8" i="3"/>
  <c r="CZ7" i="3"/>
  <c r="CZ6" i="3"/>
  <c r="CZ5" i="3"/>
  <c r="CZ4" i="3"/>
  <c r="CZ3" i="3"/>
  <c r="G1" i="3"/>
  <c r="CX105" i="2"/>
  <c r="CW105" i="2"/>
  <c r="CV105" i="2"/>
  <c r="CU105" i="2"/>
  <c r="CT105" i="2"/>
  <c r="CS105" i="2"/>
  <c r="CR105" i="2"/>
  <c r="CQ105" i="2"/>
  <c r="CP105" i="2"/>
  <c r="CO105" i="2"/>
  <c r="CN105" i="2"/>
  <c r="CM105" i="2"/>
  <c r="CL105" i="2"/>
  <c r="CK105" i="2"/>
  <c r="CJ105" i="2"/>
  <c r="CI105" i="2"/>
  <c r="CH105" i="2"/>
  <c r="CG105" i="2"/>
  <c r="CF105" i="2"/>
  <c r="CE105" i="2"/>
  <c r="CD105" i="2"/>
  <c r="CC105" i="2"/>
  <c r="CB105" i="2"/>
  <c r="CA105" i="2"/>
  <c r="BZ105" i="2"/>
  <c r="BY105" i="2"/>
  <c r="BX105" i="2"/>
  <c r="BW105" i="2"/>
  <c r="BV105" i="2"/>
  <c r="BU105" i="2"/>
  <c r="BT105" i="2"/>
  <c r="BS105" i="2"/>
  <c r="BR105" i="2"/>
  <c r="BQ105" i="2"/>
  <c r="BP105" i="2"/>
  <c r="BO105" i="2"/>
  <c r="BN105" i="2"/>
  <c r="BM105" i="2"/>
  <c r="BL105" i="2"/>
  <c r="BK105" i="2"/>
  <c r="BJ105" i="2"/>
  <c r="BI105" i="2"/>
  <c r="BH105" i="2"/>
  <c r="BG105" i="2"/>
  <c r="BF105" i="2"/>
  <c r="BE105" i="2"/>
  <c r="BD105" i="2"/>
  <c r="BC105" i="2"/>
  <c r="BB105" i="2"/>
  <c r="BA105" i="2"/>
  <c r="AZ105" i="2"/>
  <c r="AY105" i="2"/>
  <c r="AX105" i="2"/>
  <c r="AW105" i="2"/>
  <c r="AV105" i="2"/>
  <c r="AU105" i="2"/>
  <c r="AT105" i="2"/>
  <c r="AS105" i="2"/>
  <c r="AR105" i="2"/>
  <c r="AQ105" i="2"/>
  <c r="AP105" i="2"/>
  <c r="AO105" i="2"/>
  <c r="AN105" i="2"/>
  <c r="AM105" i="2"/>
  <c r="AL105" i="2"/>
  <c r="AK105" i="2"/>
  <c r="AJ105" i="2"/>
  <c r="AI105" i="2"/>
  <c r="AH105" i="2"/>
  <c r="AG105" i="2"/>
  <c r="AF105" i="2"/>
  <c r="AE105" i="2"/>
  <c r="AD105" i="2"/>
  <c r="AC105" i="2"/>
  <c r="AB105" i="2"/>
  <c r="AA105" i="2"/>
  <c r="Z105" i="2"/>
  <c r="Y105" i="2"/>
  <c r="X105" i="2"/>
  <c r="W105" i="2"/>
  <c r="V105" i="2"/>
  <c r="U105" i="2"/>
  <c r="T105" i="2"/>
  <c r="S105" i="2"/>
  <c r="R105" i="2"/>
  <c r="Q105" i="2"/>
  <c r="P105" i="2"/>
  <c r="O105" i="2"/>
  <c r="N105" i="2"/>
  <c r="M105" i="2"/>
  <c r="L105" i="2"/>
  <c r="K105" i="2"/>
  <c r="J105" i="2"/>
  <c r="I105" i="2"/>
  <c r="H105" i="2"/>
  <c r="G105" i="2"/>
  <c r="F105" i="2"/>
  <c r="E105" i="2"/>
  <c r="D105" i="2"/>
  <c r="C105" i="2"/>
  <c r="B105" i="2"/>
  <c r="CZ103" i="2"/>
  <c r="CZ102" i="2"/>
  <c r="CZ101" i="2"/>
  <c r="CZ100" i="2"/>
  <c r="CZ99" i="2"/>
  <c r="CZ98" i="2"/>
  <c r="CZ97" i="2"/>
  <c r="CZ96" i="2"/>
  <c r="CZ95" i="2"/>
  <c r="CZ94" i="2"/>
  <c r="CZ93" i="2"/>
  <c r="CZ92" i="2"/>
  <c r="CZ91" i="2"/>
  <c r="CZ90" i="2"/>
  <c r="CZ89" i="2"/>
  <c r="CZ88" i="2"/>
  <c r="CZ87" i="2"/>
  <c r="CZ86" i="2"/>
  <c r="CZ85" i="2"/>
  <c r="CZ84" i="2"/>
  <c r="CZ83" i="2"/>
  <c r="CZ82" i="2"/>
  <c r="CZ81" i="2"/>
  <c r="CZ80" i="2"/>
  <c r="CZ79" i="2"/>
  <c r="CZ78" i="2"/>
  <c r="CZ77" i="2"/>
  <c r="CZ76" i="2"/>
  <c r="CZ75" i="2"/>
  <c r="CZ74" i="2"/>
  <c r="CZ73" i="2"/>
  <c r="CZ72" i="2"/>
  <c r="CZ71" i="2"/>
  <c r="CZ70" i="2"/>
  <c r="CZ69" i="2"/>
  <c r="CZ68" i="2"/>
  <c r="CZ67" i="2"/>
  <c r="CZ66" i="2"/>
  <c r="CZ65" i="2"/>
  <c r="CZ64" i="2"/>
  <c r="CZ63" i="2"/>
  <c r="CZ62" i="2"/>
  <c r="CZ61" i="2"/>
  <c r="CZ60" i="2"/>
  <c r="CZ59" i="2"/>
  <c r="CZ58" i="2"/>
  <c r="CZ57" i="2"/>
  <c r="CZ56" i="2"/>
  <c r="CZ55" i="2"/>
  <c r="CZ54" i="2"/>
  <c r="CZ53" i="2"/>
  <c r="CZ52" i="2"/>
  <c r="CZ51" i="2"/>
  <c r="CZ50" i="2"/>
  <c r="CZ49" i="2"/>
  <c r="CZ48" i="2"/>
  <c r="CZ47" i="2"/>
  <c r="CZ46" i="2"/>
  <c r="CZ45" i="2"/>
  <c r="CZ44" i="2"/>
  <c r="CZ43" i="2"/>
  <c r="CZ42" i="2"/>
  <c r="CZ41" i="2"/>
  <c r="CZ40" i="2"/>
  <c r="CZ39" i="2"/>
  <c r="CZ38" i="2"/>
  <c r="CZ37" i="2"/>
  <c r="CZ36" i="2"/>
  <c r="CZ35" i="2"/>
  <c r="CZ34" i="2"/>
  <c r="CZ33" i="2"/>
  <c r="CZ32" i="2"/>
  <c r="CZ31" i="2"/>
  <c r="CZ30" i="2"/>
  <c r="CZ29" i="2"/>
  <c r="CZ28" i="2"/>
  <c r="CZ27" i="2"/>
  <c r="CZ26" i="2"/>
  <c r="CZ25" i="2"/>
  <c r="CZ24" i="2"/>
  <c r="CZ23" i="2"/>
  <c r="CZ22" i="2"/>
  <c r="CZ21" i="2"/>
  <c r="CZ20" i="2"/>
  <c r="CZ19" i="2"/>
  <c r="CZ18" i="2"/>
  <c r="CZ17" i="2"/>
  <c r="CZ16" i="2"/>
  <c r="CZ15" i="2"/>
  <c r="CZ14" i="2"/>
  <c r="CZ13" i="2"/>
  <c r="CZ12" i="2"/>
  <c r="CZ11" i="2"/>
  <c r="CZ10" i="2"/>
  <c r="CZ9" i="2"/>
  <c r="CZ8" i="2"/>
  <c r="CZ7" i="2"/>
  <c r="CZ6" i="2"/>
  <c r="CZ5" i="2"/>
  <c r="CZ4" i="2"/>
  <c r="CZ3" i="2"/>
  <c r="B96" i="9"/>
  <c r="B99" i="9" s="1"/>
  <c r="C95" i="9"/>
  <c r="E93" i="9"/>
  <c r="H93" i="9" s="1"/>
  <c r="K93" i="9" s="1"/>
  <c r="N93" i="9" s="1"/>
  <c r="F92" i="9"/>
  <c r="I92" i="9" s="1"/>
  <c r="L92" i="9" s="1"/>
  <c r="O92" i="9" s="1"/>
  <c r="B78" i="9"/>
  <c r="C77" i="9"/>
  <c r="E75" i="9"/>
  <c r="H75" i="9" s="1"/>
  <c r="K75" i="9" s="1"/>
  <c r="N75" i="9" s="1"/>
  <c r="F74" i="9"/>
  <c r="I74" i="9" s="1"/>
  <c r="L74" i="9" s="1"/>
  <c r="O74" i="9" s="1"/>
  <c r="B60" i="9"/>
  <c r="C59" i="9"/>
  <c r="E57" i="9"/>
  <c r="H57" i="9" s="1"/>
  <c r="K57" i="9" s="1"/>
  <c r="N57" i="9" s="1"/>
  <c r="F56" i="9"/>
  <c r="I56" i="9" s="1"/>
  <c r="L56" i="9" s="1"/>
  <c r="O56" i="9" s="1"/>
  <c r="C41" i="9"/>
  <c r="F38" i="9"/>
  <c r="I38" i="9" s="1"/>
  <c r="L38" i="9" s="1"/>
  <c r="O38" i="9" s="1"/>
  <c r="B24" i="9"/>
  <c r="E24" i="9" s="1"/>
  <c r="H24" i="9" s="1"/>
  <c r="K24" i="9" s="1"/>
  <c r="N24" i="9" s="1"/>
  <c r="C23" i="9"/>
  <c r="F23" i="9" s="1"/>
  <c r="I23" i="9" s="1"/>
  <c r="L23" i="9" s="1"/>
  <c r="O23" i="9" s="1"/>
  <c r="E21" i="9"/>
  <c r="H21" i="9" s="1"/>
  <c r="K21" i="9" s="1"/>
  <c r="N21" i="9" s="1"/>
  <c r="F20" i="9"/>
  <c r="I20" i="9" s="1"/>
  <c r="L20" i="9" s="1"/>
  <c r="O20" i="9" s="1"/>
  <c r="B6" i="9"/>
  <c r="C5" i="9"/>
  <c r="E3" i="9"/>
  <c r="H3" i="9" s="1"/>
  <c r="K3" i="9" s="1"/>
  <c r="N3" i="9" s="1"/>
  <c r="F2" i="9"/>
  <c r="I2" i="9" s="1"/>
  <c r="L2" i="9" s="1"/>
  <c r="O2" i="9" s="1"/>
  <c r="N8" i="10"/>
  <c r="B13" i="88"/>
  <c r="B12" i="88"/>
  <c r="H6" i="88"/>
  <c r="G6" i="88"/>
  <c r="F6" i="88"/>
  <c r="B6" i="88"/>
  <c r="M5" i="88"/>
  <c r="H5" i="88"/>
  <c r="G5" i="88"/>
  <c r="F5" i="88"/>
  <c r="H4" i="88"/>
  <c r="G4" i="88"/>
  <c r="F4" i="88"/>
  <c r="D19" i="98"/>
  <c r="BW18" i="98"/>
  <c r="X18" i="98"/>
  <c r="C18" i="98"/>
  <c r="D18" i="98" s="1"/>
  <c r="BW17" i="98"/>
  <c r="W17" i="98"/>
  <c r="X17" i="98" s="1"/>
  <c r="C17" i="98"/>
  <c r="D17" i="98" s="1"/>
  <c r="BW16" i="98"/>
  <c r="W16" i="98"/>
  <c r="X16" i="98" s="1"/>
  <c r="C16" i="98"/>
  <c r="D16" i="98" s="1"/>
  <c r="BW15" i="98"/>
  <c r="W15" i="98"/>
  <c r="X15" i="98" s="1"/>
  <c r="C15" i="98"/>
  <c r="D15" i="98" s="1"/>
  <c r="BW14" i="98"/>
  <c r="W14" i="98"/>
  <c r="X14" i="98" s="1"/>
  <c r="C14" i="98"/>
  <c r="BW13" i="98"/>
  <c r="W13" i="98"/>
  <c r="X13" i="98" s="1"/>
  <c r="CF13" i="98" s="1"/>
  <c r="C13" i="98"/>
  <c r="D13" i="98" s="1"/>
  <c r="BW12" i="98"/>
  <c r="W12" i="98"/>
  <c r="X12" i="98" s="1"/>
  <c r="C12" i="98"/>
  <c r="D12" i="98" s="1"/>
  <c r="BW11" i="98"/>
  <c r="W11" i="98"/>
  <c r="C11" i="98"/>
  <c r="D11" i="98" s="1"/>
  <c r="W10" i="98"/>
  <c r="C10" i="98"/>
  <c r="D10" i="98" s="1"/>
  <c r="Y4" i="98"/>
  <c r="Y2" i="98"/>
  <c r="E2" i="98"/>
  <c r="D12" i="109"/>
  <c r="BV11" i="109"/>
  <c r="X11" i="109"/>
  <c r="C11" i="109"/>
  <c r="D11" i="109" s="1"/>
  <c r="BV10" i="109"/>
  <c r="W10" i="109"/>
  <c r="C10" i="109"/>
  <c r="D10" i="109" s="1"/>
  <c r="Y4" i="109"/>
  <c r="Y2" i="109"/>
  <c r="E2" i="109"/>
  <c r="D16" i="41"/>
  <c r="D15" i="41"/>
  <c r="D14" i="41"/>
  <c r="D13" i="41"/>
  <c r="D12" i="41"/>
  <c r="G8" i="41"/>
  <c r="H8" i="41" s="1"/>
  <c r="D7" i="41"/>
  <c r="E7" i="41" s="1"/>
  <c r="F7" i="41" s="1"/>
  <c r="G7" i="41" s="1"/>
  <c r="D6" i="41"/>
  <c r="E6" i="41" s="1"/>
  <c r="F6" i="41" s="1"/>
  <c r="G6" i="41" s="1"/>
  <c r="E2" i="41"/>
  <c r="G1001" i="112"/>
  <c r="C1001" i="112"/>
  <c r="G1000" i="112"/>
  <c r="C1000" i="112"/>
  <c r="G999" i="112"/>
  <c r="C999" i="112"/>
  <c r="G998" i="112"/>
  <c r="C998" i="112"/>
  <c r="G997" i="112"/>
  <c r="C997" i="112"/>
  <c r="G996" i="112"/>
  <c r="C996" i="112"/>
  <c r="G995" i="112"/>
  <c r="C995" i="112"/>
  <c r="G994" i="112"/>
  <c r="C994" i="112"/>
  <c r="G993" i="112"/>
  <c r="C993" i="112"/>
  <c r="G992" i="112"/>
  <c r="C992" i="112"/>
  <c r="G991" i="112"/>
  <c r="C991" i="112"/>
  <c r="G990" i="112"/>
  <c r="C990" i="112"/>
  <c r="G989" i="112"/>
  <c r="C989" i="112"/>
  <c r="G988" i="112"/>
  <c r="C988" i="112"/>
  <c r="G987" i="112"/>
  <c r="C987" i="112"/>
  <c r="G986" i="112"/>
  <c r="C986" i="112"/>
  <c r="G985" i="112"/>
  <c r="C985" i="112"/>
  <c r="G984" i="112"/>
  <c r="C984" i="112"/>
  <c r="G983" i="112"/>
  <c r="C983" i="112"/>
  <c r="G982" i="112"/>
  <c r="C982" i="112"/>
  <c r="G981" i="112"/>
  <c r="C981" i="112"/>
  <c r="G980" i="112"/>
  <c r="C980" i="112"/>
  <c r="G979" i="112"/>
  <c r="C979" i="112"/>
  <c r="G978" i="112"/>
  <c r="C978" i="112"/>
  <c r="G977" i="112"/>
  <c r="C977" i="112"/>
  <c r="G976" i="112"/>
  <c r="C976" i="112"/>
  <c r="G975" i="112"/>
  <c r="C975" i="112"/>
  <c r="G974" i="112"/>
  <c r="C974" i="112"/>
  <c r="G973" i="112"/>
  <c r="C973" i="112"/>
  <c r="G972" i="112"/>
  <c r="C972" i="112"/>
  <c r="G971" i="112"/>
  <c r="C971" i="112"/>
  <c r="G970" i="112"/>
  <c r="C970" i="112"/>
  <c r="G969" i="112"/>
  <c r="C969" i="112"/>
  <c r="G968" i="112"/>
  <c r="C968" i="112"/>
  <c r="G967" i="112"/>
  <c r="C967" i="112"/>
  <c r="G966" i="112"/>
  <c r="C966" i="112"/>
  <c r="G965" i="112"/>
  <c r="C965" i="112"/>
  <c r="G964" i="112"/>
  <c r="C964" i="112"/>
  <c r="G963" i="112"/>
  <c r="C963" i="112"/>
  <c r="G962" i="112"/>
  <c r="C962" i="112"/>
  <c r="G961" i="112"/>
  <c r="C961" i="112"/>
  <c r="G960" i="112"/>
  <c r="C960" i="112"/>
  <c r="G959" i="112"/>
  <c r="C959" i="112"/>
  <c r="G958" i="112"/>
  <c r="C958" i="112"/>
  <c r="G957" i="112"/>
  <c r="C957" i="112"/>
  <c r="G956" i="112"/>
  <c r="C956" i="112"/>
  <c r="G955" i="112"/>
  <c r="C955" i="112"/>
  <c r="G954" i="112"/>
  <c r="C954" i="112"/>
  <c r="G953" i="112"/>
  <c r="C953" i="112"/>
  <c r="G952" i="112"/>
  <c r="C952" i="112"/>
  <c r="G951" i="112"/>
  <c r="C951" i="112"/>
  <c r="G950" i="112"/>
  <c r="C950" i="112"/>
  <c r="G949" i="112"/>
  <c r="C949" i="112"/>
  <c r="G948" i="112"/>
  <c r="C948" i="112"/>
  <c r="G947" i="112"/>
  <c r="C947" i="112"/>
  <c r="G946" i="112"/>
  <c r="C946" i="112"/>
  <c r="G945" i="112"/>
  <c r="C945" i="112"/>
  <c r="G944" i="112"/>
  <c r="C944" i="112"/>
  <c r="G943" i="112"/>
  <c r="C943" i="112"/>
  <c r="G942" i="112"/>
  <c r="C942" i="112"/>
  <c r="G941" i="112"/>
  <c r="C941" i="112"/>
  <c r="G940" i="112"/>
  <c r="C940" i="112"/>
  <c r="G939" i="112"/>
  <c r="C939" i="112"/>
  <c r="G938" i="112"/>
  <c r="C938" i="112"/>
  <c r="G937" i="112"/>
  <c r="C937" i="112"/>
  <c r="G936" i="112"/>
  <c r="C936" i="112"/>
  <c r="G935" i="112"/>
  <c r="C935" i="112"/>
  <c r="G934" i="112"/>
  <c r="C934" i="112"/>
  <c r="G933" i="112"/>
  <c r="C933" i="112"/>
  <c r="G932" i="112"/>
  <c r="C932" i="112"/>
  <c r="G931" i="112"/>
  <c r="C931" i="112"/>
  <c r="G930" i="112"/>
  <c r="C930" i="112"/>
  <c r="G929" i="112"/>
  <c r="C929" i="112"/>
  <c r="G928" i="112"/>
  <c r="C928" i="112"/>
  <c r="G927" i="112"/>
  <c r="C927" i="112"/>
  <c r="G926" i="112"/>
  <c r="C926" i="112"/>
  <c r="G925" i="112"/>
  <c r="C925" i="112"/>
  <c r="G924" i="112"/>
  <c r="C924" i="112"/>
  <c r="G923" i="112"/>
  <c r="C923" i="112"/>
  <c r="G922" i="112"/>
  <c r="C922" i="112"/>
  <c r="G921" i="112"/>
  <c r="C921" i="112"/>
  <c r="G920" i="112"/>
  <c r="C920" i="112"/>
  <c r="G919" i="112"/>
  <c r="C919" i="112"/>
  <c r="G918" i="112"/>
  <c r="C918" i="112"/>
  <c r="G917" i="112"/>
  <c r="C917" i="112"/>
  <c r="G916" i="112"/>
  <c r="C916" i="112"/>
  <c r="G915" i="112"/>
  <c r="C915" i="112"/>
  <c r="G914" i="112"/>
  <c r="C914" i="112"/>
  <c r="G913" i="112"/>
  <c r="C913" i="112"/>
  <c r="G912" i="112"/>
  <c r="C912" i="112"/>
  <c r="G911" i="112"/>
  <c r="C911" i="112"/>
  <c r="G910" i="112"/>
  <c r="C910" i="112"/>
  <c r="G909" i="112"/>
  <c r="C909" i="112"/>
  <c r="G908" i="112"/>
  <c r="C908" i="112"/>
  <c r="G907" i="112"/>
  <c r="C907" i="112"/>
  <c r="G906" i="112"/>
  <c r="C906" i="112"/>
  <c r="G905" i="112"/>
  <c r="C905" i="112"/>
  <c r="G904" i="112"/>
  <c r="C904" i="112"/>
  <c r="G903" i="112"/>
  <c r="C903" i="112"/>
  <c r="G902" i="112"/>
  <c r="C902" i="112"/>
  <c r="G901" i="112"/>
  <c r="C901" i="112"/>
  <c r="G900" i="112"/>
  <c r="C900" i="112"/>
  <c r="G899" i="112"/>
  <c r="C899" i="112"/>
  <c r="G898" i="112"/>
  <c r="C898" i="112"/>
  <c r="G897" i="112"/>
  <c r="C897" i="112"/>
  <c r="G896" i="112"/>
  <c r="C896" i="112"/>
  <c r="G895" i="112"/>
  <c r="C895" i="112"/>
  <c r="G894" i="112"/>
  <c r="C894" i="112"/>
  <c r="G893" i="112"/>
  <c r="C893" i="112"/>
  <c r="G892" i="112"/>
  <c r="C892" i="112"/>
  <c r="G891" i="112"/>
  <c r="C891" i="112"/>
  <c r="G890" i="112"/>
  <c r="C890" i="112"/>
  <c r="G889" i="112"/>
  <c r="C889" i="112"/>
  <c r="G888" i="112"/>
  <c r="C888" i="112"/>
  <c r="G887" i="112"/>
  <c r="C887" i="112"/>
  <c r="G886" i="112"/>
  <c r="C886" i="112"/>
  <c r="G885" i="112"/>
  <c r="C885" i="112"/>
  <c r="G884" i="112"/>
  <c r="C884" i="112"/>
  <c r="G883" i="112"/>
  <c r="C883" i="112"/>
  <c r="G882" i="112"/>
  <c r="C882" i="112"/>
  <c r="G881" i="112"/>
  <c r="C881" i="112"/>
  <c r="G880" i="112"/>
  <c r="C880" i="112"/>
  <c r="G879" i="112"/>
  <c r="C879" i="112"/>
  <c r="G878" i="112"/>
  <c r="C878" i="112"/>
  <c r="G877" i="112"/>
  <c r="C877" i="112"/>
  <c r="G876" i="112"/>
  <c r="C876" i="112"/>
  <c r="G875" i="112"/>
  <c r="C875" i="112"/>
  <c r="G874" i="112"/>
  <c r="C874" i="112"/>
  <c r="G873" i="112"/>
  <c r="C873" i="112"/>
  <c r="G872" i="112"/>
  <c r="C872" i="112"/>
  <c r="G871" i="112"/>
  <c r="C871" i="112"/>
  <c r="G870" i="112"/>
  <c r="C870" i="112"/>
  <c r="G869" i="112"/>
  <c r="C869" i="112"/>
  <c r="G868" i="112"/>
  <c r="C868" i="112"/>
  <c r="G867" i="112"/>
  <c r="C867" i="112"/>
  <c r="G866" i="112"/>
  <c r="C866" i="112"/>
  <c r="G865" i="112"/>
  <c r="C865" i="112"/>
  <c r="G864" i="112"/>
  <c r="C864" i="112"/>
  <c r="G863" i="112"/>
  <c r="C863" i="112"/>
  <c r="G862" i="112"/>
  <c r="C862" i="112"/>
  <c r="G861" i="112"/>
  <c r="C861" i="112"/>
  <c r="G860" i="112"/>
  <c r="C860" i="112"/>
  <c r="G859" i="112"/>
  <c r="C859" i="112"/>
  <c r="G858" i="112"/>
  <c r="C858" i="112"/>
  <c r="G857" i="112"/>
  <c r="C857" i="112"/>
  <c r="G856" i="112"/>
  <c r="C856" i="112"/>
  <c r="G855" i="112"/>
  <c r="C855" i="112"/>
  <c r="G854" i="112"/>
  <c r="C854" i="112"/>
  <c r="G853" i="112"/>
  <c r="C853" i="112"/>
  <c r="G852" i="112"/>
  <c r="C852" i="112"/>
  <c r="G851" i="112"/>
  <c r="C851" i="112"/>
  <c r="G850" i="112"/>
  <c r="C850" i="112"/>
  <c r="G849" i="112"/>
  <c r="C849" i="112"/>
  <c r="G848" i="112"/>
  <c r="C848" i="112"/>
  <c r="G847" i="112"/>
  <c r="C847" i="112"/>
  <c r="G846" i="112"/>
  <c r="C846" i="112"/>
  <c r="G845" i="112"/>
  <c r="C845" i="112"/>
  <c r="G844" i="112"/>
  <c r="C844" i="112"/>
  <c r="G843" i="112"/>
  <c r="C843" i="112"/>
  <c r="G842" i="112"/>
  <c r="C842" i="112"/>
  <c r="G841" i="112"/>
  <c r="C841" i="112"/>
  <c r="G840" i="112"/>
  <c r="C840" i="112"/>
  <c r="G839" i="112"/>
  <c r="C839" i="112"/>
  <c r="G838" i="112"/>
  <c r="C838" i="112"/>
  <c r="G837" i="112"/>
  <c r="C837" i="112"/>
  <c r="G836" i="112"/>
  <c r="C836" i="112"/>
  <c r="G835" i="112"/>
  <c r="C835" i="112"/>
  <c r="G834" i="112"/>
  <c r="C834" i="112"/>
  <c r="G833" i="112"/>
  <c r="C833" i="112"/>
  <c r="G832" i="112"/>
  <c r="C832" i="112"/>
  <c r="G831" i="112"/>
  <c r="C831" i="112"/>
  <c r="G830" i="112"/>
  <c r="C830" i="112"/>
  <c r="G829" i="112"/>
  <c r="C829" i="112"/>
  <c r="G828" i="112"/>
  <c r="C828" i="112"/>
  <c r="G827" i="112"/>
  <c r="C827" i="112"/>
  <c r="G826" i="112"/>
  <c r="C826" i="112"/>
  <c r="G825" i="112"/>
  <c r="C825" i="112"/>
  <c r="G824" i="112"/>
  <c r="C824" i="112"/>
  <c r="G823" i="112"/>
  <c r="C823" i="112"/>
  <c r="G822" i="112"/>
  <c r="C822" i="112"/>
  <c r="G821" i="112"/>
  <c r="C821" i="112"/>
  <c r="G820" i="112"/>
  <c r="C820" i="112"/>
  <c r="G819" i="112"/>
  <c r="C819" i="112"/>
  <c r="G818" i="112"/>
  <c r="C818" i="112"/>
  <c r="G817" i="112"/>
  <c r="C817" i="112"/>
  <c r="G816" i="112"/>
  <c r="C816" i="112"/>
  <c r="G815" i="112"/>
  <c r="C815" i="112"/>
  <c r="G814" i="112"/>
  <c r="C814" i="112"/>
  <c r="G813" i="112"/>
  <c r="C813" i="112"/>
  <c r="G812" i="112"/>
  <c r="C812" i="112"/>
  <c r="G811" i="112"/>
  <c r="C811" i="112"/>
  <c r="G810" i="112"/>
  <c r="C810" i="112"/>
  <c r="G809" i="112"/>
  <c r="C809" i="112"/>
  <c r="G808" i="112"/>
  <c r="C808" i="112"/>
  <c r="G807" i="112"/>
  <c r="C807" i="112"/>
  <c r="G806" i="112"/>
  <c r="C806" i="112"/>
  <c r="G805" i="112"/>
  <c r="C805" i="112"/>
  <c r="G804" i="112"/>
  <c r="C804" i="112"/>
  <c r="G803" i="112"/>
  <c r="C803" i="112"/>
  <c r="G802" i="112"/>
  <c r="C802" i="112"/>
  <c r="G801" i="112"/>
  <c r="C801" i="112"/>
  <c r="G800" i="112"/>
  <c r="C800" i="112"/>
  <c r="G799" i="112"/>
  <c r="C799" i="112"/>
  <c r="G798" i="112"/>
  <c r="C798" i="112"/>
  <c r="G797" i="112"/>
  <c r="C797" i="112"/>
  <c r="G796" i="112"/>
  <c r="C796" i="112"/>
  <c r="G795" i="112"/>
  <c r="C795" i="112"/>
  <c r="G794" i="112"/>
  <c r="C794" i="112"/>
  <c r="G793" i="112"/>
  <c r="C793" i="112"/>
  <c r="G792" i="112"/>
  <c r="C792" i="112"/>
  <c r="G791" i="112"/>
  <c r="C791" i="112"/>
  <c r="G790" i="112"/>
  <c r="C790" i="112"/>
  <c r="G789" i="112"/>
  <c r="C789" i="112"/>
  <c r="G788" i="112"/>
  <c r="C788" i="112"/>
  <c r="G787" i="112"/>
  <c r="C787" i="112"/>
  <c r="G786" i="112"/>
  <c r="C786" i="112"/>
  <c r="G785" i="112"/>
  <c r="C785" i="112"/>
  <c r="G784" i="112"/>
  <c r="C784" i="112"/>
  <c r="G783" i="112"/>
  <c r="C783" i="112"/>
  <c r="G782" i="112"/>
  <c r="C782" i="112"/>
  <c r="G781" i="112"/>
  <c r="C781" i="112"/>
  <c r="G780" i="112"/>
  <c r="C780" i="112"/>
  <c r="G779" i="112"/>
  <c r="C779" i="112"/>
  <c r="G778" i="112"/>
  <c r="C778" i="112"/>
  <c r="G777" i="112"/>
  <c r="C777" i="112"/>
  <c r="G776" i="112"/>
  <c r="C776" i="112"/>
  <c r="G775" i="112"/>
  <c r="C775" i="112"/>
  <c r="G774" i="112"/>
  <c r="C774" i="112"/>
  <c r="G773" i="112"/>
  <c r="C773" i="112"/>
  <c r="G772" i="112"/>
  <c r="C772" i="112"/>
  <c r="G771" i="112"/>
  <c r="C771" i="112"/>
  <c r="G770" i="112"/>
  <c r="C770" i="112"/>
  <c r="G769" i="112"/>
  <c r="C769" i="112"/>
  <c r="G768" i="112"/>
  <c r="C768" i="112"/>
  <c r="G767" i="112"/>
  <c r="C767" i="112"/>
  <c r="G766" i="112"/>
  <c r="C766" i="112"/>
  <c r="G765" i="112"/>
  <c r="C765" i="112"/>
  <c r="G764" i="112"/>
  <c r="C764" i="112"/>
  <c r="G763" i="112"/>
  <c r="C763" i="112"/>
  <c r="G762" i="112"/>
  <c r="C762" i="112"/>
  <c r="G761" i="112"/>
  <c r="C761" i="112"/>
  <c r="G760" i="112"/>
  <c r="C760" i="112"/>
  <c r="G759" i="112"/>
  <c r="C759" i="112"/>
  <c r="G758" i="112"/>
  <c r="C758" i="112"/>
  <c r="G757" i="112"/>
  <c r="C757" i="112"/>
  <c r="G756" i="112"/>
  <c r="C756" i="112"/>
  <c r="G755" i="112"/>
  <c r="C755" i="112"/>
  <c r="G754" i="112"/>
  <c r="C754" i="112"/>
  <c r="G753" i="112"/>
  <c r="C753" i="112"/>
  <c r="G752" i="112"/>
  <c r="C752" i="112"/>
  <c r="G751" i="112"/>
  <c r="C751" i="112"/>
  <c r="G750" i="112"/>
  <c r="C750" i="112"/>
  <c r="G749" i="112"/>
  <c r="C749" i="112"/>
  <c r="G748" i="112"/>
  <c r="C748" i="112"/>
  <c r="G747" i="112"/>
  <c r="C747" i="112"/>
  <c r="G746" i="112"/>
  <c r="C746" i="112"/>
  <c r="G745" i="112"/>
  <c r="C745" i="112"/>
  <c r="G744" i="112"/>
  <c r="C744" i="112"/>
  <c r="G743" i="112"/>
  <c r="C743" i="112"/>
  <c r="G742" i="112"/>
  <c r="C742" i="112"/>
  <c r="G741" i="112"/>
  <c r="C741" i="112"/>
  <c r="G740" i="112"/>
  <c r="C740" i="112"/>
  <c r="G739" i="112"/>
  <c r="C739" i="112"/>
  <c r="G738" i="112"/>
  <c r="C738" i="112"/>
  <c r="G737" i="112"/>
  <c r="C737" i="112"/>
  <c r="G736" i="112"/>
  <c r="C736" i="112"/>
  <c r="G735" i="112"/>
  <c r="C735" i="112"/>
  <c r="G734" i="112"/>
  <c r="C734" i="112"/>
  <c r="G733" i="112"/>
  <c r="C733" i="112"/>
  <c r="G732" i="112"/>
  <c r="C732" i="112"/>
  <c r="G731" i="112"/>
  <c r="C731" i="112"/>
  <c r="G730" i="112"/>
  <c r="C730" i="112"/>
  <c r="G729" i="112"/>
  <c r="C729" i="112"/>
  <c r="G728" i="112"/>
  <c r="C728" i="112"/>
  <c r="G727" i="112"/>
  <c r="C727" i="112"/>
  <c r="G726" i="112"/>
  <c r="C726" i="112"/>
  <c r="G725" i="112"/>
  <c r="C725" i="112"/>
  <c r="G724" i="112"/>
  <c r="C724" i="112"/>
  <c r="G723" i="112"/>
  <c r="C723" i="112"/>
  <c r="G722" i="112"/>
  <c r="C722" i="112"/>
  <c r="G721" i="112"/>
  <c r="C721" i="112"/>
  <c r="G720" i="112"/>
  <c r="C720" i="112"/>
  <c r="G719" i="112"/>
  <c r="C719" i="112"/>
  <c r="G718" i="112"/>
  <c r="C718" i="112"/>
  <c r="G717" i="112"/>
  <c r="C717" i="112"/>
  <c r="G716" i="112"/>
  <c r="C716" i="112"/>
  <c r="G715" i="112"/>
  <c r="C715" i="112"/>
  <c r="G714" i="112"/>
  <c r="C714" i="112"/>
  <c r="G713" i="112"/>
  <c r="C713" i="112"/>
  <c r="G712" i="112"/>
  <c r="C712" i="112"/>
  <c r="G711" i="112"/>
  <c r="C711" i="112"/>
  <c r="G710" i="112"/>
  <c r="C710" i="112"/>
  <c r="G709" i="112"/>
  <c r="C709" i="112"/>
  <c r="G708" i="112"/>
  <c r="C708" i="112"/>
  <c r="G707" i="112"/>
  <c r="C707" i="112"/>
  <c r="G706" i="112"/>
  <c r="C706" i="112"/>
  <c r="G705" i="112"/>
  <c r="C705" i="112"/>
  <c r="G704" i="112"/>
  <c r="C704" i="112"/>
  <c r="G703" i="112"/>
  <c r="C703" i="112"/>
  <c r="G702" i="112"/>
  <c r="C702" i="112"/>
  <c r="G701" i="112"/>
  <c r="C701" i="112"/>
  <c r="G700" i="112"/>
  <c r="C700" i="112"/>
  <c r="G699" i="112"/>
  <c r="C699" i="112"/>
  <c r="G698" i="112"/>
  <c r="C698" i="112"/>
  <c r="G697" i="112"/>
  <c r="C697" i="112"/>
  <c r="G696" i="112"/>
  <c r="C696" i="112"/>
  <c r="G695" i="112"/>
  <c r="C695" i="112"/>
  <c r="G694" i="112"/>
  <c r="C694" i="112"/>
  <c r="G693" i="112"/>
  <c r="C693" i="112"/>
  <c r="G692" i="112"/>
  <c r="C692" i="112"/>
  <c r="G691" i="112"/>
  <c r="C691" i="112"/>
  <c r="G690" i="112"/>
  <c r="C690" i="112"/>
  <c r="G689" i="112"/>
  <c r="C689" i="112"/>
  <c r="G688" i="112"/>
  <c r="C688" i="112"/>
  <c r="G687" i="112"/>
  <c r="C687" i="112"/>
  <c r="G686" i="112"/>
  <c r="C686" i="112"/>
  <c r="G685" i="112"/>
  <c r="C685" i="112"/>
  <c r="G684" i="112"/>
  <c r="C684" i="112"/>
  <c r="G683" i="112"/>
  <c r="C683" i="112"/>
  <c r="G682" i="112"/>
  <c r="C682" i="112"/>
  <c r="G681" i="112"/>
  <c r="C681" i="112"/>
  <c r="G680" i="112"/>
  <c r="C680" i="112"/>
  <c r="G679" i="112"/>
  <c r="C679" i="112"/>
  <c r="G678" i="112"/>
  <c r="C678" i="112"/>
  <c r="G677" i="112"/>
  <c r="C677" i="112"/>
  <c r="G676" i="112"/>
  <c r="C676" i="112"/>
  <c r="G675" i="112"/>
  <c r="C675" i="112"/>
  <c r="G674" i="112"/>
  <c r="C674" i="112"/>
  <c r="G673" i="112"/>
  <c r="C673" i="112"/>
  <c r="G672" i="112"/>
  <c r="C672" i="112"/>
  <c r="G671" i="112"/>
  <c r="C671" i="112"/>
  <c r="G670" i="112"/>
  <c r="C670" i="112"/>
  <c r="G669" i="112"/>
  <c r="C669" i="112"/>
  <c r="G668" i="112"/>
  <c r="C668" i="112"/>
  <c r="G667" i="112"/>
  <c r="C667" i="112"/>
  <c r="G666" i="112"/>
  <c r="C666" i="112"/>
  <c r="G665" i="112"/>
  <c r="C665" i="112"/>
  <c r="G664" i="112"/>
  <c r="C664" i="112"/>
  <c r="G663" i="112"/>
  <c r="C663" i="112"/>
  <c r="G662" i="112"/>
  <c r="C662" i="112"/>
  <c r="G661" i="112"/>
  <c r="C661" i="112"/>
  <c r="G660" i="112"/>
  <c r="C660" i="112"/>
  <c r="G659" i="112"/>
  <c r="C659" i="112"/>
  <c r="G658" i="112"/>
  <c r="C658" i="112"/>
  <c r="G657" i="112"/>
  <c r="C657" i="112"/>
  <c r="G656" i="112"/>
  <c r="C656" i="112"/>
  <c r="G655" i="112"/>
  <c r="C655" i="112"/>
  <c r="G654" i="112"/>
  <c r="C654" i="112"/>
  <c r="G653" i="112"/>
  <c r="C653" i="112"/>
  <c r="G652" i="112"/>
  <c r="C652" i="112"/>
  <c r="G651" i="112"/>
  <c r="C651" i="112"/>
  <c r="G650" i="112"/>
  <c r="C650" i="112"/>
  <c r="G649" i="112"/>
  <c r="C649" i="112"/>
  <c r="G648" i="112"/>
  <c r="C648" i="112"/>
  <c r="G647" i="112"/>
  <c r="C647" i="112"/>
  <c r="G646" i="112"/>
  <c r="C646" i="112"/>
  <c r="G645" i="112"/>
  <c r="C645" i="112"/>
  <c r="G644" i="112"/>
  <c r="C644" i="112"/>
  <c r="G643" i="112"/>
  <c r="C643" i="112"/>
  <c r="G642" i="112"/>
  <c r="C642" i="112"/>
  <c r="G641" i="112"/>
  <c r="C641" i="112"/>
  <c r="G640" i="112"/>
  <c r="C640" i="112"/>
  <c r="G639" i="112"/>
  <c r="C639" i="112"/>
  <c r="G638" i="112"/>
  <c r="C638" i="112"/>
  <c r="G637" i="112"/>
  <c r="C637" i="112"/>
  <c r="G636" i="112"/>
  <c r="C636" i="112"/>
  <c r="G635" i="112"/>
  <c r="C635" i="112"/>
  <c r="G634" i="112"/>
  <c r="C634" i="112"/>
  <c r="G633" i="112"/>
  <c r="C633" i="112"/>
  <c r="G632" i="112"/>
  <c r="C632" i="112"/>
  <c r="G631" i="112"/>
  <c r="C631" i="112"/>
  <c r="G630" i="112"/>
  <c r="C630" i="112"/>
  <c r="G629" i="112"/>
  <c r="C629" i="112"/>
  <c r="G628" i="112"/>
  <c r="C628" i="112"/>
  <c r="G627" i="112"/>
  <c r="C627" i="112"/>
  <c r="G626" i="112"/>
  <c r="C626" i="112"/>
  <c r="G625" i="112"/>
  <c r="C625" i="112"/>
  <c r="G624" i="112"/>
  <c r="C624" i="112"/>
  <c r="G623" i="112"/>
  <c r="C623" i="112"/>
  <c r="G622" i="112"/>
  <c r="C622" i="112"/>
  <c r="G621" i="112"/>
  <c r="C621" i="112"/>
  <c r="G620" i="112"/>
  <c r="C620" i="112"/>
  <c r="G619" i="112"/>
  <c r="C619" i="112"/>
  <c r="G618" i="112"/>
  <c r="C618" i="112"/>
  <c r="G617" i="112"/>
  <c r="C617" i="112"/>
  <c r="G616" i="112"/>
  <c r="C616" i="112"/>
  <c r="G615" i="112"/>
  <c r="C615" i="112"/>
  <c r="G614" i="112"/>
  <c r="C614" i="112"/>
  <c r="G613" i="112"/>
  <c r="C613" i="112"/>
  <c r="G612" i="112"/>
  <c r="C612" i="112"/>
  <c r="G611" i="112"/>
  <c r="C611" i="112"/>
  <c r="G610" i="112"/>
  <c r="C610" i="112"/>
  <c r="G609" i="112"/>
  <c r="C609" i="112"/>
  <c r="G608" i="112"/>
  <c r="C608" i="112"/>
  <c r="G607" i="112"/>
  <c r="C607" i="112"/>
  <c r="G606" i="112"/>
  <c r="C606" i="112"/>
  <c r="G605" i="112"/>
  <c r="C605" i="112"/>
  <c r="G604" i="112"/>
  <c r="C604" i="112"/>
  <c r="G603" i="112"/>
  <c r="C603" i="112"/>
  <c r="G602" i="112"/>
  <c r="C602" i="112"/>
  <c r="G601" i="112"/>
  <c r="C601" i="112"/>
  <c r="G600" i="112"/>
  <c r="C600" i="112"/>
  <c r="G599" i="112"/>
  <c r="C599" i="112"/>
  <c r="G598" i="112"/>
  <c r="C598" i="112"/>
  <c r="G597" i="112"/>
  <c r="C597" i="112"/>
  <c r="G596" i="112"/>
  <c r="C596" i="112"/>
  <c r="G595" i="112"/>
  <c r="C595" i="112"/>
  <c r="G594" i="112"/>
  <c r="C594" i="112"/>
  <c r="G593" i="112"/>
  <c r="C593" i="112"/>
  <c r="G592" i="112"/>
  <c r="C592" i="112"/>
  <c r="G591" i="112"/>
  <c r="C591" i="112"/>
  <c r="G590" i="112"/>
  <c r="C590" i="112"/>
  <c r="G589" i="112"/>
  <c r="C589" i="112"/>
  <c r="G588" i="112"/>
  <c r="C588" i="112"/>
  <c r="G587" i="112"/>
  <c r="C587" i="112"/>
  <c r="G586" i="112"/>
  <c r="C586" i="112"/>
  <c r="G585" i="112"/>
  <c r="C585" i="112"/>
  <c r="G584" i="112"/>
  <c r="C584" i="112"/>
  <c r="G583" i="112"/>
  <c r="C583" i="112"/>
  <c r="G582" i="112"/>
  <c r="C582" i="112"/>
  <c r="G581" i="112"/>
  <c r="C581" i="112"/>
  <c r="G580" i="112"/>
  <c r="C580" i="112"/>
  <c r="G579" i="112"/>
  <c r="C579" i="112"/>
  <c r="G578" i="112"/>
  <c r="C578" i="112"/>
  <c r="G577" i="112"/>
  <c r="C577" i="112"/>
  <c r="G576" i="112"/>
  <c r="C576" i="112"/>
  <c r="G575" i="112"/>
  <c r="C575" i="112"/>
  <c r="G574" i="112"/>
  <c r="C574" i="112"/>
  <c r="G573" i="112"/>
  <c r="C573" i="112"/>
  <c r="G572" i="112"/>
  <c r="C572" i="112"/>
  <c r="G571" i="112"/>
  <c r="C571" i="112"/>
  <c r="G570" i="112"/>
  <c r="C570" i="112"/>
  <c r="G569" i="112"/>
  <c r="C569" i="112"/>
  <c r="G568" i="112"/>
  <c r="C568" i="112"/>
  <c r="G567" i="112"/>
  <c r="C567" i="112"/>
  <c r="G566" i="112"/>
  <c r="C566" i="112"/>
  <c r="G565" i="112"/>
  <c r="C565" i="112"/>
  <c r="G564" i="112"/>
  <c r="C564" i="112"/>
  <c r="G563" i="112"/>
  <c r="C563" i="112"/>
  <c r="G562" i="112"/>
  <c r="C562" i="112"/>
  <c r="G561" i="112"/>
  <c r="C561" i="112"/>
  <c r="G560" i="112"/>
  <c r="C560" i="112"/>
  <c r="G559" i="112"/>
  <c r="C559" i="112"/>
  <c r="G558" i="112"/>
  <c r="C558" i="112"/>
  <c r="G557" i="112"/>
  <c r="C557" i="112"/>
  <c r="G556" i="112"/>
  <c r="C556" i="112"/>
  <c r="G555" i="112"/>
  <c r="C555" i="112"/>
  <c r="G554" i="112"/>
  <c r="C554" i="112"/>
  <c r="G553" i="112"/>
  <c r="C553" i="112"/>
  <c r="G552" i="112"/>
  <c r="C552" i="112"/>
  <c r="G551" i="112"/>
  <c r="C551" i="112"/>
  <c r="G550" i="112"/>
  <c r="C550" i="112"/>
  <c r="G549" i="112"/>
  <c r="C549" i="112"/>
  <c r="G548" i="112"/>
  <c r="C548" i="112"/>
  <c r="G547" i="112"/>
  <c r="C547" i="112"/>
  <c r="G546" i="112"/>
  <c r="C546" i="112"/>
  <c r="G545" i="112"/>
  <c r="C545" i="112"/>
  <c r="G544" i="112"/>
  <c r="C544" i="112"/>
  <c r="G543" i="112"/>
  <c r="C543" i="112"/>
  <c r="G542" i="112"/>
  <c r="C542" i="112"/>
  <c r="G541" i="112"/>
  <c r="C541" i="112"/>
  <c r="G540" i="112"/>
  <c r="C540" i="112"/>
  <c r="G539" i="112"/>
  <c r="C539" i="112"/>
  <c r="G538" i="112"/>
  <c r="C538" i="112"/>
  <c r="G537" i="112"/>
  <c r="C537" i="112"/>
  <c r="G536" i="112"/>
  <c r="C536" i="112"/>
  <c r="G535" i="112"/>
  <c r="C535" i="112"/>
  <c r="G534" i="112"/>
  <c r="C534" i="112"/>
  <c r="G533" i="112"/>
  <c r="C533" i="112"/>
  <c r="G532" i="112"/>
  <c r="C532" i="112"/>
  <c r="G531" i="112"/>
  <c r="C531" i="112"/>
  <c r="G530" i="112"/>
  <c r="C530" i="112"/>
  <c r="G529" i="112"/>
  <c r="C529" i="112"/>
  <c r="G528" i="112"/>
  <c r="C528" i="112"/>
  <c r="G527" i="112"/>
  <c r="C527" i="112"/>
  <c r="G526" i="112"/>
  <c r="C526" i="112"/>
  <c r="G525" i="112"/>
  <c r="C525" i="112"/>
  <c r="G524" i="112"/>
  <c r="C524" i="112"/>
  <c r="G523" i="112"/>
  <c r="C523" i="112"/>
  <c r="G522" i="112"/>
  <c r="C522" i="112"/>
  <c r="G521" i="112"/>
  <c r="C521" i="112"/>
  <c r="G520" i="112"/>
  <c r="C520" i="112"/>
  <c r="G519" i="112"/>
  <c r="C519" i="112"/>
  <c r="G518" i="112"/>
  <c r="C518" i="112"/>
  <c r="G517" i="112"/>
  <c r="C517" i="112"/>
  <c r="G516" i="112"/>
  <c r="C516" i="112"/>
  <c r="G515" i="112"/>
  <c r="C515" i="112"/>
  <c r="G514" i="112"/>
  <c r="C514" i="112"/>
  <c r="G513" i="112"/>
  <c r="C513" i="112"/>
  <c r="G512" i="112"/>
  <c r="C512" i="112"/>
  <c r="G511" i="112"/>
  <c r="C511" i="112"/>
  <c r="G510" i="112"/>
  <c r="C510" i="112"/>
  <c r="G509" i="112"/>
  <c r="C509" i="112"/>
  <c r="G508" i="112"/>
  <c r="C508" i="112"/>
  <c r="G507" i="112"/>
  <c r="C507" i="112"/>
  <c r="G506" i="112"/>
  <c r="C506" i="112"/>
  <c r="G505" i="112"/>
  <c r="C505" i="112"/>
  <c r="G504" i="112"/>
  <c r="C504" i="112"/>
  <c r="G503" i="112"/>
  <c r="C503" i="112"/>
  <c r="G502" i="112"/>
  <c r="C502" i="112"/>
  <c r="G501" i="112"/>
  <c r="C501" i="112"/>
  <c r="G500" i="112"/>
  <c r="C500" i="112"/>
  <c r="G499" i="112"/>
  <c r="C499" i="112"/>
  <c r="G498" i="112"/>
  <c r="C498" i="112"/>
  <c r="G497" i="112"/>
  <c r="C497" i="112"/>
  <c r="G496" i="112"/>
  <c r="C496" i="112"/>
  <c r="G495" i="112"/>
  <c r="C495" i="112"/>
  <c r="G494" i="112"/>
  <c r="C494" i="112"/>
  <c r="G493" i="112"/>
  <c r="C493" i="112"/>
  <c r="G492" i="112"/>
  <c r="C492" i="112"/>
  <c r="G491" i="112"/>
  <c r="C491" i="112"/>
  <c r="G490" i="112"/>
  <c r="C490" i="112"/>
  <c r="G489" i="112"/>
  <c r="C489" i="112"/>
  <c r="G488" i="112"/>
  <c r="C488" i="112"/>
  <c r="G487" i="112"/>
  <c r="C487" i="112"/>
  <c r="G486" i="112"/>
  <c r="C486" i="112"/>
  <c r="G485" i="112"/>
  <c r="C485" i="112"/>
  <c r="G484" i="112"/>
  <c r="C484" i="112"/>
  <c r="G483" i="112"/>
  <c r="C483" i="112"/>
  <c r="G482" i="112"/>
  <c r="C482" i="112"/>
  <c r="G481" i="112"/>
  <c r="C481" i="112"/>
  <c r="G480" i="112"/>
  <c r="C480" i="112"/>
  <c r="G479" i="112"/>
  <c r="C479" i="112"/>
  <c r="G478" i="112"/>
  <c r="C478" i="112"/>
  <c r="G477" i="112"/>
  <c r="C477" i="112"/>
  <c r="G476" i="112"/>
  <c r="C476" i="112"/>
  <c r="G475" i="112"/>
  <c r="C475" i="112"/>
  <c r="G474" i="112"/>
  <c r="C474" i="112"/>
  <c r="G473" i="112"/>
  <c r="C473" i="112"/>
  <c r="G472" i="112"/>
  <c r="C472" i="112"/>
  <c r="G471" i="112"/>
  <c r="C471" i="112"/>
  <c r="G470" i="112"/>
  <c r="C470" i="112"/>
  <c r="G469" i="112"/>
  <c r="C469" i="112"/>
  <c r="G468" i="112"/>
  <c r="C468" i="112"/>
  <c r="G467" i="112"/>
  <c r="C467" i="112"/>
  <c r="G466" i="112"/>
  <c r="C466" i="112"/>
  <c r="G465" i="112"/>
  <c r="C465" i="112"/>
  <c r="G464" i="112"/>
  <c r="C464" i="112"/>
  <c r="G463" i="112"/>
  <c r="C463" i="112"/>
  <c r="G462" i="112"/>
  <c r="C462" i="112"/>
  <c r="G461" i="112"/>
  <c r="C461" i="112"/>
  <c r="G460" i="112"/>
  <c r="C460" i="112"/>
  <c r="G459" i="112"/>
  <c r="C459" i="112"/>
  <c r="G458" i="112"/>
  <c r="C458" i="112"/>
  <c r="G457" i="112"/>
  <c r="C457" i="112"/>
  <c r="G456" i="112"/>
  <c r="C456" i="112"/>
  <c r="G455" i="112"/>
  <c r="C455" i="112"/>
  <c r="G454" i="112"/>
  <c r="C454" i="112"/>
  <c r="G453" i="112"/>
  <c r="C453" i="112"/>
  <c r="G452" i="112"/>
  <c r="C452" i="112"/>
  <c r="G451" i="112"/>
  <c r="C451" i="112"/>
  <c r="G450" i="112"/>
  <c r="C450" i="112"/>
  <c r="G449" i="112"/>
  <c r="C449" i="112"/>
  <c r="G448" i="112"/>
  <c r="C448" i="112"/>
  <c r="G447" i="112"/>
  <c r="C447" i="112"/>
  <c r="G446" i="112"/>
  <c r="C446" i="112"/>
  <c r="G445" i="112"/>
  <c r="C445" i="112"/>
  <c r="G444" i="112"/>
  <c r="C444" i="112"/>
  <c r="G443" i="112"/>
  <c r="C443" i="112"/>
  <c r="G442" i="112"/>
  <c r="C442" i="112"/>
  <c r="G441" i="112"/>
  <c r="C441" i="112"/>
  <c r="G440" i="112"/>
  <c r="C440" i="112"/>
  <c r="G439" i="112"/>
  <c r="C439" i="112"/>
  <c r="G438" i="112"/>
  <c r="C438" i="112"/>
  <c r="G437" i="112"/>
  <c r="C437" i="112"/>
  <c r="G436" i="112"/>
  <c r="C436" i="112"/>
  <c r="G435" i="112"/>
  <c r="C435" i="112"/>
  <c r="G434" i="112"/>
  <c r="C434" i="112"/>
  <c r="G433" i="112"/>
  <c r="C433" i="112"/>
  <c r="G432" i="112"/>
  <c r="C432" i="112"/>
  <c r="G431" i="112"/>
  <c r="C431" i="112"/>
  <c r="G430" i="112"/>
  <c r="C430" i="112"/>
  <c r="G429" i="112"/>
  <c r="C429" i="112"/>
  <c r="G428" i="112"/>
  <c r="C428" i="112"/>
  <c r="G427" i="112"/>
  <c r="C427" i="112"/>
  <c r="G426" i="112"/>
  <c r="C426" i="112"/>
  <c r="G425" i="112"/>
  <c r="C425" i="112"/>
  <c r="G424" i="112"/>
  <c r="C424" i="112"/>
  <c r="G423" i="112"/>
  <c r="C423" i="112"/>
  <c r="G422" i="112"/>
  <c r="C422" i="112"/>
  <c r="G421" i="112"/>
  <c r="C421" i="112"/>
  <c r="G420" i="112"/>
  <c r="C420" i="112"/>
  <c r="G419" i="112"/>
  <c r="C419" i="112"/>
  <c r="G418" i="112"/>
  <c r="C418" i="112"/>
  <c r="G417" i="112"/>
  <c r="C417" i="112"/>
  <c r="G416" i="112"/>
  <c r="C416" i="112"/>
  <c r="G415" i="112"/>
  <c r="C415" i="112"/>
  <c r="G414" i="112"/>
  <c r="C414" i="112"/>
  <c r="G413" i="112"/>
  <c r="C413" i="112"/>
  <c r="G412" i="112"/>
  <c r="C412" i="112"/>
  <c r="G411" i="112"/>
  <c r="C411" i="112"/>
  <c r="G410" i="112"/>
  <c r="C410" i="112"/>
  <c r="G409" i="112"/>
  <c r="C409" i="112"/>
  <c r="G408" i="112"/>
  <c r="C408" i="112"/>
  <c r="G407" i="112"/>
  <c r="C407" i="112"/>
  <c r="G406" i="112"/>
  <c r="C406" i="112"/>
  <c r="G405" i="112"/>
  <c r="C405" i="112"/>
  <c r="G404" i="112"/>
  <c r="C404" i="112"/>
  <c r="G403" i="112"/>
  <c r="C403" i="112"/>
  <c r="G402" i="112"/>
  <c r="C402" i="112"/>
  <c r="G401" i="112"/>
  <c r="C401" i="112"/>
  <c r="G400" i="112"/>
  <c r="C400" i="112"/>
  <c r="G399" i="112"/>
  <c r="C399" i="112"/>
  <c r="G398" i="112"/>
  <c r="C398" i="112"/>
  <c r="G397" i="112"/>
  <c r="C397" i="112"/>
  <c r="G396" i="112"/>
  <c r="C396" i="112"/>
  <c r="G395" i="112"/>
  <c r="C395" i="112"/>
  <c r="G394" i="112"/>
  <c r="C394" i="112"/>
  <c r="G393" i="112"/>
  <c r="C393" i="112"/>
  <c r="G392" i="112"/>
  <c r="C392" i="112"/>
  <c r="G391" i="112"/>
  <c r="C391" i="112"/>
  <c r="G390" i="112"/>
  <c r="C390" i="112"/>
  <c r="G389" i="112"/>
  <c r="C389" i="112"/>
  <c r="G388" i="112"/>
  <c r="C388" i="112"/>
  <c r="G387" i="112"/>
  <c r="C387" i="112"/>
  <c r="G386" i="112"/>
  <c r="C386" i="112"/>
  <c r="G385" i="112"/>
  <c r="C385" i="112"/>
  <c r="G384" i="112"/>
  <c r="C384" i="112"/>
  <c r="G383" i="112"/>
  <c r="C383" i="112"/>
  <c r="G382" i="112"/>
  <c r="C382" i="112"/>
  <c r="G381" i="112"/>
  <c r="C381" i="112"/>
  <c r="G380" i="112"/>
  <c r="C380" i="112"/>
  <c r="G379" i="112"/>
  <c r="C379" i="112"/>
  <c r="G378" i="112"/>
  <c r="C378" i="112"/>
  <c r="G377" i="112"/>
  <c r="C377" i="112"/>
  <c r="G376" i="112"/>
  <c r="C376" i="112"/>
  <c r="G375" i="112"/>
  <c r="C375" i="112"/>
  <c r="G374" i="112"/>
  <c r="C374" i="112"/>
  <c r="G373" i="112"/>
  <c r="C373" i="112"/>
  <c r="G372" i="112"/>
  <c r="C372" i="112"/>
  <c r="G371" i="112"/>
  <c r="C371" i="112"/>
  <c r="G370" i="112"/>
  <c r="C370" i="112"/>
  <c r="G369" i="112"/>
  <c r="C369" i="112"/>
  <c r="G368" i="112"/>
  <c r="C368" i="112"/>
  <c r="G367" i="112"/>
  <c r="C367" i="112"/>
  <c r="G366" i="112"/>
  <c r="C366" i="112"/>
  <c r="G365" i="112"/>
  <c r="C365" i="112"/>
  <c r="G364" i="112"/>
  <c r="C364" i="112"/>
  <c r="G363" i="112"/>
  <c r="C363" i="112"/>
  <c r="G362" i="112"/>
  <c r="C362" i="112"/>
  <c r="G361" i="112"/>
  <c r="C361" i="112"/>
  <c r="G360" i="112"/>
  <c r="C360" i="112"/>
  <c r="G359" i="112"/>
  <c r="C359" i="112"/>
  <c r="G358" i="112"/>
  <c r="C358" i="112"/>
  <c r="G357" i="112"/>
  <c r="C357" i="112"/>
  <c r="G356" i="112"/>
  <c r="C356" i="112"/>
  <c r="G355" i="112"/>
  <c r="C355" i="112"/>
  <c r="G354" i="112"/>
  <c r="C354" i="112"/>
  <c r="G353" i="112"/>
  <c r="C353" i="112"/>
  <c r="G352" i="112"/>
  <c r="C352" i="112"/>
  <c r="G351" i="112"/>
  <c r="C351" i="112"/>
  <c r="G350" i="112"/>
  <c r="C350" i="112"/>
  <c r="G349" i="112"/>
  <c r="C349" i="112"/>
  <c r="G348" i="112"/>
  <c r="C348" i="112"/>
  <c r="G347" i="112"/>
  <c r="C347" i="112"/>
  <c r="G346" i="112"/>
  <c r="C346" i="112"/>
  <c r="G345" i="112"/>
  <c r="C345" i="112"/>
  <c r="G344" i="112"/>
  <c r="C344" i="112"/>
  <c r="G343" i="112"/>
  <c r="C343" i="112"/>
  <c r="G342" i="112"/>
  <c r="C342" i="112"/>
  <c r="G341" i="112"/>
  <c r="C341" i="112"/>
  <c r="G340" i="112"/>
  <c r="C340" i="112"/>
  <c r="G339" i="112"/>
  <c r="C339" i="112"/>
  <c r="G338" i="112"/>
  <c r="C338" i="112"/>
  <c r="G337" i="112"/>
  <c r="C337" i="112"/>
  <c r="G336" i="112"/>
  <c r="C336" i="112"/>
  <c r="G335" i="112"/>
  <c r="C335" i="112"/>
  <c r="G334" i="112"/>
  <c r="C334" i="112"/>
  <c r="G333" i="112"/>
  <c r="C333" i="112"/>
  <c r="G332" i="112"/>
  <c r="C332" i="112"/>
  <c r="G331" i="112"/>
  <c r="C331" i="112"/>
  <c r="G330" i="112"/>
  <c r="C330" i="112"/>
  <c r="G329" i="112"/>
  <c r="C329" i="112"/>
  <c r="G328" i="112"/>
  <c r="C328" i="112"/>
  <c r="G327" i="112"/>
  <c r="C327" i="112"/>
  <c r="G326" i="112"/>
  <c r="C326" i="112"/>
  <c r="G325" i="112"/>
  <c r="C325" i="112"/>
  <c r="G324" i="112"/>
  <c r="C324" i="112"/>
  <c r="G323" i="112"/>
  <c r="C323" i="112"/>
  <c r="G322" i="112"/>
  <c r="C322" i="112"/>
  <c r="G321" i="112"/>
  <c r="C321" i="112"/>
  <c r="G320" i="112"/>
  <c r="C320" i="112"/>
  <c r="G319" i="112"/>
  <c r="C319" i="112"/>
  <c r="G318" i="112"/>
  <c r="C318" i="112"/>
  <c r="G317" i="112"/>
  <c r="C317" i="112"/>
  <c r="G316" i="112"/>
  <c r="C316" i="112"/>
  <c r="G315" i="112"/>
  <c r="C315" i="112"/>
  <c r="G314" i="112"/>
  <c r="C314" i="112"/>
  <c r="G313" i="112"/>
  <c r="C313" i="112"/>
  <c r="G312" i="112"/>
  <c r="C312" i="112"/>
  <c r="G311" i="112"/>
  <c r="C311" i="112"/>
  <c r="G310" i="112"/>
  <c r="C310" i="112"/>
  <c r="G309" i="112"/>
  <c r="C309" i="112"/>
  <c r="G308" i="112"/>
  <c r="C308" i="112"/>
  <c r="G307" i="112"/>
  <c r="C307" i="112"/>
  <c r="G306" i="112"/>
  <c r="C306" i="112"/>
  <c r="G305" i="112"/>
  <c r="C305" i="112"/>
  <c r="G304" i="112"/>
  <c r="C304" i="112"/>
  <c r="G303" i="112"/>
  <c r="C303" i="112"/>
  <c r="G302" i="112"/>
  <c r="C302" i="112"/>
  <c r="G301" i="112"/>
  <c r="C301" i="112"/>
  <c r="G300" i="112"/>
  <c r="C300" i="112"/>
  <c r="G299" i="112"/>
  <c r="C299" i="112"/>
  <c r="G298" i="112"/>
  <c r="C298" i="112"/>
  <c r="G297" i="112"/>
  <c r="C297" i="112"/>
  <c r="G296" i="112"/>
  <c r="C296" i="112"/>
  <c r="G295" i="112"/>
  <c r="C295" i="112"/>
  <c r="G294" i="112"/>
  <c r="C294" i="112"/>
  <c r="G293" i="112"/>
  <c r="C293" i="112"/>
  <c r="G292" i="112"/>
  <c r="C292" i="112"/>
  <c r="G291" i="112"/>
  <c r="C291" i="112"/>
  <c r="G290" i="112"/>
  <c r="C290" i="112"/>
  <c r="G289" i="112"/>
  <c r="C289" i="112"/>
  <c r="G288" i="112"/>
  <c r="C288" i="112"/>
  <c r="G287" i="112"/>
  <c r="C287" i="112"/>
  <c r="G286" i="112"/>
  <c r="C286" i="112"/>
  <c r="G285" i="112"/>
  <c r="C285" i="112"/>
  <c r="G284" i="112"/>
  <c r="C284" i="112"/>
  <c r="G283" i="112"/>
  <c r="C283" i="112"/>
  <c r="G282" i="112"/>
  <c r="C282" i="112"/>
  <c r="G281" i="112"/>
  <c r="C281" i="112"/>
  <c r="G280" i="112"/>
  <c r="C280" i="112"/>
  <c r="G279" i="112"/>
  <c r="C279" i="112"/>
  <c r="G278" i="112"/>
  <c r="C278" i="112"/>
  <c r="G277" i="112"/>
  <c r="C277" i="112"/>
  <c r="G276" i="112"/>
  <c r="C276" i="112"/>
  <c r="G275" i="112"/>
  <c r="C275" i="112"/>
  <c r="G274" i="112"/>
  <c r="C274" i="112"/>
  <c r="G273" i="112"/>
  <c r="C273" i="112"/>
  <c r="G272" i="112"/>
  <c r="C272" i="112"/>
  <c r="G271" i="112"/>
  <c r="C271" i="112"/>
  <c r="G270" i="112"/>
  <c r="C270" i="112"/>
  <c r="G269" i="112"/>
  <c r="C269" i="112"/>
  <c r="G268" i="112"/>
  <c r="C268" i="112"/>
  <c r="G267" i="112"/>
  <c r="C267" i="112"/>
  <c r="G266" i="112"/>
  <c r="C266" i="112"/>
  <c r="G265" i="112"/>
  <c r="C265" i="112"/>
  <c r="G264" i="112"/>
  <c r="C264" i="112"/>
  <c r="G263" i="112"/>
  <c r="C263" i="112"/>
  <c r="G262" i="112"/>
  <c r="C262" i="112"/>
  <c r="G261" i="112"/>
  <c r="C261" i="112"/>
  <c r="G260" i="112"/>
  <c r="C260" i="112"/>
  <c r="G259" i="112"/>
  <c r="C259" i="112"/>
  <c r="G258" i="112"/>
  <c r="C258" i="112"/>
  <c r="G257" i="112"/>
  <c r="C257" i="112"/>
  <c r="G256" i="112"/>
  <c r="C256" i="112"/>
  <c r="G255" i="112"/>
  <c r="C255" i="112"/>
  <c r="G254" i="112"/>
  <c r="C254" i="112"/>
  <c r="G253" i="112"/>
  <c r="C253" i="112"/>
  <c r="G252" i="112"/>
  <c r="C252" i="112"/>
  <c r="G251" i="112"/>
  <c r="C251" i="112"/>
  <c r="G250" i="112"/>
  <c r="C250" i="112"/>
  <c r="G249" i="112"/>
  <c r="C249" i="112"/>
  <c r="G248" i="112"/>
  <c r="C248" i="112"/>
  <c r="G247" i="112"/>
  <c r="C247" i="112"/>
  <c r="G246" i="112"/>
  <c r="C246" i="112"/>
  <c r="G245" i="112"/>
  <c r="C245" i="112"/>
  <c r="G244" i="112"/>
  <c r="C244" i="112"/>
  <c r="G243" i="112"/>
  <c r="C243" i="112"/>
  <c r="G242" i="112"/>
  <c r="C242" i="112"/>
  <c r="G241" i="112"/>
  <c r="C241" i="112"/>
  <c r="G240" i="112"/>
  <c r="C240" i="112"/>
  <c r="G239" i="112"/>
  <c r="C239" i="112"/>
  <c r="G238" i="112"/>
  <c r="C238" i="112"/>
  <c r="G237" i="112"/>
  <c r="C237" i="112"/>
  <c r="G236" i="112"/>
  <c r="C236" i="112"/>
  <c r="G235" i="112"/>
  <c r="C235" i="112"/>
  <c r="G234" i="112"/>
  <c r="C234" i="112"/>
  <c r="G233" i="112"/>
  <c r="C233" i="112"/>
  <c r="G232" i="112"/>
  <c r="C232" i="112"/>
  <c r="G231" i="112"/>
  <c r="C231" i="112"/>
  <c r="G230" i="112"/>
  <c r="C230" i="112"/>
  <c r="G229" i="112"/>
  <c r="C229" i="112"/>
  <c r="G228" i="112"/>
  <c r="C228" i="112"/>
  <c r="G227" i="112"/>
  <c r="C227" i="112"/>
  <c r="G226" i="112"/>
  <c r="C226" i="112"/>
  <c r="G225" i="112"/>
  <c r="C225" i="112"/>
  <c r="G224" i="112"/>
  <c r="C224" i="112"/>
  <c r="G223" i="112"/>
  <c r="C223" i="112"/>
  <c r="G222" i="112"/>
  <c r="C222" i="112"/>
  <c r="G221" i="112"/>
  <c r="C221" i="112"/>
  <c r="G220" i="112"/>
  <c r="C220" i="112"/>
  <c r="G219" i="112"/>
  <c r="C219" i="112"/>
  <c r="G218" i="112"/>
  <c r="C218" i="112"/>
  <c r="G217" i="112"/>
  <c r="C217" i="112"/>
  <c r="G216" i="112"/>
  <c r="C216" i="112"/>
  <c r="G215" i="112"/>
  <c r="C215" i="112"/>
  <c r="G214" i="112"/>
  <c r="C214" i="112"/>
  <c r="G213" i="112"/>
  <c r="C213" i="112"/>
  <c r="G212" i="112"/>
  <c r="C212" i="112"/>
  <c r="G211" i="112"/>
  <c r="C211" i="112"/>
  <c r="G210" i="112"/>
  <c r="C210" i="112"/>
  <c r="G209" i="112"/>
  <c r="C209" i="112"/>
  <c r="G208" i="112"/>
  <c r="C208" i="112"/>
  <c r="G207" i="112"/>
  <c r="C207" i="112"/>
  <c r="G206" i="112"/>
  <c r="C206" i="112"/>
  <c r="G205" i="112"/>
  <c r="C205" i="112"/>
  <c r="G204" i="112"/>
  <c r="C204" i="112"/>
  <c r="G203" i="112"/>
  <c r="C203" i="112"/>
  <c r="G202" i="112"/>
  <c r="C202" i="112"/>
  <c r="G201" i="112"/>
  <c r="C201" i="112"/>
  <c r="G200" i="112"/>
  <c r="C200" i="112"/>
  <c r="G199" i="112"/>
  <c r="C199" i="112"/>
  <c r="G198" i="112"/>
  <c r="C198" i="112"/>
  <c r="G197" i="112"/>
  <c r="C197" i="112"/>
  <c r="G196" i="112"/>
  <c r="C196" i="112"/>
  <c r="G195" i="112"/>
  <c r="C195" i="112"/>
  <c r="G194" i="112"/>
  <c r="C194" i="112"/>
  <c r="G193" i="112"/>
  <c r="C193" i="112"/>
  <c r="G192" i="112"/>
  <c r="C192" i="112"/>
  <c r="G191" i="112"/>
  <c r="C191" i="112"/>
  <c r="G190" i="112"/>
  <c r="C190" i="112"/>
  <c r="G189" i="112"/>
  <c r="C189" i="112"/>
  <c r="G188" i="112"/>
  <c r="C188" i="112"/>
  <c r="G187" i="112"/>
  <c r="C187" i="112"/>
  <c r="G186" i="112"/>
  <c r="C186" i="112"/>
  <c r="G185" i="112"/>
  <c r="C185" i="112"/>
  <c r="G184" i="112"/>
  <c r="C184" i="112"/>
  <c r="G183" i="112"/>
  <c r="C183" i="112"/>
  <c r="G182" i="112"/>
  <c r="C182" i="112"/>
  <c r="G181" i="112"/>
  <c r="C181" i="112"/>
  <c r="G180" i="112"/>
  <c r="C180" i="112"/>
  <c r="G179" i="112"/>
  <c r="C179" i="112"/>
  <c r="G178" i="112"/>
  <c r="C178" i="112"/>
  <c r="G177" i="112"/>
  <c r="C177" i="112"/>
  <c r="G176" i="112"/>
  <c r="C176" i="112"/>
  <c r="G175" i="112"/>
  <c r="C175" i="112"/>
  <c r="G174" i="112"/>
  <c r="C174" i="112"/>
  <c r="G173" i="112"/>
  <c r="C173" i="112"/>
  <c r="G172" i="112"/>
  <c r="C172" i="112"/>
  <c r="G171" i="112"/>
  <c r="C171" i="112"/>
  <c r="G170" i="112"/>
  <c r="C170" i="112"/>
  <c r="G169" i="112"/>
  <c r="C169" i="112"/>
  <c r="G168" i="112"/>
  <c r="C168" i="112"/>
  <c r="G167" i="112"/>
  <c r="C167" i="112"/>
  <c r="G166" i="112"/>
  <c r="C166" i="112"/>
  <c r="G165" i="112"/>
  <c r="C165" i="112"/>
  <c r="G164" i="112"/>
  <c r="C164" i="112"/>
  <c r="G163" i="112"/>
  <c r="C163" i="112"/>
  <c r="G162" i="112"/>
  <c r="C162" i="112"/>
  <c r="G161" i="112"/>
  <c r="C161" i="112"/>
  <c r="G160" i="112"/>
  <c r="C160" i="112"/>
  <c r="G159" i="112"/>
  <c r="C159" i="112"/>
  <c r="G158" i="112"/>
  <c r="C158" i="112"/>
  <c r="G157" i="112"/>
  <c r="C157" i="112"/>
  <c r="G156" i="112"/>
  <c r="C156" i="112"/>
  <c r="G155" i="112"/>
  <c r="C155" i="112"/>
  <c r="G154" i="112"/>
  <c r="C154" i="112"/>
  <c r="G153" i="112"/>
  <c r="C153" i="112"/>
  <c r="G152" i="112"/>
  <c r="C152" i="112"/>
  <c r="G151" i="112"/>
  <c r="C151" i="112"/>
  <c r="G150" i="112"/>
  <c r="C150" i="112"/>
  <c r="G149" i="112"/>
  <c r="C149" i="112"/>
  <c r="G148" i="112"/>
  <c r="C148" i="112"/>
  <c r="G147" i="112"/>
  <c r="C147" i="112"/>
  <c r="G146" i="112"/>
  <c r="C146" i="112"/>
  <c r="G145" i="112"/>
  <c r="C145" i="112"/>
  <c r="G144" i="112"/>
  <c r="C144" i="112"/>
  <c r="G143" i="112"/>
  <c r="C143" i="112"/>
  <c r="G142" i="112"/>
  <c r="C142" i="112"/>
  <c r="G141" i="112"/>
  <c r="C141" i="112"/>
  <c r="G140" i="112"/>
  <c r="C140" i="112"/>
  <c r="G139" i="112"/>
  <c r="C139" i="112"/>
  <c r="G138" i="112"/>
  <c r="C138" i="112"/>
  <c r="G137" i="112"/>
  <c r="C137" i="112"/>
  <c r="G136" i="112"/>
  <c r="C136" i="112"/>
  <c r="G135" i="112"/>
  <c r="C135" i="112"/>
  <c r="G134" i="112"/>
  <c r="C134" i="112"/>
  <c r="G133" i="112"/>
  <c r="C133" i="112"/>
  <c r="G132" i="112"/>
  <c r="C132" i="112"/>
  <c r="G131" i="112"/>
  <c r="C131" i="112"/>
  <c r="G130" i="112"/>
  <c r="C130" i="112"/>
  <c r="G129" i="112"/>
  <c r="C129" i="112"/>
  <c r="G128" i="112"/>
  <c r="C128" i="112"/>
  <c r="G127" i="112"/>
  <c r="C127" i="112"/>
  <c r="G126" i="112"/>
  <c r="C126" i="112"/>
  <c r="G125" i="112"/>
  <c r="C125" i="112"/>
  <c r="G124" i="112"/>
  <c r="C124" i="112"/>
  <c r="G123" i="112"/>
  <c r="C123" i="112"/>
  <c r="G122" i="112"/>
  <c r="C122" i="112"/>
  <c r="G121" i="112"/>
  <c r="C121" i="112"/>
  <c r="G120" i="112"/>
  <c r="C120" i="112"/>
  <c r="G119" i="112"/>
  <c r="C119" i="112"/>
  <c r="G118" i="112"/>
  <c r="C118" i="112"/>
  <c r="G117" i="112"/>
  <c r="C117" i="112"/>
  <c r="G116" i="112"/>
  <c r="C116" i="112"/>
  <c r="G115" i="112"/>
  <c r="C115" i="112"/>
  <c r="G114" i="112"/>
  <c r="C114" i="112"/>
  <c r="G113" i="112"/>
  <c r="C113" i="112"/>
  <c r="G112" i="112"/>
  <c r="C112" i="112"/>
  <c r="G111" i="112"/>
  <c r="C111" i="112"/>
  <c r="G110" i="112"/>
  <c r="C110" i="112"/>
  <c r="G109" i="112"/>
  <c r="C109" i="112"/>
  <c r="G108" i="112"/>
  <c r="C108" i="112"/>
  <c r="G107" i="112"/>
  <c r="C107" i="112"/>
  <c r="G106" i="112"/>
  <c r="C106" i="112"/>
  <c r="G105" i="112"/>
  <c r="C105" i="112"/>
  <c r="G104" i="112"/>
  <c r="C104" i="112"/>
  <c r="G103" i="112"/>
  <c r="C103" i="112"/>
  <c r="G102" i="112"/>
  <c r="C102" i="112"/>
  <c r="G101" i="112"/>
  <c r="C101" i="112"/>
  <c r="G100" i="112"/>
  <c r="C100" i="112"/>
  <c r="G99" i="112"/>
  <c r="C99" i="112"/>
  <c r="G98" i="112"/>
  <c r="C98" i="112"/>
  <c r="G97" i="112"/>
  <c r="C97" i="112"/>
  <c r="G96" i="112"/>
  <c r="C96" i="112"/>
  <c r="G95" i="112"/>
  <c r="C95" i="112"/>
  <c r="G94" i="112"/>
  <c r="C94" i="112"/>
  <c r="G93" i="112"/>
  <c r="C93" i="112"/>
  <c r="G92" i="112"/>
  <c r="C92" i="112"/>
  <c r="G91" i="112"/>
  <c r="C91" i="112"/>
  <c r="G90" i="112"/>
  <c r="C90" i="112"/>
  <c r="G89" i="112"/>
  <c r="C89" i="112"/>
  <c r="G88" i="112"/>
  <c r="C88" i="112"/>
  <c r="G87" i="112"/>
  <c r="C87" i="112"/>
  <c r="G86" i="112"/>
  <c r="C86" i="112"/>
  <c r="G85" i="112"/>
  <c r="C85" i="112"/>
  <c r="G84" i="112"/>
  <c r="C84" i="112"/>
  <c r="G83" i="112"/>
  <c r="C83" i="112"/>
  <c r="G82" i="112"/>
  <c r="C82" i="112"/>
  <c r="G81" i="112"/>
  <c r="C81" i="112"/>
  <c r="G80" i="112"/>
  <c r="C80" i="112"/>
  <c r="G79" i="112"/>
  <c r="C79" i="112"/>
  <c r="G78" i="112"/>
  <c r="C78" i="112"/>
  <c r="G77" i="112"/>
  <c r="C77" i="112"/>
  <c r="G76" i="112"/>
  <c r="C76" i="112"/>
  <c r="G75" i="112"/>
  <c r="C75" i="112"/>
  <c r="G74" i="112"/>
  <c r="C74" i="112"/>
  <c r="G73" i="112"/>
  <c r="C73" i="112"/>
  <c r="G72" i="112"/>
  <c r="C72" i="112"/>
  <c r="G71" i="112"/>
  <c r="C71" i="112"/>
  <c r="G70" i="112"/>
  <c r="C70" i="112"/>
  <c r="G69" i="112"/>
  <c r="C69" i="112"/>
  <c r="G68" i="112"/>
  <c r="C68" i="112"/>
  <c r="G67" i="112"/>
  <c r="C67" i="112"/>
  <c r="G66" i="112"/>
  <c r="C66" i="112"/>
  <c r="G65" i="112"/>
  <c r="C65" i="112"/>
  <c r="G64" i="112"/>
  <c r="C64" i="112"/>
  <c r="G63" i="112"/>
  <c r="C63" i="112"/>
  <c r="G62" i="112"/>
  <c r="C62" i="112"/>
  <c r="G61" i="112"/>
  <c r="C61" i="112"/>
  <c r="G60" i="112"/>
  <c r="C60" i="112"/>
  <c r="G59" i="112"/>
  <c r="C59" i="112"/>
  <c r="G58" i="112"/>
  <c r="C58" i="112"/>
  <c r="G57" i="112"/>
  <c r="C57" i="112"/>
  <c r="G56" i="112"/>
  <c r="C56" i="112"/>
  <c r="G55" i="112"/>
  <c r="C55" i="112"/>
  <c r="G54" i="112"/>
  <c r="C54" i="112"/>
  <c r="G53" i="112"/>
  <c r="C53" i="112"/>
  <c r="G52" i="112"/>
  <c r="C52" i="112"/>
  <c r="G51" i="112"/>
  <c r="C51" i="112"/>
  <c r="G50" i="112"/>
  <c r="C50" i="112"/>
  <c r="G49" i="112"/>
  <c r="C49" i="112"/>
  <c r="G48" i="112"/>
  <c r="C48" i="112"/>
  <c r="G47" i="112"/>
  <c r="C47" i="112"/>
  <c r="G46" i="112"/>
  <c r="C46" i="112"/>
  <c r="G45" i="112"/>
  <c r="C45" i="112"/>
  <c r="G44" i="112"/>
  <c r="C44" i="112"/>
  <c r="G43" i="112"/>
  <c r="C43" i="112"/>
  <c r="G42" i="112"/>
  <c r="C42" i="112"/>
  <c r="G41" i="112"/>
  <c r="C41" i="112"/>
  <c r="G40" i="112"/>
  <c r="C40" i="112"/>
  <c r="G39" i="112"/>
  <c r="C39" i="112"/>
  <c r="G38" i="112"/>
  <c r="C38" i="112"/>
  <c r="G37" i="112"/>
  <c r="C37" i="112"/>
  <c r="G36" i="112"/>
  <c r="C36" i="112"/>
  <c r="G35" i="112"/>
  <c r="C35" i="112"/>
  <c r="G34" i="112"/>
  <c r="C34" i="112"/>
  <c r="G33" i="112"/>
  <c r="C33" i="112"/>
  <c r="G32" i="112"/>
  <c r="C32" i="112"/>
  <c r="G31" i="112"/>
  <c r="C31" i="112"/>
  <c r="G30" i="112"/>
  <c r="C30" i="112"/>
  <c r="G29" i="112"/>
  <c r="C29" i="112"/>
  <c r="G28" i="112"/>
  <c r="C28" i="112"/>
  <c r="G27" i="112"/>
  <c r="C27" i="112"/>
  <c r="G26" i="112"/>
  <c r="C26" i="112"/>
  <c r="G25" i="112"/>
  <c r="C25" i="112"/>
  <c r="G24" i="112"/>
  <c r="C24" i="112"/>
  <c r="G23" i="112"/>
  <c r="C23" i="112"/>
  <c r="G22" i="112"/>
  <c r="C22" i="112"/>
  <c r="G21" i="112"/>
  <c r="C21" i="112"/>
  <c r="G20" i="112"/>
  <c r="C20" i="112"/>
  <c r="G19" i="112"/>
  <c r="C19" i="112"/>
  <c r="G18" i="112"/>
  <c r="C18" i="112"/>
  <c r="G17" i="112"/>
  <c r="C17" i="112"/>
  <c r="G16" i="112"/>
  <c r="C16" i="112"/>
  <c r="G15" i="112"/>
  <c r="C15" i="112"/>
  <c r="G14" i="112"/>
  <c r="C14" i="112"/>
  <c r="G13" i="112"/>
  <c r="C13" i="112"/>
  <c r="G12" i="112"/>
  <c r="C12" i="112"/>
  <c r="G11" i="112"/>
  <c r="C11" i="112"/>
  <c r="G10" i="112"/>
  <c r="C10" i="112"/>
  <c r="G9" i="112"/>
  <c r="C9" i="112"/>
  <c r="G8" i="112"/>
  <c r="C8" i="112"/>
  <c r="G7" i="112"/>
  <c r="C7" i="112"/>
  <c r="G6" i="112"/>
  <c r="C6" i="112"/>
  <c r="G5" i="112"/>
  <c r="C5" i="112"/>
  <c r="G4" i="112"/>
  <c r="C4" i="112"/>
  <c r="G3" i="112"/>
  <c r="C3" i="112"/>
  <c r="G2" i="112"/>
  <c r="C2" i="112"/>
  <c r="CC654" i="8"/>
  <c r="CB654" i="8"/>
  <c r="CA654" i="8"/>
  <c r="CC653" i="8"/>
  <c r="CB653" i="8"/>
  <c r="CA653" i="8"/>
  <c r="CC652" i="8"/>
  <c r="CB652" i="8"/>
  <c r="CA652" i="8"/>
  <c r="CC644" i="8"/>
  <c r="CB644" i="8"/>
  <c r="CA644" i="8"/>
  <c r="CC643" i="8"/>
  <c r="CB643" i="8"/>
  <c r="CA643" i="8"/>
  <c r="CC642" i="8"/>
  <c r="CB642" i="8"/>
  <c r="CA642" i="8"/>
  <c r="CC634" i="8"/>
  <c r="CB634" i="8"/>
  <c r="CA634" i="8"/>
  <c r="CC633" i="8"/>
  <c r="CB633" i="8"/>
  <c r="CA633" i="8"/>
  <c r="CC632" i="8"/>
  <c r="CB632" i="8"/>
  <c r="CA632" i="8"/>
  <c r="CC624" i="8"/>
  <c r="CB624" i="8"/>
  <c r="CA624" i="8"/>
  <c r="CC623" i="8"/>
  <c r="CB623" i="8"/>
  <c r="CA623" i="8"/>
  <c r="CC622" i="8"/>
  <c r="CB622" i="8"/>
  <c r="CA622" i="8"/>
  <c r="CC614" i="8"/>
  <c r="CB614" i="8"/>
  <c r="CA614" i="8"/>
  <c r="CC613" i="8"/>
  <c r="CB613" i="8"/>
  <c r="CA613" i="8"/>
  <c r="CC612" i="8"/>
  <c r="CB612" i="8"/>
  <c r="CA612" i="8"/>
  <c r="CC604" i="8"/>
  <c r="CB604" i="8"/>
  <c r="CA604" i="8"/>
  <c r="CC603" i="8"/>
  <c r="CB603" i="8"/>
  <c r="CA603" i="8"/>
  <c r="CC602" i="8"/>
  <c r="CB602" i="8"/>
  <c r="CA602" i="8"/>
  <c r="CC594" i="8"/>
  <c r="CB594" i="8"/>
  <c r="CA594" i="8"/>
  <c r="CC593" i="8"/>
  <c r="CB593" i="8"/>
  <c r="CA593" i="8"/>
  <c r="CC592" i="8"/>
  <c r="CB592" i="8"/>
  <c r="CA592" i="8"/>
  <c r="CC584" i="8"/>
  <c r="CB584" i="8"/>
  <c r="CA584" i="8"/>
  <c r="CC583" i="8"/>
  <c r="CB583" i="8"/>
  <c r="CA583" i="8"/>
  <c r="CC582" i="8"/>
  <c r="CB582" i="8"/>
  <c r="CA582" i="8"/>
  <c r="CC574" i="8"/>
  <c r="CB574" i="8"/>
  <c r="CA574" i="8"/>
  <c r="CC573" i="8"/>
  <c r="CB573" i="8"/>
  <c r="CA573" i="8"/>
  <c r="CC572" i="8"/>
  <c r="CB572" i="8"/>
  <c r="CA572" i="8"/>
  <c r="CC564" i="8"/>
  <c r="CB564" i="8"/>
  <c r="CA564" i="8"/>
  <c r="CC563" i="8"/>
  <c r="CB563" i="8"/>
  <c r="CA563" i="8"/>
  <c r="CC562" i="8"/>
  <c r="CB562" i="8"/>
  <c r="CA562" i="8"/>
  <c r="CC554" i="8"/>
  <c r="CB554" i="8"/>
  <c r="CA554" i="8"/>
  <c r="CC553" i="8"/>
  <c r="CB553" i="8"/>
  <c r="CA553" i="8"/>
  <c r="CC552" i="8"/>
  <c r="CB552" i="8"/>
  <c r="CA552" i="8"/>
  <c r="CC544" i="8"/>
  <c r="CB544" i="8"/>
  <c r="CA544" i="8"/>
  <c r="CC543" i="8"/>
  <c r="CB543" i="8"/>
  <c r="CA543" i="8"/>
  <c r="CC542" i="8"/>
  <c r="CB542" i="8"/>
  <c r="CA542" i="8"/>
  <c r="CC534" i="8"/>
  <c r="CB534" i="8"/>
  <c r="CA534" i="8"/>
  <c r="CC533" i="8"/>
  <c r="CB533" i="8"/>
  <c r="CA533" i="8"/>
  <c r="CC532" i="8"/>
  <c r="CB532" i="8"/>
  <c r="CA532" i="8"/>
  <c r="CC524" i="8"/>
  <c r="CB524" i="8"/>
  <c r="CA524" i="8"/>
  <c r="CC523" i="8"/>
  <c r="CB523" i="8"/>
  <c r="CA523" i="8"/>
  <c r="CC522" i="8"/>
  <c r="CB522" i="8"/>
  <c r="CA522" i="8"/>
  <c r="CC514" i="8"/>
  <c r="CB514" i="8"/>
  <c r="CA514" i="8"/>
  <c r="CC513" i="8"/>
  <c r="CB513" i="8"/>
  <c r="CA513" i="8"/>
  <c r="CC512" i="8"/>
  <c r="CB512" i="8"/>
  <c r="CA512" i="8"/>
  <c r="CC504" i="8"/>
  <c r="CB504" i="8"/>
  <c r="CA504" i="8"/>
  <c r="CC503" i="8"/>
  <c r="CB503" i="8"/>
  <c r="CA503" i="8"/>
  <c r="CC502" i="8"/>
  <c r="CB502" i="8"/>
  <c r="CA502" i="8"/>
  <c r="CC494" i="8"/>
  <c r="CB494" i="8"/>
  <c r="CA494" i="8"/>
  <c r="CC493" i="8"/>
  <c r="CB493" i="8"/>
  <c r="CA493" i="8"/>
  <c r="CC492" i="8"/>
  <c r="CB492" i="8"/>
  <c r="CA492" i="8"/>
  <c r="CC484" i="8"/>
  <c r="CB484" i="8"/>
  <c r="CA484" i="8"/>
  <c r="CC483" i="8"/>
  <c r="CB483" i="8"/>
  <c r="CA483" i="8"/>
  <c r="CC482" i="8"/>
  <c r="CB482" i="8"/>
  <c r="CA482" i="8"/>
  <c r="CC474" i="8"/>
  <c r="CB474" i="8"/>
  <c r="CA474" i="8"/>
  <c r="CC473" i="8"/>
  <c r="CB473" i="8"/>
  <c r="CA473" i="8"/>
  <c r="CC472" i="8"/>
  <c r="CB472" i="8"/>
  <c r="CA472" i="8"/>
  <c r="CC464" i="8"/>
  <c r="CB464" i="8"/>
  <c r="CA464" i="8"/>
  <c r="CC463" i="8"/>
  <c r="CB463" i="8"/>
  <c r="CA463" i="8"/>
  <c r="CC462" i="8"/>
  <c r="CB462" i="8"/>
  <c r="CA462" i="8"/>
  <c r="CC454" i="8"/>
  <c r="CB454" i="8"/>
  <c r="CA454" i="8"/>
  <c r="CC453" i="8"/>
  <c r="CB453" i="8"/>
  <c r="CA453" i="8"/>
  <c r="CC452" i="8"/>
  <c r="CB452" i="8"/>
  <c r="CA452" i="8"/>
  <c r="CC444" i="8"/>
  <c r="CB444" i="8"/>
  <c r="CA444" i="8"/>
  <c r="CC443" i="8"/>
  <c r="CB443" i="8"/>
  <c r="CA443" i="8"/>
  <c r="CC442" i="8"/>
  <c r="CB442" i="8"/>
  <c r="CA442" i="8"/>
  <c r="CC434" i="8"/>
  <c r="CB434" i="8"/>
  <c r="CA434" i="8"/>
  <c r="CC433" i="8"/>
  <c r="CB433" i="8"/>
  <c r="CA433" i="8"/>
  <c r="CC432" i="8"/>
  <c r="CB432" i="8"/>
  <c r="CA432" i="8"/>
  <c r="CC424" i="8"/>
  <c r="CB424" i="8"/>
  <c r="CA424" i="8"/>
  <c r="CC423" i="8"/>
  <c r="CB423" i="8"/>
  <c r="CA423" i="8"/>
  <c r="CC422" i="8"/>
  <c r="CB422" i="8"/>
  <c r="CA422" i="8"/>
  <c r="CC414" i="8"/>
  <c r="CB414" i="8"/>
  <c r="CA414" i="8"/>
  <c r="CC413" i="8"/>
  <c r="CB413" i="8"/>
  <c r="CA413" i="8"/>
  <c r="CC412" i="8"/>
  <c r="CB412" i="8"/>
  <c r="CA412" i="8"/>
  <c r="CC404" i="8"/>
  <c r="CB404" i="8"/>
  <c r="CA404" i="8"/>
  <c r="CC403" i="8"/>
  <c r="CB403" i="8"/>
  <c r="CA403" i="8"/>
  <c r="CC402" i="8"/>
  <c r="CB402" i="8"/>
  <c r="CA402" i="8"/>
  <c r="CC394" i="8"/>
  <c r="CB394" i="8"/>
  <c r="CA394" i="8"/>
  <c r="CC393" i="8"/>
  <c r="CB393" i="8"/>
  <c r="CA393" i="8"/>
  <c r="CC392" i="8"/>
  <c r="CB392" i="8"/>
  <c r="CA392" i="8"/>
  <c r="CC384" i="8"/>
  <c r="CB384" i="8"/>
  <c r="CA384" i="8"/>
  <c r="CC383" i="8"/>
  <c r="CB383" i="8"/>
  <c r="CA383" i="8"/>
  <c r="CC382" i="8"/>
  <c r="CB382" i="8"/>
  <c r="CA382" i="8"/>
  <c r="CC374" i="8"/>
  <c r="CB374" i="8"/>
  <c r="CA374" i="8"/>
  <c r="CC373" i="8"/>
  <c r="CB373" i="8"/>
  <c r="CA373" i="8"/>
  <c r="CC372" i="8"/>
  <c r="CB372" i="8"/>
  <c r="CA372" i="8"/>
  <c r="CC364" i="8"/>
  <c r="CB364" i="8"/>
  <c r="CA364" i="8"/>
  <c r="CC363" i="8"/>
  <c r="CB363" i="8"/>
  <c r="CA363" i="8"/>
  <c r="CC362" i="8"/>
  <c r="CB362" i="8"/>
  <c r="CA362" i="8"/>
  <c r="CC354" i="8"/>
  <c r="CB354" i="8"/>
  <c r="CA354" i="8"/>
  <c r="CC353" i="8"/>
  <c r="CB353" i="8"/>
  <c r="CA353" i="8"/>
  <c r="CC352" i="8"/>
  <c r="CB352" i="8"/>
  <c r="CA352" i="8"/>
  <c r="CC344" i="8"/>
  <c r="CB344" i="8"/>
  <c r="CA344" i="8"/>
  <c r="CC343" i="8"/>
  <c r="CB343" i="8"/>
  <c r="CA343" i="8"/>
  <c r="CC342" i="8"/>
  <c r="CB342" i="8"/>
  <c r="CA342" i="8"/>
  <c r="CC334" i="8"/>
  <c r="CB334" i="8"/>
  <c r="CA334" i="8"/>
  <c r="CC333" i="8"/>
  <c r="CB333" i="8"/>
  <c r="CA333" i="8"/>
  <c r="CC332" i="8"/>
  <c r="CB332" i="8"/>
  <c r="CA332" i="8"/>
  <c r="CC324" i="8"/>
  <c r="CB324" i="8"/>
  <c r="CA324" i="8"/>
  <c r="CC323" i="8"/>
  <c r="CB323" i="8"/>
  <c r="CA323" i="8"/>
  <c r="CC322" i="8"/>
  <c r="CB322" i="8"/>
  <c r="CA322" i="8"/>
  <c r="CC314" i="8"/>
  <c r="CB314" i="8"/>
  <c r="CA314" i="8"/>
  <c r="CC313" i="8"/>
  <c r="CB313" i="8"/>
  <c r="CA313" i="8"/>
  <c r="CC312" i="8"/>
  <c r="CB312" i="8"/>
  <c r="CA312" i="8"/>
  <c r="CC304" i="8"/>
  <c r="CB304" i="8"/>
  <c r="CA304" i="8"/>
  <c r="CC303" i="8"/>
  <c r="CB303" i="8"/>
  <c r="CA303" i="8"/>
  <c r="CC302" i="8"/>
  <c r="CB302" i="8"/>
  <c r="CA302" i="8"/>
  <c r="CC294" i="8"/>
  <c r="CB294" i="8"/>
  <c r="CA294" i="8"/>
  <c r="CC293" i="8"/>
  <c r="CB293" i="8"/>
  <c r="CA293" i="8"/>
  <c r="CC292" i="8"/>
  <c r="CB292" i="8"/>
  <c r="CA292" i="8"/>
  <c r="CC284" i="8"/>
  <c r="CB284" i="8"/>
  <c r="CA284" i="8"/>
  <c r="CC283" i="8"/>
  <c r="CB283" i="8"/>
  <c r="CA283" i="8"/>
  <c r="CC282" i="8"/>
  <c r="CB282" i="8"/>
  <c r="CA282" i="8"/>
  <c r="CC274" i="8"/>
  <c r="CB274" i="8"/>
  <c r="CA274" i="8"/>
  <c r="CC273" i="8"/>
  <c r="CB273" i="8"/>
  <c r="CA273" i="8"/>
  <c r="CC272" i="8"/>
  <c r="CB272" i="8"/>
  <c r="CA272" i="8"/>
  <c r="CC264" i="8"/>
  <c r="CB264" i="8"/>
  <c r="CA264" i="8"/>
  <c r="CC263" i="8"/>
  <c r="CB263" i="8"/>
  <c r="CA263" i="8"/>
  <c r="CC262" i="8"/>
  <c r="CB262" i="8"/>
  <c r="CA262" i="8"/>
  <c r="CC254" i="8"/>
  <c r="CB254" i="8"/>
  <c r="CA254" i="8"/>
  <c r="CC253" i="8"/>
  <c r="CB253" i="8"/>
  <c r="CA253" i="8"/>
  <c r="CC252" i="8"/>
  <c r="CB252" i="8"/>
  <c r="CA252" i="8"/>
  <c r="CC244" i="8"/>
  <c r="CB244" i="8"/>
  <c r="CA244" i="8"/>
  <c r="CC243" i="8"/>
  <c r="CB243" i="8"/>
  <c r="CA243" i="8"/>
  <c r="CC242" i="8"/>
  <c r="CB242" i="8"/>
  <c r="CA242" i="8"/>
  <c r="CC234" i="8"/>
  <c r="CB234" i="8"/>
  <c r="CA234" i="8"/>
  <c r="CC233" i="8"/>
  <c r="CB233" i="8"/>
  <c r="CA233" i="8"/>
  <c r="CC232" i="8"/>
  <c r="CB232" i="8"/>
  <c r="CA232" i="8"/>
  <c r="CC224" i="8"/>
  <c r="CB224" i="8"/>
  <c r="CA224" i="8"/>
  <c r="CC223" i="8"/>
  <c r="CB223" i="8"/>
  <c r="CA223" i="8"/>
  <c r="CC222" i="8"/>
  <c r="CB222" i="8"/>
  <c r="CA222" i="8"/>
  <c r="CC214" i="8"/>
  <c r="CB214" i="8"/>
  <c r="CA214" i="8"/>
  <c r="CC213" i="8"/>
  <c r="CB213" i="8"/>
  <c r="CA213" i="8"/>
  <c r="CC212" i="8"/>
  <c r="CB212" i="8"/>
  <c r="CA212" i="8"/>
  <c r="CC204" i="8"/>
  <c r="CB204" i="8"/>
  <c r="CA204" i="8"/>
  <c r="CC203" i="8"/>
  <c r="CB203" i="8"/>
  <c r="CA203" i="8"/>
  <c r="CC202" i="8"/>
  <c r="CB202" i="8"/>
  <c r="CA202" i="8"/>
  <c r="CC194" i="8"/>
  <c r="CB194" i="8"/>
  <c r="CA194" i="8"/>
  <c r="CC193" i="8"/>
  <c r="CB193" i="8"/>
  <c r="CA193" i="8"/>
  <c r="CC192" i="8"/>
  <c r="CB192" i="8"/>
  <c r="CA192" i="8"/>
  <c r="CC184" i="8"/>
  <c r="CB184" i="8"/>
  <c r="CA184" i="8"/>
  <c r="CC183" i="8"/>
  <c r="CB183" i="8"/>
  <c r="CA183" i="8"/>
  <c r="CC182" i="8"/>
  <c r="CB182" i="8"/>
  <c r="CA182" i="8"/>
  <c r="CC174" i="8"/>
  <c r="CB174" i="8"/>
  <c r="CA174" i="8"/>
  <c r="CC173" i="8"/>
  <c r="CB173" i="8"/>
  <c r="CA173" i="8"/>
  <c r="CC172" i="8"/>
  <c r="CB172" i="8"/>
  <c r="CA172" i="8"/>
  <c r="CC164" i="8"/>
  <c r="CB164" i="8"/>
  <c r="CA164" i="8"/>
  <c r="CC163" i="8"/>
  <c r="CB163" i="8"/>
  <c r="CA163" i="8"/>
  <c r="CC162" i="8"/>
  <c r="CB162" i="8"/>
  <c r="CA162" i="8"/>
  <c r="CC154" i="8"/>
  <c r="CB154" i="8"/>
  <c r="CA154" i="8"/>
  <c r="CC153" i="8"/>
  <c r="CB153" i="8"/>
  <c r="CA153" i="8"/>
  <c r="CC152" i="8"/>
  <c r="CB152" i="8"/>
  <c r="CA152" i="8"/>
  <c r="CC144" i="8"/>
  <c r="CB144" i="8"/>
  <c r="CA144" i="8"/>
  <c r="CC143" i="8"/>
  <c r="CB143" i="8"/>
  <c r="CA143" i="8"/>
  <c r="CC142" i="8"/>
  <c r="CB142" i="8"/>
  <c r="CA142" i="8"/>
  <c r="CC134" i="8"/>
  <c r="CB134" i="8"/>
  <c r="CA134" i="8"/>
  <c r="CC133" i="8"/>
  <c r="CB133" i="8"/>
  <c r="CA133" i="8"/>
  <c r="CC132" i="8"/>
  <c r="CB132" i="8"/>
  <c r="CA132" i="8"/>
  <c r="CC124" i="8"/>
  <c r="CB124" i="8"/>
  <c r="CA124" i="8"/>
  <c r="CC123" i="8"/>
  <c r="CB123" i="8"/>
  <c r="CA123" i="8"/>
  <c r="CC122" i="8"/>
  <c r="CB122" i="8"/>
  <c r="CA122" i="8"/>
  <c r="CA116" i="8"/>
  <c r="CA126" i="8" s="1"/>
  <c r="CA136" i="8" s="1"/>
  <c r="CA146" i="8" s="1"/>
  <c r="CA156" i="8" s="1"/>
  <c r="CA166" i="8" s="1"/>
  <c r="CA176" i="8" s="1"/>
  <c r="CA186" i="8" s="1"/>
  <c r="CA196" i="8" s="1"/>
  <c r="CA206" i="8" s="1"/>
  <c r="CA216" i="8" s="1"/>
  <c r="CA226" i="8" s="1"/>
  <c r="CA236" i="8" s="1"/>
  <c r="CA246" i="8" s="1"/>
  <c r="CA256" i="8" s="1"/>
  <c r="CA266" i="8" s="1"/>
  <c r="CA276" i="8" s="1"/>
  <c r="CA286" i="8" s="1"/>
  <c r="CA296" i="8" s="1"/>
  <c r="CA306" i="8" s="1"/>
  <c r="CA316" i="8" s="1"/>
  <c r="CA326" i="8" s="1"/>
  <c r="CA336" i="8" s="1"/>
  <c r="CA346" i="8" s="1"/>
  <c r="CA356" i="8" s="1"/>
  <c r="CA366" i="8" s="1"/>
  <c r="CA376" i="8" s="1"/>
  <c r="CA386" i="8" s="1"/>
  <c r="CA396" i="8" s="1"/>
  <c r="CA406" i="8" s="1"/>
  <c r="CA416" i="8" s="1"/>
  <c r="CA426" i="8" s="1"/>
  <c r="CA436" i="8" s="1"/>
  <c r="CA446" i="8" s="1"/>
  <c r="CA456" i="8" s="1"/>
  <c r="CA466" i="8" s="1"/>
  <c r="CA476" i="8" s="1"/>
  <c r="CA486" i="8" s="1"/>
  <c r="CA496" i="8" s="1"/>
  <c r="CA506" i="8" s="1"/>
  <c r="CA516" i="8" s="1"/>
  <c r="CA526" i="8" s="1"/>
  <c r="CA536" i="8" s="1"/>
  <c r="CA546" i="8" s="1"/>
  <c r="CA556" i="8" s="1"/>
  <c r="CA566" i="8" s="1"/>
  <c r="CA576" i="8" s="1"/>
  <c r="CA586" i="8" s="1"/>
  <c r="CA596" i="8" s="1"/>
  <c r="CA606" i="8" s="1"/>
  <c r="CA616" i="8" s="1"/>
  <c r="CA626" i="8" s="1"/>
  <c r="CA636" i="8" s="1"/>
  <c r="CA646" i="8" s="1"/>
  <c r="CA656" i="8" s="1"/>
  <c r="BU116" i="8"/>
  <c r="BU126" i="8" s="1"/>
  <c r="BU136" i="8" s="1"/>
  <c r="BU146" i="8" s="1"/>
  <c r="BU156" i="8" s="1"/>
  <c r="BU166" i="8" s="1"/>
  <c r="BU176" i="8" s="1"/>
  <c r="BU186" i="8" s="1"/>
  <c r="BU196" i="8" s="1"/>
  <c r="BU206" i="8" s="1"/>
  <c r="BU216" i="8" s="1"/>
  <c r="BU226" i="8" s="1"/>
  <c r="BU236" i="8" s="1"/>
  <c r="BU246" i="8" s="1"/>
  <c r="BU256" i="8" s="1"/>
  <c r="BU266" i="8" s="1"/>
  <c r="BU276" i="8" s="1"/>
  <c r="BU286" i="8" s="1"/>
  <c r="BU296" i="8" s="1"/>
  <c r="BU306" i="8" s="1"/>
  <c r="BU316" i="8" s="1"/>
  <c r="BU326" i="8" s="1"/>
  <c r="BU336" i="8" s="1"/>
  <c r="BU346" i="8" s="1"/>
  <c r="BU356" i="8" s="1"/>
  <c r="BU366" i="8" s="1"/>
  <c r="BU376" i="8" s="1"/>
  <c r="BU386" i="8" s="1"/>
  <c r="BU396" i="8" s="1"/>
  <c r="BU406" i="8" s="1"/>
  <c r="BU416" i="8" s="1"/>
  <c r="BU426" i="8" s="1"/>
  <c r="BU436" i="8" s="1"/>
  <c r="BU446" i="8" s="1"/>
  <c r="BU456" i="8" s="1"/>
  <c r="BU466" i="8" s="1"/>
  <c r="BU476" i="8" s="1"/>
  <c r="BU486" i="8" s="1"/>
  <c r="BU496" i="8" s="1"/>
  <c r="BU506" i="8" s="1"/>
  <c r="BU516" i="8" s="1"/>
  <c r="BU526" i="8" s="1"/>
  <c r="BU536" i="8" s="1"/>
  <c r="BU546" i="8" s="1"/>
  <c r="BU556" i="8" s="1"/>
  <c r="BU566" i="8" s="1"/>
  <c r="BU576" i="8" s="1"/>
  <c r="BU586" i="8" s="1"/>
  <c r="BU596" i="8" s="1"/>
  <c r="BU606" i="8" s="1"/>
  <c r="BU616" i="8" s="1"/>
  <c r="BU626" i="8" s="1"/>
  <c r="BU636" i="8" s="1"/>
  <c r="BU646" i="8" s="1"/>
  <c r="BU656" i="8" s="1"/>
  <c r="CC114" i="8"/>
  <c r="CB114" i="8"/>
  <c r="CA114" i="8"/>
  <c r="CC113" i="8"/>
  <c r="CB113" i="8"/>
  <c r="CA113" i="8"/>
  <c r="CC112" i="8"/>
  <c r="CB112" i="8"/>
  <c r="CA112" i="8"/>
  <c r="BW111" i="8"/>
  <c r="BV119" i="8" s="1"/>
  <c r="BW109" i="8"/>
  <c r="BV109" i="8"/>
  <c r="BU109" i="8"/>
  <c r="CC104" i="8"/>
  <c r="CB104" i="8"/>
  <c r="CA104" i="8"/>
  <c r="CC103" i="8"/>
  <c r="CB103" i="8"/>
  <c r="CA103" i="8"/>
  <c r="CC102" i="8"/>
  <c r="CB102" i="8"/>
  <c r="CA102" i="8"/>
  <c r="DH78" i="8"/>
  <c r="DG78" i="8"/>
  <c r="DF78" i="8"/>
  <c r="CF78" i="8"/>
  <c r="CE78" i="8"/>
  <c r="CD78" i="8"/>
  <c r="DH77" i="8"/>
  <c r="DG77" i="8"/>
  <c r="DF77" i="8"/>
  <c r="CF77" i="8"/>
  <c r="CE77" i="8"/>
  <c r="CD77" i="8"/>
  <c r="DH76" i="8"/>
  <c r="DG76" i="8"/>
  <c r="DF76" i="8"/>
  <c r="CF76" i="8"/>
  <c r="CE76" i="8"/>
  <c r="CD76" i="8"/>
  <c r="N73" i="8"/>
  <c r="M73" i="8"/>
  <c r="L73" i="8"/>
  <c r="N72" i="8"/>
  <c r="M72" i="8"/>
  <c r="L72" i="8"/>
  <c r="N71" i="8"/>
  <c r="M71" i="8"/>
  <c r="L71" i="8"/>
  <c r="DJ68" i="8"/>
  <c r="DI68" i="8"/>
  <c r="DH68" i="8"/>
  <c r="CA68" i="8"/>
  <c r="BZ68" i="8"/>
  <c r="BY68" i="8"/>
  <c r="DJ67" i="8"/>
  <c r="DI67" i="8"/>
  <c r="DH67" i="8"/>
  <c r="CA67" i="8"/>
  <c r="BZ67" i="8"/>
  <c r="BY67" i="8"/>
  <c r="AW67" i="8"/>
  <c r="AV67" i="8"/>
  <c r="AU67" i="8"/>
  <c r="DJ66" i="8"/>
  <c r="DI66" i="8"/>
  <c r="DH66" i="8"/>
  <c r="CA66" i="8"/>
  <c r="BZ66" i="8"/>
  <c r="BY66" i="8"/>
  <c r="AW66" i="8"/>
  <c r="AV66" i="8"/>
  <c r="AU66" i="8"/>
  <c r="AW65" i="8"/>
  <c r="AV65" i="8"/>
  <c r="AU65" i="8"/>
  <c r="AQ61" i="8"/>
  <c r="AP61" i="8"/>
  <c r="AO61" i="8"/>
  <c r="AQ60" i="8"/>
  <c r="AP60" i="8"/>
  <c r="AO60" i="8"/>
  <c r="AQ59" i="8"/>
  <c r="AP59" i="8"/>
  <c r="AO59" i="8"/>
  <c r="DM58" i="8"/>
  <c r="DL58" i="8"/>
  <c r="DK58" i="8"/>
  <c r="BW58" i="8"/>
  <c r="BV58" i="8"/>
  <c r="BU58" i="8"/>
  <c r="DM57" i="8"/>
  <c r="DL57" i="8"/>
  <c r="DK57" i="8"/>
  <c r="BW57" i="8"/>
  <c r="BV57" i="8"/>
  <c r="BU57" i="8"/>
  <c r="DM56" i="8"/>
  <c r="DL56" i="8"/>
  <c r="DK56" i="8"/>
  <c r="BW56" i="8"/>
  <c r="BV56" i="8"/>
  <c r="BU56" i="8"/>
  <c r="S54" i="8"/>
  <c r="R54" i="8"/>
  <c r="Q54" i="8"/>
  <c r="S53" i="8"/>
  <c r="R53" i="8"/>
  <c r="Q53" i="8"/>
  <c r="S52" i="8"/>
  <c r="R52" i="8"/>
  <c r="Q52" i="8"/>
  <c r="DP48" i="8"/>
  <c r="DO48" i="8"/>
  <c r="DN48" i="8"/>
  <c r="BQ48" i="8"/>
  <c r="BP48" i="8"/>
  <c r="BO48" i="8"/>
  <c r="DP47" i="8"/>
  <c r="DO47" i="8"/>
  <c r="DN47" i="8"/>
  <c r="BQ47" i="8"/>
  <c r="BP47" i="8"/>
  <c r="BO47" i="8"/>
  <c r="DP46" i="8"/>
  <c r="DO46" i="8"/>
  <c r="DN46" i="8"/>
  <c r="BQ46" i="8"/>
  <c r="BP46" i="8"/>
  <c r="BO46" i="8"/>
  <c r="L43" i="8"/>
  <c r="DT38" i="8"/>
  <c r="DS38" i="8"/>
  <c r="DR38" i="8"/>
  <c r="BL38" i="8"/>
  <c r="BK38" i="8"/>
  <c r="BJ38" i="8"/>
  <c r="DT37" i="8"/>
  <c r="DS37" i="8"/>
  <c r="DR37" i="8"/>
  <c r="BL37" i="8"/>
  <c r="BK37" i="8"/>
  <c r="BJ37" i="8"/>
  <c r="R37" i="8"/>
  <c r="DT36" i="8"/>
  <c r="DS36" i="8"/>
  <c r="DR36" i="8"/>
  <c r="BL36" i="8"/>
  <c r="BK36" i="8"/>
  <c r="BJ36" i="8"/>
  <c r="R36" i="8"/>
  <c r="R35" i="8"/>
  <c r="R34" i="8"/>
  <c r="N34" i="8"/>
  <c r="M34" i="8"/>
  <c r="L34" i="8"/>
  <c r="R33" i="8"/>
  <c r="N33" i="8"/>
  <c r="M33" i="8"/>
  <c r="L33" i="8"/>
  <c r="N32" i="8"/>
  <c r="M32" i="8"/>
  <c r="L32" i="8"/>
  <c r="T28" i="8"/>
  <c r="R28" i="8"/>
  <c r="N28" i="8"/>
  <c r="M28" i="8"/>
  <c r="L28" i="8"/>
  <c r="EI27" i="8"/>
  <c r="EH27" i="8"/>
  <c r="EG27" i="8"/>
  <c r="EA27" i="8"/>
  <c r="DZ27" i="8"/>
  <c r="DY27" i="8"/>
  <c r="BE27" i="8"/>
  <c r="BD27" i="8"/>
  <c r="BC27" i="8"/>
  <c r="AR27" i="8"/>
  <c r="AQ27" i="8"/>
  <c r="AP27" i="8"/>
  <c r="T27" i="8"/>
  <c r="R27" i="8"/>
  <c r="N27" i="8"/>
  <c r="M27" i="8"/>
  <c r="L27" i="8"/>
  <c r="EI26" i="8"/>
  <c r="EH26" i="8"/>
  <c r="EG26" i="8"/>
  <c r="EA26" i="8"/>
  <c r="DZ26" i="8"/>
  <c r="DY26" i="8"/>
  <c r="BE26" i="8"/>
  <c r="BD26" i="8"/>
  <c r="BC26" i="8"/>
  <c r="AR26" i="8"/>
  <c r="AQ26" i="8"/>
  <c r="AP26" i="8"/>
  <c r="N26" i="8"/>
  <c r="M26" i="8"/>
  <c r="L26" i="8"/>
  <c r="EI25" i="8"/>
  <c r="EH25" i="8"/>
  <c r="EG25" i="8"/>
  <c r="EA25" i="8"/>
  <c r="DZ25" i="8"/>
  <c r="DY25" i="8"/>
  <c r="BE25" i="8"/>
  <c r="BD25" i="8"/>
  <c r="BC25" i="8"/>
  <c r="AR25" i="8"/>
  <c r="AQ25" i="8"/>
  <c r="AP25" i="8"/>
  <c r="P22" i="8"/>
  <c r="N22" i="8"/>
  <c r="F22" i="8"/>
  <c r="D22" i="8"/>
  <c r="EE16" i="8"/>
  <c r="ED16" i="8"/>
  <c r="EC16" i="8"/>
  <c r="AX16" i="8"/>
  <c r="AW16" i="8"/>
  <c r="AV16" i="8"/>
  <c r="EE15" i="8"/>
  <c r="ED15" i="8"/>
  <c r="EC15" i="8"/>
  <c r="CF15" i="8"/>
  <c r="CE15" i="8"/>
  <c r="CD15" i="8"/>
  <c r="AX15" i="8"/>
  <c r="AW15" i="8"/>
  <c r="AV15" i="8"/>
  <c r="EE14" i="8"/>
  <c r="ED14" i="8"/>
  <c r="EC14" i="8"/>
  <c r="CF14" i="8"/>
  <c r="CE14" i="8"/>
  <c r="CD14" i="8"/>
  <c r="AX14" i="8"/>
  <c r="AW14" i="8"/>
  <c r="AV14" i="8"/>
  <c r="CF13" i="8"/>
  <c r="CE13" i="8"/>
  <c r="CD13" i="8"/>
  <c r="Q10" i="8"/>
  <c r="P10" i="8"/>
  <c r="O9" i="13" s="1"/>
  <c r="O10" i="8"/>
  <c r="Q9" i="8"/>
  <c r="P9" i="8"/>
  <c r="O9" i="8"/>
  <c r="Q8" i="8"/>
  <c r="P8" i="8"/>
  <c r="O8" i="8"/>
  <c r="BA7" i="8"/>
  <c r="AR13" i="8" s="1"/>
  <c r="AQ18" i="8" s="1"/>
  <c r="AL24" i="8" s="1"/>
  <c r="AJ29" i="8" s="1"/>
  <c r="AO29" i="8" s="1"/>
  <c r="AV18" i="8" s="1"/>
  <c r="AY24" i="8" s="1"/>
  <c r="AW29" i="8" s="1"/>
  <c r="BC29" i="8" s="1"/>
  <c r="BF35" i="8" s="1"/>
  <c r="BD40" i="8" s="1"/>
  <c r="BI40" i="8" s="1"/>
  <c r="BK45" i="8" s="1"/>
  <c r="BI50" i="8" s="1"/>
  <c r="BN50" i="8" s="1"/>
  <c r="DU7" i="8" s="1"/>
  <c r="DY13" i="8" s="1"/>
  <c r="DX18" i="8" s="1"/>
  <c r="DU24" i="8" s="1"/>
  <c r="DR29" i="8" s="1"/>
  <c r="DN35" i="8" s="1"/>
  <c r="DN40" i="8" s="1"/>
  <c r="DJ45" i="8" s="1"/>
  <c r="DJ50" i="8" s="1"/>
  <c r="DO50" i="8" s="1"/>
  <c r="DS40" i="8" s="1"/>
  <c r="DX29" i="8" s="1"/>
  <c r="EE18" i="8" s="1"/>
  <c r="EC24" i="8" s="1"/>
  <c r="EC29" i="8" s="1"/>
  <c r="EH29" i="8" s="1"/>
  <c r="CL5" i="8"/>
  <c r="CK5" i="8"/>
  <c r="CJ5" i="8"/>
  <c r="U5" i="8"/>
  <c r="T5" i="8"/>
  <c r="S5" i="8"/>
  <c r="CL4" i="8"/>
  <c r="CK4" i="8"/>
  <c r="CJ4" i="8"/>
  <c r="U4" i="8"/>
  <c r="T4" i="8"/>
  <c r="S4" i="8"/>
  <c r="CL3" i="8"/>
  <c r="CK3" i="8"/>
  <c r="CJ3" i="8"/>
  <c r="U3" i="8"/>
  <c r="T3" i="8"/>
  <c r="S3" i="8"/>
  <c r="AM1009" i="15"/>
  <c r="AG1009" i="15" s="1"/>
  <c r="AM1008" i="15"/>
  <c r="AG1008" i="15" s="1"/>
  <c r="AM1007" i="15"/>
  <c r="AG1007" i="15" s="1"/>
  <c r="AM1006" i="15"/>
  <c r="AG1006" i="15" s="1"/>
  <c r="AM1005" i="15"/>
  <c r="AG1005" i="15" s="1"/>
  <c r="AM1004" i="15"/>
  <c r="AG1004" i="15" s="1"/>
  <c r="AM1003" i="15"/>
  <c r="AG1003" i="15" s="1"/>
  <c r="AM1002" i="15"/>
  <c r="AG1002" i="15" s="1"/>
  <c r="AM1001" i="15"/>
  <c r="AG1001" i="15" s="1"/>
  <c r="AM1000" i="15"/>
  <c r="AG1000" i="15" s="1"/>
  <c r="AM999" i="15"/>
  <c r="AG999" i="15" s="1"/>
  <c r="AM998" i="15"/>
  <c r="AG998" i="15" s="1"/>
  <c r="AM997" i="15"/>
  <c r="AG997" i="15" s="1"/>
  <c r="AM996" i="15"/>
  <c r="AG996" i="15" s="1"/>
  <c r="AM995" i="15"/>
  <c r="AG995" i="15" s="1"/>
  <c r="AM994" i="15"/>
  <c r="AG994" i="15" s="1"/>
  <c r="AM993" i="15"/>
  <c r="AG993" i="15" s="1"/>
  <c r="AM992" i="15"/>
  <c r="AG992" i="15" s="1"/>
  <c r="AM991" i="15"/>
  <c r="AG991" i="15" s="1"/>
  <c r="AM990" i="15"/>
  <c r="AG990" i="15" s="1"/>
  <c r="AM989" i="15"/>
  <c r="AG989" i="15" s="1"/>
  <c r="AM988" i="15"/>
  <c r="AG988" i="15" s="1"/>
  <c r="AM987" i="15"/>
  <c r="AG987" i="15" s="1"/>
  <c r="AM986" i="15"/>
  <c r="AG986" i="15" s="1"/>
  <c r="AM985" i="15"/>
  <c r="AG985" i="15" s="1"/>
  <c r="AM984" i="15"/>
  <c r="AG984" i="15" s="1"/>
  <c r="AM983" i="15"/>
  <c r="AG983" i="15" s="1"/>
  <c r="AM982" i="15"/>
  <c r="AG982" i="15" s="1"/>
  <c r="AM981" i="15"/>
  <c r="AG981" i="15" s="1"/>
  <c r="AM980" i="15"/>
  <c r="AG980" i="15" s="1"/>
  <c r="AM979" i="15"/>
  <c r="AG979" i="15" s="1"/>
  <c r="AM978" i="15"/>
  <c r="AG978" i="15" s="1"/>
  <c r="AM977" i="15"/>
  <c r="AG977" i="15" s="1"/>
  <c r="AM976" i="15"/>
  <c r="AG976" i="15" s="1"/>
  <c r="AM975" i="15"/>
  <c r="AG975" i="15" s="1"/>
  <c r="AM974" i="15"/>
  <c r="AG974" i="15" s="1"/>
  <c r="AM973" i="15"/>
  <c r="AG973" i="15" s="1"/>
  <c r="AM972" i="15"/>
  <c r="AG972" i="15" s="1"/>
  <c r="AM971" i="15"/>
  <c r="AG971" i="15" s="1"/>
  <c r="AM970" i="15"/>
  <c r="AG970" i="15" s="1"/>
  <c r="AM969" i="15"/>
  <c r="AG969" i="15" s="1"/>
  <c r="AM968" i="15"/>
  <c r="AG968" i="15" s="1"/>
  <c r="AM967" i="15"/>
  <c r="AG967" i="15" s="1"/>
  <c r="AM966" i="15"/>
  <c r="AG966" i="15" s="1"/>
  <c r="AM965" i="15"/>
  <c r="AG965" i="15" s="1"/>
  <c r="AM964" i="15"/>
  <c r="AG964" i="15" s="1"/>
  <c r="AM963" i="15"/>
  <c r="AG963" i="15" s="1"/>
  <c r="AM962" i="15"/>
  <c r="AG962" i="15" s="1"/>
  <c r="AM961" i="15"/>
  <c r="AG961" i="15" s="1"/>
  <c r="AM960" i="15"/>
  <c r="AG960" i="15" s="1"/>
  <c r="AM959" i="15"/>
  <c r="AG959" i="15" s="1"/>
  <c r="AM958" i="15"/>
  <c r="AG958" i="15" s="1"/>
  <c r="AM957" i="15"/>
  <c r="AG957" i="15" s="1"/>
  <c r="AM956" i="15"/>
  <c r="AG956" i="15" s="1"/>
  <c r="AM955" i="15"/>
  <c r="AG955" i="15" s="1"/>
  <c r="AM954" i="15"/>
  <c r="AG954" i="15" s="1"/>
  <c r="AM953" i="15"/>
  <c r="AG953" i="15" s="1"/>
  <c r="AM952" i="15"/>
  <c r="AG952" i="15" s="1"/>
  <c r="AM951" i="15"/>
  <c r="AG951" i="15" s="1"/>
  <c r="AM950" i="15"/>
  <c r="AG950" i="15" s="1"/>
  <c r="AM949" i="15"/>
  <c r="AG949" i="15" s="1"/>
  <c r="AM948" i="15"/>
  <c r="AG948" i="15" s="1"/>
  <c r="AM947" i="15"/>
  <c r="AG947" i="15" s="1"/>
  <c r="AM946" i="15"/>
  <c r="AG946" i="15" s="1"/>
  <c r="AM945" i="15"/>
  <c r="AG945" i="15" s="1"/>
  <c r="AM944" i="15"/>
  <c r="AG944" i="15" s="1"/>
  <c r="AM943" i="15"/>
  <c r="AG943" i="15" s="1"/>
  <c r="AM942" i="15"/>
  <c r="AG942" i="15" s="1"/>
  <c r="AM941" i="15"/>
  <c r="AG941" i="15" s="1"/>
  <c r="AM940" i="15"/>
  <c r="AG940" i="15" s="1"/>
  <c r="AM939" i="15"/>
  <c r="AG939" i="15" s="1"/>
  <c r="AM938" i="15"/>
  <c r="AG938" i="15" s="1"/>
  <c r="AM937" i="15"/>
  <c r="AG937" i="15" s="1"/>
  <c r="AM936" i="15"/>
  <c r="AG936" i="15" s="1"/>
  <c r="AM935" i="15"/>
  <c r="AG935" i="15" s="1"/>
  <c r="AM934" i="15"/>
  <c r="AG934" i="15" s="1"/>
  <c r="AM933" i="15"/>
  <c r="AG933" i="15" s="1"/>
  <c r="AM932" i="15"/>
  <c r="AG932" i="15" s="1"/>
  <c r="AM931" i="15"/>
  <c r="AG931" i="15" s="1"/>
  <c r="AM930" i="15"/>
  <c r="AG930" i="15" s="1"/>
  <c r="AM929" i="15"/>
  <c r="AG929" i="15" s="1"/>
  <c r="AM928" i="15"/>
  <c r="AG928" i="15" s="1"/>
  <c r="AM927" i="15"/>
  <c r="AG927" i="15" s="1"/>
  <c r="AM926" i="15"/>
  <c r="AG926" i="15" s="1"/>
  <c r="AM925" i="15"/>
  <c r="AG925" i="15" s="1"/>
  <c r="AM924" i="15"/>
  <c r="AG924" i="15" s="1"/>
  <c r="AM923" i="15"/>
  <c r="AG923" i="15" s="1"/>
  <c r="AM922" i="15"/>
  <c r="AG922" i="15" s="1"/>
  <c r="AM921" i="15"/>
  <c r="AG921" i="15" s="1"/>
  <c r="AM920" i="15"/>
  <c r="AG920" i="15" s="1"/>
  <c r="AM919" i="15"/>
  <c r="AG919" i="15" s="1"/>
  <c r="AM918" i="15"/>
  <c r="AG918" i="15" s="1"/>
  <c r="AM917" i="15"/>
  <c r="AG917" i="15" s="1"/>
  <c r="AM916" i="15"/>
  <c r="AG916" i="15" s="1"/>
  <c r="AM915" i="15"/>
  <c r="AG915" i="15" s="1"/>
  <c r="AM914" i="15"/>
  <c r="AG914" i="15" s="1"/>
  <c r="AM913" i="15"/>
  <c r="AG913" i="15" s="1"/>
  <c r="AM912" i="15"/>
  <c r="AG912" i="15" s="1"/>
  <c r="AM911" i="15"/>
  <c r="AG911" i="15" s="1"/>
  <c r="AM910" i="15"/>
  <c r="AG910" i="15" s="1"/>
  <c r="AM909" i="15"/>
  <c r="AG909" i="15" s="1"/>
  <c r="AM908" i="15"/>
  <c r="AG908" i="15" s="1"/>
  <c r="AM907" i="15"/>
  <c r="AG907" i="15" s="1"/>
  <c r="AM906" i="15"/>
  <c r="AG906" i="15" s="1"/>
  <c r="AM905" i="15"/>
  <c r="AG905" i="15" s="1"/>
  <c r="AM904" i="15"/>
  <c r="AG904" i="15" s="1"/>
  <c r="AM903" i="15"/>
  <c r="AG903" i="15" s="1"/>
  <c r="AM902" i="15"/>
  <c r="AG902" i="15" s="1"/>
  <c r="AM901" i="15"/>
  <c r="AG901" i="15" s="1"/>
  <c r="AM900" i="15"/>
  <c r="AG900" i="15" s="1"/>
  <c r="AM899" i="15"/>
  <c r="AG899" i="15" s="1"/>
  <c r="AM898" i="15"/>
  <c r="AG898" i="15" s="1"/>
  <c r="AM897" i="15"/>
  <c r="AG897" i="15" s="1"/>
  <c r="AM896" i="15"/>
  <c r="AG896" i="15" s="1"/>
  <c r="AM895" i="15"/>
  <c r="AG895" i="15" s="1"/>
  <c r="AM894" i="15"/>
  <c r="AG894" i="15" s="1"/>
  <c r="AM893" i="15"/>
  <c r="AG893" i="15" s="1"/>
  <c r="AM892" i="15"/>
  <c r="AG892" i="15" s="1"/>
  <c r="AM891" i="15"/>
  <c r="AG891" i="15" s="1"/>
  <c r="AM890" i="15"/>
  <c r="AG890" i="15" s="1"/>
  <c r="AM889" i="15"/>
  <c r="AG889" i="15" s="1"/>
  <c r="AM888" i="15"/>
  <c r="AG888" i="15" s="1"/>
  <c r="AM887" i="15"/>
  <c r="AG887" i="15" s="1"/>
  <c r="AM886" i="15"/>
  <c r="AG886" i="15" s="1"/>
  <c r="AM885" i="15"/>
  <c r="AG885" i="15" s="1"/>
  <c r="AM884" i="15"/>
  <c r="AG884" i="15" s="1"/>
  <c r="AM883" i="15"/>
  <c r="AG883" i="15" s="1"/>
  <c r="AM882" i="15"/>
  <c r="AG882" i="15" s="1"/>
  <c r="AM881" i="15"/>
  <c r="AG881" i="15" s="1"/>
  <c r="AM880" i="15"/>
  <c r="AG880" i="15" s="1"/>
  <c r="AM879" i="15"/>
  <c r="AG879" i="15" s="1"/>
  <c r="AM878" i="15"/>
  <c r="AG878" i="15" s="1"/>
  <c r="AM877" i="15"/>
  <c r="AG877" i="15" s="1"/>
  <c r="AM876" i="15"/>
  <c r="AG876" i="15" s="1"/>
  <c r="AM875" i="15"/>
  <c r="AG875" i="15" s="1"/>
  <c r="AM874" i="15"/>
  <c r="AG874" i="15" s="1"/>
  <c r="AM873" i="15"/>
  <c r="AG873" i="15" s="1"/>
  <c r="AM872" i="15"/>
  <c r="AG872" i="15" s="1"/>
  <c r="AM871" i="15"/>
  <c r="AG871" i="15" s="1"/>
  <c r="AM870" i="15"/>
  <c r="AG870" i="15" s="1"/>
  <c r="AM869" i="15"/>
  <c r="AG869" i="15" s="1"/>
  <c r="AM868" i="15"/>
  <c r="AG868" i="15" s="1"/>
  <c r="AM867" i="15"/>
  <c r="AG867" i="15" s="1"/>
  <c r="AM866" i="15"/>
  <c r="AG866" i="15" s="1"/>
  <c r="AM865" i="15"/>
  <c r="AG865" i="15" s="1"/>
  <c r="AM864" i="15"/>
  <c r="AG864" i="15" s="1"/>
  <c r="AM863" i="15"/>
  <c r="AG863" i="15" s="1"/>
  <c r="AM862" i="15"/>
  <c r="AG862" i="15" s="1"/>
  <c r="AM861" i="15"/>
  <c r="AG861" i="15" s="1"/>
  <c r="AM860" i="15"/>
  <c r="AG860" i="15" s="1"/>
  <c r="AM859" i="15"/>
  <c r="AG859" i="15" s="1"/>
  <c r="AM858" i="15"/>
  <c r="AG858" i="15" s="1"/>
  <c r="AM857" i="15"/>
  <c r="AG857" i="15" s="1"/>
  <c r="AM856" i="15"/>
  <c r="AG856" i="15" s="1"/>
  <c r="AM855" i="15"/>
  <c r="AG855" i="15" s="1"/>
  <c r="AM854" i="15"/>
  <c r="AG854" i="15" s="1"/>
  <c r="AM853" i="15"/>
  <c r="AG853" i="15" s="1"/>
  <c r="AM852" i="15"/>
  <c r="AG852" i="15" s="1"/>
  <c r="AM851" i="15"/>
  <c r="AG851" i="15" s="1"/>
  <c r="AM850" i="15"/>
  <c r="AG850" i="15" s="1"/>
  <c r="AM849" i="15"/>
  <c r="AG849" i="15" s="1"/>
  <c r="AM848" i="15"/>
  <c r="AG848" i="15" s="1"/>
  <c r="AM847" i="15"/>
  <c r="AG847" i="15" s="1"/>
  <c r="AM846" i="15"/>
  <c r="AG846" i="15" s="1"/>
  <c r="AM845" i="15"/>
  <c r="AG845" i="15" s="1"/>
  <c r="AM844" i="15"/>
  <c r="AG844" i="15" s="1"/>
  <c r="AM843" i="15"/>
  <c r="AG843" i="15" s="1"/>
  <c r="AM842" i="15"/>
  <c r="AG842" i="15" s="1"/>
  <c r="AM841" i="15"/>
  <c r="AG841" i="15" s="1"/>
  <c r="AM840" i="15"/>
  <c r="AG840" i="15" s="1"/>
  <c r="AM839" i="15"/>
  <c r="AG839" i="15" s="1"/>
  <c r="AM838" i="15"/>
  <c r="AG838" i="15" s="1"/>
  <c r="AM837" i="15"/>
  <c r="AG837" i="15" s="1"/>
  <c r="AM836" i="15"/>
  <c r="AG836" i="15" s="1"/>
  <c r="AM835" i="15"/>
  <c r="AG835" i="15" s="1"/>
  <c r="AM834" i="15"/>
  <c r="AG834" i="15" s="1"/>
  <c r="AM833" i="15"/>
  <c r="AG833" i="15" s="1"/>
  <c r="AM832" i="15"/>
  <c r="AG832" i="15" s="1"/>
  <c r="AM831" i="15"/>
  <c r="AG831" i="15" s="1"/>
  <c r="AM830" i="15"/>
  <c r="AG830" i="15" s="1"/>
  <c r="AM829" i="15"/>
  <c r="AG829" i="15" s="1"/>
  <c r="AM828" i="15"/>
  <c r="AG828" i="15" s="1"/>
  <c r="AM827" i="15"/>
  <c r="AG827" i="15" s="1"/>
  <c r="AM826" i="15"/>
  <c r="AG826" i="15" s="1"/>
  <c r="AM825" i="15"/>
  <c r="AG825" i="15" s="1"/>
  <c r="AM824" i="15"/>
  <c r="AG824" i="15" s="1"/>
  <c r="AM823" i="15"/>
  <c r="AG823" i="15" s="1"/>
  <c r="AM822" i="15"/>
  <c r="AG822" i="15" s="1"/>
  <c r="AM821" i="15"/>
  <c r="AG821" i="15" s="1"/>
  <c r="AM820" i="15"/>
  <c r="AG820" i="15" s="1"/>
  <c r="AM819" i="15"/>
  <c r="AG819" i="15" s="1"/>
  <c r="AM818" i="15"/>
  <c r="AG818" i="15" s="1"/>
  <c r="AM817" i="15"/>
  <c r="AG817" i="15" s="1"/>
  <c r="AM816" i="15"/>
  <c r="AG816" i="15" s="1"/>
  <c r="AM815" i="15"/>
  <c r="AG815" i="15" s="1"/>
  <c r="AM814" i="15"/>
  <c r="AG814" i="15" s="1"/>
  <c r="AM813" i="15"/>
  <c r="AG813" i="15" s="1"/>
  <c r="AM812" i="15"/>
  <c r="AG812" i="15" s="1"/>
  <c r="AM811" i="15"/>
  <c r="AG811" i="15" s="1"/>
  <c r="AM810" i="15"/>
  <c r="AG810" i="15" s="1"/>
  <c r="AM809" i="15"/>
  <c r="AG809" i="15" s="1"/>
  <c r="AM808" i="15"/>
  <c r="AG808" i="15" s="1"/>
  <c r="AM807" i="15"/>
  <c r="AG807" i="15" s="1"/>
  <c r="AM806" i="15"/>
  <c r="AG806" i="15" s="1"/>
  <c r="AM805" i="15"/>
  <c r="AG805" i="15" s="1"/>
  <c r="AM804" i="15"/>
  <c r="AG804" i="15" s="1"/>
  <c r="AM803" i="15"/>
  <c r="AG803" i="15" s="1"/>
  <c r="AM802" i="15"/>
  <c r="AG802" i="15" s="1"/>
  <c r="AM801" i="15"/>
  <c r="AG801" i="15" s="1"/>
  <c r="AM800" i="15"/>
  <c r="AG800" i="15" s="1"/>
  <c r="AM799" i="15"/>
  <c r="AG799" i="15" s="1"/>
  <c r="AM798" i="15"/>
  <c r="AG798" i="15" s="1"/>
  <c r="AM797" i="15"/>
  <c r="AG797" i="15" s="1"/>
  <c r="AM796" i="15"/>
  <c r="AG796" i="15" s="1"/>
  <c r="AM795" i="15"/>
  <c r="AG795" i="15" s="1"/>
  <c r="AM794" i="15"/>
  <c r="AG794" i="15" s="1"/>
  <c r="AM793" i="15"/>
  <c r="AG793" i="15" s="1"/>
  <c r="AM792" i="15"/>
  <c r="AG792" i="15" s="1"/>
  <c r="AM791" i="15"/>
  <c r="AG791" i="15" s="1"/>
  <c r="AM790" i="15"/>
  <c r="AG790" i="15" s="1"/>
  <c r="AM789" i="15"/>
  <c r="AG789" i="15" s="1"/>
  <c r="AM788" i="15"/>
  <c r="AG788" i="15" s="1"/>
  <c r="AM787" i="15"/>
  <c r="AG787" i="15" s="1"/>
  <c r="AM786" i="15"/>
  <c r="AG786" i="15" s="1"/>
  <c r="AM785" i="15"/>
  <c r="AG785" i="15" s="1"/>
  <c r="AM784" i="15"/>
  <c r="AG784" i="15" s="1"/>
  <c r="AM783" i="15"/>
  <c r="AG783" i="15" s="1"/>
  <c r="AM782" i="15"/>
  <c r="AG782" i="15" s="1"/>
  <c r="AM781" i="15"/>
  <c r="AG781" i="15" s="1"/>
  <c r="AM780" i="15"/>
  <c r="AG780" i="15" s="1"/>
  <c r="AM779" i="15"/>
  <c r="AG779" i="15" s="1"/>
  <c r="AM778" i="15"/>
  <c r="AG778" i="15" s="1"/>
  <c r="AM777" i="15"/>
  <c r="AG777" i="15" s="1"/>
  <c r="AM776" i="15"/>
  <c r="AG776" i="15" s="1"/>
  <c r="AM775" i="15"/>
  <c r="AG775" i="15" s="1"/>
  <c r="AM774" i="15"/>
  <c r="AG774" i="15" s="1"/>
  <c r="AM773" i="15"/>
  <c r="AG773" i="15" s="1"/>
  <c r="AM772" i="15"/>
  <c r="AG772" i="15" s="1"/>
  <c r="AM771" i="15"/>
  <c r="AG771" i="15" s="1"/>
  <c r="AM770" i="15"/>
  <c r="AG770" i="15" s="1"/>
  <c r="AM769" i="15"/>
  <c r="AG769" i="15" s="1"/>
  <c r="AM768" i="15"/>
  <c r="AG768" i="15" s="1"/>
  <c r="AM767" i="15"/>
  <c r="AG767" i="15" s="1"/>
  <c r="AM766" i="15"/>
  <c r="AG766" i="15" s="1"/>
  <c r="AM765" i="15"/>
  <c r="AG765" i="15" s="1"/>
  <c r="AM764" i="15"/>
  <c r="AG764" i="15" s="1"/>
  <c r="AM763" i="15"/>
  <c r="AG763" i="15" s="1"/>
  <c r="AM762" i="15"/>
  <c r="AG762" i="15" s="1"/>
  <c r="AM761" i="15"/>
  <c r="AG761" i="15" s="1"/>
  <c r="AM760" i="15"/>
  <c r="AG760" i="15" s="1"/>
  <c r="AM759" i="15"/>
  <c r="AG759" i="15" s="1"/>
  <c r="AM758" i="15"/>
  <c r="AG758" i="15" s="1"/>
  <c r="AM757" i="15"/>
  <c r="AG757" i="15" s="1"/>
  <c r="AM756" i="15"/>
  <c r="AG756" i="15" s="1"/>
  <c r="AM755" i="15"/>
  <c r="AG755" i="15" s="1"/>
  <c r="AM754" i="15"/>
  <c r="AG754" i="15" s="1"/>
  <c r="AM753" i="15"/>
  <c r="AG753" i="15" s="1"/>
  <c r="AM752" i="15"/>
  <c r="AG752" i="15" s="1"/>
  <c r="AM751" i="15"/>
  <c r="AG751" i="15" s="1"/>
  <c r="AM750" i="15"/>
  <c r="AG750" i="15" s="1"/>
  <c r="AM749" i="15"/>
  <c r="AG749" i="15" s="1"/>
  <c r="AM748" i="15"/>
  <c r="AG748" i="15" s="1"/>
  <c r="AM747" i="15"/>
  <c r="AG747" i="15" s="1"/>
  <c r="AM746" i="15"/>
  <c r="AG746" i="15" s="1"/>
  <c r="AM745" i="15"/>
  <c r="AG745" i="15" s="1"/>
  <c r="AM744" i="15"/>
  <c r="AG744" i="15" s="1"/>
  <c r="AM743" i="15"/>
  <c r="AG743" i="15" s="1"/>
  <c r="AM742" i="15"/>
  <c r="AG742" i="15" s="1"/>
  <c r="AM741" i="15"/>
  <c r="AG741" i="15" s="1"/>
  <c r="AM740" i="15"/>
  <c r="AG740" i="15" s="1"/>
  <c r="AM739" i="15"/>
  <c r="AG739" i="15" s="1"/>
  <c r="AM738" i="15"/>
  <c r="AG738" i="15" s="1"/>
  <c r="AM737" i="15"/>
  <c r="AG737" i="15" s="1"/>
  <c r="AM736" i="15"/>
  <c r="AG736" i="15" s="1"/>
  <c r="AM735" i="15"/>
  <c r="AG735" i="15" s="1"/>
  <c r="AM734" i="15"/>
  <c r="AG734" i="15" s="1"/>
  <c r="AM733" i="15"/>
  <c r="AG733" i="15" s="1"/>
  <c r="AM732" i="15"/>
  <c r="AG732" i="15" s="1"/>
  <c r="AM731" i="15"/>
  <c r="AG731" i="15" s="1"/>
  <c r="AM730" i="15"/>
  <c r="AG730" i="15" s="1"/>
  <c r="AM729" i="15"/>
  <c r="AG729" i="15" s="1"/>
  <c r="AM728" i="15"/>
  <c r="AG728" i="15" s="1"/>
  <c r="AM727" i="15"/>
  <c r="AG727" i="15" s="1"/>
  <c r="AM726" i="15"/>
  <c r="AG726" i="15" s="1"/>
  <c r="AM725" i="15"/>
  <c r="AG725" i="15" s="1"/>
  <c r="AM724" i="15"/>
  <c r="AG724" i="15" s="1"/>
  <c r="AM723" i="15"/>
  <c r="AG723" i="15" s="1"/>
  <c r="AM722" i="15"/>
  <c r="AG722" i="15" s="1"/>
  <c r="AM721" i="15"/>
  <c r="AG721" i="15" s="1"/>
  <c r="AM720" i="15"/>
  <c r="AG720" i="15" s="1"/>
  <c r="AM719" i="15"/>
  <c r="AG719" i="15" s="1"/>
  <c r="AM718" i="15"/>
  <c r="AG718" i="15" s="1"/>
  <c r="AM717" i="15"/>
  <c r="AG717" i="15" s="1"/>
  <c r="AM716" i="15"/>
  <c r="AG716" i="15" s="1"/>
  <c r="AM715" i="15"/>
  <c r="AG715" i="15" s="1"/>
  <c r="AM714" i="15"/>
  <c r="AG714" i="15" s="1"/>
  <c r="AM713" i="15"/>
  <c r="AG713" i="15" s="1"/>
  <c r="AM712" i="15"/>
  <c r="AG712" i="15" s="1"/>
  <c r="AM711" i="15"/>
  <c r="AG711" i="15" s="1"/>
  <c r="AM710" i="15"/>
  <c r="AG710" i="15" s="1"/>
  <c r="AM709" i="15"/>
  <c r="AG709" i="15" s="1"/>
  <c r="AM708" i="15"/>
  <c r="AG708" i="15" s="1"/>
  <c r="AM707" i="15"/>
  <c r="AG707" i="15" s="1"/>
  <c r="AM706" i="15"/>
  <c r="AG706" i="15" s="1"/>
  <c r="AM705" i="15"/>
  <c r="AG705" i="15" s="1"/>
  <c r="AM704" i="15"/>
  <c r="AG704" i="15" s="1"/>
  <c r="AM703" i="15"/>
  <c r="AG703" i="15" s="1"/>
  <c r="AM702" i="15"/>
  <c r="AG702" i="15" s="1"/>
  <c r="AM701" i="15"/>
  <c r="AG701" i="15" s="1"/>
  <c r="AM700" i="15"/>
  <c r="AG700" i="15" s="1"/>
  <c r="AM699" i="15"/>
  <c r="AG699" i="15" s="1"/>
  <c r="AM698" i="15"/>
  <c r="AG698" i="15" s="1"/>
  <c r="AM697" i="15"/>
  <c r="AG697" i="15" s="1"/>
  <c r="AM696" i="15"/>
  <c r="AG696" i="15" s="1"/>
  <c r="AM695" i="15"/>
  <c r="AG695" i="15" s="1"/>
  <c r="AM694" i="15"/>
  <c r="AG694" i="15" s="1"/>
  <c r="AM693" i="15"/>
  <c r="AG693" i="15" s="1"/>
  <c r="AM692" i="15"/>
  <c r="AG692" i="15" s="1"/>
  <c r="AM691" i="15"/>
  <c r="AG691" i="15" s="1"/>
  <c r="AM690" i="15"/>
  <c r="AG690" i="15" s="1"/>
  <c r="AM689" i="15"/>
  <c r="AG689" i="15" s="1"/>
  <c r="AM688" i="15"/>
  <c r="AG688" i="15" s="1"/>
  <c r="AM687" i="15"/>
  <c r="AG687" i="15" s="1"/>
  <c r="AM686" i="15"/>
  <c r="AG686" i="15" s="1"/>
  <c r="AM685" i="15"/>
  <c r="AG685" i="15" s="1"/>
  <c r="AM684" i="15"/>
  <c r="AG684" i="15" s="1"/>
  <c r="AM683" i="15"/>
  <c r="AG683" i="15" s="1"/>
  <c r="AM682" i="15"/>
  <c r="AG682" i="15" s="1"/>
  <c r="AM681" i="15"/>
  <c r="AG681" i="15" s="1"/>
  <c r="AM680" i="15"/>
  <c r="AG680" i="15" s="1"/>
  <c r="AM679" i="15"/>
  <c r="AG679" i="15" s="1"/>
  <c r="AM678" i="15"/>
  <c r="AG678" i="15" s="1"/>
  <c r="AM677" i="15"/>
  <c r="AG677" i="15" s="1"/>
  <c r="AM676" i="15"/>
  <c r="AG676" i="15" s="1"/>
  <c r="AM675" i="15"/>
  <c r="AG675" i="15" s="1"/>
  <c r="AM674" i="15"/>
  <c r="AG674" i="15" s="1"/>
  <c r="AM673" i="15"/>
  <c r="AG673" i="15" s="1"/>
  <c r="AM672" i="15"/>
  <c r="AG672" i="15" s="1"/>
  <c r="AM671" i="15"/>
  <c r="AG671" i="15" s="1"/>
  <c r="AM670" i="15"/>
  <c r="AG670" i="15" s="1"/>
  <c r="AM669" i="15"/>
  <c r="AG669" i="15" s="1"/>
  <c r="AM668" i="15"/>
  <c r="AG668" i="15" s="1"/>
  <c r="AM667" i="15"/>
  <c r="AG667" i="15" s="1"/>
  <c r="AM666" i="15"/>
  <c r="AG666" i="15" s="1"/>
  <c r="AM665" i="15"/>
  <c r="AG665" i="15" s="1"/>
  <c r="AM664" i="15"/>
  <c r="AG664" i="15" s="1"/>
  <c r="AM663" i="15"/>
  <c r="AG663" i="15" s="1"/>
  <c r="AM662" i="15"/>
  <c r="AG662" i="15" s="1"/>
  <c r="AM661" i="15"/>
  <c r="AG661" i="15" s="1"/>
  <c r="AM660" i="15"/>
  <c r="AG660" i="15" s="1"/>
  <c r="AM659" i="15"/>
  <c r="AG659" i="15" s="1"/>
  <c r="AM658" i="15"/>
  <c r="AG658" i="15" s="1"/>
  <c r="AM657" i="15"/>
  <c r="AG657" i="15" s="1"/>
  <c r="AM656" i="15"/>
  <c r="AG656" i="15" s="1"/>
  <c r="AM655" i="15"/>
  <c r="AG655" i="15" s="1"/>
  <c r="AM654" i="15"/>
  <c r="AG654" i="15" s="1"/>
  <c r="AM653" i="15"/>
  <c r="AG653" i="15" s="1"/>
  <c r="AM652" i="15"/>
  <c r="AG652" i="15" s="1"/>
  <c r="AM651" i="15"/>
  <c r="AG651" i="15" s="1"/>
  <c r="AM650" i="15"/>
  <c r="AG650" i="15" s="1"/>
  <c r="AM649" i="15"/>
  <c r="AG649" i="15" s="1"/>
  <c r="AM648" i="15"/>
  <c r="AG648" i="15" s="1"/>
  <c r="AM647" i="15"/>
  <c r="AG647" i="15" s="1"/>
  <c r="AM646" i="15"/>
  <c r="AG646" i="15" s="1"/>
  <c r="AM645" i="15"/>
  <c r="AG645" i="15" s="1"/>
  <c r="AM644" i="15"/>
  <c r="AG644" i="15" s="1"/>
  <c r="AM643" i="15"/>
  <c r="AG643" i="15" s="1"/>
  <c r="AM642" i="15"/>
  <c r="AG642" i="15" s="1"/>
  <c r="AM641" i="15"/>
  <c r="AG641" i="15" s="1"/>
  <c r="AM640" i="15"/>
  <c r="AG640" i="15" s="1"/>
  <c r="AM639" i="15"/>
  <c r="AG639" i="15" s="1"/>
  <c r="AM638" i="15"/>
  <c r="AG638" i="15" s="1"/>
  <c r="AM637" i="15"/>
  <c r="AG637" i="15" s="1"/>
  <c r="AM636" i="15"/>
  <c r="AG636" i="15" s="1"/>
  <c r="AM635" i="15"/>
  <c r="AG635" i="15" s="1"/>
  <c r="AM634" i="15"/>
  <c r="AG634" i="15" s="1"/>
  <c r="AM633" i="15"/>
  <c r="AG633" i="15" s="1"/>
  <c r="AM632" i="15"/>
  <c r="AG632" i="15" s="1"/>
  <c r="AM631" i="15"/>
  <c r="AG631" i="15" s="1"/>
  <c r="AM630" i="15"/>
  <c r="AG630" i="15" s="1"/>
  <c r="AM629" i="15"/>
  <c r="AG629" i="15" s="1"/>
  <c r="AM628" i="15"/>
  <c r="AG628" i="15" s="1"/>
  <c r="AM627" i="15"/>
  <c r="AG627" i="15" s="1"/>
  <c r="AM626" i="15"/>
  <c r="AG626" i="15" s="1"/>
  <c r="AM625" i="15"/>
  <c r="AG625" i="15" s="1"/>
  <c r="AM624" i="15"/>
  <c r="AG624" i="15" s="1"/>
  <c r="AM623" i="15"/>
  <c r="AG623" i="15" s="1"/>
  <c r="AM622" i="15"/>
  <c r="AG622" i="15" s="1"/>
  <c r="AM621" i="15"/>
  <c r="AG621" i="15" s="1"/>
  <c r="AM620" i="15"/>
  <c r="AG620" i="15" s="1"/>
  <c r="AM619" i="15"/>
  <c r="AG619" i="15" s="1"/>
  <c r="AM618" i="15"/>
  <c r="AG618" i="15" s="1"/>
  <c r="AM617" i="15"/>
  <c r="AG617" i="15" s="1"/>
  <c r="AM616" i="15"/>
  <c r="AG616" i="15" s="1"/>
  <c r="AM615" i="15"/>
  <c r="AG615" i="15" s="1"/>
  <c r="AM614" i="15"/>
  <c r="AG614" i="15" s="1"/>
  <c r="AM613" i="15"/>
  <c r="AG613" i="15" s="1"/>
  <c r="AM612" i="15"/>
  <c r="AG612" i="15" s="1"/>
  <c r="AM611" i="15"/>
  <c r="AG611" i="15" s="1"/>
  <c r="AM610" i="15"/>
  <c r="AG610" i="15" s="1"/>
  <c r="AM609" i="15"/>
  <c r="AG609" i="15" s="1"/>
  <c r="AM608" i="15"/>
  <c r="AG608" i="15" s="1"/>
  <c r="AM607" i="15"/>
  <c r="AG607" i="15" s="1"/>
  <c r="AM606" i="15"/>
  <c r="AG606" i="15" s="1"/>
  <c r="AM605" i="15"/>
  <c r="AG605" i="15" s="1"/>
  <c r="AM604" i="15"/>
  <c r="AG604" i="15" s="1"/>
  <c r="AM603" i="15"/>
  <c r="AG603" i="15" s="1"/>
  <c r="AM602" i="15"/>
  <c r="AG602" i="15" s="1"/>
  <c r="AM601" i="15"/>
  <c r="AG601" i="15" s="1"/>
  <c r="AM600" i="15"/>
  <c r="AG600" i="15" s="1"/>
  <c r="AM599" i="15"/>
  <c r="AG599" i="15" s="1"/>
  <c r="AM598" i="15"/>
  <c r="AG598" i="15" s="1"/>
  <c r="AM597" i="15"/>
  <c r="AG597" i="15" s="1"/>
  <c r="AM596" i="15"/>
  <c r="AG596" i="15" s="1"/>
  <c r="AM595" i="15"/>
  <c r="AG595" i="15" s="1"/>
  <c r="AM594" i="15"/>
  <c r="AG594" i="15" s="1"/>
  <c r="AM593" i="15"/>
  <c r="AG593" i="15" s="1"/>
  <c r="AM592" i="15"/>
  <c r="AG592" i="15" s="1"/>
  <c r="AM591" i="15"/>
  <c r="AG591" i="15" s="1"/>
  <c r="AM590" i="15"/>
  <c r="AG590" i="15" s="1"/>
  <c r="AM589" i="15"/>
  <c r="AG589" i="15" s="1"/>
  <c r="AM588" i="15"/>
  <c r="AG588" i="15" s="1"/>
  <c r="AM587" i="15"/>
  <c r="AG587" i="15" s="1"/>
  <c r="AM586" i="15"/>
  <c r="AG586" i="15" s="1"/>
  <c r="AM585" i="15"/>
  <c r="AG585" i="15" s="1"/>
  <c r="AM584" i="15"/>
  <c r="AG584" i="15" s="1"/>
  <c r="AM583" i="15"/>
  <c r="AG583" i="15" s="1"/>
  <c r="AM582" i="15"/>
  <c r="AG582" i="15" s="1"/>
  <c r="AM581" i="15"/>
  <c r="AG581" i="15" s="1"/>
  <c r="AM580" i="15"/>
  <c r="AG580" i="15" s="1"/>
  <c r="AM579" i="15"/>
  <c r="AG579" i="15" s="1"/>
  <c r="AM578" i="15"/>
  <c r="AG578" i="15" s="1"/>
  <c r="AM577" i="15"/>
  <c r="AG577" i="15" s="1"/>
  <c r="AM576" i="15"/>
  <c r="AG576" i="15" s="1"/>
  <c r="AM575" i="15"/>
  <c r="AG575" i="15" s="1"/>
  <c r="AM574" i="15"/>
  <c r="AG574" i="15" s="1"/>
  <c r="AM573" i="15"/>
  <c r="AG573" i="15" s="1"/>
  <c r="AM572" i="15"/>
  <c r="AG572" i="15" s="1"/>
  <c r="AM571" i="15"/>
  <c r="AG571" i="15" s="1"/>
  <c r="AM570" i="15"/>
  <c r="AG570" i="15" s="1"/>
  <c r="AM569" i="15"/>
  <c r="AG569" i="15" s="1"/>
  <c r="AM568" i="15"/>
  <c r="AG568" i="15" s="1"/>
  <c r="AM567" i="15"/>
  <c r="AG567" i="15" s="1"/>
  <c r="AM566" i="15"/>
  <c r="AG566" i="15" s="1"/>
  <c r="AM565" i="15"/>
  <c r="AG565" i="15" s="1"/>
  <c r="AM564" i="15"/>
  <c r="AG564" i="15" s="1"/>
  <c r="AM563" i="15"/>
  <c r="AG563" i="15" s="1"/>
  <c r="AM562" i="15"/>
  <c r="AG562" i="15" s="1"/>
  <c r="AM561" i="15"/>
  <c r="AG561" i="15" s="1"/>
  <c r="AM560" i="15"/>
  <c r="AG560" i="15" s="1"/>
  <c r="AM559" i="15"/>
  <c r="AG559" i="15" s="1"/>
  <c r="AM558" i="15"/>
  <c r="AG558" i="15" s="1"/>
  <c r="AM557" i="15"/>
  <c r="AG557" i="15" s="1"/>
  <c r="AM556" i="15"/>
  <c r="AG556" i="15" s="1"/>
  <c r="AM555" i="15"/>
  <c r="AG555" i="15" s="1"/>
  <c r="AM554" i="15"/>
  <c r="AG554" i="15" s="1"/>
  <c r="AM553" i="15"/>
  <c r="AG553" i="15" s="1"/>
  <c r="AM552" i="15"/>
  <c r="AG552" i="15" s="1"/>
  <c r="AM551" i="15"/>
  <c r="AG551" i="15" s="1"/>
  <c r="AM550" i="15"/>
  <c r="AG550" i="15" s="1"/>
  <c r="AM549" i="15"/>
  <c r="AG549" i="15" s="1"/>
  <c r="AM548" i="15"/>
  <c r="AG548" i="15" s="1"/>
  <c r="AM547" i="15"/>
  <c r="AG547" i="15" s="1"/>
  <c r="AM546" i="15"/>
  <c r="AG546" i="15" s="1"/>
  <c r="AM545" i="15"/>
  <c r="AG545" i="15" s="1"/>
  <c r="AM544" i="15"/>
  <c r="AG544" i="15" s="1"/>
  <c r="AM543" i="15"/>
  <c r="AG543" i="15" s="1"/>
  <c r="AM542" i="15"/>
  <c r="AG542" i="15" s="1"/>
  <c r="AM541" i="15"/>
  <c r="AG541" i="15" s="1"/>
  <c r="AM540" i="15"/>
  <c r="AG540" i="15" s="1"/>
  <c r="AM539" i="15"/>
  <c r="AG539" i="15" s="1"/>
  <c r="AM538" i="15"/>
  <c r="AG538" i="15" s="1"/>
  <c r="AM537" i="15"/>
  <c r="AG537" i="15" s="1"/>
  <c r="AM536" i="15"/>
  <c r="AG536" i="15" s="1"/>
  <c r="AM535" i="15"/>
  <c r="AG535" i="15" s="1"/>
  <c r="AM534" i="15"/>
  <c r="AG534" i="15" s="1"/>
  <c r="AM533" i="15"/>
  <c r="AG533" i="15" s="1"/>
  <c r="AM532" i="15"/>
  <c r="AG532" i="15" s="1"/>
  <c r="AM531" i="15"/>
  <c r="AG531" i="15" s="1"/>
  <c r="AM530" i="15"/>
  <c r="AG530" i="15" s="1"/>
  <c r="AM529" i="15"/>
  <c r="AG529" i="15" s="1"/>
  <c r="AM528" i="15"/>
  <c r="AG528" i="15" s="1"/>
  <c r="AM527" i="15"/>
  <c r="AG527" i="15" s="1"/>
  <c r="AM526" i="15"/>
  <c r="AG526" i="15" s="1"/>
  <c r="AM525" i="15"/>
  <c r="AG525" i="15" s="1"/>
  <c r="AM524" i="15"/>
  <c r="AG524" i="15" s="1"/>
  <c r="AM523" i="15"/>
  <c r="AG523" i="15" s="1"/>
  <c r="AM522" i="15"/>
  <c r="AG522" i="15" s="1"/>
  <c r="AM521" i="15"/>
  <c r="AG521" i="15" s="1"/>
  <c r="AM520" i="15"/>
  <c r="AG520" i="15" s="1"/>
  <c r="AM519" i="15"/>
  <c r="AG519" i="15" s="1"/>
  <c r="AM518" i="15"/>
  <c r="AG518" i="15" s="1"/>
  <c r="AM517" i="15"/>
  <c r="AG517" i="15" s="1"/>
  <c r="AM516" i="15"/>
  <c r="AG516" i="15" s="1"/>
  <c r="AM515" i="15"/>
  <c r="AG515" i="15" s="1"/>
  <c r="AM514" i="15"/>
  <c r="AG514" i="15" s="1"/>
  <c r="AM513" i="15"/>
  <c r="AG513" i="15" s="1"/>
  <c r="AM512" i="15"/>
  <c r="AG512" i="15" s="1"/>
  <c r="AM511" i="15"/>
  <c r="AG511" i="15" s="1"/>
  <c r="AM510" i="15"/>
  <c r="AG510" i="15" s="1"/>
  <c r="AM509" i="15"/>
  <c r="AG509" i="15" s="1"/>
  <c r="AM508" i="15"/>
  <c r="AG508" i="15" s="1"/>
  <c r="AM507" i="15"/>
  <c r="AG507" i="15" s="1"/>
  <c r="AM506" i="15"/>
  <c r="AG506" i="15" s="1"/>
  <c r="AM505" i="15"/>
  <c r="AG505" i="15" s="1"/>
  <c r="AM504" i="15"/>
  <c r="AG504" i="15" s="1"/>
  <c r="AM503" i="15"/>
  <c r="AG503" i="15" s="1"/>
  <c r="AM502" i="15"/>
  <c r="AG502" i="15" s="1"/>
  <c r="AM501" i="15"/>
  <c r="AG501" i="15" s="1"/>
  <c r="AM500" i="15"/>
  <c r="AG500" i="15" s="1"/>
  <c r="AM499" i="15"/>
  <c r="AG499" i="15" s="1"/>
  <c r="AM498" i="15"/>
  <c r="AG498" i="15" s="1"/>
  <c r="AM497" i="15"/>
  <c r="AG497" i="15" s="1"/>
  <c r="AM496" i="15"/>
  <c r="AG496" i="15" s="1"/>
  <c r="AM495" i="15"/>
  <c r="AG495" i="15" s="1"/>
  <c r="AM494" i="15"/>
  <c r="AG494" i="15" s="1"/>
  <c r="AM493" i="15"/>
  <c r="AG493" i="15" s="1"/>
  <c r="AM492" i="15"/>
  <c r="AG492" i="15" s="1"/>
  <c r="AM491" i="15"/>
  <c r="AG491" i="15" s="1"/>
  <c r="AM490" i="15"/>
  <c r="AG490" i="15" s="1"/>
  <c r="AM489" i="15"/>
  <c r="AG489" i="15" s="1"/>
  <c r="AM488" i="15"/>
  <c r="AG488" i="15" s="1"/>
  <c r="AM487" i="15"/>
  <c r="AG487" i="15" s="1"/>
  <c r="AM486" i="15"/>
  <c r="AG486" i="15" s="1"/>
  <c r="AM485" i="15"/>
  <c r="AG485" i="15" s="1"/>
  <c r="AM484" i="15"/>
  <c r="AG484" i="15" s="1"/>
  <c r="AM483" i="15"/>
  <c r="AG483" i="15" s="1"/>
  <c r="AM482" i="15"/>
  <c r="AG482" i="15" s="1"/>
  <c r="AM481" i="15"/>
  <c r="AG481" i="15" s="1"/>
  <c r="AM480" i="15"/>
  <c r="AG480" i="15" s="1"/>
  <c r="AM479" i="15"/>
  <c r="AG479" i="15" s="1"/>
  <c r="AM478" i="15"/>
  <c r="AG478" i="15" s="1"/>
  <c r="AM477" i="15"/>
  <c r="AG477" i="15" s="1"/>
  <c r="AM476" i="15"/>
  <c r="AG476" i="15" s="1"/>
  <c r="AM475" i="15"/>
  <c r="AG475" i="15" s="1"/>
  <c r="AM474" i="15"/>
  <c r="AG474" i="15" s="1"/>
  <c r="AM473" i="15"/>
  <c r="AG473" i="15" s="1"/>
  <c r="AM472" i="15"/>
  <c r="AG472" i="15" s="1"/>
  <c r="AM471" i="15"/>
  <c r="AG471" i="15" s="1"/>
  <c r="AM470" i="15"/>
  <c r="AG470" i="15" s="1"/>
  <c r="AM469" i="15"/>
  <c r="AG469" i="15" s="1"/>
  <c r="AM468" i="15"/>
  <c r="AG468" i="15" s="1"/>
  <c r="AM467" i="15"/>
  <c r="AG467" i="15" s="1"/>
  <c r="AM466" i="15"/>
  <c r="AG466" i="15" s="1"/>
  <c r="AM465" i="15"/>
  <c r="AG465" i="15" s="1"/>
  <c r="AM464" i="15"/>
  <c r="AG464" i="15" s="1"/>
  <c r="AM463" i="15"/>
  <c r="AG463" i="15" s="1"/>
  <c r="AM462" i="15"/>
  <c r="AG462" i="15" s="1"/>
  <c r="AM461" i="15"/>
  <c r="AG461" i="15" s="1"/>
  <c r="AM460" i="15"/>
  <c r="AG460" i="15" s="1"/>
  <c r="AM459" i="15"/>
  <c r="AG459" i="15" s="1"/>
  <c r="AM458" i="15"/>
  <c r="AG458" i="15" s="1"/>
  <c r="AM457" i="15"/>
  <c r="AG457" i="15" s="1"/>
  <c r="AM456" i="15"/>
  <c r="AG456" i="15" s="1"/>
  <c r="AM455" i="15"/>
  <c r="AG455" i="15" s="1"/>
  <c r="AM454" i="15"/>
  <c r="AG454" i="15" s="1"/>
  <c r="AM453" i="15"/>
  <c r="AG453" i="15" s="1"/>
  <c r="AM452" i="15"/>
  <c r="AG452" i="15" s="1"/>
  <c r="AM451" i="15"/>
  <c r="AG451" i="15" s="1"/>
  <c r="AM450" i="15"/>
  <c r="AG450" i="15" s="1"/>
  <c r="AM449" i="15"/>
  <c r="AG449" i="15" s="1"/>
  <c r="AM448" i="15"/>
  <c r="AG448" i="15" s="1"/>
  <c r="AM447" i="15"/>
  <c r="AG447" i="15" s="1"/>
  <c r="AM446" i="15"/>
  <c r="AG446" i="15" s="1"/>
  <c r="AM445" i="15"/>
  <c r="AG445" i="15" s="1"/>
  <c r="AM444" i="15"/>
  <c r="AG444" i="15" s="1"/>
  <c r="AM443" i="15"/>
  <c r="AG443" i="15" s="1"/>
  <c r="AM442" i="15"/>
  <c r="AG442" i="15" s="1"/>
  <c r="AM441" i="15"/>
  <c r="AG441" i="15" s="1"/>
  <c r="AM440" i="15"/>
  <c r="AG440" i="15" s="1"/>
  <c r="AM439" i="15"/>
  <c r="AG439" i="15" s="1"/>
  <c r="AM438" i="15"/>
  <c r="AG438" i="15" s="1"/>
  <c r="AM437" i="15"/>
  <c r="AG437" i="15" s="1"/>
  <c r="AM436" i="15"/>
  <c r="AG436" i="15" s="1"/>
  <c r="AM435" i="15"/>
  <c r="AG435" i="15" s="1"/>
  <c r="AM434" i="15"/>
  <c r="AG434" i="15" s="1"/>
  <c r="AM433" i="15"/>
  <c r="AG433" i="15" s="1"/>
  <c r="AM432" i="15"/>
  <c r="AG432" i="15" s="1"/>
  <c r="AM431" i="15"/>
  <c r="AG431" i="15" s="1"/>
  <c r="AM430" i="15"/>
  <c r="AG430" i="15" s="1"/>
  <c r="AM429" i="15"/>
  <c r="AG429" i="15" s="1"/>
  <c r="AM428" i="15"/>
  <c r="AG428" i="15" s="1"/>
  <c r="AM427" i="15"/>
  <c r="AG427" i="15" s="1"/>
  <c r="AM426" i="15"/>
  <c r="AG426" i="15" s="1"/>
  <c r="AM425" i="15"/>
  <c r="AG425" i="15" s="1"/>
  <c r="AM424" i="15"/>
  <c r="AG424" i="15" s="1"/>
  <c r="AM423" i="15"/>
  <c r="AG423" i="15" s="1"/>
  <c r="AM422" i="15"/>
  <c r="AG422" i="15" s="1"/>
  <c r="AM421" i="15"/>
  <c r="AG421" i="15" s="1"/>
  <c r="AM420" i="15"/>
  <c r="AG420" i="15" s="1"/>
  <c r="AM419" i="15"/>
  <c r="AG419" i="15" s="1"/>
  <c r="AM418" i="15"/>
  <c r="AG418" i="15" s="1"/>
  <c r="AM417" i="15"/>
  <c r="AG417" i="15" s="1"/>
  <c r="AM416" i="15"/>
  <c r="AG416" i="15" s="1"/>
  <c r="AM415" i="15"/>
  <c r="AG415" i="15" s="1"/>
  <c r="AM414" i="15"/>
  <c r="AG414" i="15" s="1"/>
  <c r="AM413" i="15"/>
  <c r="AG413" i="15" s="1"/>
  <c r="AM412" i="15"/>
  <c r="AG412" i="15" s="1"/>
  <c r="AM411" i="15"/>
  <c r="AG411" i="15" s="1"/>
  <c r="AM410" i="15"/>
  <c r="AG410" i="15" s="1"/>
  <c r="AM409" i="15"/>
  <c r="AG409" i="15" s="1"/>
  <c r="AM408" i="15"/>
  <c r="AG408" i="15" s="1"/>
  <c r="AM407" i="15"/>
  <c r="AG407" i="15" s="1"/>
  <c r="AM406" i="15"/>
  <c r="AG406" i="15" s="1"/>
  <c r="AM405" i="15"/>
  <c r="AG405" i="15" s="1"/>
  <c r="AM404" i="15"/>
  <c r="AG404" i="15" s="1"/>
  <c r="AM403" i="15"/>
  <c r="AG403" i="15" s="1"/>
  <c r="AM402" i="15"/>
  <c r="AG402" i="15" s="1"/>
  <c r="AM401" i="15"/>
  <c r="AG401" i="15" s="1"/>
  <c r="AM400" i="15"/>
  <c r="AG400" i="15" s="1"/>
  <c r="AM399" i="15"/>
  <c r="AG399" i="15" s="1"/>
  <c r="AM398" i="15"/>
  <c r="AG398" i="15" s="1"/>
  <c r="AM397" i="15"/>
  <c r="AG397" i="15" s="1"/>
  <c r="AM396" i="15"/>
  <c r="AG396" i="15" s="1"/>
  <c r="AM395" i="15"/>
  <c r="AG395" i="15" s="1"/>
  <c r="AM394" i="15"/>
  <c r="AG394" i="15" s="1"/>
  <c r="AM393" i="15"/>
  <c r="AG393" i="15" s="1"/>
  <c r="AM392" i="15"/>
  <c r="AG392" i="15" s="1"/>
  <c r="AM391" i="15"/>
  <c r="AG391" i="15" s="1"/>
  <c r="AM390" i="15"/>
  <c r="AG390" i="15" s="1"/>
  <c r="AM389" i="15"/>
  <c r="AG389" i="15" s="1"/>
  <c r="AM388" i="15"/>
  <c r="AG388" i="15" s="1"/>
  <c r="AM387" i="15"/>
  <c r="AG387" i="15" s="1"/>
  <c r="AM386" i="15"/>
  <c r="AG386" i="15" s="1"/>
  <c r="AM385" i="15"/>
  <c r="AG385" i="15" s="1"/>
  <c r="AM384" i="15"/>
  <c r="AG384" i="15" s="1"/>
  <c r="AM383" i="15"/>
  <c r="AG383" i="15" s="1"/>
  <c r="AM382" i="15"/>
  <c r="AG382" i="15" s="1"/>
  <c r="AM381" i="15"/>
  <c r="AG381" i="15" s="1"/>
  <c r="AM380" i="15"/>
  <c r="AG380" i="15" s="1"/>
  <c r="AL380" i="15"/>
  <c r="AJ380" i="15"/>
  <c r="AM379" i="15"/>
  <c r="AG379" i="15" s="1"/>
  <c r="AL379" i="15"/>
  <c r="AJ379" i="15"/>
  <c r="AM378" i="15"/>
  <c r="AG378" i="15" s="1"/>
  <c r="AL378" i="15"/>
  <c r="AJ378" i="15"/>
  <c r="AM377" i="15"/>
  <c r="AG377" i="15" s="1"/>
  <c r="AL377" i="15"/>
  <c r="AJ377" i="15"/>
  <c r="AM376" i="15"/>
  <c r="AG376" i="15" s="1"/>
  <c r="AL376" i="15"/>
  <c r="AJ376" i="15"/>
  <c r="AM375" i="15"/>
  <c r="AG375" i="15" s="1"/>
  <c r="AL375" i="15"/>
  <c r="AJ375" i="15"/>
  <c r="AM374" i="15"/>
  <c r="AG374" i="15" s="1"/>
  <c r="AL374" i="15"/>
  <c r="AJ374" i="15"/>
  <c r="AM373" i="15"/>
  <c r="AG373" i="15" s="1"/>
  <c r="AL373" i="15"/>
  <c r="AJ373" i="15"/>
  <c r="AM372" i="15"/>
  <c r="AG372" i="15" s="1"/>
  <c r="AL372" i="15"/>
  <c r="AJ372" i="15"/>
  <c r="AM371" i="15"/>
  <c r="AG371" i="15" s="1"/>
  <c r="AL371" i="15"/>
  <c r="AJ371" i="15"/>
  <c r="AM370" i="15"/>
  <c r="AG370" i="15" s="1"/>
  <c r="AL370" i="15"/>
  <c r="AJ370" i="15"/>
  <c r="AM369" i="15"/>
  <c r="AG369" i="15" s="1"/>
  <c r="AL369" i="15"/>
  <c r="AJ369" i="15"/>
  <c r="AM368" i="15"/>
  <c r="AG368" i="15" s="1"/>
  <c r="AL368" i="15"/>
  <c r="AJ368" i="15"/>
  <c r="AM367" i="15"/>
  <c r="AG367" i="15" s="1"/>
  <c r="AL367" i="15"/>
  <c r="AJ367" i="15"/>
  <c r="AM366" i="15"/>
  <c r="AG366" i="15" s="1"/>
  <c r="AL366" i="15"/>
  <c r="AJ366" i="15"/>
  <c r="AM365" i="15"/>
  <c r="AG365" i="15" s="1"/>
  <c r="AL365" i="15"/>
  <c r="AJ365" i="15"/>
  <c r="AM364" i="15"/>
  <c r="AG364" i="15" s="1"/>
  <c r="AL364" i="15"/>
  <c r="AJ364" i="15"/>
  <c r="AM363" i="15"/>
  <c r="AG363" i="15" s="1"/>
  <c r="AL363" i="15"/>
  <c r="AJ363" i="15"/>
  <c r="AM362" i="15"/>
  <c r="AG362" i="15" s="1"/>
  <c r="AL362" i="15"/>
  <c r="AJ362" i="15"/>
  <c r="AM361" i="15"/>
  <c r="AG361" i="15" s="1"/>
  <c r="AL361" i="15"/>
  <c r="AJ361" i="15"/>
  <c r="AM360" i="15"/>
  <c r="AG360" i="15" s="1"/>
  <c r="AL360" i="15"/>
  <c r="AJ360" i="15"/>
  <c r="AM359" i="15"/>
  <c r="AG359" i="15" s="1"/>
  <c r="AL359" i="15"/>
  <c r="AJ359" i="15"/>
  <c r="AM358" i="15"/>
  <c r="AG358" i="15" s="1"/>
  <c r="AL358" i="15"/>
  <c r="AJ358" i="15"/>
  <c r="AM357" i="15"/>
  <c r="AG357" i="15" s="1"/>
  <c r="AL357" i="15"/>
  <c r="AJ357" i="15"/>
  <c r="AM356" i="15"/>
  <c r="AG356" i="15" s="1"/>
  <c r="AL356" i="15"/>
  <c r="AJ356" i="15"/>
  <c r="AM355" i="15"/>
  <c r="AG355" i="15" s="1"/>
  <c r="AL355" i="15"/>
  <c r="AJ355" i="15"/>
  <c r="AM354" i="15"/>
  <c r="AG354" i="15" s="1"/>
  <c r="AL354" i="15"/>
  <c r="AJ354" i="15"/>
  <c r="AM353" i="15"/>
  <c r="AG353" i="15" s="1"/>
  <c r="AL353" i="15"/>
  <c r="AJ353" i="15"/>
  <c r="AM352" i="15"/>
  <c r="AG352" i="15" s="1"/>
  <c r="AL352" i="15"/>
  <c r="AJ352" i="15"/>
  <c r="AM351" i="15"/>
  <c r="AG351" i="15" s="1"/>
  <c r="AL351" i="15"/>
  <c r="AJ351" i="15"/>
  <c r="AM350" i="15"/>
  <c r="AG350" i="15" s="1"/>
  <c r="AL350" i="15"/>
  <c r="AJ350" i="15"/>
  <c r="AM349" i="15"/>
  <c r="AG349" i="15" s="1"/>
  <c r="AL349" i="15"/>
  <c r="AJ349" i="15"/>
  <c r="AM348" i="15"/>
  <c r="AG348" i="15" s="1"/>
  <c r="AL348" i="15"/>
  <c r="AJ348" i="15"/>
  <c r="AM347" i="15"/>
  <c r="AG347" i="15" s="1"/>
  <c r="AL347" i="15"/>
  <c r="AJ347" i="15"/>
  <c r="AM346" i="15"/>
  <c r="AG346" i="15" s="1"/>
  <c r="AL346" i="15"/>
  <c r="AJ346" i="15"/>
  <c r="AM345" i="15"/>
  <c r="AG345" i="15" s="1"/>
  <c r="AL345" i="15"/>
  <c r="AJ345" i="15"/>
  <c r="AM344" i="15"/>
  <c r="AG344" i="15" s="1"/>
  <c r="AL344" i="15"/>
  <c r="AJ344" i="15"/>
  <c r="AM343" i="15"/>
  <c r="AG343" i="15" s="1"/>
  <c r="AL343" i="15"/>
  <c r="AJ343" i="15"/>
  <c r="AM342" i="15"/>
  <c r="AG342" i="15" s="1"/>
  <c r="AL342" i="15"/>
  <c r="AJ342" i="15"/>
  <c r="AM341" i="15"/>
  <c r="AG341" i="15" s="1"/>
  <c r="AL341" i="15"/>
  <c r="AJ341" i="15"/>
  <c r="AM340" i="15"/>
  <c r="AG340" i="15" s="1"/>
  <c r="AL340" i="15"/>
  <c r="AJ340" i="15"/>
  <c r="AM339" i="15"/>
  <c r="AG339" i="15" s="1"/>
  <c r="AL339" i="15"/>
  <c r="AJ339" i="15"/>
  <c r="AM338" i="15"/>
  <c r="AG338" i="15" s="1"/>
  <c r="AL338" i="15"/>
  <c r="AJ338" i="15"/>
  <c r="AM337" i="15"/>
  <c r="AG337" i="15" s="1"/>
  <c r="AL337" i="15"/>
  <c r="AJ337" i="15"/>
  <c r="AM336" i="15"/>
  <c r="AG336" i="15" s="1"/>
  <c r="AL336" i="15"/>
  <c r="AJ336" i="15"/>
  <c r="AM335" i="15"/>
  <c r="AG335" i="15" s="1"/>
  <c r="AL335" i="15"/>
  <c r="AJ335" i="15"/>
  <c r="AM334" i="15"/>
  <c r="AG334" i="15" s="1"/>
  <c r="AL334" i="15"/>
  <c r="AJ334" i="15"/>
  <c r="AM333" i="15"/>
  <c r="AG333" i="15" s="1"/>
  <c r="AL333" i="15"/>
  <c r="AJ333" i="15"/>
  <c r="AM332" i="15"/>
  <c r="AG332" i="15" s="1"/>
  <c r="AL332" i="15"/>
  <c r="AJ332" i="15"/>
  <c r="AM331" i="15"/>
  <c r="AG331" i="15" s="1"/>
  <c r="AL331" i="15"/>
  <c r="AJ331" i="15"/>
  <c r="AM330" i="15"/>
  <c r="AG330" i="15" s="1"/>
  <c r="AL330" i="15"/>
  <c r="AJ330" i="15"/>
  <c r="AM329" i="15"/>
  <c r="AG329" i="15" s="1"/>
  <c r="AL329" i="15"/>
  <c r="AJ329" i="15"/>
  <c r="AM328" i="15"/>
  <c r="AG328" i="15" s="1"/>
  <c r="AL328" i="15"/>
  <c r="AJ328" i="15"/>
  <c r="AM327" i="15"/>
  <c r="AG327" i="15" s="1"/>
  <c r="AL327" i="15"/>
  <c r="AJ327" i="15"/>
  <c r="AM326" i="15"/>
  <c r="AG326" i="15" s="1"/>
  <c r="AL326" i="15"/>
  <c r="AJ326" i="15"/>
  <c r="AM325" i="15"/>
  <c r="AG325" i="15" s="1"/>
  <c r="AL325" i="15"/>
  <c r="AJ325" i="15"/>
  <c r="AM324" i="15"/>
  <c r="AG324" i="15" s="1"/>
  <c r="AL324" i="15"/>
  <c r="AJ324" i="15"/>
  <c r="AM323" i="15"/>
  <c r="AG323" i="15" s="1"/>
  <c r="AL323" i="15"/>
  <c r="AJ323" i="15"/>
  <c r="AM322" i="15"/>
  <c r="AG322" i="15" s="1"/>
  <c r="AL322" i="15"/>
  <c r="AJ322" i="15"/>
  <c r="AM321" i="15"/>
  <c r="AG321" i="15" s="1"/>
  <c r="AL321" i="15"/>
  <c r="AJ321" i="15"/>
  <c r="AM320" i="15"/>
  <c r="AG320" i="15" s="1"/>
  <c r="AL320" i="15"/>
  <c r="AJ320" i="15"/>
  <c r="AM319" i="15"/>
  <c r="AG319" i="15" s="1"/>
  <c r="AL319" i="15"/>
  <c r="AJ319" i="15"/>
  <c r="AM318" i="15"/>
  <c r="AG318" i="15" s="1"/>
  <c r="AL318" i="15"/>
  <c r="AJ318" i="15"/>
  <c r="AM317" i="15"/>
  <c r="AG317" i="15" s="1"/>
  <c r="AL317" i="15"/>
  <c r="AJ317" i="15"/>
  <c r="AM316" i="15"/>
  <c r="AG316" i="15" s="1"/>
  <c r="AL316" i="15"/>
  <c r="AJ316" i="15"/>
  <c r="AM315" i="15"/>
  <c r="AG315" i="15" s="1"/>
  <c r="AL315" i="15"/>
  <c r="AJ315" i="15"/>
  <c r="AM314" i="15"/>
  <c r="AG314" i="15" s="1"/>
  <c r="AL314" i="15"/>
  <c r="AJ314" i="15"/>
  <c r="AM313" i="15"/>
  <c r="AG313" i="15" s="1"/>
  <c r="AL313" i="15"/>
  <c r="AJ313" i="15"/>
  <c r="AM312" i="15"/>
  <c r="AG312" i="15" s="1"/>
  <c r="AL312" i="15"/>
  <c r="AJ312" i="15"/>
  <c r="AM311" i="15"/>
  <c r="AG311" i="15" s="1"/>
  <c r="AL311" i="15"/>
  <c r="AJ311" i="15"/>
  <c r="AM310" i="15"/>
  <c r="AG310" i="15" s="1"/>
  <c r="AL310" i="15"/>
  <c r="AJ310" i="15"/>
  <c r="AM309" i="15"/>
  <c r="AG309" i="15" s="1"/>
  <c r="AL309" i="15"/>
  <c r="AJ309" i="15"/>
  <c r="AM308" i="15"/>
  <c r="AG308" i="15" s="1"/>
  <c r="AL308" i="15"/>
  <c r="AJ308" i="15"/>
  <c r="AM307" i="15"/>
  <c r="AG307" i="15" s="1"/>
  <c r="AL307" i="15"/>
  <c r="AJ307" i="15"/>
  <c r="AM306" i="15"/>
  <c r="AG306" i="15" s="1"/>
  <c r="AL306" i="15"/>
  <c r="AJ306" i="15"/>
  <c r="AM305" i="15"/>
  <c r="AG305" i="15" s="1"/>
  <c r="AL305" i="15"/>
  <c r="AJ305" i="15"/>
  <c r="AM304" i="15"/>
  <c r="AG304" i="15" s="1"/>
  <c r="AL304" i="15"/>
  <c r="AJ304" i="15"/>
  <c r="AM303" i="15"/>
  <c r="AG303" i="15" s="1"/>
  <c r="AL303" i="15"/>
  <c r="AJ303" i="15"/>
  <c r="AM302" i="15"/>
  <c r="AG302" i="15" s="1"/>
  <c r="AL302" i="15"/>
  <c r="AJ302" i="15"/>
  <c r="AM301" i="15"/>
  <c r="AG301" i="15" s="1"/>
  <c r="AL301" i="15"/>
  <c r="AJ301" i="15"/>
  <c r="AM300" i="15"/>
  <c r="AG300" i="15" s="1"/>
  <c r="AL300" i="15"/>
  <c r="AJ300" i="15"/>
  <c r="AM299" i="15"/>
  <c r="AG299" i="15" s="1"/>
  <c r="AL299" i="15"/>
  <c r="AJ299" i="15"/>
  <c r="AM298" i="15"/>
  <c r="AG298" i="15" s="1"/>
  <c r="AL298" i="15"/>
  <c r="AJ298" i="15"/>
  <c r="AM297" i="15"/>
  <c r="AG297" i="15" s="1"/>
  <c r="AL297" i="15"/>
  <c r="AJ297" i="15"/>
  <c r="AM296" i="15"/>
  <c r="AG296" i="15" s="1"/>
  <c r="AL296" i="15"/>
  <c r="AJ296" i="15"/>
  <c r="AM295" i="15"/>
  <c r="AG295" i="15" s="1"/>
  <c r="AL295" i="15"/>
  <c r="AJ295" i="15"/>
  <c r="AM294" i="15"/>
  <c r="AG294" i="15" s="1"/>
  <c r="AL294" i="15"/>
  <c r="AJ294" i="15"/>
  <c r="AM293" i="15"/>
  <c r="AG293" i="15" s="1"/>
  <c r="AL293" i="15"/>
  <c r="AJ293" i="15"/>
  <c r="AM292" i="15"/>
  <c r="AG292" i="15" s="1"/>
  <c r="AL292" i="15"/>
  <c r="AJ292" i="15"/>
  <c r="AM291" i="15"/>
  <c r="AG291" i="15" s="1"/>
  <c r="AL291" i="15"/>
  <c r="AJ291" i="15"/>
  <c r="AM290" i="15"/>
  <c r="AG290" i="15" s="1"/>
  <c r="AL290" i="15"/>
  <c r="AJ290" i="15"/>
  <c r="AM289" i="15"/>
  <c r="AG289" i="15" s="1"/>
  <c r="AL289" i="15"/>
  <c r="AJ289" i="15"/>
  <c r="AM288" i="15"/>
  <c r="AG288" i="15" s="1"/>
  <c r="AL288" i="15"/>
  <c r="AJ288" i="15"/>
  <c r="AM287" i="15"/>
  <c r="AG287" i="15" s="1"/>
  <c r="AL287" i="15"/>
  <c r="AJ287" i="15"/>
  <c r="AM286" i="15"/>
  <c r="AG286" i="15" s="1"/>
  <c r="AL286" i="15"/>
  <c r="AJ286" i="15"/>
  <c r="AM285" i="15"/>
  <c r="AG285" i="15" s="1"/>
  <c r="AL285" i="15"/>
  <c r="AJ285" i="15"/>
  <c r="AM284" i="15"/>
  <c r="AG284" i="15" s="1"/>
  <c r="AL284" i="15"/>
  <c r="AJ284" i="15"/>
  <c r="AM283" i="15"/>
  <c r="AG283" i="15" s="1"/>
  <c r="AL283" i="15"/>
  <c r="AJ283" i="15"/>
  <c r="AM282" i="15"/>
  <c r="AG282" i="15" s="1"/>
  <c r="AL282" i="15"/>
  <c r="AJ282" i="15"/>
  <c r="AM281" i="15"/>
  <c r="AG281" i="15" s="1"/>
  <c r="AL281" i="15"/>
  <c r="AJ281" i="15"/>
  <c r="AM280" i="15"/>
  <c r="AG280" i="15" s="1"/>
  <c r="AL280" i="15"/>
  <c r="AJ280" i="15"/>
  <c r="AM279" i="15"/>
  <c r="AG279" i="15" s="1"/>
  <c r="AL279" i="15"/>
  <c r="AJ279" i="15"/>
  <c r="AM278" i="15"/>
  <c r="AG278" i="15" s="1"/>
  <c r="AL278" i="15"/>
  <c r="AJ278" i="15"/>
  <c r="AM277" i="15"/>
  <c r="AG277" i="15" s="1"/>
  <c r="AL277" i="15"/>
  <c r="AJ277" i="15"/>
  <c r="AM276" i="15"/>
  <c r="AG276" i="15" s="1"/>
  <c r="AL276" i="15"/>
  <c r="AJ276" i="15"/>
  <c r="AM275" i="15"/>
  <c r="AG275" i="15" s="1"/>
  <c r="AL275" i="15"/>
  <c r="AJ275" i="15"/>
  <c r="AM274" i="15"/>
  <c r="AG274" i="15" s="1"/>
  <c r="AL274" i="15"/>
  <c r="AJ274" i="15"/>
  <c r="AM273" i="15"/>
  <c r="AG273" i="15" s="1"/>
  <c r="AL273" i="15"/>
  <c r="AJ273" i="15"/>
  <c r="AM272" i="15"/>
  <c r="AG272" i="15" s="1"/>
  <c r="AL272" i="15"/>
  <c r="AJ272" i="15"/>
  <c r="AM271" i="15"/>
  <c r="AG271" i="15" s="1"/>
  <c r="AL271" i="15"/>
  <c r="AJ271" i="15"/>
  <c r="AM270" i="15"/>
  <c r="AG270" i="15" s="1"/>
  <c r="AL270" i="15"/>
  <c r="AJ270" i="15"/>
  <c r="AM269" i="15"/>
  <c r="AG269" i="15" s="1"/>
  <c r="AL269" i="15"/>
  <c r="AJ269" i="15"/>
  <c r="AM268" i="15"/>
  <c r="AG268" i="15" s="1"/>
  <c r="AL268" i="15"/>
  <c r="AJ268" i="15"/>
  <c r="AM267" i="15"/>
  <c r="AG267" i="15" s="1"/>
  <c r="AL267" i="15"/>
  <c r="AJ267" i="15"/>
  <c r="AM266" i="15"/>
  <c r="AG266" i="15" s="1"/>
  <c r="AL266" i="15"/>
  <c r="AJ266" i="15"/>
  <c r="AM265" i="15"/>
  <c r="AG265" i="15" s="1"/>
  <c r="AL265" i="15"/>
  <c r="AJ265" i="15"/>
  <c r="AM264" i="15"/>
  <c r="AG264" i="15" s="1"/>
  <c r="AL264" i="15"/>
  <c r="AJ264" i="15"/>
  <c r="AM263" i="15"/>
  <c r="AG263" i="15" s="1"/>
  <c r="AL263" i="15"/>
  <c r="AJ263" i="15"/>
  <c r="AM262" i="15"/>
  <c r="AG262" i="15" s="1"/>
  <c r="AL262" i="15"/>
  <c r="AJ262" i="15"/>
  <c r="AM261" i="15"/>
  <c r="AG261" i="15" s="1"/>
  <c r="AL261" i="15"/>
  <c r="AJ261" i="15"/>
  <c r="AM260" i="15"/>
  <c r="AG260" i="15" s="1"/>
  <c r="AL260" i="15"/>
  <c r="AJ260" i="15"/>
  <c r="AM259" i="15"/>
  <c r="AG259" i="15" s="1"/>
  <c r="AL259" i="15"/>
  <c r="AJ259" i="15"/>
  <c r="AM258" i="15"/>
  <c r="AG258" i="15" s="1"/>
  <c r="AL258" i="15"/>
  <c r="AJ258" i="15"/>
  <c r="AM257" i="15"/>
  <c r="AG257" i="15" s="1"/>
  <c r="AL257" i="15"/>
  <c r="AJ257" i="15"/>
  <c r="AM256" i="15"/>
  <c r="AG256" i="15" s="1"/>
  <c r="AL256" i="15"/>
  <c r="AJ256" i="15"/>
  <c r="AM255" i="15"/>
  <c r="AG255" i="15" s="1"/>
  <c r="AL255" i="15"/>
  <c r="AJ255" i="15"/>
  <c r="AM254" i="15"/>
  <c r="AG254" i="15" s="1"/>
  <c r="AL254" i="15"/>
  <c r="AJ254" i="15"/>
  <c r="AM253" i="15"/>
  <c r="AG253" i="15" s="1"/>
  <c r="AL253" i="15"/>
  <c r="AJ253" i="15"/>
  <c r="AM252" i="15"/>
  <c r="AG252" i="15" s="1"/>
  <c r="AL252" i="15"/>
  <c r="AJ252" i="15"/>
  <c r="AM251" i="15"/>
  <c r="AG251" i="15" s="1"/>
  <c r="AL251" i="15"/>
  <c r="AJ251" i="15"/>
  <c r="AM250" i="15"/>
  <c r="AG250" i="15" s="1"/>
  <c r="AL250" i="15"/>
  <c r="AJ250" i="15"/>
  <c r="AM249" i="15"/>
  <c r="AG249" i="15" s="1"/>
  <c r="AL249" i="15"/>
  <c r="AJ249" i="15"/>
  <c r="AM248" i="15"/>
  <c r="AG248" i="15" s="1"/>
  <c r="AL248" i="15"/>
  <c r="AJ248" i="15"/>
  <c r="AM247" i="15"/>
  <c r="AG247" i="15" s="1"/>
  <c r="AL247" i="15"/>
  <c r="AJ247" i="15"/>
  <c r="AM246" i="15"/>
  <c r="AG246" i="15" s="1"/>
  <c r="AL246" i="15"/>
  <c r="AJ246" i="15"/>
  <c r="AM245" i="15"/>
  <c r="AG245" i="15" s="1"/>
  <c r="AL245" i="15"/>
  <c r="AJ245" i="15"/>
  <c r="AM244" i="15"/>
  <c r="AG244" i="15" s="1"/>
  <c r="AL244" i="15"/>
  <c r="AJ244" i="15"/>
  <c r="AM243" i="15"/>
  <c r="AG243" i="15" s="1"/>
  <c r="AL243" i="15"/>
  <c r="AJ243" i="15"/>
  <c r="AM242" i="15"/>
  <c r="AG242" i="15" s="1"/>
  <c r="AL242" i="15"/>
  <c r="AJ242" i="15"/>
  <c r="AM241" i="15"/>
  <c r="AG241" i="15" s="1"/>
  <c r="AL241" i="15"/>
  <c r="AJ241" i="15"/>
  <c r="AM240" i="15"/>
  <c r="AG240" i="15" s="1"/>
  <c r="AL240" i="15"/>
  <c r="AJ240" i="15"/>
  <c r="AM239" i="15"/>
  <c r="AG239" i="15" s="1"/>
  <c r="AL239" i="15"/>
  <c r="AJ239" i="15"/>
  <c r="AM238" i="15"/>
  <c r="AG238" i="15" s="1"/>
  <c r="AL238" i="15"/>
  <c r="AJ238" i="15"/>
  <c r="AM237" i="15"/>
  <c r="AG237" i="15" s="1"/>
  <c r="AL237" i="15"/>
  <c r="AJ237" i="15"/>
  <c r="AM236" i="15"/>
  <c r="AG236" i="15" s="1"/>
  <c r="AL236" i="15"/>
  <c r="AJ236" i="15"/>
  <c r="AM235" i="15"/>
  <c r="AG235" i="15" s="1"/>
  <c r="AL235" i="15"/>
  <c r="AJ235" i="15"/>
  <c r="AM234" i="15"/>
  <c r="AG234" i="15" s="1"/>
  <c r="AL234" i="15"/>
  <c r="AJ234" i="15"/>
  <c r="AM233" i="15"/>
  <c r="AG233" i="15" s="1"/>
  <c r="AL233" i="15"/>
  <c r="AJ233" i="15"/>
  <c r="AM232" i="15"/>
  <c r="AG232" i="15" s="1"/>
  <c r="AL232" i="15"/>
  <c r="AJ232" i="15"/>
  <c r="AM231" i="15"/>
  <c r="AG231" i="15" s="1"/>
  <c r="AL231" i="15"/>
  <c r="AJ231" i="15"/>
  <c r="AM230" i="15"/>
  <c r="AG230" i="15" s="1"/>
  <c r="AL230" i="15"/>
  <c r="AJ230" i="15"/>
  <c r="AM229" i="15"/>
  <c r="AG229" i="15" s="1"/>
  <c r="AL229" i="15"/>
  <c r="AJ229" i="15"/>
  <c r="AM228" i="15"/>
  <c r="AG228" i="15" s="1"/>
  <c r="AL228" i="15"/>
  <c r="AJ228" i="15"/>
  <c r="AM227" i="15"/>
  <c r="AG227" i="15" s="1"/>
  <c r="AL227" i="15"/>
  <c r="AJ227" i="15"/>
  <c r="AM226" i="15"/>
  <c r="AG226" i="15" s="1"/>
  <c r="AL226" i="15"/>
  <c r="AJ226" i="15"/>
  <c r="AM225" i="15"/>
  <c r="AG225" i="15" s="1"/>
  <c r="AL225" i="15"/>
  <c r="AJ225" i="15"/>
  <c r="AM224" i="15"/>
  <c r="AG224" i="15" s="1"/>
  <c r="AL224" i="15"/>
  <c r="AJ224" i="15"/>
  <c r="AM223" i="15"/>
  <c r="AG223" i="15" s="1"/>
  <c r="AL223" i="15"/>
  <c r="AJ223" i="15"/>
  <c r="AM222" i="15"/>
  <c r="AG222" i="15" s="1"/>
  <c r="AL222" i="15"/>
  <c r="AJ222" i="15"/>
  <c r="AM221" i="15"/>
  <c r="AG221" i="15" s="1"/>
  <c r="AL221" i="15"/>
  <c r="AJ221" i="15"/>
  <c r="AM220" i="15"/>
  <c r="AG220" i="15" s="1"/>
  <c r="AL220" i="15"/>
  <c r="AJ220" i="15"/>
  <c r="AM219" i="15"/>
  <c r="AG219" i="15" s="1"/>
  <c r="AL219" i="15"/>
  <c r="AJ219" i="15"/>
  <c r="AM218" i="15"/>
  <c r="AG218" i="15" s="1"/>
  <c r="AL218" i="15"/>
  <c r="AJ218" i="15"/>
  <c r="AM217" i="15"/>
  <c r="AG217" i="15" s="1"/>
  <c r="AL217" i="15"/>
  <c r="AJ217" i="15"/>
  <c r="AM216" i="15"/>
  <c r="AG216" i="15" s="1"/>
  <c r="AL216" i="15"/>
  <c r="AJ216" i="15"/>
  <c r="AM215" i="15"/>
  <c r="AG215" i="15" s="1"/>
  <c r="AL215" i="15"/>
  <c r="AJ215" i="15"/>
  <c r="AM214" i="15"/>
  <c r="AG214" i="15" s="1"/>
  <c r="AL214" i="15"/>
  <c r="AJ214" i="15"/>
  <c r="AM213" i="15"/>
  <c r="AG213" i="15" s="1"/>
  <c r="AL213" i="15"/>
  <c r="AJ213" i="15"/>
  <c r="AM212" i="15"/>
  <c r="AG212" i="15" s="1"/>
  <c r="AL212" i="15"/>
  <c r="AJ212" i="15"/>
  <c r="AM211" i="15"/>
  <c r="AG211" i="15" s="1"/>
  <c r="AL211" i="15"/>
  <c r="AJ211" i="15"/>
  <c r="AM210" i="15"/>
  <c r="AG210" i="15" s="1"/>
  <c r="AL210" i="15"/>
  <c r="AJ210" i="15"/>
  <c r="AM209" i="15"/>
  <c r="AG209" i="15" s="1"/>
  <c r="AL209" i="15"/>
  <c r="AJ209" i="15"/>
  <c r="AM208" i="15"/>
  <c r="AG208" i="15" s="1"/>
  <c r="AL208" i="15"/>
  <c r="AJ208" i="15"/>
  <c r="AM207" i="15"/>
  <c r="AG207" i="15" s="1"/>
  <c r="AL207" i="15"/>
  <c r="AJ207" i="15"/>
  <c r="AM206" i="15"/>
  <c r="AG206" i="15" s="1"/>
  <c r="AL206" i="15"/>
  <c r="AJ206" i="15"/>
  <c r="AM205" i="15"/>
  <c r="AG205" i="15" s="1"/>
  <c r="AL205" i="15"/>
  <c r="AJ205" i="15"/>
  <c r="AM204" i="15"/>
  <c r="AG204" i="15" s="1"/>
  <c r="AL204" i="15"/>
  <c r="AJ204" i="15"/>
  <c r="AM203" i="15"/>
  <c r="AG203" i="15" s="1"/>
  <c r="AL203" i="15"/>
  <c r="AJ203" i="15"/>
  <c r="AM202" i="15"/>
  <c r="AG202" i="15" s="1"/>
  <c r="AL202" i="15"/>
  <c r="AJ202" i="15"/>
  <c r="AM201" i="15"/>
  <c r="AG201" i="15" s="1"/>
  <c r="AL201" i="15"/>
  <c r="AJ201" i="15"/>
  <c r="AM200" i="15"/>
  <c r="AG200" i="15" s="1"/>
  <c r="AL200" i="15"/>
  <c r="AJ200" i="15"/>
  <c r="AM199" i="15"/>
  <c r="AG199" i="15" s="1"/>
  <c r="AL199" i="15"/>
  <c r="AJ199" i="15"/>
  <c r="AM198" i="15"/>
  <c r="AG198" i="15" s="1"/>
  <c r="AL198" i="15"/>
  <c r="AJ198" i="15"/>
  <c r="AM197" i="15"/>
  <c r="AG197" i="15" s="1"/>
  <c r="AL197" i="15"/>
  <c r="AJ197" i="15"/>
  <c r="AM196" i="15"/>
  <c r="AG196" i="15" s="1"/>
  <c r="AL196" i="15"/>
  <c r="AJ196" i="15"/>
  <c r="AM195" i="15"/>
  <c r="AG195" i="15" s="1"/>
  <c r="AL195" i="15"/>
  <c r="AJ195" i="15"/>
  <c r="AM194" i="15"/>
  <c r="AG194" i="15" s="1"/>
  <c r="AL194" i="15"/>
  <c r="AJ194" i="15"/>
  <c r="AM193" i="15"/>
  <c r="AG193" i="15" s="1"/>
  <c r="AL193" i="15"/>
  <c r="AJ193" i="15"/>
  <c r="AM192" i="15"/>
  <c r="AG192" i="15" s="1"/>
  <c r="AL192" i="15"/>
  <c r="AJ192" i="15"/>
  <c r="AM191" i="15"/>
  <c r="AG191" i="15" s="1"/>
  <c r="AL191" i="15"/>
  <c r="AJ191" i="15"/>
  <c r="AM190" i="15"/>
  <c r="AG190" i="15" s="1"/>
  <c r="AL190" i="15"/>
  <c r="AJ190" i="15"/>
  <c r="AM189" i="15"/>
  <c r="AG189" i="15" s="1"/>
  <c r="AL189" i="15"/>
  <c r="AJ189" i="15"/>
  <c r="AM188" i="15"/>
  <c r="AG188" i="15" s="1"/>
  <c r="AL188" i="15"/>
  <c r="AJ188" i="15"/>
  <c r="AM187" i="15"/>
  <c r="AG187" i="15" s="1"/>
  <c r="AL187" i="15"/>
  <c r="AJ187" i="15"/>
  <c r="AM186" i="15"/>
  <c r="AG186" i="15" s="1"/>
  <c r="AL186" i="15"/>
  <c r="AJ186" i="15"/>
  <c r="AM185" i="15"/>
  <c r="AG185" i="15" s="1"/>
  <c r="AL185" i="15"/>
  <c r="AJ185" i="15"/>
  <c r="AM184" i="15"/>
  <c r="AG184" i="15" s="1"/>
  <c r="AL184" i="15"/>
  <c r="AJ184" i="15"/>
  <c r="AM183" i="15"/>
  <c r="AG183" i="15" s="1"/>
  <c r="AL183" i="15"/>
  <c r="AJ183" i="15"/>
  <c r="AM182" i="15"/>
  <c r="AG182" i="15" s="1"/>
  <c r="AL182" i="15"/>
  <c r="AJ182" i="15"/>
  <c r="AM181" i="15"/>
  <c r="AG181" i="15" s="1"/>
  <c r="AL181" i="15"/>
  <c r="AJ181" i="15"/>
  <c r="AM180" i="15"/>
  <c r="AG180" i="15" s="1"/>
  <c r="AL180" i="15"/>
  <c r="AJ180" i="15"/>
  <c r="AM179" i="15"/>
  <c r="AG179" i="15" s="1"/>
  <c r="AL179" i="15"/>
  <c r="AJ179" i="15"/>
  <c r="AM178" i="15"/>
  <c r="AG178" i="15" s="1"/>
  <c r="AL178" i="15"/>
  <c r="AJ178" i="15"/>
  <c r="AM177" i="15"/>
  <c r="AG177" i="15" s="1"/>
  <c r="AL177" i="15"/>
  <c r="AJ177" i="15"/>
  <c r="AM176" i="15"/>
  <c r="AG176" i="15" s="1"/>
  <c r="AL176" i="15"/>
  <c r="AJ176" i="15"/>
  <c r="AM175" i="15"/>
  <c r="AG175" i="15" s="1"/>
  <c r="AL175" i="15"/>
  <c r="AJ175" i="15"/>
  <c r="AM174" i="15"/>
  <c r="AG174" i="15" s="1"/>
  <c r="AL174" i="15"/>
  <c r="AJ174" i="15"/>
  <c r="AM173" i="15"/>
  <c r="AG173" i="15" s="1"/>
  <c r="AL173" i="15"/>
  <c r="AJ173" i="15"/>
  <c r="AM172" i="15"/>
  <c r="AG172" i="15" s="1"/>
  <c r="AL172" i="15"/>
  <c r="AJ172" i="15"/>
  <c r="AM171" i="15"/>
  <c r="AG171" i="15" s="1"/>
  <c r="AL171" i="15"/>
  <c r="AJ171" i="15"/>
  <c r="AM170" i="15"/>
  <c r="AG170" i="15" s="1"/>
  <c r="AL170" i="15"/>
  <c r="AJ170" i="15"/>
  <c r="AM169" i="15"/>
  <c r="AG169" i="15" s="1"/>
  <c r="AL169" i="15"/>
  <c r="AJ169" i="15"/>
  <c r="AM168" i="15"/>
  <c r="AG168" i="15" s="1"/>
  <c r="AL168" i="15"/>
  <c r="AJ168" i="15"/>
  <c r="AM167" i="15"/>
  <c r="AG167" i="15" s="1"/>
  <c r="AL167" i="15"/>
  <c r="AJ167" i="15"/>
  <c r="AM166" i="15"/>
  <c r="AG166" i="15" s="1"/>
  <c r="AL166" i="15"/>
  <c r="AJ166" i="15"/>
  <c r="AM165" i="15"/>
  <c r="AG165" i="15" s="1"/>
  <c r="AL165" i="15"/>
  <c r="AJ165" i="15"/>
  <c r="AM164" i="15"/>
  <c r="AG164" i="15" s="1"/>
  <c r="AL164" i="15"/>
  <c r="AJ164" i="15"/>
  <c r="AM163" i="15"/>
  <c r="AG163" i="15" s="1"/>
  <c r="AL163" i="15"/>
  <c r="AJ163" i="15"/>
  <c r="AM162" i="15"/>
  <c r="AG162" i="15" s="1"/>
  <c r="AL162" i="15"/>
  <c r="AJ162" i="15"/>
  <c r="AM161" i="15"/>
  <c r="AG161" i="15" s="1"/>
  <c r="AL161" i="15"/>
  <c r="AJ161" i="15"/>
  <c r="AM160" i="15"/>
  <c r="AG160" i="15" s="1"/>
  <c r="AL160" i="15"/>
  <c r="AJ160" i="15"/>
  <c r="AM159" i="15"/>
  <c r="AG159" i="15" s="1"/>
  <c r="AL159" i="15"/>
  <c r="AJ159" i="15"/>
  <c r="AM158" i="15"/>
  <c r="AG158" i="15" s="1"/>
  <c r="AL158" i="15"/>
  <c r="AJ158" i="15"/>
  <c r="AM157" i="15"/>
  <c r="AG157" i="15" s="1"/>
  <c r="AL157" i="15"/>
  <c r="AJ157" i="15"/>
  <c r="AM156" i="15"/>
  <c r="AG156" i="15" s="1"/>
  <c r="AL156" i="15"/>
  <c r="AJ156" i="15"/>
  <c r="AM155" i="15"/>
  <c r="AG155" i="15" s="1"/>
  <c r="AL155" i="15"/>
  <c r="AJ155" i="15"/>
  <c r="AM154" i="15"/>
  <c r="AG154" i="15" s="1"/>
  <c r="AL154" i="15"/>
  <c r="AJ154" i="15"/>
  <c r="AM153" i="15"/>
  <c r="AG153" i="15" s="1"/>
  <c r="AL153" i="15"/>
  <c r="AJ153" i="15"/>
  <c r="AM152" i="15"/>
  <c r="AG152" i="15" s="1"/>
  <c r="AL152" i="15"/>
  <c r="AJ152" i="15"/>
  <c r="AM151" i="15"/>
  <c r="AG151" i="15" s="1"/>
  <c r="AL151" i="15"/>
  <c r="AJ151" i="15"/>
  <c r="AM150" i="15"/>
  <c r="AG150" i="15" s="1"/>
  <c r="AL150" i="15"/>
  <c r="AJ150" i="15"/>
  <c r="AM149" i="15"/>
  <c r="AG149" i="15" s="1"/>
  <c r="AL149" i="15"/>
  <c r="AJ149" i="15"/>
  <c r="AM148" i="15"/>
  <c r="AG148" i="15" s="1"/>
  <c r="AL148" i="15"/>
  <c r="AJ148" i="15"/>
  <c r="AM147" i="15"/>
  <c r="AG147" i="15" s="1"/>
  <c r="AL147" i="15"/>
  <c r="AJ147" i="15"/>
  <c r="AM146" i="15"/>
  <c r="AG146" i="15" s="1"/>
  <c r="AL146" i="15"/>
  <c r="AJ146" i="15"/>
  <c r="AM145" i="15"/>
  <c r="AG145" i="15" s="1"/>
  <c r="AL145" i="15"/>
  <c r="AJ145" i="15"/>
  <c r="AM144" i="15"/>
  <c r="AG144" i="15" s="1"/>
  <c r="AL144" i="15"/>
  <c r="AJ144" i="15"/>
  <c r="AM143" i="15"/>
  <c r="AG143" i="15" s="1"/>
  <c r="AL143" i="15"/>
  <c r="AJ143" i="15"/>
  <c r="AM142" i="15"/>
  <c r="AG142" i="15" s="1"/>
  <c r="AL142" i="15"/>
  <c r="AJ142" i="15"/>
  <c r="AM141" i="15"/>
  <c r="AG141" i="15" s="1"/>
  <c r="AL141" i="15"/>
  <c r="AJ141" i="15"/>
  <c r="AM140" i="15"/>
  <c r="AG140" i="15" s="1"/>
  <c r="AL140" i="15"/>
  <c r="AJ140" i="15"/>
  <c r="AM139" i="15"/>
  <c r="AG139" i="15" s="1"/>
  <c r="AL139" i="15"/>
  <c r="AJ139" i="15"/>
  <c r="AM138" i="15"/>
  <c r="AG138" i="15" s="1"/>
  <c r="AL138" i="15"/>
  <c r="AJ138" i="15"/>
  <c r="AM137" i="15"/>
  <c r="AG137" i="15" s="1"/>
  <c r="AL137" i="15"/>
  <c r="AJ137" i="15"/>
  <c r="AM136" i="15"/>
  <c r="AG136" i="15" s="1"/>
  <c r="AL136" i="15"/>
  <c r="AJ136" i="15"/>
  <c r="AM135" i="15"/>
  <c r="AG135" i="15" s="1"/>
  <c r="AL135" i="15"/>
  <c r="AJ135" i="15"/>
  <c r="AM134" i="15"/>
  <c r="AG134" i="15" s="1"/>
  <c r="AL134" i="15"/>
  <c r="AJ134" i="15"/>
  <c r="AM133" i="15"/>
  <c r="AG133" i="15" s="1"/>
  <c r="AL133" i="15"/>
  <c r="AJ133" i="15"/>
  <c r="AM132" i="15"/>
  <c r="AG132" i="15" s="1"/>
  <c r="AL132" i="15"/>
  <c r="AJ132" i="15"/>
  <c r="AM131" i="15"/>
  <c r="AG131" i="15" s="1"/>
  <c r="AL131" i="15"/>
  <c r="AJ131" i="15"/>
  <c r="AM130" i="15"/>
  <c r="AG130" i="15" s="1"/>
  <c r="AL130" i="15"/>
  <c r="AJ130" i="15"/>
  <c r="AM129" i="15"/>
  <c r="AG129" i="15" s="1"/>
  <c r="AL129" i="15"/>
  <c r="AJ129" i="15"/>
  <c r="AM128" i="15"/>
  <c r="AG128" i="15" s="1"/>
  <c r="AL128" i="15"/>
  <c r="AJ128" i="15"/>
  <c r="AM127" i="15"/>
  <c r="AG127" i="15" s="1"/>
  <c r="AL127" i="15"/>
  <c r="AJ127" i="15"/>
  <c r="AM126" i="15"/>
  <c r="AG126" i="15" s="1"/>
  <c r="AL126" i="15"/>
  <c r="AJ126" i="15"/>
  <c r="AM125" i="15"/>
  <c r="AG125" i="15" s="1"/>
  <c r="AL125" i="15"/>
  <c r="AJ125" i="15"/>
  <c r="AM124" i="15"/>
  <c r="AG124" i="15" s="1"/>
  <c r="AL124" i="15"/>
  <c r="AJ124" i="15"/>
  <c r="AM123" i="15"/>
  <c r="AG123" i="15" s="1"/>
  <c r="AL123" i="15"/>
  <c r="AJ123" i="15"/>
  <c r="D123" i="15"/>
  <c r="AM122" i="15"/>
  <c r="AG122" i="15" s="1"/>
  <c r="AL122" i="15"/>
  <c r="AJ122" i="15"/>
  <c r="D122" i="15"/>
  <c r="AM121" i="15"/>
  <c r="AG121" i="15" s="1"/>
  <c r="AL121" i="15"/>
  <c r="AJ121" i="15"/>
  <c r="D121" i="15"/>
  <c r="AM120" i="15"/>
  <c r="AG120" i="15" s="1"/>
  <c r="AL120" i="15"/>
  <c r="AJ120" i="15"/>
  <c r="D120" i="15"/>
  <c r="AM119" i="15"/>
  <c r="AG119" i="15" s="1"/>
  <c r="AL119" i="15"/>
  <c r="AJ119" i="15"/>
  <c r="D119" i="15"/>
  <c r="AM118" i="15"/>
  <c r="AG118" i="15" s="1"/>
  <c r="AL118" i="15"/>
  <c r="AJ118" i="15"/>
  <c r="D118" i="15"/>
  <c r="AM117" i="15"/>
  <c r="AG117" i="15" s="1"/>
  <c r="AL117" i="15"/>
  <c r="AJ117" i="15"/>
  <c r="D117" i="15"/>
  <c r="AM116" i="15"/>
  <c r="AG116" i="15" s="1"/>
  <c r="AL116" i="15"/>
  <c r="AJ116" i="15"/>
  <c r="D116" i="15"/>
  <c r="AM115" i="15"/>
  <c r="AG115" i="15" s="1"/>
  <c r="AL115" i="15"/>
  <c r="AJ115" i="15"/>
  <c r="D115" i="15"/>
  <c r="AM114" i="15"/>
  <c r="AG114" i="15" s="1"/>
  <c r="AL114" i="15"/>
  <c r="AJ114" i="15"/>
  <c r="D114" i="15"/>
  <c r="AM113" i="15"/>
  <c r="AG113" i="15" s="1"/>
  <c r="AL113" i="15"/>
  <c r="AJ113" i="15"/>
  <c r="D113" i="15"/>
  <c r="AM112" i="15"/>
  <c r="AG112" i="15" s="1"/>
  <c r="AL112" i="15"/>
  <c r="AJ112" i="15"/>
  <c r="D112" i="15"/>
  <c r="AM111" i="15"/>
  <c r="AG111" i="15" s="1"/>
  <c r="AL111" i="15"/>
  <c r="AJ111" i="15"/>
  <c r="D111" i="15"/>
  <c r="AM110" i="15"/>
  <c r="AG110" i="15" s="1"/>
  <c r="AL110" i="15"/>
  <c r="AJ110" i="15"/>
  <c r="D110" i="15"/>
  <c r="AM109" i="15"/>
  <c r="AG109" i="15" s="1"/>
  <c r="AL109" i="15"/>
  <c r="AJ109" i="15"/>
  <c r="D109" i="15"/>
  <c r="AM108" i="15"/>
  <c r="AG108" i="15" s="1"/>
  <c r="AL108" i="15"/>
  <c r="AJ108" i="15"/>
  <c r="D108" i="15"/>
  <c r="AM107" i="15"/>
  <c r="AG107" i="15" s="1"/>
  <c r="AL107" i="15"/>
  <c r="AJ107" i="15"/>
  <c r="D107" i="15"/>
  <c r="AM106" i="15"/>
  <c r="AG106" i="15" s="1"/>
  <c r="AL106" i="15"/>
  <c r="AJ106" i="15"/>
  <c r="D106" i="15"/>
  <c r="AM105" i="15"/>
  <c r="AG105" i="15" s="1"/>
  <c r="AL105" i="15"/>
  <c r="AJ105" i="15"/>
  <c r="D105" i="15"/>
  <c r="AM104" i="15"/>
  <c r="AG104" i="15" s="1"/>
  <c r="AL104" i="15"/>
  <c r="AJ104" i="15"/>
  <c r="D104" i="15"/>
  <c r="AM103" i="15"/>
  <c r="AG103" i="15" s="1"/>
  <c r="AL103" i="15"/>
  <c r="AJ103" i="15"/>
  <c r="D103" i="15"/>
  <c r="AM102" i="15"/>
  <c r="AG102" i="15" s="1"/>
  <c r="AL102" i="15"/>
  <c r="AJ102" i="15"/>
  <c r="D102" i="15"/>
  <c r="AM101" i="15"/>
  <c r="AG101" i="15" s="1"/>
  <c r="AL101" i="15"/>
  <c r="AJ101" i="15"/>
  <c r="D101" i="15"/>
  <c r="AM100" i="15"/>
  <c r="AG100" i="15" s="1"/>
  <c r="AL100" i="15"/>
  <c r="AJ100" i="15"/>
  <c r="D100" i="15"/>
  <c r="AM99" i="15"/>
  <c r="AG99" i="15" s="1"/>
  <c r="AL99" i="15"/>
  <c r="AJ99" i="15"/>
  <c r="D99" i="15"/>
  <c r="AM98" i="15"/>
  <c r="AG98" i="15" s="1"/>
  <c r="AL98" i="15"/>
  <c r="AJ98" i="15"/>
  <c r="D98" i="15"/>
  <c r="AM97" i="15"/>
  <c r="AG97" i="15" s="1"/>
  <c r="AL97" i="15"/>
  <c r="AJ97" i="15"/>
  <c r="D97" i="15"/>
  <c r="AM96" i="15"/>
  <c r="AG96" i="15" s="1"/>
  <c r="AL96" i="15"/>
  <c r="AJ96" i="15"/>
  <c r="D96" i="15"/>
  <c r="AM95" i="15"/>
  <c r="AG95" i="15" s="1"/>
  <c r="AL95" i="15"/>
  <c r="AJ95" i="15"/>
  <c r="D95" i="15"/>
  <c r="AM94" i="15"/>
  <c r="AG94" i="15" s="1"/>
  <c r="AL94" i="15"/>
  <c r="AJ94" i="15"/>
  <c r="D94" i="15"/>
  <c r="AM93" i="15"/>
  <c r="AG93" i="15" s="1"/>
  <c r="AL93" i="15"/>
  <c r="AJ93" i="15"/>
  <c r="D93" i="15"/>
  <c r="AM92" i="15"/>
  <c r="AG92" i="15" s="1"/>
  <c r="AL92" i="15"/>
  <c r="AJ92" i="15"/>
  <c r="D92" i="15"/>
  <c r="AM91" i="15"/>
  <c r="AG91" i="15" s="1"/>
  <c r="AL91" i="15"/>
  <c r="AJ91" i="15"/>
  <c r="D91" i="15"/>
  <c r="AM90" i="15"/>
  <c r="AG90" i="15" s="1"/>
  <c r="AL90" i="15"/>
  <c r="AJ90" i="15"/>
  <c r="D90" i="15"/>
  <c r="AM89" i="15"/>
  <c r="AG89" i="15" s="1"/>
  <c r="AL89" i="15"/>
  <c r="AJ89" i="15"/>
  <c r="D89" i="15"/>
  <c r="AM88" i="15"/>
  <c r="AG88" i="15" s="1"/>
  <c r="AL88" i="15"/>
  <c r="AJ88" i="15"/>
  <c r="D88" i="15"/>
  <c r="AM87" i="15"/>
  <c r="AG87" i="15" s="1"/>
  <c r="AL87" i="15"/>
  <c r="AJ87" i="15"/>
  <c r="D87" i="15"/>
  <c r="AM86" i="15"/>
  <c r="AG86" i="15" s="1"/>
  <c r="AL86" i="15"/>
  <c r="AJ86" i="15"/>
  <c r="D86" i="15"/>
  <c r="AM85" i="15"/>
  <c r="AG85" i="15" s="1"/>
  <c r="AL85" i="15"/>
  <c r="AJ85" i="15"/>
  <c r="D85" i="15"/>
  <c r="AM84" i="15"/>
  <c r="AG84" i="15" s="1"/>
  <c r="AL84" i="15"/>
  <c r="AJ84" i="15"/>
  <c r="D84" i="15"/>
  <c r="AM83" i="15"/>
  <c r="AG83" i="15" s="1"/>
  <c r="AL83" i="15"/>
  <c r="AJ83" i="15"/>
  <c r="D83" i="15"/>
  <c r="AM82" i="15"/>
  <c r="AG82" i="15" s="1"/>
  <c r="AL82" i="15"/>
  <c r="AJ82" i="15"/>
  <c r="D82" i="15"/>
  <c r="AM81" i="15"/>
  <c r="AG81" i="15" s="1"/>
  <c r="AL81" i="15"/>
  <c r="AJ81" i="15"/>
  <c r="D81" i="15"/>
  <c r="AM80" i="15"/>
  <c r="AG80" i="15" s="1"/>
  <c r="AL80" i="15"/>
  <c r="AJ80" i="15"/>
  <c r="D80" i="15"/>
  <c r="AM79" i="15"/>
  <c r="AG79" i="15" s="1"/>
  <c r="AL79" i="15"/>
  <c r="AJ79" i="15"/>
  <c r="D79" i="15"/>
  <c r="AM78" i="15"/>
  <c r="AG78" i="15" s="1"/>
  <c r="AL78" i="15"/>
  <c r="AJ78" i="15"/>
  <c r="D78" i="15"/>
  <c r="AM77" i="15"/>
  <c r="AG77" i="15" s="1"/>
  <c r="AL77" i="15"/>
  <c r="AJ77" i="15"/>
  <c r="D77" i="15"/>
  <c r="AM76" i="15"/>
  <c r="AG76" i="15" s="1"/>
  <c r="AL76" i="15"/>
  <c r="AJ76" i="15"/>
  <c r="D76" i="15"/>
  <c r="AM75" i="15"/>
  <c r="AG75" i="15" s="1"/>
  <c r="AL75" i="15"/>
  <c r="AJ75" i="15"/>
  <c r="D75" i="15"/>
  <c r="AM74" i="15"/>
  <c r="AG74" i="15" s="1"/>
  <c r="AL74" i="15"/>
  <c r="AJ74" i="15"/>
  <c r="D74" i="15"/>
  <c r="AM73" i="15"/>
  <c r="AG73" i="15" s="1"/>
  <c r="AL73" i="15"/>
  <c r="AJ73" i="15"/>
  <c r="D73" i="15"/>
  <c r="AM72" i="15"/>
  <c r="AG72" i="15" s="1"/>
  <c r="AL72" i="15"/>
  <c r="AJ72" i="15"/>
  <c r="D72" i="15"/>
  <c r="AM71" i="15"/>
  <c r="AG71" i="15" s="1"/>
  <c r="AL71" i="15"/>
  <c r="AJ71" i="15"/>
  <c r="D71" i="15"/>
  <c r="AM70" i="15"/>
  <c r="AG70" i="15" s="1"/>
  <c r="AL70" i="15"/>
  <c r="AJ70" i="15"/>
  <c r="D70" i="15"/>
  <c r="AM69" i="15"/>
  <c r="AG69" i="15" s="1"/>
  <c r="AL69" i="15"/>
  <c r="AJ69" i="15"/>
  <c r="D69" i="15"/>
  <c r="AM68" i="15"/>
  <c r="AG68" i="15" s="1"/>
  <c r="AL68" i="15"/>
  <c r="AJ68" i="15"/>
  <c r="D68" i="15"/>
  <c r="AM67" i="15"/>
  <c r="AG67" i="15" s="1"/>
  <c r="AL67" i="15"/>
  <c r="AJ67" i="15"/>
  <c r="D67" i="15"/>
  <c r="AM66" i="15"/>
  <c r="AG66" i="15" s="1"/>
  <c r="AL66" i="15"/>
  <c r="AJ66" i="15"/>
  <c r="W66" i="15"/>
  <c r="D66" i="15"/>
  <c r="AM65" i="15"/>
  <c r="AG65" i="15" s="1"/>
  <c r="AL65" i="15"/>
  <c r="AJ65" i="15"/>
  <c r="W65" i="15"/>
  <c r="D65" i="15"/>
  <c r="AM64" i="15"/>
  <c r="AG64" i="15" s="1"/>
  <c r="AL64" i="15"/>
  <c r="AJ64" i="15"/>
  <c r="W64" i="15"/>
  <c r="D64" i="15"/>
  <c r="AM63" i="15"/>
  <c r="AG63" i="15" s="1"/>
  <c r="AL63" i="15"/>
  <c r="AJ63" i="15"/>
  <c r="W63" i="15"/>
  <c r="D63" i="15"/>
  <c r="AM62" i="15"/>
  <c r="AG62" i="15" s="1"/>
  <c r="AL62" i="15"/>
  <c r="AJ62" i="15"/>
  <c r="W62" i="15"/>
  <c r="D62" i="15"/>
  <c r="AM61" i="15"/>
  <c r="AG61" i="15" s="1"/>
  <c r="AL61" i="15"/>
  <c r="AJ61" i="15"/>
  <c r="W61" i="15"/>
  <c r="D61" i="15"/>
  <c r="AM60" i="15"/>
  <c r="AG60" i="15" s="1"/>
  <c r="AL60" i="15"/>
  <c r="AJ60" i="15"/>
  <c r="W60" i="15"/>
  <c r="D60" i="15"/>
  <c r="AM59" i="15"/>
  <c r="AG59" i="15" s="1"/>
  <c r="AL59" i="15"/>
  <c r="AJ59" i="15"/>
  <c r="W59" i="15"/>
  <c r="D59" i="15"/>
  <c r="AM58" i="15"/>
  <c r="AG58" i="15" s="1"/>
  <c r="AL58" i="15"/>
  <c r="AJ58" i="15"/>
  <c r="W58" i="15"/>
  <c r="D58" i="15"/>
  <c r="AM57" i="15"/>
  <c r="AG57" i="15" s="1"/>
  <c r="AL57" i="15"/>
  <c r="AJ57" i="15"/>
  <c r="W57" i="15"/>
  <c r="D57" i="15"/>
  <c r="AM56" i="15"/>
  <c r="AG56" i="15" s="1"/>
  <c r="AL56" i="15"/>
  <c r="AJ56" i="15"/>
  <c r="W56" i="15"/>
  <c r="D56" i="15"/>
  <c r="AM55" i="15"/>
  <c r="AG55" i="15" s="1"/>
  <c r="AL55" i="15"/>
  <c r="AJ55" i="15"/>
  <c r="W55" i="15"/>
  <c r="D55" i="15"/>
  <c r="AM54" i="15"/>
  <c r="AG54" i="15" s="1"/>
  <c r="AL54" i="15"/>
  <c r="AJ54" i="15"/>
  <c r="W54" i="15"/>
  <c r="D54" i="15"/>
  <c r="AM53" i="15"/>
  <c r="AG53" i="15" s="1"/>
  <c r="AL53" i="15"/>
  <c r="AJ53" i="15"/>
  <c r="W53" i="15"/>
  <c r="D53" i="15"/>
  <c r="AM52" i="15"/>
  <c r="AG52" i="15" s="1"/>
  <c r="AL52" i="15"/>
  <c r="AJ52" i="15"/>
  <c r="W52" i="15"/>
  <c r="D52" i="15"/>
  <c r="AM51" i="15"/>
  <c r="AG51" i="15" s="1"/>
  <c r="AL51" i="15"/>
  <c r="AJ51" i="15"/>
  <c r="W51" i="15"/>
  <c r="D51" i="15"/>
  <c r="AM50" i="15"/>
  <c r="AG50" i="15" s="1"/>
  <c r="AL50" i="15"/>
  <c r="AJ50" i="15"/>
  <c r="W50" i="15"/>
  <c r="D50" i="15"/>
  <c r="AM49" i="15"/>
  <c r="AG49" i="15" s="1"/>
  <c r="AL49" i="15"/>
  <c r="AJ49" i="15"/>
  <c r="W49" i="15"/>
  <c r="D49" i="15"/>
  <c r="AM48" i="15"/>
  <c r="AG48" i="15" s="1"/>
  <c r="AL48" i="15"/>
  <c r="AJ48" i="15"/>
  <c r="W48" i="15"/>
  <c r="D48" i="15"/>
  <c r="AM47" i="15"/>
  <c r="AG47" i="15" s="1"/>
  <c r="AL47" i="15"/>
  <c r="AJ47" i="15"/>
  <c r="W47" i="15"/>
  <c r="D47" i="15"/>
  <c r="AM46" i="15"/>
  <c r="AG46" i="15" s="1"/>
  <c r="AL46" i="15"/>
  <c r="AJ46" i="15"/>
  <c r="W46" i="15"/>
  <c r="D46" i="15"/>
  <c r="AM45" i="15"/>
  <c r="AG45" i="15" s="1"/>
  <c r="AL45" i="15"/>
  <c r="AJ45" i="15"/>
  <c r="W45" i="15"/>
  <c r="D45" i="15"/>
  <c r="AM44" i="15"/>
  <c r="AG44" i="15" s="1"/>
  <c r="AL44" i="15"/>
  <c r="AJ44" i="15"/>
  <c r="W44" i="15"/>
  <c r="D44" i="15"/>
  <c r="AM43" i="15"/>
  <c r="AG43" i="15" s="1"/>
  <c r="AL43" i="15"/>
  <c r="AJ43" i="15"/>
  <c r="W43" i="15"/>
  <c r="D43" i="15"/>
  <c r="AM42" i="15"/>
  <c r="AG42" i="15" s="1"/>
  <c r="AL42" i="15"/>
  <c r="AJ42" i="15"/>
  <c r="W42" i="15"/>
  <c r="D42" i="15"/>
  <c r="AM41" i="15"/>
  <c r="AG41" i="15" s="1"/>
  <c r="AL41" i="15"/>
  <c r="AJ41" i="15"/>
  <c r="W41" i="15"/>
  <c r="D41" i="15"/>
  <c r="AM40" i="15"/>
  <c r="AG40" i="15" s="1"/>
  <c r="AL40" i="15"/>
  <c r="AJ40" i="15"/>
  <c r="W40" i="15"/>
  <c r="D40" i="15"/>
  <c r="AM39" i="15"/>
  <c r="AG39" i="15" s="1"/>
  <c r="AL39" i="15"/>
  <c r="AJ39" i="15"/>
  <c r="W39" i="15"/>
  <c r="D39" i="15"/>
  <c r="AM38" i="15"/>
  <c r="AG38" i="15" s="1"/>
  <c r="AL38" i="15"/>
  <c r="AJ38" i="15"/>
  <c r="W38" i="15"/>
  <c r="D38" i="15"/>
  <c r="AM37" i="15"/>
  <c r="AG37" i="15" s="1"/>
  <c r="AL37" i="15"/>
  <c r="AJ37" i="15"/>
  <c r="W37" i="15"/>
  <c r="D37" i="15"/>
  <c r="AM36" i="15"/>
  <c r="AG36" i="15" s="1"/>
  <c r="AL36" i="15"/>
  <c r="AJ36" i="15"/>
  <c r="W36" i="15"/>
  <c r="D36" i="15"/>
  <c r="AM35" i="15"/>
  <c r="AG35" i="15" s="1"/>
  <c r="AL35" i="15"/>
  <c r="AJ35" i="15"/>
  <c r="W35" i="15"/>
  <c r="D35" i="15"/>
  <c r="AM34" i="15"/>
  <c r="AG34" i="15" s="1"/>
  <c r="AL34" i="15"/>
  <c r="AJ34" i="15"/>
  <c r="W34" i="15"/>
  <c r="D34" i="15"/>
  <c r="AM33" i="15"/>
  <c r="AG33" i="15" s="1"/>
  <c r="AL33" i="15"/>
  <c r="AJ33" i="15"/>
  <c r="W33" i="15"/>
  <c r="D33" i="15"/>
  <c r="AM32" i="15"/>
  <c r="AG32" i="15" s="1"/>
  <c r="AL32" i="15"/>
  <c r="AJ32" i="15"/>
  <c r="W32" i="15"/>
  <c r="D32" i="15"/>
  <c r="AM31" i="15"/>
  <c r="AG31" i="15" s="1"/>
  <c r="AL31" i="15"/>
  <c r="AJ31" i="15"/>
  <c r="W31" i="15"/>
  <c r="D31" i="15"/>
  <c r="AM30" i="15"/>
  <c r="AG30" i="15" s="1"/>
  <c r="AL30" i="15"/>
  <c r="AJ30" i="15"/>
  <c r="W30" i="15"/>
  <c r="D30" i="15"/>
  <c r="AM29" i="15"/>
  <c r="AG29" i="15" s="1"/>
  <c r="AL29" i="15"/>
  <c r="AJ29" i="15"/>
  <c r="W29" i="15"/>
  <c r="D29" i="15"/>
  <c r="AM28" i="15"/>
  <c r="AG28" i="15" s="1"/>
  <c r="AL28" i="15"/>
  <c r="AJ28" i="15"/>
  <c r="W28" i="15"/>
  <c r="D28" i="15"/>
  <c r="AM27" i="15"/>
  <c r="AG27" i="15" s="1"/>
  <c r="AL27" i="15"/>
  <c r="AJ27" i="15"/>
  <c r="W27" i="15"/>
  <c r="D27" i="15"/>
  <c r="AM26" i="15"/>
  <c r="AG26" i="15" s="1"/>
  <c r="AL26" i="15"/>
  <c r="AJ26" i="15"/>
  <c r="W26" i="15"/>
  <c r="D26" i="15"/>
  <c r="AM25" i="15"/>
  <c r="AG25" i="15" s="1"/>
  <c r="AL25" i="15"/>
  <c r="AJ25" i="15"/>
  <c r="W25" i="15"/>
  <c r="D25" i="15"/>
  <c r="AM24" i="15"/>
  <c r="AG24" i="15" s="1"/>
  <c r="AL24" i="15"/>
  <c r="AJ24" i="15"/>
  <c r="D24" i="15"/>
  <c r="AM23" i="15"/>
  <c r="AG23" i="15" s="1"/>
  <c r="AL23" i="15"/>
  <c r="AJ23" i="15"/>
  <c r="W23" i="15"/>
  <c r="D23" i="15"/>
  <c r="AM22" i="15"/>
  <c r="AG22" i="15" s="1"/>
  <c r="AL22" i="15"/>
  <c r="AJ22" i="15"/>
  <c r="W22" i="15"/>
  <c r="D22" i="15"/>
  <c r="AM21" i="15"/>
  <c r="AG21" i="15" s="1"/>
  <c r="AL21" i="15"/>
  <c r="AJ21" i="15"/>
  <c r="W21" i="15"/>
  <c r="D21" i="15"/>
  <c r="AM20" i="15"/>
  <c r="AG20" i="15" s="1"/>
  <c r="AL20" i="15"/>
  <c r="AJ20" i="15"/>
  <c r="W20" i="15"/>
  <c r="D20" i="15"/>
  <c r="AM19" i="15"/>
  <c r="AG19" i="15" s="1"/>
  <c r="AL19" i="15"/>
  <c r="AJ19" i="15"/>
  <c r="W19" i="15"/>
  <c r="D19" i="15"/>
  <c r="AM18" i="15"/>
  <c r="AG18" i="15" s="1"/>
  <c r="AL18" i="15"/>
  <c r="AJ18" i="15"/>
  <c r="W18" i="15"/>
  <c r="D18" i="15"/>
  <c r="AM17" i="15"/>
  <c r="AG17" i="15" s="1"/>
  <c r="AL17" i="15"/>
  <c r="AJ17" i="15"/>
  <c r="W17" i="15"/>
  <c r="D17" i="15"/>
  <c r="AM16" i="15"/>
  <c r="AG16" i="15" s="1"/>
  <c r="AL16" i="15"/>
  <c r="AJ16" i="15"/>
  <c r="W16" i="15"/>
  <c r="D16" i="15"/>
  <c r="AM15" i="15"/>
  <c r="AG15" i="15" s="1"/>
  <c r="AL15" i="15"/>
  <c r="AJ15" i="15"/>
  <c r="W15" i="15"/>
  <c r="D15" i="15"/>
  <c r="AM14" i="15"/>
  <c r="AG14" i="15" s="1"/>
  <c r="AL14" i="15"/>
  <c r="AJ14" i="15"/>
  <c r="AM13" i="15"/>
  <c r="AG13" i="15" s="1"/>
  <c r="AL13" i="15"/>
  <c r="AJ13" i="15"/>
  <c r="W13" i="15"/>
  <c r="AM12" i="15"/>
  <c r="AG12" i="15" s="1"/>
  <c r="AL12" i="15"/>
  <c r="AJ12" i="15"/>
  <c r="W12" i="15"/>
  <c r="AM11" i="15"/>
  <c r="AL11" i="15"/>
  <c r="AJ11" i="15"/>
  <c r="AM10" i="15"/>
  <c r="AL10" i="15"/>
  <c r="AJ10" i="15"/>
  <c r="W8" i="15"/>
  <c r="X8" i="15" s="1"/>
  <c r="Y8" i="15" s="1"/>
  <c r="Z8" i="15" s="1"/>
  <c r="AA8" i="15" s="1"/>
  <c r="W7" i="15"/>
  <c r="X7" i="15" s="1"/>
  <c r="Y7" i="15" s="1"/>
  <c r="Z7" i="15" s="1"/>
  <c r="W6" i="15"/>
  <c r="X6" i="15" s="1"/>
  <c r="Y6" i="15" s="1"/>
  <c r="Z6" i="15" s="1"/>
  <c r="AM3" i="15"/>
  <c r="AK3" i="15"/>
  <c r="X2" i="15"/>
  <c r="E2" i="15"/>
  <c r="B21" i="89"/>
  <c r="C21" i="89" s="1"/>
  <c r="B20" i="89"/>
  <c r="C20" i="89" s="1"/>
  <c r="B19" i="89"/>
  <c r="C19" i="89" s="1"/>
  <c r="V18" i="89"/>
  <c r="B18" i="89"/>
  <c r="U17" i="89"/>
  <c r="B17" i="89"/>
  <c r="C17" i="89" s="1"/>
  <c r="U16" i="89"/>
  <c r="V16" i="89" s="1"/>
  <c r="B16" i="89"/>
  <c r="C16" i="89" s="1"/>
  <c r="U15" i="89"/>
  <c r="V15" i="89" s="1"/>
  <c r="B15" i="89"/>
  <c r="C15" i="89" s="1"/>
  <c r="U14" i="89"/>
  <c r="V14" i="89" s="1"/>
  <c r="B14" i="89"/>
  <c r="C14" i="89" s="1"/>
  <c r="U13" i="89"/>
  <c r="V13" i="89" s="1"/>
  <c r="B13" i="89"/>
  <c r="C13" i="89" s="1"/>
  <c r="U12" i="89"/>
  <c r="V12" i="89" s="1"/>
  <c r="B12" i="89"/>
  <c r="C12" i="89" s="1"/>
  <c r="BN11" i="89"/>
  <c r="BM11" i="89"/>
  <c r="BK11" i="89"/>
  <c r="BI11" i="89"/>
  <c r="U11" i="89"/>
  <c r="V11" i="89" s="1"/>
  <c r="B11" i="89"/>
  <c r="BN10" i="89"/>
  <c r="BM10" i="89"/>
  <c r="BK10" i="89"/>
  <c r="BI10" i="89"/>
  <c r="U10" i="89"/>
  <c r="V10" i="89" s="1"/>
  <c r="B10" i="89"/>
  <c r="C10" i="89" s="1"/>
  <c r="BF2" i="89"/>
  <c r="W2" i="89"/>
  <c r="D2" i="89"/>
  <c r="P19" i="13"/>
  <c r="B19" i="13"/>
  <c r="P18" i="13"/>
  <c r="B18" i="13"/>
  <c r="P17" i="13"/>
  <c r="B17" i="13"/>
  <c r="P16" i="13"/>
  <c r="B16" i="13"/>
  <c r="P15" i="13"/>
  <c r="B15" i="13"/>
  <c r="P14" i="13"/>
  <c r="B14" i="13"/>
  <c r="P13" i="13"/>
  <c r="B13" i="13"/>
  <c r="X12" i="13"/>
  <c r="P12" i="13"/>
  <c r="B12" i="13"/>
  <c r="P11" i="13"/>
  <c r="B11" i="13"/>
  <c r="P10" i="13"/>
  <c r="B10" i="13"/>
  <c r="A9" i="13"/>
  <c r="B9" i="13" s="1"/>
  <c r="P6" i="13"/>
  <c r="Q6" i="13" s="1"/>
  <c r="R6" i="13" s="1"/>
  <c r="S6" i="13" s="1"/>
  <c r="T6" i="13" s="1"/>
  <c r="B6" i="13"/>
  <c r="C6" i="13" s="1"/>
  <c r="D6" i="13" s="1"/>
  <c r="E6" i="13" s="1"/>
  <c r="F6" i="13" s="1"/>
  <c r="G6" i="13" s="1"/>
  <c r="H6" i="13" s="1"/>
  <c r="I6" i="13" s="1"/>
  <c r="J6" i="13" s="1"/>
  <c r="K6" i="13" s="1"/>
  <c r="L6" i="13" s="1"/>
  <c r="M6" i="13" s="1"/>
  <c r="N6" i="13" s="1"/>
  <c r="C1" i="13"/>
  <c r="BN17" i="111"/>
  <c r="BC17" i="111" s="1"/>
  <c r="BM17" i="111"/>
  <c r="BK17" i="111"/>
  <c r="BI17" i="111"/>
  <c r="BN16" i="111"/>
  <c r="BC16" i="111" s="1"/>
  <c r="BM16" i="111"/>
  <c r="BK16" i="111"/>
  <c r="BI16" i="111"/>
  <c r="BN15" i="111"/>
  <c r="BC15" i="111" s="1"/>
  <c r="BM15" i="111"/>
  <c r="BK15" i="111"/>
  <c r="BI15" i="111"/>
  <c r="C15" i="111"/>
  <c r="BN14" i="111"/>
  <c r="BC14" i="111" s="1"/>
  <c r="BM14" i="111"/>
  <c r="BK14" i="111"/>
  <c r="BI14" i="111"/>
  <c r="C14" i="111"/>
  <c r="BN13" i="111"/>
  <c r="BC13" i="111" s="1"/>
  <c r="BM13" i="111"/>
  <c r="BK13" i="111"/>
  <c r="BI13" i="111"/>
  <c r="V13" i="111"/>
  <c r="C13" i="111"/>
  <c r="BN12" i="111"/>
  <c r="BM12" i="111"/>
  <c r="BK12" i="111"/>
  <c r="BI12" i="111"/>
  <c r="V12" i="111"/>
  <c r="BN11" i="111"/>
  <c r="BC11" i="111" s="1"/>
  <c r="BM11" i="111"/>
  <c r="BK11" i="111"/>
  <c r="BI11" i="111"/>
  <c r="V11" i="111"/>
  <c r="BN10" i="111"/>
  <c r="BC10" i="111" s="1"/>
  <c r="BM10" i="111"/>
  <c r="BK10" i="111"/>
  <c r="BI10" i="111"/>
  <c r="BF2" i="111"/>
  <c r="W2" i="111"/>
  <c r="D2" i="111"/>
  <c r="G17" i="98"/>
  <c r="K10" i="98"/>
  <c r="AA63" i="15"/>
  <c r="N56" i="15"/>
  <c r="AA55" i="15"/>
  <c r="N52" i="15"/>
  <c r="AA51" i="15"/>
  <c r="AA47" i="15"/>
  <c r="N44" i="15"/>
  <c r="AA43" i="15"/>
  <c r="AA39" i="15"/>
  <c r="N28" i="15"/>
  <c r="AA27" i="15"/>
  <c r="N15" i="15"/>
  <c r="AW18" i="89"/>
  <c r="AB16" i="89"/>
  <c r="AN14" i="89"/>
  <c r="AF12" i="89"/>
  <c r="AB11" i="89"/>
  <c r="I93" i="15"/>
  <c r="K13" i="98"/>
  <c r="G97" i="15"/>
  <c r="AA65" i="15"/>
  <c r="AA53" i="15"/>
  <c r="P26" i="15"/>
  <c r="I19" i="15"/>
  <c r="N19" i="98"/>
  <c r="J16" i="13"/>
  <c r="N47" i="15"/>
  <c r="P66" i="15"/>
  <c r="P87" i="15"/>
  <c r="AA36" i="15"/>
  <c r="P120" i="15"/>
  <c r="P46" i="15"/>
  <c r="AA29" i="15"/>
  <c r="AA52" i="15"/>
  <c r="K122" i="15"/>
  <c r="P116" i="15"/>
  <c r="P112" i="15"/>
  <c r="P110" i="15"/>
  <c r="P109" i="15"/>
  <c r="P106" i="15"/>
  <c r="K103" i="15"/>
  <c r="P102" i="15"/>
  <c r="K101" i="15"/>
  <c r="P100" i="15"/>
  <c r="K95" i="15"/>
  <c r="N94" i="15"/>
  <c r="N92" i="15"/>
  <c r="P91" i="15"/>
  <c r="G90" i="15"/>
  <c r="P86" i="15"/>
  <c r="P83" i="15"/>
  <c r="P79" i="15"/>
  <c r="G77" i="15"/>
  <c r="G74" i="15"/>
  <c r="AA66" i="15"/>
  <c r="I63" i="15"/>
  <c r="I59" i="15"/>
  <c r="I35" i="15"/>
  <c r="I27" i="15"/>
  <c r="AA31" i="15"/>
  <c r="AA49" i="15"/>
  <c r="AA61" i="15"/>
  <c r="AA45" i="15"/>
  <c r="P21" i="15"/>
  <c r="N70" i="15"/>
  <c r="J9" i="13"/>
  <c r="F17" i="89"/>
  <c r="H14" i="111"/>
  <c r="P104" i="15"/>
  <c r="AA57" i="15"/>
  <c r="N71" i="15"/>
  <c r="P11" i="109"/>
  <c r="AA59" i="15"/>
  <c r="P113" i="15"/>
  <c r="N118" i="15"/>
  <c r="AT16" i="98"/>
  <c r="P58" i="15"/>
  <c r="P30" i="15"/>
  <c r="P17" i="15"/>
  <c r="P99" i="15"/>
  <c r="H12" i="41"/>
  <c r="P41" i="15"/>
  <c r="AA32" i="15"/>
  <c r="P12" i="109"/>
  <c r="AA40" i="15"/>
  <c r="I15" i="98"/>
  <c r="AH15" i="89"/>
  <c r="I16" i="98"/>
  <c r="I43" i="15"/>
  <c r="P22" i="15"/>
  <c r="M15" i="89"/>
  <c r="I51" i="15"/>
  <c r="AA28" i="15"/>
  <c r="O19" i="89"/>
  <c r="P61" i="15"/>
  <c r="AA12" i="15"/>
  <c r="P65" i="15"/>
  <c r="P33" i="15"/>
  <c r="AA13" i="15"/>
  <c r="M13" i="89"/>
  <c r="P13" i="111"/>
  <c r="AQ72" i="8"/>
  <c r="BW398" i="8"/>
  <c r="CA378" i="8"/>
  <c r="AE72" i="8"/>
  <c r="BW148" i="8"/>
  <c r="DJ52" i="8"/>
  <c r="DN42" i="8"/>
  <c r="AE85" i="8"/>
  <c r="CQ19" i="8"/>
  <c r="AE79" i="8"/>
  <c r="BW268" i="8"/>
  <c r="BW388" i="8"/>
  <c r="CC478" i="8"/>
  <c r="P15" i="111"/>
  <c r="J14" i="8"/>
  <c r="BU348" i="8"/>
  <c r="DF72" i="8"/>
  <c r="BW528" i="8"/>
  <c r="DL52" i="8"/>
  <c r="CD9" i="8"/>
  <c r="S59" i="8"/>
  <c r="CA408" i="8"/>
  <c r="P14" i="111"/>
  <c r="BU598" i="8"/>
  <c r="CA328" i="8"/>
  <c r="CC608" i="8"/>
  <c r="CA208" i="8"/>
  <c r="BW298" i="8"/>
  <c r="CA368" i="8"/>
  <c r="CC338" i="8"/>
  <c r="BZ72" i="8"/>
  <c r="BU508" i="8"/>
  <c r="BU528" i="8"/>
  <c r="BW448" i="8"/>
  <c r="BU228" i="8"/>
  <c r="DP42" i="8"/>
  <c r="BW158" i="8"/>
  <c r="DO52" i="8"/>
  <c r="BU658" i="8"/>
  <c r="BW378" i="8"/>
  <c r="BU408" i="8"/>
  <c r="CA438" i="8"/>
  <c r="CA418" i="8"/>
  <c r="CA248" i="8"/>
  <c r="Q17" i="13"/>
  <c r="BW408" i="8"/>
  <c r="CA258" i="8"/>
  <c r="L59" i="8"/>
  <c r="BW438" i="8"/>
  <c r="CC138" i="8"/>
  <c r="CJ19" i="8"/>
  <c r="DX20" i="8"/>
  <c r="CE19" i="8"/>
  <c r="DD72" i="8"/>
  <c r="CA358" i="8"/>
  <c r="DI82" i="8"/>
  <c r="BU548" i="8"/>
  <c r="L66" i="8"/>
  <c r="CA168" i="8"/>
  <c r="CC428" i="8"/>
  <c r="BW428" i="8"/>
  <c r="Q13" i="13"/>
  <c r="BW108" i="8"/>
  <c r="CC258" i="8"/>
  <c r="CA478" i="8"/>
  <c r="K15" i="111"/>
  <c r="BV19" i="8"/>
  <c r="CA548" i="8"/>
  <c r="BU148" i="8"/>
  <c r="CC618" i="8"/>
  <c r="BU368" i="8"/>
  <c r="AX72" i="8"/>
  <c r="CA508" i="8"/>
  <c r="BU438" i="8"/>
  <c r="CC388" i="8"/>
  <c r="BN52" i="8"/>
  <c r="BX82" i="8"/>
  <c r="CA498" i="8"/>
  <c r="BW548" i="8"/>
  <c r="BU72" i="8"/>
  <c r="DU42" i="8"/>
  <c r="BW538" i="8"/>
  <c r="BU258" i="8"/>
  <c r="Q59" i="8"/>
  <c r="Q14" i="13"/>
  <c r="DI62" i="8"/>
  <c r="DZ31" i="8"/>
  <c r="BU428" i="8"/>
  <c r="CM9" i="8"/>
  <c r="CC188" i="8"/>
  <c r="BU648" i="8"/>
  <c r="Q11" i="13"/>
  <c r="CC398" i="8"/>
  <c r="CC408" i="8"/>
  <c r="BW368" i="8"/>
  <c r="BU208" i="8"/>
  <c r="BP52" i="8"/>
  <c r="BW418" i="8"/>
  <c r="AE66" i="8"/>
  <c r="CA458" i="8"/>
  <c r="DG82" i="8"/>
  <c r="CC558" i="8"/>
  <c r="CC348" i="8"/>
  <c r="U9" i="8"/>
  <c r="BU388" i="8"/>
  <c r="CA128" i="8"/>
  <c r="BW648" i="8"/>
  <c r="BW228" i="8"/>
  <c r="CA338" i="8"/>
  <c r="BW208" i="8"/>
  <c r="BW168" i="8"/>
  <c r="P12" i="111"/>
  <c r="BA9" i="8"/>
  <c r="CC238" i="8"/>
  <c r="AQ20" i="8"/>
  <c r="CC168" i="8"/>
  <c r="BW638" i="8"/>
  <c r="CA198" i="8"/>
  <c r="CC19" i="8"/>
  <c r="CA608" i="8"/>
  <c r="BW248" i="8"/>
  <c r="AJ31" i="8"/>
  <c r="CA178" i="8"/>
  <c r="BU358" i="8"/>
  <c r="CA448" i="8"/>
  <c r="J59" i="8"/>
  <c r="CC148" i="8"/>
  <c r="BV62" i="8"/>
  <c r="DK72" i="8"/>
  <c r="BW278" i="8"/>
  <c r="BW598" i="8"/>
  <c r="BU588" i="8"/>
  <c r="AC85" i="8"/>
  <c r="CC178" i="8"/>
  <c r="BU488" i="8"/>
  <c r="AS20" i="8"/>
  <c r="CA618" i="8"/>
  <c r="S9" i="8"/>
  <c r="CA488" i="8"/>
  <c r="CA298" i="8"/>
  <c r="BW308" i="8"/>
  <c r="CC488" i="8"/>
  <c r="CC318" i="8"/>
  <c r="BU478" i="8"/>
  <c r="CC358" i="8"/>
  <c r="S33" i="8"/>
  <c r="BI42" i="8"/>
  <c r="CA398" i="8"/>
  <c r="L14" i="8"/>
  <c r="CC418" i="8"/>
  <c r="BW478" i="8"/>
  <c r="EE31" i="8"/>
  <c r="CA188" i="8"/>
  <c r="DW9" i="8"/>
  <c r="BU618" i="8"/>
  <c r="CC268" i="8"/>
  <c r="O14" i="8"/>
  <c r="AQ31" i="8"/>
  <c r="CC508" i="8"/>
  <c r="CC528" i="8"/>
  <c r="Y17" i="98"/>
  <c r="BW618" i="8"/>
  <c r="AS72" i="8"/>
  <c r="J66" i="8"/>
  <c r="BU218" i="8"/>
  <c r="DX31" i="8"/>
  <c r="CC658" i="8"/>
  <c r="BW508" i="8"/>
  <c r="CA538" i="8"/>
  <c r="CA238" i="8"/>
  <c r="H13" i="13"/>
  <c r="BW358" i="8"/>
  <c r="BW558" i="8"/>
  <c r="BU158" i="8"/>
  <c r="CC378" i="8"/>
  <c r="CC458" i="8"/>
  <c r="CC308" i="8"/>
  <c r="BU338" i="8"/>
  <c r="AV20" i="8"/>
  <c r="CA288" i="8"/>
  <c r="CC82" i="8"/>
  <c r="EH31" i="8"/>
  <c r="CC548" i="8"/>
  <c r="CC228" i="8"/>
  <c r="BU188" i="8"/>
  <c r="AC66" i="8"/>
  <c r="BW118" i="8"/>
  <c r="EC31" i="8"/>
  <c r="BW128" i="8"/>
  <c r="P11" i="111"/>
  <c r="BX72" i="8"/>
  <c r="CA158" i="8"/>
  <c r="CA598" i="8"/>
  <c r="AC79" i="8"/>
  <c r="CA138" i="8"/>
  <c r="BW318" i="8"/>
  <c r="BO62" i="8"/>
  <c r="EJ31" i="8"/>
  <c r="BU398" i="8"/>
  <c r="BW328" i="8"/>
  <c r="BU268" i="8"/>
  <c r="BU448" i="8"/>
  <c r="BK52" i="8"/>
  <c r="G79" i="8"/>
  <c r="BC9" i="8"/>
  <c r="CC328" i="8"/>
  <c r="BW628" i="8"/>
  <c r="DB82" i="8"/>
  <c r="AO78" i="8"/>
  <c r="CC248" i="8"/>
  <c r="CA278" i="8"/>
  <c r="BU248" i="8"/>
  <c r="BU198" i="8"/>
  <c r="BU288" i="8"/>
  <c r="DS42" i="8"/>
  <c r="DD82" i="8"/>
  <c r="BW608" i="8"/>
  <c r="BZ82" i="8"/>
  <c r="CA268" i="8"/>
  <c r="BW178" i="8"/>
  <c r="BW568" i="8"/>
  <c r="BU328" i="8"/>
  <c r="AC72" i="8"/>
  <c r="BU308" i="8"/>
  <c r="BW498" i="8"/>
  <c r="BU458" i="8"/>
  <c r="CC128" i="8"/>
  <c r="CF9" i="8"/>
  <c r="BW468" i="8"/>
  <c r="CC198" i="8"/>
  <c r="AX20" i="8"/>
  <c r="AL31" i="8"/>
  <c r="BU578" i="8"/>
  <c r="CC628" i="8"/>
  <c r="BU468" i="8"/>
  <c r="BU138" i="8"/>
  <c r="BU108" i="8"/>
  <c r="DQ52" i="8"/>
  <c r="BW258" i="8"/>
  <c r="P10" i="111"/>
  <c r="CA228" i="8"/>
  <c r="EG20" i="8"/>
  <c r="E16" i="41"/>
  <c r="BU278" i="8"/>
  <c r="CC208" i="8"/>
  <c r="BU568" i="8"/>
  <c r="BW588" i="8"/>
  <c r="CC288" i="8"/>
  <c r="BU118" i="8"/>
  <c r="DI72" i="8"/>
  <c r="BF42" i="8"/>
  <c r="BU628" i="8"/>
  <c r="CA348" i="8"/>
  <c r="AW31" i="8"/>
  <c r="N79" i="8"/>
  <c r="BU298" i="8"/>
  <c r="CC118" i="8"/>
  <c r="I79" i="8"/>
  <c r="BW348" i="8"/>
  <c r="DZ20" i="8"/>
  <c r="BW518" i="8"/>
  <c r="CC278" i="8"/>
  <c r="L45" i="15"/>
  <c r="CA318" i="8"/>
  <c r="BU418" i="8"/>
  <c r="DR31" i="8"/>
  <c r="BU178" i="8"/>
  <c r="Q16" i="13"/>
  <c r="BW138" i="8"/>
  <c r="CA308" i="8"/>
  <c r="CC638" i="8"/>
  <c r="AZ72" i="8"/>
  <c r="DL62" i="8"/>
  <c r="BK42" i="8"/>
  <c r="CA528" i="8"/>
  <c r="BU518" i="8"/>
  <c r="CC218" i="8"/>
  <c r="CS19" i="8"/>
  <c r="CA648" i="8"/>
  <c r="CC598" i="8"/>
  <c r="CI18" i="98"/>
  <c r="L60" i="15"/>
  <c r="L40" i="15"/>
  <c r="L32" i="15"/>
  <c r="CC298" i="8"/>
  <c r="BU558" i="8"/>
  <c r="CC108" i="8"/>
  <c r="Q14" i="8"/>
  <c r="BU238" i="8"/>
  <c r="L5" i="88"/>
  <c r="BU608" i="8"/>
  <c r="BW458" i="8"/>
  <c r="BW188" i="8"/>
  <c r="CA578" i="8"/>
  <c r="BX19" i="8"/>
  <c r="BW218" i="8"/>
  <c r="CC368" i="8"/>
  <c r="P79" i="8"/>
  <c r="BU128" i="8"/>
  <c r="BU538" i="8"/>
  <c r="DN62" i="8"/>
  <c r="BW198" i="8"/>
  <c r="CC438" i="8"/>
  <c r="BU378" i="8"/>
  <c r="CC648" i="8"/>
  <c r="Q18" i="13"/>
  <c r="L48" i="15"/>
  <c r="BC31" i="8"/>
  <c r="CL19" i="8"/>
  <c r="CA118" i="8"/>
  <c r="CA518" i="8"/>
  <c r="CA428" i="8"/>
  <c r="CC468" i="8"/>
  <c r="BU318" i="8"/>
  <c r="CC518" i="8"/>
  <c r="CC578" i="8"/>
  <c r="BW238" i="8"/>
  <c r="CC158" i="8"/>
  <c r="CA468" i="8"/>
  <c r="BT62" i="8"/>
  <c r="BI52" i="8"/>
  <c r="BW338" i="8"/>
  <c r="CA658" i="8"/>
  <c r="BW578" i="8"/>
  <c r="BW288" i="8"/>
  <c r="BU498" i="8"/>
  <c r="CA638" i="8"/>
  <c r="BU168" i="8"/>
  <c r="CC498" i="8"/>
  <c r="L89" i="15"/>
  <c r="Q19" i="13"/>
  <c r="BD42" i="8"/>
  <c r="AQ78" i="8"/>
  <c r="DT31" i="8"/>
  <c r="CA588" i="8"/>
  <c r="AY31" i="8"/>
  <c r="J5" i="88"/>
  <c r="BW658" i="8"/>
  <c r="BW488" i="8"/>
  <c r="CC538" i="8"/>
  <c r="CA148" i="8"/>
  <c r="H17" i="13"/>
  <c r="CC448" i="8"/>
  <c r="BQ62" i="8"/>
  <c r="CC568" i="8"/>
  <c r="BU638" i="8"/>
  <c r="BE31" i="8"/>
  <c r="BS72" i="8"/>
  <c r="CA628" i="8"/>
  <c r="C12" i="88"/>
  <c r="CA388" i="8"/>
  <c r="H15" i="13"/>
  <c r="Q12" i="13"/>
  <c r="Q10" i="13"/>
  <c r="CA108" i="8"/>
  <c r="Y14" i="98"/>
  <c r="DG62" i="8"/>
  <c r="CA558" i="8"/>
  <c r="CE82" i="8"/>
  <c r="CA568" i="8"/>
  <c r="EE20" i="8"/>
  <c r="DU9" i="8"/>
  <c r="CA218" i="8"/>
  <c r="Q15" i="13"/>
  <c r="L82" i="15"/>
  <c r="CK9" i="8"/>
  <c r="L88" i="15"/>
  <c r="CC588" i="8"/>
  <c r="AO31" i="8"/>
  <c r="AC347" i="122" l="1"/>
  <c r="AC343" i="122"/>
  <c r="AC339" i="122"/>
  <c r="AC335" i="122"/>
  <c r="AC331" i="122"/>
  <c r="AC327" i="122"/>
  <c r="AC323" i="122"/>
  <c r="AC319" i="122"/>
  <c r="AC315" i="122"/>
  <c r="AC311" i="122"/>
  <c r="AC307" i="122"/>
  <c r="AC303" i="122"/>
  <c r="AC299" i="122"/>
  <c r="AC295" i="122"/>
  <c r="AC291" i="122"/>
  <c r="AC287" i="122"/>
  <c r="AC283" i="122"/>
  <c r="AC279" i="122"/>
  <c r="AC275" i="122"/>
  <c r="AC271" i="122"/>
  <c r="AC267" i="122"/>
  <c r="AC263" i="122"/>
  <c r="AC259" i="122"/>
  <c r="AC255" i="122"/>
  <c r="AC251" i="122"/>
  <c r="AC247" i="122"/>
  <c r="AC243" i="122"/>
  <c r="AC239" i="122"/>
  <c r="AC235" i="122"/>
  <c r="AC231" i="122"/>
  <c r="AC227" i="122"/>
  <c r="AC223" i="122"/>
  <c r="AC219" i="122"/>
  <c r="AC215" i="122"/>
  <c r="AC211" i="122"/>
  <c r="AC207" i="122"/>
  <c r="W191" i="122"/>
  <c r="W95" i="122"/>
  <c r="AC203" i="122"/>
  <c r="AC199" i="122"/>
  <c r="AC195" i="122"/>
  <c r="AC191" i="122"/>
  <c r="AC187" i="122"/>
  <c r="AC183" i="122"/>
  <c r="AC179" i="122"/>
  <c r="AC175" i="122"/>
  <c r="AC171" i="122"/>
  <c r="AC167" i="122"/>
  <c r="AC163" i="122"/>
  <c r="AC159" i="122"/>
  <c r="AC155" i="122"/>
  <c r="AC151" i="122"/>
  <c r="AC147" i="122"/>
  <c r="AC143" i="122"/>
  <c r="AC139" i="122"/>
  <c r="AC135" i="122"/>
  <c r="AC131" i="122"/>
  <c r="AC127" i="122"/>
  <c r="AC123" i="122"/>
  <c r="AC119" i="122"/>
  <c r="AC115" i="122"/>
  <c r="AC111" i="122"/>
  <c r="AC107" i="122"/>
  <c r="AC103" i="122"/>
  <c r="AC99" i="122"/>
  <c r="AC95" i="122"/>
  <c r="AC91" i="122"/>
  <c r="AC87" i="122"/>
  <c r="AC83" i="122"/>
  <c r="AC79" i="122"/>
  <c r="AC75" i="122"/>
  <c r="AC71" i="122"/>
  <c r="AC67" i="122"/>
  <c r="AC63" i="122"/>
  <c r="AC345" i="122"/>
  <c r="AC341" i="122"/>
  <c r="AC337" i="122"/>
  <c r="AC333" i="122"/>
  <c r="AC329" i="122"/>
  <c r="AC325" i="122"/>
  <c r="AC321" i="122"/>
  <c r="AC317" i="122"/>
  <c r="AC313" i="122"/>
  <c r="AC309" i="122"/>
  <c r="AC305" i="122"/>
  <c r="AC301" i="122"/>
  <c r="AC297" i="122"/>
  <c r="AC293" i="122"/>
  <c r="AC289" i="122"/>
  <c r="AC285" i="122"/>
  <c r="AC281" i="122"/>
  <c r="AC277" i="122"/>
  <c r="AC273" i="122"/>
  <c r="AC269" i="122"/>
  <c r="AC265" i="122"/>
  <c r="AC261" i="122"/>
  <c r="AC257" i="122"/>
  <c r="AC253" i="122"/>
  <c r="AC249" i="122"/>
  <c r="AC245" i="122"/>
  <c r="AC241" i="122"/>
  <c r="AC237" i="122"/>
  <c r="AC233" i="122"/>
  <c r="AC229" i="122"/>
  <c r="AC225" i="122"/>
  <c r="AC221" i="122"/>
  <c r="AC217" i="122"/>
  <c r="AC213" i="122"/>
  <c r="AC209" i="122"/>
  <c r="AC205" i="122"/>
  <c r="AC201" i="122"/>
  <c r="AC197" i="122"/>
  <c r="AC193" i="122"/>
  <c r="AC189" i="122"/>
  <c r="AC185" i="122"/>
  <c r="AC181" i="122"/>
  <c r="AC177" i="122"/>
  <c r="AC173" i="122"/>
  <c r="AC169" i="122"/>
  <c r="AC165" i="122"/>
  <c r="AC161" i="122"/>
  <c r="AC157" i="122"/>
  <c r="AC153" i="122"/>
  <c r="AC149" i="122"/>
  <c r="AC145" i="122"/>
  <c r="AC141" i="122"/>
  <c r="AC137" i="122"/>
  <c r="AC133" i="122"/>
  <c r="AC129" i="122"/>
  <c r="AC125" i="122"/>
  <c r="AC121" i="122"/>
  <c r="AC117" i="122"/>
  <c r="AC113" i="122"/>
  <c r="AC109" i="122"/>
  <c r="AC105" i="122"/>
  <c r="AC101" i="122"/>
  <c r="AC97" i="122"/>
  <c r="AC93" i="122"/>
  <c r="AC89" i="122"/>
  <c r="AC85" i="122"/>
  <c r="AC81" i="122"/>
  <c r="AC77" i="122"/>
  <c r="AC73" i="122"/>
  <c r="AC69" i="122"/>
  <c r="AC65" i="122"/>
  <c r="AC61" i="122"/>
  <c r="AC57" i="122"/>
  <c r="AC53" i="122"/>
  <c r="AC49" i="122"/>
  <c r="AC45" i="122"/>
  <c r="AC41" i="122"/>
  <c r="AC37" i="122"/>
  <c r="AC33" i="122"/>
  <c r="AC29" i="122"/>
  <c r="AC25" i="122"/>
  <c r="AC21" i="122"/>
  <c r="AC17" i="122"/>
  <c r="AC13" i="122"/>
  <c r="AC9" i="122"/>
  <c r="AC5" i="122"/>
  <c r="AC2" i="122"/>
  <c r="M350" i="122"/>
  <c r="M346" i="122"/>
  <c r="M342" i="122"/>
  <c r="M338" i="122"/>
  <c r="M334" i="122"/>
  <c r="M275" i="122"/>
  <c r="M247" i="122"/>
  <c r="M211" i="122"/>
  <c r="M183" i="122"/>
  <c r="M147" i="122"/>
  <c r="M119" i="122"/>
  <c r="M111" i="122"/>
  <c r="W348" i="122"/>
  <c r="W340" i="122"/>
  <c r="W332" i="122"/>
  <c r="W316" i="122"/>
  <c r="W308" i="122"/>
  <c r="W300" i="122"/>
  <c r="M347" i="122"/>
  <c r="M343" i="122"/>
  <c r="M339" i="122"/>
  <c r="M335" i="122"/>
  <c r="M331" i="122"/>
  <c r="M327" i="122"/>
  <c r="M323" i="122"/>
  <c r="M319" i="122"/>
  <c r="M315" i="122"/>
  <c r="M311" i="122"/>
  <c r="M307" i="122"/>
  <c r="M303" i="122"/>
  <c r="M299" i="122"/>
  <c r="M295" i="122"/>
  <c r="M291" i="122"/>
  <c r="M287" i="122"/>
  <c r="M283" i="122"/>
  <c r="M279" i="122"/>
  <c r="M271" i="122"/>
  <c r="M263" i="122"/>
  <c r="M259" i="122"/>
  <c r="M255" i="122"/>
  <c r="M251" i="122"/>
  <c r="M243" i="122"/>
  <c r="M235" i="122"/>
  <c r="M231" i="122"/>
  <c r="M227" i="122"/>
  <c r="M223" i="122"/>
  <c r="M219" i="122"/>
  <c r="M215" i="122"/>
  <c r="M207" i="122"/>
  <c r="M199" i="122"/>
  <c r="M195" i="122"/>
  <c r="M191" i="122"/>
  <c r="M187" i="122"/>
  <c r="M179" i="122"/>
  <c r="M171" i="122"/>
  <c r="M167" i="122"/>
  <c r="M163" i="122"/>
  <c r="M159" i="122"/>
  <c r="M155" i="122"/>
  <c r="M151" i="122"/>
  <c r="M143" i="122"/>
  <c r="M135" i="122"/>
  <c r="M131" i="122"/>
  <c r="M127" i="122"/>
  <c r="M123" i="122"/>
  <c r="M115" i="122"/>
  <c r="M107" i="122"/>
  <c r="M103" i="122"/>
  <c r="M99" i="122"/>
  <c r="M95" i="122"/>
  <c r="M91" i="122"/>
  <c r="M330" i="122"/>
  <c r="M326" i="122"/>
  <c r="M322" i="122"/>
  <c r="M318" i="122"/>
  <c r="M314" i="122"/>
  <c r="M310" i="122"/>
  <c r="M306" i="122"/>
  <c r="M302" i="122"/>
  <c r="M298" i="122"/>
  <c r="M294" i="122"/>
  <c r="M290" i="122"/>
  <c r="M286" i="122"/>
  <c r="M282" i="122"/>
  <c r="M278" i="122"/>
  <c r="M274" i="122"/>
  <c r="M270" i="122"/>
  <c r="M266" i="122"/>
  <c r="M262" i="122"/>
  <c r="M258" i="122"/>
  <c r="M254" i="122"/>
  <c r="M250" i="122"/>
  <c r="M246" i="122"/>
  <c r="M242" i="122"/>
  <c r="M238" i="122"/>
  <c r="M234" i="122"/>
  <c r="M230" i="122"/>
  <c r="M226" i="122"/>
  <c r="M222" i="122"/>
  <c r="M218" i="122"/>
  <c r="M214" i="122"/>
  <c r="M210" i="122"/>
  <c r="M206" i="122"/>
  <c r="M202" i="122"/>
  <c r="M198" i="122"/>
  <c r="M194" i="122"/>
  <c r="M190" i="122"/>
  <c r="M186" i="122"/>
  <c r="M182" i="122"/>
  <c r="W284" i="122"/>
  <c r="W276" i="122"/>
  <c r="W268" i="122"/>
  <c r="W252" i="122"/>
  <c r="W244" i="122"/>
  <c r="W220" i="122"/>
  <c r="W212" i="122"/>
  <c r="W188" i="122"/>
  <c r="W180" i="122"/>
  <c r="W156" i="122"/>
  <c r="W148" i="122"/>
  <c r="W124" i="122"/>
  <c r="W116" i="122"/>
  <c r="W235" i="122"/>
  <c r="W223" i="122"/>
  <c r="W203" i="122"/>
  <c r="W171" i="122"/>
  <c r="W159" i="122"/>
  <c r="W139" i="122"/>
  <c r="W127" i="122"/>
  <c r="W107" i="122"/>
  <c r="M296" i="122"/>
  <c r="M136" i="122"/>
  <c r="W349" i="122"/>
  <c r="X349" i="122" s="1"/>
  <c r="W345" i="122"/>
  <c r="W341" i="122"/>
  <c r="X341" i="122" s="1"/>
  <c r="W337" i="122"/>
  <c r="W333" i="122"/>
  <c r="X333" i="122" s="1"/>
  <c r="W329" i="122"/>
  <c r="W325" i="122"/>
  <c r="W321" i="122"/>
  <c r="W317" i="122"/>
  <c r="X317" i="122" s="1"/>
  <c r="W313" i="122"/>
  <c r="W309" i="122"/>
  <c r="X309" i="122" s="1"/>
  <c r="W305" i="122"/>
  <c r="W301" i="122"/>
  <c r="X301" i="122" s="1"/>
  <c r="W297" i="122"/>
  <c r="W293" i="122"/>
  <c r="W289" i="122"/>
  <c r="W285" i="122"/>
  <c r="X285" i="122" s="1"/>
  <c r="W281" i="122"/>
  <c r="W277" i="122"/>
  <c r="X277" i="122" s="1"/>
  <c r="W273" i="122"/>
  <c r="W269" i="122"/>
  <c r="X269" i="122" s="1"/>
  <c r="W265" i="122"/>
  <c r="W261" i="122"/>
  <c r="W257" i="122"/>
  <c r="W253" i="122"/>
  <c r="X253" i="122" s="1"/>
  <c r="W249" i="122"/>
  <c r="W245" i="122"/>
  <c r="X245" i="122" s="1"/>
  <c r="W241" i="122"/>
  <c r="W237" i="122"/>
  <c r="W233" i="122"/>
  <c r="W229" i="122"/>
  <c r="W225" i="122"/>
  <c r="W221" i="122"/>
  <c r="X221" i="122" s="1"/>
  <c r="W217" i="122"/>
  <c r="W213" i="122"/>
  <c r="X213" i="122" s="1"/>
  <c r="W209" i="122"/>
  <c r="W205" i="122"/>
  <c r="W201" i="122"/>
  <c r="W197" i="122"/>
  <c r="W193" i="122"/>
  <c r="W189" i="122"/>
  <c r="X189" i="122" s="1"/>
  <c r="W185" i="122"/>
  <c r="W181" i="122"/>
  <c r="X181" i="122" s="1"/>
  <c r="W177" i="122"/>
  <c r="W173" i="122"/>
  <c r="X173" i="122" s="1"/>
  <c r="W169" i="122"/>
  <c r="W165" i="122"/>
  <c r="W161" i="122"/>
  <c r="W157" i="122"/>
  <c r="X157" i="122" s="1"/>
  <c r="W153" i="122"/>
  <c r="W149" i="122"/>
  <c r="X149" i="122" s="1"/>
  <c r="W145" i="122"/>
  <c r="W141" i="122"/>
  <c r="W137" i="122"/>
  <c r="W133" i="122"/>
  <c r="W129" i="122"/>
  <c r="W125" i="122"/>
  <c r="X125" i="122" s="1"/>
  <c r="W121" i="122"/>
  <c r="W117" i="122"/>
  <c r="X117" i="122" s="1"/>
  <c r="W113" i="122"/>
  <c r="W109" i="122"/>
  <c r="X109" i="122" s="1"/>
  <c r="W105" i="122"/>
  <c r="W101" i="122"/>
  <c r="W97" i="122"/>
  <c r="W93" i="122"/>
  <c r="X93" i="122" s="1"/>
  <c r="W89" i="122"/>
  <c r="M178" i="122"/>
  <c r="M174" i="122"/>
  <c r="M170" i="122"/>
  <c r="M166" i="122"/>
  <c r="M162" i="122"/>
  <c r="M158" i="122"/>
  <c r="M154" i="122"/>
  <c r="M150" i="122"/>
  <c r="M146" i="122"/>
  <c r="M142" i="122"/>
  <c r="M138" i="122"/>
  <c r="M134" i="122"/>
  <c r="M130" i="122"/>
  <c r="M126" i="122"/>
  <c r="M122" i="122"/>
  <c r="M118" i="122"/>
  <c r="M114" i="122"/>
  <c r="M110" i="122"/>
  <c r="M106" i="122"/>
  <c r="M102" i="122"/>
  <c r="M98" i="122"/>
  <c r="M94" i="122"/>
  <c r="M90" i="122"/>
  <c r="M348" i="122"/>
  <c r="M344" i="122"/>
  <c r="M340" i="122"/>
  <c r="M336" i="122"/>
  <c r="M332" i="122"/>
  <c r="M328" i="122"/>
  <c r="M324" i="122"/>
  <c r="M320" i="122"/>
  <c r="M316" i="122"/>
  <c r="M312" i="122"/>
  <c r="M308" i="122"/>
  <c r="M304" i="122"/>
  <c r="M300" i="122"/>
  <c r="M292" i="122"/>
  <c r="M288" i="122"/>
  <c r="M284" i="122"/>
  <c r="M280" i="122"/>
  <c r="M276" i="122"/>
  <c r="M272" i="122"/>
  <c r="M268" i="122"/>
  <c r="M264" i="122"/>
  <c r="M260" i="122"/>
  <c r="M256" i="122"/>
  <c r="M252" i="122"/>
  <c r="M248" i="122"/>
  <c r="M244" i="122"/>
  <c r="M240" i="122"/>
  <c r="M236" i="122"/>
  <c r="M232" i="122"/>
  <c r="M228" i="122"/>
  <c r="M224" i="122"/>
  <c r="M220" i="122"/>
  <c r="M216" i="122"/>
  <c r="M212" i="122"/>
  <c r="M208" i="122"/>
  <c r="M204" i="122"/>
  <c r="M200" i="122"/>
  <c r="M196" i="122"/>
  <c r="M192" i="122"/>
  <c r="M188" i="122"/>
  <c r="M184" i="122"/>
  <c r="M180" i="122"/>
  <c r="M176" i="122"/>
  <c r="M172" i="122"/>
  <c r="M168" i="122"/>
  <c r="M164" i="122"/>
  <c r="M160" i="122"/>
  <c r="M156" i="122"/>
  <c r="M152" i="122"/>
  <c r="M148" i="122"/>
  <c r="M144" i="122"/>
  <c r="M140" i="122"/>
  <c r="M132" i="122"/>
  <c r="M128" i="122"/>
  <c r="M124" i="122"/>
  <c r="M120" i="122"/>
  <c r="M116" i="122"/>
  <c r="M112" i="122"/>
  <c r="M108" i="122"/>
  <c r="M104" i="122"/>
  <c r="M100" i="122"/>
  <c r="M96" i="122"/>
  <c r="W324" i="122"/>
  <c r="X324" i="122" s="1"/>
  <c r="W292" i="122"/>
  <c r="X292" i="122" s="1"/>
  <c r="W260" i="122"/>
  <c r="X260" i="122" s="1"/>
  <c r="W92" i="122"/>
  <c r="W347" i="122"/>
  <c r="W339" i="122"/>
  <c r="X339" i="122" s="1"/>
  <c r="W331" i="122"/>
  <c r="W323" i="122"/>
  <c r="W315" i="122"/>
  <c r="W307" i="122"/>
  <c r="X307" i="122" s="1"/>
  <c r="W299" i="122"/>
  <c r="W291" i="122"/>
  <c r="W283" i="122"/>
  <c r="W275" i="122"/>
  <c r="X275" i="122" s="1"/>
  <c r="W267" i="122"/>
  <c r="W259" i="122"/>
  <c r="W251" i="122"/>
  <c r="W243" i="122"/>
  <c r="X243" i="122" s="1"/>
  <c r="W239" i="122"/>
  <c r="W231" i="122"/>
  <c r="W219" i="122"/>
  <c r="W211" i="122"/>
  <c r="X211" i="122" s="1"/>
  <c r="W207" i="122"/>
  <c r="W199" i="122"/>
  <c r="W187" i="122"/>
  <c r="W179" i="122"/>
  <c r="X179" i="122" s="1"/>
  <c r="W175" i="122"/>
  <c r="W167" i="122"/>
  <c r="W155" i="122"/>
  <c r="W147" i="122"/>
  <c r="X147" i="122" s="1"/>
  <c r="W143" i="122"/>
  <c r="W135" i="122"/>
  <c r="W123" i="122"/>
  <c r="W115" i="122"/>
  <c r="X115" i="122" s="1"/>
  <c r="W111" i="122"/>
  <c r="W103" i="122"/>
  <c r="W91" i="122"/>
  <c r="M349" i="122"/>
  <c r="M337" i="122"/>
  <c r="M329" i="122"/>
  <c r="M321" i="122"/>
  <c r="M313" i="122"/>
  <c r="M309" i="122"/>
  <c r="M301" i="122"/>
  <c r="M293" i="122"/>
  <c r="M285" i="122"/>
  <c r="M273" i="122"/>
  <c r="M265" i="122"/>
  <c r="M257" i="122"/>
  <c r="M249" i="122"/>
  <c r="M245" i="122"/>
  <c r="M237" i="122"/>
  <c r="M229" i="122"/>
  <c r="M221" i="122"/>
  <c r="M209" i="122"/>
  <c r="M201" i="122"/>
  <c r="M193" i="122"/>
  <c r="M185" i="122"/>
  <c r="M181" i="122"/>
  <c r="M173" i="122"/>
  <c r="M165" i="122"/>
  <c r="M157" i="122"/>
  <c r="M145" i="122"/>
  <c r="M137" i="122"/>
  <c r="M129" i="122"/>
  <c r="M121" i="122"/>
  <c r="M117" i="122"/>
  <c r="M109" i="122"/>
  <c r="M101" i="122"/>
  <c r="M93" i="122"/>
  <c r="M92" i="122"/>
  <c r="W236" i="122"/>
  <c r="X236" i="122" s="1"/>
  <c r="W228" i="122"/>
  <c r="W204" i="122"/>
  <c r="X204" i="122" s="1"/>
  <c r="W196" i="122"/>
  <c r="W172" i="122"/>
  <c r="X172" i="122" s="1"/>
  <c r="W164" i="122"/>
  <c r="W160" i="122"/>
  <c r="X160" i="122" s="1"/>
  <c r="W152" i="122"/>
  <c r="W144" i="122"/>
  <c r="X144" i="122" s="1"/>
  <c r="W140" i="122"/>
  <c r="X140" i="122" s="1"/>
  <c r="W136" i="122"/>
  <c r="X136" i="122" s="1"/>
  <c r="W132" i="122"/>
  <c r="W128" i="122"/>
  <c r="X128" i="122" s="1"/>
  <c r="W120" i="122"/>
  <c r="W112" i="122"/>
  <c r="X112" i="122" s="1"/>
  <c r="W108" i="122"/>
  <c r="X108" i="122" s="1"/>
  <c r="W104" i="122"/>
  <c r="X104" i="122" s="1"/>
  <c r="W100" i="122"/>
  <c r="X100" i="122" s="1"/>
  <c r="W96" i="122"/>
  <c r="X96" i="122" s="1"/>
  <c r="W346" i="122"/>
  <c r="X346" i="122" s="1"/>
  <c r="W338" i="122"/>
  <c r="X338" i="122" s="1"/>
  <c r="W330" i="122"/>
  <c r="X330" i="122" s="1"/>
  <c r="W322" i="122"/>
  <c r="X322" i="122" s="1"/>
  <c r="W314" i="122"/>
  <c r="X314" i="122" s="1"/>
  <c r="W306" i="122"/>
  <c r="X306" i="122" s="1"/>
  <c r="W298" i="122"/>
  <c r="X298" i="122" s="1"/>
  <c r="W290" i="122"/>
  <c r="X290" i="122" s="1"/>
  <c r="W282" i="122"/>
  <c r="X282" i="122" s="1"/>
  <c r="W274" i="122"/>
  <c r="X274" i="122" s="1"/>
  <c r="W266" i="122"/>
  <c r="X266" i="122" s="1"/>
  <c r="W258" i="122"/>
  <c r="X258" i="122" s="1"/>
  <c r="W250" i="122"/>
  <c r="X250" i="122" s="1"/>
  <c r="W242" i="122"/>
  <c r="X242" i="122" s="1"/>
  <c r="W234" i="122"/>
  <c r="X234" i="122" s="1"/>
  <c r="W226" i="122"/>
  <c r="X226" i="122" s="1"/>
  <c r="W218" i="122"/>
  <c r="X218" i="122" s="1"/>
  <c r="W210" i="122"/>
  <c r="X210" i="122" s="1"/>
  <c r="W202" i="122"/>
  <c r="X202" i="122" s="1"/>
  <c r="W194" i="122"/>
  <c r="X194" i="122" s="1"/>
  <c r="W186" i="122"/>
  <c r="X186" i="122" s="1"/>
  <c r="W178" i="122"/>
  <c r="X178" i="122" s="1"/>
  <c r="W170" i="122"/>
  <c r="X170" i="122" s="1"/>
  <c r="W343" i="122"/>
  <c r="X343" i="122" s="1"/>
  <c r="W335" i="122"/>
  <c r="W327" i="122"/>
  <c r="W319" i="122"/>
  <c r="X319" i="122" s="1"/>
  <c r="W311" i="122"/>
  <c r="X311" i="122" s="1"/>
  <c r="W303" i="122"/>
  <c r="W295" i="122"/>
  <c r="W287" i="122"/>
  <c r="X287" i="122" s="1"/>
  <c r="W279" i="122"/>
  <c r="X279" i="122" s="1"/>
  <c r="W271" i="122"/>
  <c r="W263" i="122"/>
  <c r="W255" i="122"/>
  <c r="X255" i="122" s="1"/>
  <c r="W247" i="122"/>
  <c r="X247" i="122" s="1"/>
  <c r="W227" i="122"/>
  <c r="W215" i="122"/>
  <c r="W195" i="122"/>
  <c r="W183" i="122"/>
  <c r="X183" i="122" s="1"/>
  <c r="W163" i="122"/>
  <c r="W151" i="122"/>
  <c r="W131" i="122"/>
  <c r="X131" i="122" s="1"/>
  <c r="W119" i="122"/>
  <c r="X119" i="122" s="1"/>
  <c r="W99" i="122"/>
  <c r="W350" i="122"/>
  <c r="X350" i="122" s="1"/>
  <c r="W342" i="122"/>
  <c r="X342" i="122" s="1"/>
  <c r="W334" i="122"/>
  <c r="X334" i="122" s="1"/>
  <c r="W326" i="122"/>
  <c r="X326" i="122" s="1"/>
  <c r="W318" i="122"/>
  <c r="X318" i="122" s="1"/>
  <c r="W310" i="122"/>
  <c r="X310" i="122" s="1"/>
  <c r="W302" i="122"/>
  <c r="X302" i="122" s="1"/>
  <c r="W294" i="122"/>
  <c r="X294" i="122" s="1"/>
  <c r="W286" i="122"/>
  <c r="X286" i="122" s="1"/>
  <c r="W278" i="122"/>
  <c r="X278" i="122" s="1"/>
  <c r="W270" i="122"/>
  <c r="X270" i="122" s="1"/>
  <c r="W262" i="122"/>
  <c r="X262" i="122" s="1"/>
  <c r="W254" i="122"/>
  <c r="X254" i="122" s="1"/>
  <c r="W246" i="122"/>
  <c r="X246" i="122" s="1"/>
  <c r="W238" i="122"/>
  <c r="X238" i="122" s="1"/>
  <c r="W230" i="122"/>
  <c r="X230" i="122" s="1"/>
  <c r="W222" i="122"/>
  <c r="X222" i="122" s="1"/>
  <c r="W214" i="122"/>
  <c r="X214" i="122" s="1"/>
  <c r="W206" i="122"/>
  <c r="X206" i="122" s="1"/>
  <c r="W198" i="122"/>
  <c r="X198" i="122" s="1"/>
  <c r="W190" i="122"/>
  <c r="X190" i="122" s="1"/>
  <c r="W182" i="122"/>
  <c r="X182" i="122" s="1"/>
  <c r="W174" i="122"/>
  <c r="X174" i="122" s="1"/>
  <c r="W166" i="122"/>
  <c r="X166" i="122" s="1"/>
  <c r="W162" i="122"/>
  <c r="X162" i="122" s="1"/>
  <c r="W158" i="122"/>
  <c r="X158" i="122" s="1"/>
  <c r="W154" i="122"/>
  <c r="X154" i="122" s="1"/>
  <c r="W150" i="122"/>
  <c r="X150" i="122" s="1"/>
  <c r="W146" i="122"/>
  <c r="X146" i="122" s="1"/>
  <c r="W142" i="122"/>
  <c r="X142" i="122" s="1"/>
  <c r="W138" i="122"/>
  <c r="X138" i="122" s="1"/>
  <c r="W134" i="122"/>
  <c r="X134" i="122" s="1"/>
  <c r="W130" i="122"/>
  <c r="X130" i="122" s="1"/>
  <c r="W126" i="122"/>
  <c r="X126" i="122" s="1"/>
  <c r="W122" i="122"/>
  <c r="X122" i="122" s="1"/>
  <c r="W118" i="122"/>
  <c r="X118" i="122" s="1"/>
  <c r="W114" i="122"/>
  <c r="X114" i="122" s="1"/>
  <c r="W110" i="122"/>
  <c r="X110" i="122" s="1"/>
  <c r="W106" i="122"/>
  <c r="X106" i="122" s="1"/>
  <c r="W102" i="122"/>
  <c r="X102" i="122" s="1"/>
  <c r="W98" i="122"/>
  <c r="X98" i="122" s="1"/>
  <c r="W94" i="122"/>
  <c r="X94" i="122" s="1"/>
  <c r="W90" i="122"/>
  <c r="X90" i="122" s="1"/>
  <c r="W344" i="122"/>
  <c r="W336" i="122"/>
  <c r="X336" i="122" s="1"/>
  <c r="W328" i="122"/>
  <c r="X328" i="122" s="1"/>
  <c r="W320" i="122"/>
  <c r="X320" i="122" s="1"/>
  <c r="W312" i="122"/>
  <c r="W304" i="122"/>
  <c r="X304" i="122" s="1"/>
  <c r="W296" i="122"/>
  <c r="X296" i="122" s="1"/>
  <c r="W288" i="122"/>
  <c r="X288" i="122" s="1"/>
  <c r="W280" i="122"/>
  <c r="W272" i="122"/>
  <c r="X272" i="122" s="1"/>
  <c r="W264" i="122"/>
  <c r="X264" i="122" s="1"/>
  <c r="W256" i="122"/>
  <c r="X256" i="122" s="1"/>
  <c r="W248" i="122"/>
  <c r="W240" i="122"/>
  <c r="X240" i="122" s="1"/>
  <c r="W232" i="122"/>
  <c r="X232" i="122" s="1"/>
  <c r="W224" i="122"/>
  <c r="X224" i="122" s="1"/>
  <c r="W216" i="122"/>
  <c r="X216" i="122" s="1"/>
  <c r="W208" i="122"/>
  <c r="X208" i="122" s="1"/>
  <c r="W200" i="122"/>
  <c r="X200" i="122" s="1"/>
  <c r="W192" i="122"/>
  <c r="X192" i="122" s="1"/>
  <c r="W184" i="122"/>
  <c r="W176" i="122"/>
  <c r="X176" i="122" s="1"/>
  <c r="W168" i="122"/>
  <c r="X168" i="122" s="1"/>
  <c r="M88" i="122"/>
  <c r="M87" i="122"/>
  <c r="W88" i="122"/>
  <c r="W87" i="122"/>
  <c r="X87" i="122" s="1"/>
  <c r="W83" i="122"/>
  <c r="X83" i="122" s="1"/>
  <c r="W79" i="122"/>
  <c r="W75" i="122"/>
  <c r="W71" i="122"/>
  <c r="X71" i="122" s="1"/>
  <c r="W67" i="122"/>
  <c r="X67" i="122" s="1"/>
  <c r="W63" i="122"/>
  <c r="W59" i="122"/>
  <c r="W55" i="122"/>
  <c r="X55" i="122" s="1"/>
  <c r="W51" i="122"/>
  <c r="X51" i="122" s="1"/>
  <c r="W47" i="122"/>
  <c r="W43" i="122"/>
  <c r="W39" i="122"/>
  <c r="X39" i="122" s="1"/>
  <c r="W35" i="122"/>
  <c r="X35" i="122" s="1"/>
  <c r="W31" i="122"/>
  <c r="W27" i="122"/>
  <c r="W23" i="122"/>
  <c r="X23" i="122" s="1"/>
  <c r="W19" i="122"/>
  <c r="X19" i="122" s="1"/>
  <c r="W15" i="122"/>
  <c r="W11" i="122"/>
  <c r="W7" i="122"/>
  <c r="X7" i="122" s="1"/>
  <c r="W3" i="122"/>
  <c r="X3" i="122" s="1"/>
  <c r="W86" i="122"/>
  <c r="W82" i="122"/>
  <c r="W78" i="122"/>
  <c r="X78" i="122" s="1"/>
  <c r="W74" i="122"/>
  <c r="X74" i="122" s="1"/>
  <c r="W70" i="122"/>
  <c r="W66" i="122"/>
  <c r="W62" i="122"/>
  <c r="X62" i="122" s="1"/>
  <c r="W58" i="122"/>
  <c r="X58" i="122" s="1"/>
  <c r="W54" i="122"/>
  <c r="W50" i="122"/>
  <c r="W46" i="122"/>
  <c r="X46" i="122" s="1"/>
  <c r="W42" i="122"/>
  <c r="X42" i="122" s="1"/>
  <c r="W38" i="122"/>
  <c r="W34" i="122"/>
  <c r="W30" i="122"/>
  <c r="X30" i="122" s="1"/>
  <c r="W26" i="122"/>
  <c r="X26" i="122" s="1"/>
  <c r="W22" i="122"/>
  <c r="W18" i="122"/>
  <c r="W14" i="122"/>
  <c r="X14" i="122" s="1"/>
  <c r="W10" i="122"/>
  <c r="X10" i="122" s="1"/>
  <c r="W6" i="122"/>
  <c r="W2" i="122"/>
  <c r="W85" i="122"/>
  <c r="W81" i="122"/>
  <c r="X81" i="122" s="1"/>
  <c r="W77" i="122"/>
  <c r="W73" i="122"/>
  <c r="W69" i="122"/>
  <c r="W65" i="122"/>
  <c r="X65" i="122" s="1"/>
  <c r="W61" i="122"/>
  <c r="W57" i="122"/>
  <c r="W53" i="122"/>
  <c r="W49" i="122"/>
  <c r="X49" i="122" s="1"/>
  <c r="W45" i="122"/>
  <c r="W41" i="122"/>
  <c r="W37" i="122"/>
  <c r="W33" i="122"/>
  <c r="X33" i="122" s="1"/>
  <c r="W29" i="122"/>
  <c r="W25" i="122"/>
  <c r="W21" i="122"/>
  <c r="W17" i="122"/>
  <c r="X17" i="122" s="1"/>
  <c r="W13" i="122"/>
  <c r="W9" i="122"/>
  <c r="W5" i="122"/>
  <c r="W84" i="122"/>
  <c r="X84" i="122" s="1"/>
  <c r="W80" i="122"/>
  <c r="X80" i="122" s="1"/>
  <c r="W76" i="122"/>
  <c r="X76" i="122" s="1"/>
  <c r="W72" i="122"/>
  <c r="X72" i="122" s="1"/>
  <c r="W68" i="122"/>
  <c r="X68" i="122" s="1"/>
  <c r="W64" i="122"/>
  <c r="X64" i="122" s="1"/>
  <c r="W60" i="122"/>
  <c r="X60" i="122" s="1"/>
  <c r="W56" i="122"/>
  <c r="X56" i="122" s="1"/>
  <c r="W52" i="122"/>
  <c r="X52" i="122" s="1"/>
  <c r="W48" i="122"/>
  <c r="X48" i="122" s="1"/>
  <c r="W44" i="122"/>
  <c r="X44" i="122" s="1"/>
  <c r="W40" i="122"/>
  <c r="X40" i="122" s="1"/>
  <c r="W36" i="122"/>
  <c r="X36" i="122" s="1"/>
  <c r="W32" i="122"/>
  <c r="X32" i="122" s="1"/>
  <c r="W28" i="122"/>
  <c r="X28" i="122" s="1"/>
  <c r="W24" i="122"/>
  <c r="X24" i="122" s="1"/>
  <c r="W20" i="122"/>
  <c r="X20" i="122" s="1"/>
  <c r="W16" i="122"/>
  <c r="X16" i="122" s="1"/>
  <c r="W12" i="122"/>
  <c r="X12" i="122" s="1"/>
  <c r="W8" i="122"/>
  <c r="X8" i="122" s="1"/>
  <c r="W4" i="122"/>
  <c r="X4" i="122" s="1"/>
  <c r="M83" i="122"/>
  <c r="M79" i="122"/>
  <c r="M75" i="122"/>
  <c r="M71" i="122"/>
  <c r="M67" i="122"/>
  <c r="M63" i="122"/>
  <c r="M59" i="122"/>
  <c r="M55" i="122"/>
  <c r="M51" i="122"/>
  <c r="M47" i="122"/>
  <c r="M43" i="122"/>
  <c r="M39" i="122"/>
  <c r="M35" i="122"/>
  <c r="M31" i="122"/>
  <c r="M27" i="122"/>
  <c r="M23" i="122"/>
  <c r="M19" i="122"/>
  <c r="M15" i="122"/>
  <c r="M11" i="122"/>
  <c r="M7" i="122"/>
  <c r="M3" i="122"/>
  <c r="M84" i="122"/>
  <c r="M80" i="122"/>
  <c r="M76" i="122"/>
  <c r="M72" i="122"/>
  <c r="M68" i="122"/>
  <c r="M64" i="122"/>
  <c r="M60" i="122"/>
  <c r="M56" i="122"/>
  <c r="M52" i="122"/>
  <c r="M48" i="122"/>
  <c r="M44" i="122"/>
  <c r="M40" i="122"/>
  <c r="M36" i="122"/>
  <c r="M32" i="122"/>
  <c r="M28" i="122"/>
  <c r="M24" i="122"/>
  <c r="M20" i="122"/>
  <c r="M16" i="122"/>
  <c r="M12" i="122"/>
  <c r="M8" i="122"/>
  <c r="M4" i="122"/>
  <c r="M86" i="122"/>
  <c r="M82" i="122"/>
  <c r="M78" i="122"/>
  <c r="M74" i="122"/>
  <c r="M70" i="122"/>
  <c r="M66" i="122"/>
  <c r="M62" i="122"/>
  <c r="M58" i="122"/>
  <c r="M54" i="122"/>
  <c r="M50" i="122"/>
  <c r="M46" i="122"/>
  <c r="M42" i="122"/>
  <c r="M38" i="122"/>
  <c r="M34" i="122"/>
  <c r="M30" i="122"/>
  <c r="M26" i="122"/>
  <c r="M22" i="122"/>
  <c r="M18" i="122"/>
  <c r="M14" i="122"/>
  <c r="M10" i="122"/>
  <c r="M6" i="122"/>
  <c r="M2" i="122"/>
  <c r="M85" i="122"/>
  <c r="M81" i="122"/>
  <c r="M77" i="122"/>
  <c r="M73" i="122"/>
  <c r="M69" i="122"/>
  <c r="M65" i="122"/>
  <c r="M61" i="122"/>
  <c r="M57" i="122"/>
  <c r="M53" i="122"/>
  <c r="M49" i="122"/>
  <c r="M45" i="122"/>
  <c r="M41" i="122"/>
  <c r="M37" i="122"/>
  <c r="M33" i="122"/>
  <c r="M29" i="122"/>
  <c r="M25" i="122"/>
  <c r="M21" i="122"/>
  <c r="M17" i="122"/>
  <c r="M13" i="122"/>
  <c r="M9" i="122"/>
  <c r="M5" i="122"/>
  <c r="CT19" i="8"/>
  <c r="CM19" i="8"/>
  <c r="CH11" i="109"/>
  <c r="S27" i="8"/>
  <c r="AG10" i="15"/>
  <c r="BC10" i="89"/>
  <c r="E96" i="9"/>
  <c r="H96" i="9" s="1"/>
  <c r="K96" i="9" s="1"/>
  <c r="N96" i="9" s="1"/>
  <c r="X10" i="109"/>
  <c r="CF10" i="109" s="1"/>
  <c r="Y3" i="109"/>
  <c r="CZ105" i="7"/>
  <c r="O41" i="8"/>
  <c r="O39" i="8"/>
  <c r="O42" i="8"/>
  <c r="O38" i="8"/>
  <c r="C98" i="9"/>
  <c r="C101" i="9" s="1"/>
  <c r="F95" i="9"/>
  <c r="I95" i="9" s="1"/>
  <c r="L95" i="9" s="1"/>
  <c r="O95" i="9" s="1"/>
  <c r="O40" i="8"/>
  <c r="S31" i="8"/>
  <c r="CZ105" i="3"/>
  <c r="P9" i="13"/>
  <c r="O2" i="13"/>
  <c r="C44" i="9"/>
  <c r="F44" i="9" s="1"/>
  <c r="I44" i="9" s="1"/>
  <c r="L44" i="9" s="1"/>
  <c r="O44" i="9" s="1"/>
  <c r="F41" i="9"/>
  <c r="I41" i="9" s="1"/>
  <c r="L41" i="9" s="1"/>
  <c r="O41" i="9" s="1"/>
  <c r="C14" i="88"/>
  <c r="CZ105" i="5"/>
  <c r="CZ105" i="4"/>
  <c r="U27" i="8"/>
  <c r="CZ105" i="6"/>
  <c r="X11" i="98"/>
  <c r="CF11" i="98" s="1"/>
  <c r="Y3" i="98"/>
  <c r="C3" i="13"/>
  <c r="C2" i="13"/>
  <c r="AK2" i="15"/>
  <c r="BC12" i="111"/>
  <c r="BF4" i="111"/>
  <c r="C62" i="9"/>
  <c r="F59" i="9"/>
  <c r="I59" i="9" s="1"/>
  <c r="L59" i="9" s="1"/>
  <c r="O59" i="9" s="1"/>
  <c r="CH17" i="98"/>
  <c r="B63" i="9"/>
  <c r="E63" i="9" s="1"/>
  <c r="H63" i="9" s="1"/>
  <c r="K63" i="9" s="1"/>
  <c r="N63" i="9" s="1"/>
  <c r="E60" i="9"/>
  <c r="H60" i="9" s="1"/>
  <c r="K60" i="9" s="1"/>
  <c r="N60" i="9" s="1"/>
  <c r="BF4" i="89"/>
  <c r="CG13" i="98"/>
  <c r="C26" i="9"/>
  <c r="B27" i="9"/>
  <c r="B30" i="9" s="1"/>
  <c r="C80" i="9"/>
  <c r="C83" i="9" s="1"/>
  <c r="F77" i="9"/>
  <c r="I77" i="9" s="1"/>
  <c r="L77" i="9" s="1"/>
  <c r="O77" i="9" s="1"/>
  <c r="S38" i="8"/>
  <c r="CF11" i="109"/>
  <c r="F5" i="9"/>
  <c r="I5" i="9" s="1"/>
  <c r="L5" i="9" s="1"/>
  <c r="O5" i="9" s="1"/>
  <c r="C8" i="9"/>
  <c r="C10" i="88"/>
  <c r="CG11" i="109"/>
  <c r="CE14" i="98"/>
  <c r="CH15" i="98"/>
  <c r="CE18" i="98"/>
  <c r="CG16" i="98"/>
  <c r="CG17" i="98"/>
  <c r="CE11" i="109"/>
  <c r="E88" i="15"/>
  <c r="S88" i="15" s="1"/>
  <c r="B88" i="15" s="1"/>
  <c r="R10" i="13"/>
  <c r="R13" i="13"/>
  <c r="R17" i="13"/>
  <c r="DL72" i="8"/>
  <c r="DD67" i="8" s="1"/>
  <c r="CD268" i="8"/>
  <c r="BW263" i="8" s="1"/>
  <c r="CD658" i="8"/>
  <c r="BW653" i="8" s="1"/>
  <c r="C13" i="13"/>
  <c r="R14" i="13"/>
  <c r="C17" i="13"/>
  <c r="R18" i="13"/>
  <c r="R12" i="13"/>
  <c r="R15" i="13"/>
  <c r="R19" i="13"/>
  <c r="CD578" i="8"/>
  <c r="BW573" i="8" s="1"/>
  <c r="E45" i="15"/>
  <c r="S45" i="15" s="1"/>
  <c r="B45" i="15" s="1"/>
  <c r="E60" i="15"/>
  <c r="S60" i="15" s="1"/>
  <c r="B60" i="15" s="1"/>
  <c r="BY19" i="8"/>
  <c r="AR31" i="8"/>
  <c r="AL26" i="8" s="1"/>
  <c r="C15" i="13"/>
  <c r="R16" i="13"/>
  <c r="E32" i="15"/>
  <c r="S32" i="15" s="1"/>
  <c r="B32" i="15" s="1"/>
  <c r="E40" i="15"/>
  <c r="S40" i="15" s="1"/>
  <c r="B40" i="15" s="1"/>
  <c r="E48" i="15"/>
  <c r="S48" i="15" s="1"/>
  <c r="B48" i="15" s="1"/>
  <c r="E82" i="15"/>
  <c r="S82" i="15" s="1"/>
  <c r="B82" i="15" s="1"/>
  <c r="EF31" i="8"/>
  <c r="EC25" i="8" s="1"/>
  <c r="EK31" i="8"/>
  <c r="EC26" i="8" s="1"/>
  <c r="R11" i="13"/>
  <c r="E89" i="15"/>
  <c r="S89" i="15" s="1"/>
  <c r="B89" i="15" s="1"/>
  <c r="M14" i="8"/>
  <c r="K8" i="8" s="1"/>
  <c r="AM31" i="8"/>
  <c r="AL25" i="8" s="1"/>
  <c r="BA72" i="8"/>
  <c r="AQ66" i="8" s="1"/>
  <c r="CD638" i="8"/>
  <c r="BW633" i="8" s="1"/>
  <c r="CF19" i="8"/>
  <c r="D15" i="111"/>
  <c r="R15" i="111" s="1"/>
  <c r="A15" i="111" s="1"/>
  <c r="R14" i="8"/>
  <c r="K9" i="8" s="1"/>
  <c r="CD198" i="8"/>
  <c r="BW193" i="8" s="1"/>
  <c r="CD458" i="8"/>
  <c r="BW453" i="8" s="1"/>
  <c r="AZ31" i="8"/>
  <c r="AY25" i="8" s="1"/>
  <c r="EA31" i="8"/>
  <c r="DU26" i="8" s="1"/>
  <c r="BG42" i="8"/>
  <c r="BF36" i="8" s="1"/>
  <c r="CD178" i="8"/>
  <c r="BW173" i="8" s="1"/>
  <c r="CD288" i="8"/>
  <c r="BW283" i="8" s="1"/>
  <c r="CD368" i="8"/>
  <c r="BW363" i="8" s="1"/>
  <c r="DV42" i="8"/>
  <c r="DN37" i="8" s="1"/>
  <c r="DR52" i="8"/>
  <c r="DJ47" i="8" s="1"/>
  <c r="CD118" i="8"/>
  <c r="BW113" i="8" s="1"/>
  <c r="CD388" i="8"/>
  <c r="BW383" i="8" s="1"/>
  <c r="CD478" i="8"/>
  <c r="BW473" i="8" s="1"/>
  <c r="CD558" i="8"/>
  <c r="BW553" i="8" s="1"/>
  <c r="BQ52" i="8"/>
  <c r="BK47" i="8" s="1"/>
  <c r="T59" i="8"/>
  <c r="M53" i="8" s="1"/>
  <c r="CD138" i="8"/>
  <c r="BW133" i="8" s="1"/>
  <c r="CD218" i="8"/>
  <c r="BW213" i="8" s="1"/>
  <c r="CD308" i="8"/>
  <c r="BW303" i="8" s="1"/>
  <c r="CD408" i="8"/>
  <c r="BW403" i="8" s="1"/>
  <c r="CD498" i="8"/>
  <c r="BW493" i="8" s="1"/>
  <c r="CD518" i="8"/>
  <c r="BW513" i="8" s="1"/>
  <c r="CD598" i="8"/>
  <c r="BW593" i="8" s="1"/>
  <c r="DM52" i="8"/>
  <c r="DJ46" i="8" s="1"/>
  <c r="AT72" i="8"/>
  <c r="AQ65" i="8" s="1"/>
  <c r="CD158" i="8"/>
  <c r="BW153" i="8" s="1"/>
  <c r="CD238" i="8"/>
  <c r="BW233" i="8" s="1"/>
  <c r="CD328" i="8"/>
  <c r="BW323" i="8" s="1"/>
  <c r="CD348" i="8"/>
  <c r="BW343" i="8" s="1"/>
  <c r="CD438" i="8"/>
  <c r="BW433" i="8" s="1"/>
  <c r="CD538" i="8"/>
  <c r="BW533" i="8" s="1"/>
  <c r="CD618" i="8"/>
  <c r="BW613" i="8" s="1"/>
  <c r="DO62" i="8"/>
  <c r="DG57" i="8" s="1"/>
  <c r="AR78" i="8"/>
  <c r="J79" i="8"/>
  <c r="H71" i="8" s="1"/>
  <c r="Q79" i="8"/>
  <c r="H72" i="8" s="1"/>
  <c r="AF79" i="8"/>
  <c r="CF82" i="8"/>
  <c r="BZ77" i="8" s="1"/>
  <c r="DE82" i="8"/>
  <c r="DB76" i="8" s="1"/>
  <c r="DJ82" i="8"/>
  <c r="DB77" i="8" s="1"/>
  <c r="AF85" i="8"/>
  <c r="CD108" i="8"/>
  <c r="BW103" i="8" s="1"/>
  <c r="CD128" i="8"/>
  <c r="BW123" i="8" s="1"/>
  <c r="CD148" i="8"/>
  <c r="BW143" i="8" s="1"/>
  <c r="CD168" i="8"/>
  <c r="BW163" i="8" s="1"/>
  <c r="CD188" i="8"/>
  <c r="BW183" i="8" s="1"/>
  <c r="CD208" i="8"/>
  <c r="BW203" i="8" s="1"/>
  <c r="CD228" i="8"/>
  <c r="BW223" i="8" s="1"/>
  <c r="CD248" i="8"/>
  <c r="BW243" i="8" s="1"/>
  <c r="CD338" i="8"/>
  <c r="BW333" i="8" s="1"/>
  <c r="CD358" i="8"/>
  <c r="BW353" i="8" s="1"/>
  <c r="CD378" i="8"/>
  <c r="BW373" i="8" s="1"/>
  <c r="CD398" i="8"/>
  <c r="BW393" i="8" s="1"/>
  <c r="CD418" i="8"/>
  <c r="BW413" i="8" s="1"/>
  <c r="CD508" i="8"/>
  <c r="BW503" i="8" s="1"/>
  <c r="CD528" i="8"/>
  <c r="BW523" i="8" s="1"/>
  <c r="CD548" i="8"/>
  <c r="BW543" i="8" s="1"/>
  <c r="CD568" i="8"/>
  <c r="BW563" i="8" s="1"/>
  <c r="CD588" i="8"/>
  <c r="BW583" i="8" s="1"/>
  <c r="CD608" i="8"/>
  <c r="BW603" i="8" s="1"/>
  <c r="CD628" i="8"/>
  <c r="BW623" i="8" s="1"/>
  <c r="CD648" i="8"/>
  <c r="BW643" i="8" s="1"/>
  <c r="CD258" i="8"/>
  <c r="BW253" i="8" s="1"/>
  <c r="CD278" i="8"/>
  <c r="BW273" i="8" s="1"/>
  <c r="CD298" i="8"/>
  <c r="BW293" i="8" s="1"/>
  <c r="CD318" i="8"/>
  <c r="BW313" i="8" s="1"/>
  <c r="CD428" i="8"/>
  <c r="BW423" i="8" s="1"/>
  <c r="CD448" i="8"/>
  <c r="BW443" i="8" s="1"/>
  <c r="CD468" i="8"/>
  <c r="BW463" i="8" s="1"/>
  <c r="CD488" i="8"/>
  <c r="BW483" i="8" s="1"/>
  <c r="Z14" i="98"/>
  <c r="F16" i="41"/>
  <c r="J16" i="41" s="1"/>
  <c r="B16" i="41" s="1"/>
  <c r="Z17" i="98"/>
  <c r="AG11" i="15"/>
  <c r="BC11" i="89"/>
  <c r="V17" i="89"/>
  <c r="CZ105" i="2"/>
  <c r="W3" i="89"/>
  <c r="AM4" i="15"/>
  <c r="AK4" i="15"/>
  <c r="G22" i="8"/>
  <c r="E22" i="8"/>
  <c r="C11" i="89"/>
  <c r="C18" i="89"/>
  <c r="O3" i="13"/>
  <c r="D3" i="89"/>
  <c r="CG12" i="98"/>
  <c r="CH12" i="98"/>
  <c r="CF12" i="98"/>
  <c r="CE12" i="98"/>
  <c r="D14" i="98"/>
  <c r="Q22" i="8"/>
  <c r="O22" i="8"/>
  <c r="BW121" i="8"/>
  <c r="BU119" i="8"/>
  <c r="BW119" i="8"/>
  <c r="X10" i="98"/>
  <c r="E3" i="109"/>
  <c r="E3" i="98"/>
  <c r="CH13" i="98"/>
  <c r="CE13" i="98"/>
  <c r="E99" i="9"/>
  <c r="H99" i="9" s="1"/>
  <c r="K99" i="9" s="1"/>
  <c r="N99" i="9" s="1"/>
  <c r="B102" i="9"/>
  <c r="CF14" i="98"/>
  <c r="CH14" i="98"/>
  <c r="CG15" i="98"/>
  <c r="CF15" i="98"/>
  <c r="CH16" i="98"/>
  <c r="CF16" i="98"/>
  <c r="B9" i="9"/>
  <c r="E6" i="9"/>
  <c r="H6" i="9" s="1"/>
  <c r="K6" i="9" s="1"/>
  <c r="N6" i="9" s="1"/>
  <c r="CG14" i="98"/>
  <c r="CE15" i="98"/>
  <c r="CE16" i="98"/>
  <c r="CG18" i="98"/>
  <c r="CH18" i="98"/>
  <c r="CF18" i="98"/>
  <c r="E78" i="9"/>
  <c r="H78" i="9" s="1"/>
  <c r="K78" i="9" s="1"/>
  <c r="N78" i="9" s="1"/>
  <c r="B81" i="9"/>
  <c r="CF17" i="98"/>
  <c r="CE17" i="98"/>
  <c r="W14" i="15"/>
  <c r="W24" i="15"/>
  <c r="P62" i="15"/>
  <c r="H16" i="41"/>
  <c r="P25" i="15"/>
  <c r="CB18" i="98"/>
  <c r="CB15" i="98"/>
  <c r="AA35" i="15"/>
  <c r="AA37" i="15"/>
  <c r="AA17" i="15"/>
  <c r="AA23" i="15"/>
  <c r="AA25" i="15"/>
  <c r="AA15" i="15"/>
  <c r="X35" i="15"/>
  <c r="X59" i="15"/>
  <c r="CJ11" i="109"/>
  <c r="L26" i="15"/>
  <c r="X49" i="15"/>
  <c r="X63" i="15"/>
  <c r="CB298" i="8"/>
  <c r="CI11" i="109"/>
  <c r="X37" i="15"/>
  <c r="X15" i="15"/>
  <c r="X43" i="15"/>
  <c r="CI15" i="98"/>
  <c r="X17" i="15"/>
  <c r="DY20" i="8"/>
  <c r="CR19" i="8"/>
  <c r="L62" i="15"/>
  <c r="L17" i="98"/>
  <c r="X55" i="15"/>
  <c r="W11" i="89"/>
  <c r="X25" i="15"/>
  <c r="X39" i="15"/>
  <c r="L25" i="15"/>
  <c r="DE72" i="8"/>
  <c r="X47" i="15"/>
  <c r="X31" i="15"/>
  <c r="X27" i="15"/>
  <c r="AK31" i="8"/>
  <c r="X51" i="15"/>
  <c r="CK19" i="8"/>
  <c r="X23" i="15"/>
  <c r="AP78" i="8"/>
  <c r="X9" i="122" l="1"/>
  <c r="X25" i="122"/>
  <c r="X41" i="122"/>
  <c r="X57" i="122"/>
  <c r="X73" i="122"/>
  <c r="X18" i="122"/>
  <c r="X34" i="122"/>
  <c r="X50" i="122"/>
  <c r="X66" i="122"/>
  <c r="X82" i="122"/>
  <c r="X11" i="122"/>
  <c r="X27" i="122"/>
  <c r="X43" i="122"/>
  <c r="X59" i="122"/>
  <c r="X75" i="122"/>
  <c r="X88" i="122"/>
  <c r="X151" i="122"/>
  <c r="X215" i="122"/>
  <c r="X263" i="122"/>
  <c r="X295" i="122"/>
  <c r="X327" i="122"/>
  <c r="X103" i="122"/>
  <c r="X135" i="122"/>
  <c r="X167" i="122"/>
  <c r="X199" i="122"/>
  <c r="X231" i="122"/>
  <c r="X259" i="122"/>
  <c r="X291" i="122"/>
  <c r="X323" i="122"/>
  <c r="X92" i="122"/>
  <c r="X101" i="122"/>
  <c r="X133" i="122"/>
  <c r="X165" i="122"/>
  <c r="X197" i="122"/>
  <c r="X229" i="122"/>
  <c r="X261" i="122"/>
  <c r="X293" i="122"/>
  <c r="X325" i="122"/>
  <c r="X159" i="122"/>
  <c r="X235" i="122"/>
  <c r="X156" i="122"/>
  <c r="X220" i="122"/>
  <c r="X276" i="122"/>
  <c r="X332" i="122"/>
  <c r="X13" i="122"/>
  <c r="X29" i="122"/>
  <c r="X45" i="122"/>
  <c r="X61" i="122"/>
  <c r="X77" i="122"/>
  <c r="X6" i="122"/>
  <c r="X22" i="122"/>
  <c r="X38" i="122"/>
  <c r="X54" i="122"/>
  <c r="X70" i="122"/>
  <c r="X86" i="122"/>
  <c r="X15" i="122"/>
  <c r="X31" i="122"/>
  <c r="X47" i="122"/>
  <c r="X63" i="122"/>
  <c r="X79" i="122"/>
  <c r="X184" i="122"/>
  <c r="X248" i="122"/>
  <c r="X280" i="122"/>
  <c r="X312" i="122"/>
  <c r="X344" i="122"/>
  <c r="X99" i="122"/>
  <c r="X163" i="122"/>
  <c r="X227" i="122"/>
  <c r="X271" i="122"/>
  <c r="X303" i="122"/>
  <c r="X335" i="122"/>
  <c r="X132" i="122"/>
  <c r="X152" i="122"/>
  <c r="X196" i="122"/>
  <c r="X111" i="122"/>
  <c r="X143" i="122"/>
  <c r="X175" i="122"/>
  <c r="X207" i="122"/>
  <c r="X239" i="122"/>
  <c r="X267" i="122"/>
  <c r="X299" i="122"/>
  <c r="X331" i="122"/>
  <c r="X89" i="122"/>
  <c r="X105" i="122"/>
  <c r="X121" i="122"/>
  <c r="X137" i="122"/>
  <c r="X153" i="122"/>
  <c r="X169" i="122"/>
  <c r="X185" i="122"/>
  <c r="X201" i="122"/>
  <c r="X217" i="122"/>
  <c r="X233" i="122"/>
  <c r="X249" i="122"/>
  <c r="X265" i="122"/>
  <c r="X281" i="122"/>
  <c r="X297" i="122"/>
  <c r="X313" i="122"/>
  <c r="X329" i="122"/>
  <c r="X345" i="122"/>
  <c r="X107" i="122"/>
  <c r="X171" i="122"/>
  <c r="X116" i="122"/>
  <c r="X180" i="122"/>
  <c r="X244" i="122"/>
  <c r="X284" i="122"/>
  <c r="X300" i="122"/>
  <c r="X340" i="122"/>
  <c r="X141" i="122"/>
  <c r="X205" i="122"/>
  <c r="X237" i="122"/>
  <c r="X127" i="122"/>
  <c r="X203" i="122"/>
  <c r="X124" i="122"/>
  <c r="X188" i="122"/>
  <c r="X252" i="122"/>
  <c r="X308" i="122"/>
  <c r="X348" i="122"/>
  <c r="X95" i="122"/>
  <c r="X5" i="122"/>
  <c r="X21" i="122"/>
  <c r="X37" i="122"/>
  <c r="X53" i="122"/>
  <c r="X69" i="122"/>
  <c r="X85" i="122"/>
  <c r="X195" i="122"/>
  <c r="X120" i="122"/>
  <c r="X164" i="122"/>
  <c r="X228" i="122"/>
  <c r="X91" i="122"/>
  <c r="X123" i="122"/>
  <c r="X155" i="122"/>
  <c r="X187" i="122"/>
  <c r="X219" i="122"/>
  <c r="X251" i="122"/>
  <c r="X283" i="122"/>
  <c r="X315" i="122"/>
  <c r="X347" i="122"/>
  <c r="X97" i="122"/>
  <c r="X113" i="122"/>
  <c r="X129" i="122"/>
  <c r="X145" i="122"/>
  <c r="X161" i="122"/>
  <c r="X177" i="122"/>
  <c r="X193" i="122"/>
  <c r="X209" i="122"/>
  <c r="X225" i="122"/>
  <c r="X241" i="122"/>
  <c r="X257" i="122"/>
  <c r="X273" i="122"/>
  <c r="X289" i="122"/>
  <c r="X305" i="122"/>
  <c r="X321" i="122"/>
  <c r="X337" i="122"/>
  <c r="X139" i="122"/>
  <c r="X223" i="122"/>
  <c r="X148" i="122"/>
  <c r="X212" i="122"/>
  <c r="X268" i="122"/>
  <c r="X316" i="122"/>
  <c r="X191" i="122"/>
  <c r="BZ13" i="8"/>
  <c r="BZ14" i="8"/>
  <c r="CN13" i="8"/>
  <c r="CN14" i="8"/>
  <c r="X11" i="89"/>
  <c r="Y39" i="15"/>
  <c r="AB39" i="15" s="1"/>
  <c r="U39" i="15" s="1"/>
  <c r="E25" i="15"/>
  <c r="S25" i="15" s="1"/>
  <c r="B25" i="15" s="1"/>
  <c r="E27" i="9"/>
  <c r="H27" i="9" s="1"/>
  <c r="K27" i="9" s="1"/>
  <c r="N27" i="9" s="1"/>
  <c r="Y35" i="15"/>
  <c r="AB35" i="15" s="1"/>
  <c r="U35" i="15" s="1"/>
  <c r="Y55" i="15"/>
  <c r="AB55" i="15" s="1"/>
  <c r="U55" i="15" s="1"/>
  <c r="Y47" i="15"/>
  <c r="AB47" i="15" s="1"/>
  <c r="U47" i="15" s="1"/>
  <c r="Y23" i="15"/>
  <c r="AB23" i="15" s="1"/>
  <c r="U23" i="15" s="1"/>
  <c r="B66" i="9"/>
  <c r="E66" i="9" s="1"/>
  <c r="H66" i="9" s="1"/>
  <c r="K66" i="9" s="1"/>
  <c r="N66" i="9" s="1"/>
  <c r="Y15" i="15"/>
  <c r="AB15" i="15" s="1"/>
  <c r="U15" i="15" s="1"/>
  <c r="Y51" i="15"/>
  <c r="AB51" i="15" s="1"/>
  <c r="U51" i="15" s="1"/>
  <c r="Y31" i="15"/>
  <c r="AB31" i="15" s="1"/>
  <c r="U31" i="15" s="1"/>
  <c r="Y59" i="15"/>
  <c r="AB59" i="15" s="1"/>
  <c r="U59" i="15" s="1"/>
  <c r="F98" i="9"/>
  <c r="I98" i="9" s="1"/>
  <c r="L98" i="9" s="1"/>
  <c r="O98" i="9" s="1"/>
  <c r="Y27" i="15"/>
  <c r="AB27" i="15" s="1"/>
  <c r="U27" i="15" s="1"/>
  <c r="Y49" i="15"/>
  <c r="AB49" i="15" s="1"/>
  <c r="U49" i="15" s="1"/>
  <c r="Y43" i="15"/>
  <c r="AB43" i="15" s="1"/>
  <c r="U43" i="15" s="1"/>
  <c r="E26" i="15"/>
  <c r="S26" i="15" s="1"/>
  <c r="B26" i="15" s="1"/>
  <c r="Y63" i="15"/>
  <c r="AB63" i="15" s="1"/>
  <c r="U63" i="15" s="1"/>
  <c r="Y37" i="15"/>
  <c r="AB37" i="15" s="1"/>
  <c r="U37" i="15" s="1"/>
  <c r="E62" i="15"/>
  <c r="S62" i="15" s="1"/>
  <c r="B62" i="15" s="1"/>
  <c r="Y17" i="15"/>
  <c r="AB17" i="15" s="1"/>
  <c r="U17" i="15" s="1"/>
  <c r="Y25" i="15"/>
  <c r="AB25" i="15" s="1"/>
  <c r="U25" i="15" s="1"/>
  <c r="C47" i="9"/>
  <c r="C50" i="9" s="1"/>
  <c r="C53" i="9" s="1"/>
  <c r="F53" i="9" s="1"/>
  <c r="I53" i="9" s="1"/>
  <c r="L53" i="9" s="1"/>
  <c r="O53" i="9" s="1"/>
  <c r="E17" i="98"/>
  <c r="S17" i="98" s="1"/>
  <c r="B17" i="98" s="1"/>
  <c r="CH10" i="109"/>
  <c r="CE10" i="109"/>
  <c r="H33" i="8"/>
  <c r="B12" i="111"/>
  <c r="F8" i="9"/>
  <c r="I8" i="9" s="1"/>
  <c r="L8" i="9" s="1"/>
  <c r="O8" i="9" s="1"/>
  <c r="C11" i="9"/>
  <c r="F11" i="9" s="1"/>
  <c r="I11" i="9" s="1"/>
  <c r="L11" i="9" s="1"/>
  <c r="O11" i="9" s="1"/>
  <c r="F26" i="9"/>
  <c r="I26" i="9" s="1"/>
  <c r="L26" i="9" s="1"/>
  <c r="O26" i="9" s="1"/>
  <c r="C29" i="9"/>
  <c r="C32" i="9" s="1"/>
  <c r="CG10" i="109"/>
  <c r="S13" i="13"/>
  <c r="T13" i="13" s="1"/>
  <c r="CH11" i="98"/>
  <c r="S17" i="13"/>
  <c r="T17" i="13" s="1"/>
  <c r="CG11" i="98"/>
  <c r="AL27" i="8"/>
  <c r="AT21" i="8" s="1"/>
  <c r="AT20" i="8" s="1"/>
  <c r="AR14" i="8" s="1"/>
  <c r="F80" i="9"/>
  <c r="I80" i="9" s="1"/>
  <c r="L80" i="9" s="1"/>
  <c r="O80" i="9" s="1"/>
  <c r="AQ67" i="8"/>
  <c r="AK60" i="8" s="1"/>
  <c r="S15" i="13"/>
  <c r="T15" i="13" s="1"/>
  <c r="CE11" i="98"/>
  <c r="C86" i="9"/>
  <c r="F83" i="9"/>
  <c r="I83" i="9" s="1"/>
  <c r="L83" i="9" s="1"/>
  <c r="O83" i="9" s="1"/>
  <c r="C65" i="9"/>
  <c r="F62" i="9"/>
  <c r="I62" i="9" s="1"/>
  <c r="L62" i="9" s="1"/>
  <c r="O62" i="9" s="1"/>
  <c r="F101" i="9"/>
  <c r="I101" i="9" s="1"/>
  <c r="L101" i="9" s="1"/>
  <c r="O101" i="9" s="1"/>
  <c r="C104" i="9"/>
  <c r="DJ48" i="8"/>
  <c r="DQ43" i="8" s="1"/>
  <c r="DQ42" i="8" s="1"/>
  <c r="DN36" i="8" s="1"/>
  <c r="DN38" i="8" s="1"/>
  <c r="DU32" i="8" s="1"/>
  <c r="DU31" i="8" s="1"/>
  <c r="DU25" i="8" s="1"/>
  <c r="DU27" i="8" s="1"/>
  <c r="EA21" i="8" s="1"/>
  <c r="EA20" i="8" s="1"/>
  <c r="DY14" i="8" s="1"/>
  <c r="B12" i="9"/>
  <c r="E9" i="9"/>
  <c r="H9" i="9" s="1"/>
  <c r="K9" i="9" s="1"/>
  <c r="N9" i="9" s="1"/>
  <c r="F29" i="9"/>
  <c r="I29" i="9" s="1"/>
  <c r="L29" i="9" s="1"/>
  <c r="O29" i="9" s="1"/>
  <c r="BV129" i="8"/>
  <c r="BW129" i="8"/>
  <c r="BW131" i="8"/>
  <c r="BU129" i="8"/>
  <c r="B69" i="9"/>
  <c r="B84" i="9"/>
  <c r="E81" i="9"/>
  <c r="H81" i="9" s="1"/>
  <c r="K81" i="9" s="1"/>
  <c r="N81" i="9" s="1"/>
  <c r="CE10" i="98"/>
  <c r="CF10" i="98"/>
  <c r="CG10" i="98"/>
  <c r="CH10" i="98"/>
  <c r="H26" i="8"/>
  <c r="B10" i="111"/>
  <c r="E30" i="9"/>
  <c r="H30" i="9" s="1"/>
  <c r="K30" i="9" s="1"/>
  <c r="N30" i="9" s="1"/>
  <c r="B33" i="9"/>
  <c r="E102" i="9"/>
  <c r="H102" i="9" s="1"/>
  <c r="K102" i="9" s="1"/>
  <c r="N102" i="9" s="1"/>
  <c r="B105" i="9"/>
  <c r="H27" i="8"/>
  <c r="B11" i="111"/>
  <c r="DB78" i="8"/>
  <c r="DG73" i="8" s="1"/>
  <c r="DG72" i="8" s="1"/>
  <c r="DD66" i="8" s="1"/>
  <c r="DD68" i="8" s="1"/>
  <c r="DJ63" i="8" s="1"/>
  <c r="DJ62" i="8" s="1"/>
  <c r="DG56" i="8" s="1"/>
  <c r="DG58" i="8" s="1"/>
  <c r="H73" i="8"/>
  <c r="K10" i="8"/>
  <c r="O3" i="8" s="1"/>
  <c r="EC27" i="8"/>
  <c r="EH21" i="8" s="1"/>
  <c r="EH20" i="8" s="1"/>
  <c r="DY15" i="8" s="1"/>
  <c r="D14" i="15"/>
  <c r="D13" i="15"/>
  <c r="CN15" i="8" l="1"/>
  <c r="F50" i="9"/>
  <c r="I50" i="9" s="1"/>
  <c r="L50" i="9" s="1"/>
  <c r="O50" i="9" s="1"/>
  <c r="C14" i="9"/>
  <c r="C17" i="9" s="1"/>
  <c r="F17" i="9" s="1"/>
  <c r="I17" i="9" s="1"/>
  <c r="L17" i="9" s="1"/>
  <c r="O17" i="9" s="1"/>
  <c r="F47" i="9"/>
  <c r="I47" i="9" s="1"/>
  <c r="L47" i="9" s="1"/>
  <c r="O47" i="9" s="1"/>
  <c r="BZ15" i="8"/>
  <c r="DY16" i="8"/>
  <c r="DX10" i="8" s="1"/>
  <c r="DX9" i="8" s="1"/>
  <c r="C68" i="9"/>
  <c r="F65" i="9"/>
  <c r="I65" i="9" s="1"/>
  <c r="L65" i="9" s="1"/>
  <c r="O65" i="9" s="1"/>
  <c r="C107" i="9"/>
  <c r="F107" i="9" s="1"/>
  <c r="I107" i="9" s="1"/>
  <c r="L107" i="9" s="1"/>
  <c r="O107" i="9" s="1"/>
  <c r="F104" i="9"/>
  <c r="I104" i="9" s="1"/>
  <c r="L104" i="9" s="1"/>
  <c r="O104" i="9" s="1"/>
  <c r="C89" i="9"/>
  <c r="F89" i="9" s="1"/>
  <c r="I89" i="9" s="1"/>
  <c r="L89" i="9" s="1"/>
  <c r="O89" i="9" s="1"/>
  <c r="F86" i="9"/>
  <c r="I86" i="9" s="1"/>
  <c r="L86" i="9" s="1"/>
  <c r="O86" i="9" s="1"/>
  <c r="BW141" i="8"/>
  <c r="BU139" i="8"/>
  <c r="BW139" i="8"/>
  <c r="BV139" i="8"/>
  <c r="B15" i="9"/>
  <c r="E12" i="9"/>
  <c r="H12" i="9" s="1"/>
  <c r="K12" i="9" s="1"/>
  <c r="N12" i="9" s="1"/>
  <c r="B36" i="9"/>
  <c r="E33" i="9"/>
  <c r="H33" i="9" s="1"/>
  <c r="K33" i="9" s="1"/>
  <c r="N33" i="9" s="1"/>
  <c r="D3" i="111"/>
  <c r="E84" i="9"/>
  <c r="H84" i="9" s="1"/>
  <c r="K84" i="9" s="1"/>
  <c r="N84" i="9" s="1"/>
  <c r="B87" i="9"/>
  <c r="C35" i="9"/>
  <c r="F35" i="9" s="1"/>
  <c r="I35" i="9" s="1"/>
  <c r="L35" i="9" s="1"/>
  <c r="O35" i="9" s="1"/>
  <c r="F32" i="9"/>
  <c r="I32" i="9" s="1"/>
  <c r="L32" i="9" s="1"/>
  <c r="O32" i="9" s="1"/>
  <c r="E105" i="9"/>
  <c r="H105" i="9" s="1"/>
  <c r="K105" i="9" s="1"/>
  <c r="N105" i="9" s="1"/>
  <c r="B108" i="9"/>
  <c r="E108" i="9" s="1"/>
  <c r="H108" i="9" s="1"/>
  <c r="K108" i="9" s="1"/>
  <c r="N108" i="9" s="1"/>
  <c r="H28" i="8"/>
  <c r="H32" i="8" s="1"/>
  <c r="H34" i="8" s="1"/>
  <c r="U10" i="111" s="1"/>
  <c r="E69" i="9"/>
  <c r="H69" i="9" s="1"/>
  <c r="K69" i="9" s="1"/>
  <c r="N69" i="9" s="1"/>
  <c r="B72" i="9"/>
  <c r="E72" i="9" s="1"/>
  <c r="H72" i="9" s="1"/>
  <c r="K72" i="9" s="1"/>
  <c r="N72" i="9" s="1"/>
  <c r="F14" i="9"/>
  <c r="I14" i="9" s="1"/>
  <c r="L14" i="9" s="1"/>
  <c r="O14" i="9" s="1"/>
  <c r="P14" i="15"/>
  <c r="L13" i="15"/>
  <c r="E13" i="15" l="1"/>
  <c r="S13" i="15" s="1"/>
  <c r="B13" i="15" s="1"/>
  <c r="C71" i="9"/>
  <c r="F71" i="9" s="1"/>
  <c r="I71" i="9" s="1"/>
  <c r="L71" i="9" s="1"/>
  <c r="O71" i="9" s="1"/>
  <c r="F68" i="9"/>
  <c r="I68" i="9" s="1"/>
  <c r="L68" i="9" s="1"/>
  <c r="O68" i="9" s="1"/>
  <c r="B90" i="9"/>
  <c r="E90" i="9" s="1"/>
  <c r="H90" i="9" s="1"/>
  <c r="K90" i="9" s="1"/>
  <c r="N90" i="9" s="1"/>
  <c r="E87" i="9"/>
  <c r="H87" i="9" s="1"/>
  <c r="K87" i="9" s="1"/>
  <c r="N87" i="9" s="1"/>
  <c r="B18" i="9"/>
  <c r="E18" i="9" s="1"/>
  <c r="H18" i="9" s="1"/>
  <c r="K18" i="9" s="1"/>
  <c r="N18" i="9" s="1"/>
  <c r="E15" i="9"/>
  <c r="H15" i="9" s="1"/>
  <c r="K15" i="9" s="1"/>
  <c r="N15" i="9" s="1"/>
  <c r="BV149" i="8"/>
  <c r="BW149" i="8"/>
  <c r="BW151" i="8"/>
  <c r="BU149" i="8"/>
  <c r="W3" i="111"/>
  <c r="B39" i="9"/>
  <c r="E36" i="9"/>
  <c r="H36" i="9" s="1"/>
  <c r="K36" i="9" s="1"/>
  <c r="N36" i="9" s="1"/>
  <c r="B42" i="9" l="1"/>
  <c r="E39" i="9"/>
  <c r="H39" i="9" s="1"/>
  <c r="K39" i="9" s="1"/>
  <c r="N39" i="9" s="1"/>
  <c r="BW161" i="8"/>
  <c r="BU159" i="8"/>
  <c r="BV159" i="8"/>
  <c r="BW159" i="8"/>
  <c r="W11" i="15"/>
  <c r="BV169" i="8" l="1"/>
  <c r="BW169" i="8"/>
  <c r="BU169" i="8"/>
  <c r="BW171" i="8"/>
  <c r="E42" i="9"/>
  <c r="H42" i="9" s="1"/>
  <c r="K42" i="9" s="1"/>
  <c r="N42" i="9" s="1"/>
  <c r="B45" i="9"/>
  <c r="BW181" i="8" l="1"/>
  <c r="BU179" i="8"/>
  <c r="BV179" i="8"/>
  <c r="BW179" i="8"/>
  <c r="E45" i="9"/>
  <c r="H45" i="9" s="1"/>
  <c r="K45" i="9" s="1"/>
  <c r="N45" i="9" s="1"/>
  <c r="B48" i="9"/>
  <c r="BV189" i="8" l="1"/>
  <c r="BW189" i="8"/>
  <c r="BU189" i="8"/>
  <c r="BW191" i="8"/>
  <c r="E48" i="9"/>
  <c r="H48" i="9" s="1"/>
  <c r="K48" i="9" s="1"/>
  <c r="N48" i="9" s="1"/>
  <c r="B51" i="9"/>
  <c r="B54" i="9" l="1"/>
  <c r="E54" i="9" s="1"/>
  <c r="H54" i="9" s="1"/>
  <c r="K54" i="9" s="1"/>
  <c r="N54" i="9" s="1"/>
  <c r="E51" i="9"/>
  <c r="H51" i="9" s="1"/>
  <c r="K51" i="9" s="1"/>
  <c r="N51" i="9" s="1"/>
  <c r="BW201" i="8"/>
  <c r="BU199" i="8"/>
  <c r="BW199" i="8"/>
  <c r="BV199" i="8"/>
  <c r="BV209" i="8" l="1"/>
  <c r="BW209" i="8"/>
  <c r="BW211" i="8"/>
  <c r="BU209" i="8"/>
  <c r="BW221" i="8" l="1"/>
  <c r="BU219" i="8"/>
  <c r="BV219" i="8"/>
  <c r="BW219" i="8"/>
  <c r="BX108" i="8" l="1"/>
  <c r="BW102" i="8" s="1"/>
  <c r="BW104" i="8" s="1"/>
  <c r="BX148" i="8"/>
  <c r="BW142" i="8" s="1"/>
  <c r="BW144" i="8" s="1"/>
  <c r="BX138" i="8"/>
  <c r="BW132" i="8" s="1"/>
  <c r="BW134" i="8" s="1"/>
  <c r="BX178" i="8"/>
  <c r="BW172" i="8" s="1"/>
  <c r="BW174" i="8" s="1"/>
  <c r="BX128" i="8"/>
  <c r="BW122" i="8" s="1"/>
  <c r="BW124" i="8" s="1"/>
  <c r="BX168" i="8"/>
  <c r="BW162" i="8" s="1"/>
  <c r="BW164" i="8" s="1"/>
  <c r="BX118" i="8"/>
  <c r="BW112" i="8" s="1"/>
  <c r="BW114" i="8" s="1"/>
  <c r="BX208" i="8"/>
  <c r="BW202" i="8" s="1"/>
  <c r="BW204" i="8" s="1"/>
  <c r="BX198" i="8"/>
  <c r="BW192" i="8" s="1"/>
  <c r="BW194" i="8" s="1"/>
  <c r="BX158" i="8"/>
  <c r="BW152" i="8" s="1"/>
  <c r="BW154" i="8" s="1"/>
  <c r="BX188" i="8"/>
  <c r="BW182" i="8" s="1"/>
  <c r="BW184" i="8" s="1"/>
  <c r="BX218" i="8"/>
  <c r="BW212" i="8" s="1"/>
  <c r="BW214" i="8" s="1"/>
  <c r="BV229" i="8"/>
  <c r="BW229" i="8"/>
  <c r="BW231" i="8"/>
  <c r="BU229" i="8"/>
  <c r="BX228" i="8" l="1"/>
  <c r="BW222" i="8" s="1"/>
  <c r="BW224" i="8" s="1"/>
  <c r="BW241" i="8"/>
  <c r="BU239" i="8"/>
  <c r="BV239" i="8"/>
  <c r="BW239" i="8"/>
  <c r="BX238" i="8" l="1"/>
  <c r="BW232" i="8" s="1"/>
  <c r="BW234" i="8" s="1"/>
  <c r="BV249" i="8"/>
  <c r="BX249" i="8" s="1"/>
  <c r="BW249" i="8"/>
  <c r="BU249" i="8"/>
  <c r="BW251" i="8"/>
  <c r="BX248" i="8" l="1"/>
  <c r="BW242" i="8" s="1"/>
  <c r="BW244" i="8" s="1"/>
  <c r="BW259" i="8"/>
  <c r="BW261" i="8"/>
  <c r="BU259" i="8"/>
  <c r="BV259" i="8"/>
  <c r="BX258" i="8" l="1"/>
  <c r="BW252" i="8" s="1"/>
  <c r="BW254" i="8" s="1"/>
  <c r="BU269" i="8"/>
  <c r="BV269" i="8"/>
  <c r="BW269" i="8"/>
  <c r="BW271" i="8"/>
  <c r="BW279" i="8" l="1"/>
  <c r="BW281" i="8"/>
  <c r="BU279" i="8"/>
  <c r="BV279" i="8"/>
  <c r="BX268" i="8"/>
  <c r="BW262" i="8" s="1"/>
  <c r="BW264" i="8" s="1"/>
  <c r="O13" i="89"/>
  <c r="K10" i="109"/>
  <c r="G95" i="15"/>
  <c r="I112" i="15"/>
  <c r="K105" i="15"/>
  <c r="K32" i="15"/>
  <c r="G15" i="98"/>
  <c r="J17" i="13"/>
  <c r="G23" i="15"/>
  <c r="K82" i="15"/>
  <c r="J20" i="89"/>
  <c r="AR10" i="89"/>
  <c r="AD10" i="89"/>
  <c r="G117" i="15"/>
  <c r="BH11" i="109"/>
  <c r="K73" i="15"/>
  <c r="P81" i="15"/>
  <c r="P14" i="98"/>
  <c r="K11" i="109"/>
  <c r="J19" i="89"/>
  <c r="I98" i="15"/>
  <c r="BY13" i="98"/>
  <c r="K68" i="15"/>
  <c r="K84" i="15"/>
  <c r="K111" i="15"/>
  <c r="M21" i="89"/>
  <c r="I118" i="15"/>
  <c r="G19" i="13"/>
  <c r="AB14" i="98"/>
  <c r="O10" i="89"/>
  <c r="BI13" i="98"/>
  <c r="I11" i="109"/>
  <c r="I74" i="15"/>
  <c r="G103" i="15"/>
  <c r="K67" i="15"/>
  <c r="I42" i="15"/>
  <c r="N51" i="15"/>
  <c r="BI15" i="98"/>
  <c r="G19" i="98"/>
  <c r="N72" i="15"/>
  <c r="AJ15" i="98"/>
  <c r="N22" i="15"/>
  <c r="Z10" i="89"/>
  <c r="BX10" i="109"/>
  <c r="I107" i="15"/>
  <c r="G33" i="15"/>
  <c r="I94" i="15"/>
  <c r="I122" i="15"/>
  <c r="L13" i="13"/>
  <c r="K116" i="15"/>
  <c r="BS16" i="98"/>
  <c r="G119" i="15"/>
  <c r="P15" i="15"/>
  <c r="N69" i="15"/>
  <c r="Z13" i="89"/>
  <c r="H10" i="89"/>
  <c r="AD12" i="111"/>
  <c r="AP13" i="111"/>
  <c r="I75" i="15"/>
  <c r="P39" i="15"/>
  <c r="AA44" i="15"/>
  <c r="P60" i="15"/>
  <c r="BY17" i="98"/>
  <c r="N43" i="15"/>
  <c r="AT16" i="89"/>
  <c r="P49" i="15"/>
  <c r="G109" i="15"/>
  <c r="AN15" i="89"/>
  <c r="F15" i="89"/>
  <c r="I39" i="15"/>
  <c r="G17" i="15"/>
  <c r="P117" i="15"/>
  <c r="I58" i="15"/>
  <c r="P53" i="15"/>
  <c r="I83" i="15"/>
  <c r="BI10" i="98"/>
  <c r="P88" i="15"/>
  <c r="G52" i="15"/>
  <c r="P35" i="15"/>
  <c r="I56" i="15"/>
  <c r="AA58" i="15"/>
  <c r="L14" i="13"/>
  <c r="M14" i="111"/>
  <c r="F10" i="89"/>
  <c r="AL14" i="89"/>
  <c r="N122" i="15"/>
  <c r="BS13" i="98"/>
  <c r="AY12" i="98"/>
  <c r="I117" i="15"/>
  <c r="N32" i="15"/>
  <c r="J11" i="13"/>
  <c r="AP16" i="89"/>
  <c r="H13" i="89"/>
  <c r="AW11" i="111"/>
  <c r="G56" i="15"/>
  <c r="I36" i="15"/>
  <c r="AA54" i="15"/>
  <c r="G18" i="15"/>
  <c r="G92" i="15"/>
  <c r="K109" i="15"/>
  <c r="E19" i="13"/>
  <c r="N41" i="15"/>
  <c r="AN13" i="111"/>
  <c r="N106" i="15"/>
  <c r="AD13" i="111"/>
  <c r="K93" i="15"/>
  <c r="P64" i="15"/>
  <c r="N119" i="15"/>
  <c r="K118" i="15"/>
  <c r="P13" i="98"/>
  <c r="AF18" i="89"/>
  <c r="K78" i="15"/>
  <c r="N98" i="15"/>
  <c r="P48" i="15"/>
  <c r="AP10" i="89"/>
  <c r="Z14" i="89"/>
  <c r="AF14" i="89"/>
  <c r="N62" i="15"/>
  <c r="AB10" i="109"/>
  <c r="E14" i="13"/>
  <c r="AN11" i="111"/>
  <c r="M20" i="89"/>
  <c r="AB15" i="98"/>
  <c r="G21" i="15"/>
  <c r="I68" i="15"/>
  <c r="P16" i="15"/>
  <c r="P118" i="15"/>
  <c r="AX10" i="109"/>
  <c r="P43" i="15"/>
  <c r="BI18" i="98"/>
  <c r="P119" i="15"/>
  <c r="G42" i="15"/>
  <c r="F14" i="111"/>
  <c r="K75" i="15"/>
  <c r="AB18" i="89"/>
  <c r="O14" i="89"/>
  <c r="AT14" i="98"/>
  <c r="K16" i="15"/>
  <c r="I53" i="15"/>
  <c r="K66" i="15"/>
  <c r="I97" i="15"/>
  <c r="F18" i="89"/>
  <c r="G14" i="13"/>
  <c r="G91" i="15"/>
  <c r="I69" i="15"/>
  <c r="AH17" i="89"/>
  <c r="G67" i="15"/>
  <c r="N58" i="15"/>
  <c r="K56" i="15"/>
  <c r="BI14" i="98"/>
  <c r="K14" i="98"/>
  <c r="O12" i="89"/>
  <c r="K85" i="15"/>
  <c r="M15" i="111"/>
  <c r="L10" i="13"/>
  <c r="I104" i="15"/>
  <c r="G12" i="98"/>
  <c r="AD10" i="109"/>
  <c r="J12" i="13"/>
  <c r="E17" i="13"/>
  <c r="N68" i="15"/>
  <c r="AT13" i="89"/>
  <c r="BY14" i="98"/>
  <c r="K63" i="15"/>
  <c r="AI11" i="109"/>
  <c r="G106" i="15"/>
  <c r="N13" i="15"/>
  <c r="I114" i="15"/>
  <c r="P44" i="15"/>
  <c r="AJ13" i="98"/>
  <c r="K106" i="15"/>
  <c r="I22" i="15"/>
  <c r="AW14" i="89"/>
  <c r="G10" i="13"/>
  <c r="I119" i="15"/>
  <c r="N46" i="15"/>
  <c r="I33" i="15"/>
  <c r="AR13" i="111"/>
  <c r="I10" i="98"/>
  <c r="K77" i="15"/>
  <c r="BY11" i="98"/>
  <c r="P57" i="15"/>
  <c r="G14" i="98"/>
  <c r="I19" i="98"/>
  <c r="K92" i="15"/>
  <c r="I37" i="15"/>
  <c r="AA38" i="15"/>
  <c r="K89" i="15"/>
  <c r="N123" i="15"/>
  <c r="AJ10" i="89"/>
  <c r="BY15" i="98"/>
  <c r="P42" i="15"/>
  <c r="G12" i="13"/>
  <c r="G31" i="15"/>
  <c r="AL11" i="111"/>
  <c r="G98" i="15"/>
  <c r="G49" i="15"/>
  <c r="G80" i="15"/>
  <c r="I20" i="15"/>
  <c r="K26" i="15"/>
  <c r="AP11" i="111"/>
  <c r="K88" i="15"/>
  <c r="AF10" i="89"/>
  <c r="AF13" i="111"/>
  <c r="AN13" i="89"/>
  <c r="AO13" i="98"/>
  <c r="AP14" i="89"/>
  <c r="K71" i="15"/>
  <c r="N35" i="15"/>
  <c r="M12" i="89"/>
  <c r="K46" i="15"/>
  <c r="K15" i="15"/>
  <c r="L18" i="13"/>
  <c r="I24" i="15"/>
  <c r="AB16" i="98"/>
  <c r="H14" i="41"/>
  <c r="P18" i="98"/>
  <c r="AN16" i="89"/>
  <c r="M16" i="89"/>
  <c r="P103" i="15"/>
  <c r="I102" i="15"/>
  <c r="L16" i="13"/>
  <c r="AW12" i="89"/>
  <c r="BX11" i="109"/>
  <c r="P45" i="15"/>
  <c r="AA24" i="15"/>
  <c r="AL15" i="89"/>
  <c r="K21" i="15"/>
  <c r="AL10" i="89"/>
  <c r="I108" i="15"/>
  <c r="N30" i="15"/>
  <c r="P56" i="15"/>
  <c r="G79" i="15"/>
  <c r="P36" i="15"/>
  <c r="AB15" i="89"/>
  <c r="G50" i="15"/>
  <c r="F16" i="89"/>
  <c r="G70" i="15"/>
  <c r="AJ18" i="98"/>
  <c r="AE17" i="98"/>
  <c r="K49" i="15"/>
  <c r="I87" i="15"/>
  <c r="N10" i="109"/>
  <c r="AN11" i="89"/>
  <c r="BD14" i="98"/>
  <c r="AW15" i="89"/>
  <c r="AR12" i="111"/>
  <c r="I106" i="15"/>
  <c r="G102" i="15"/>
  <c r="H13" i="111"/>
  <c r="AS10" i="109"/>
  <c r="N10" i="98"/>
  <c r="P38" i="15"/>
  <c r="AJ18" i="89"/>
  <c r="K74" i="15"/>
  <c r="J13" i="13"/>
  <c r="AW13" i="89"/>
  <c r="H15" i="89"/>
  <c r="AR12" i="89"/>
  <c r="G105" i="15"/>
  <c r="K114" i="15"/>
  <c r="N79" i="15"/>
  <c r="G57" i="15"/>
  <c r="F13" i="89"/>
  <c r="AR13" i="89"/>
  <c r="K100" i="15"/>
  <c r="K22" i="15"/>
  <c r="AY16" i="98"/>
  <c r="H19" i="89"/>
  <c r="G44" i="15"/>
  <c r="P115" i="15"/>
  <c r="I46" i="15"/>
  <c r="AT15" i="98"/>
  <c r="P68" i="15"/>
  <c r="N42" i="15"/>
  <c r="J21" i="89"/>
  <c r="K57" i="15"/>
  <c r="K90" i="15"/>
  <c r="G123" i="15"/>
  <c r="AJ16" i="98"/>
  <c r="BY18" i="98"/>
  <c r="I48" i="15"/>
  <c r="AL11" i="89"/>
  <c r="G122" i="15"/>
  <c r="AW11" i="89"/>
  <c r="P85" i="15"/>
  <c r="AY18" i="98"/>
  <c r="AL13" i="89"/>
  <c r="P12" i="98"/>
  <c r="K94" i="15"/>
  <c r="M18" i="89"/>
  <c r="AO10" i="98"/>
  <c r="AJ17" i="98"/>
  <c r="AB11" i="98"/>
  <c r="AT17" i="98"/>
  <c r="K19" i="15"/>
  <c r="AA41" i="15"/>
  <c r="AJ10" i="98"/>
  <c r="K37" i="15"/>
  <c r="AW12" i="111"/>
  <c r="N117" i="15"/>
  <c r="AA60" i="15"/>
  <c r="O15" i="89"/>
  <c r="G76" i="15"/>
  <c r="L12" i="13"/>
  <c r="BD12" i="98"/>
  <c r="AN11" i="109"/>
  <c r="J15" i="89"/>
  <c r="AD12" i="89"/>
  <c r="O16" i="89"/>
  <c r="N121" i="15"/>
  <c r="K81" i="15"/>
  <c r="O11" i="89"/>
  <c r="AH12" i="111"/>
  <c r="P105" i="15"/>
  <c r="BN14" i="98"/>
  <c r="AT12" i="89"/>
  <c r="CB16" i="98"/>
  <c r="I99" i="15"/>
  <c r="CB13" i="98"/>
  <c r="AA16" i="15"/>
  <c r="I100" i="15"/>
  <c r="N108" i="15"/>
  <c r="I16" i="15"/>
  <c r="K120" i="15"/>
  <c r="I49" i="15"/>
  <c r="Z15" i="89"/>
  <c r="I55" i="15"/>
  <c r="N64" i="15"/>
  <c r="J10" i="13"/>
  <c r="K91" i="15"/>
  <c r="P73" i="15"/>
  <c r="G43" i="15"/>
  <c r="J10" i="89"/>
  <c r="L19" i="13"/>
  <c r="AE12" i="98"/>
  <c r="P69" i="15"/>
  <c r="CB17" i="98"/>
  <c r="AD18" i="89"/>
  <c r="K69" i="15"/>
  <c r="P94" i="15"/>
  <c r="K18" i="98"/>
  <c r="K42" i="15"/>
  <c r="K39" i="15"/>
  <c r="G62" i="15"/>
  <c r="L17" i="13"/>
  <c r="N113" i="15"/>
  <c r="E12" i="13"/>
  <c r="I15" i="15"/>
  <c r="G55" i="15"/>
  <c r="BD10" i="98"/>
  <c r="I12" i="109"/>
  <c r="G87" i="15"/>
  <c r="N107" i="15"/>
  <c r="K13" i="15"/>
  <c r="N96" i="15"/>
  <c r="G51" i="15"/>
  <c r="AB10" i="98"/>
  <c r="I50" i="15"/>
  <c r="AJ12" i="98"/>
  <c r="G18" i="13"/>
  <c r="AF17" i="89"/>
  <c r="G47" i="15"/>
  <c r="G104" i="15"/>
  <c r="G12" i="109"/>
  <c r="K41" i="15"/>
  <c r="G28" i="15"/>
  <c r="G114" i="15"/>
  <c r="AJ15" i="89"/>
  <c r="BN13" i="98"/>
  <c r="K34" i="15"/>
  <c r="G39" i="15"/>
  <c r="AH16" i="89"/>
  <c r="K102" i="15"/>
  <c r="BS12" i="98"/>
  <c r="AD14" i="89"/>
  <c r="K64" i="15"/>
  <c r="K97" i="15"/>
  <c r="J16" i="89"/>
  <c r="BH10" i="109"/>
  <c r="BR11" i="109"/>
  <c r="AJ14" i="98"/>
  <c r="P19" i="15"/>
  <c r="I65" i="15"/>
  <c r="AY15" i="98"/>
  <c r="P55" i="15"/>
  <c r="J12" i="89"/>
  <c r="L9" i="13"/>
  <c r="I77" i="15"/>
  <c r="I81" i="15"/>
  <c r="G13" i="98"/>
  <c r="K23" i="15"/>
  <c r="G108" i="15"/>
  <c r="G118" i="15"/>
  <c r="G64" i="15"/>
  <c r="I79" i="15"/>
  <c r="N75" i="15"/>
  <c r="I21" i="15"/>
  <c r="G82" i="15"/>
  <c r="J17" i="89"/>
  <c r="I45" i="15"/>
  <c r="BR10" i="109"/>
  <c r="P31" i="15"/>
  <c r="N112" i="15"/>
  <c r="N61" i="15"/>
  <c r="I88" i="15"/>
  <c r="N110" i="15"/>
  <c r="AB17" i="89"/>
  <c r="I101" i="15"/>
  <c r="AP15" i="89"/>
  <c r="AT17" i="89"/>
  <c r="K119" i="15"/>
  <c r="AL12" i="89"/>
  <c r="Z16" i="89"/>
  <c r="I57" i="15"/>
  <c r="F15" i="111"/>
  <c r="I89" i="15"/>
  <c r="E16" i="13"/>
  <c r="J15" i="111"/>
  <c r="P52" i="15"/>
  <c r="E11" i="13"/>
  <c r="N34" i="15"/>
  <c r="G63" i="15"/>
  <c r="K27" i="15"/>
  <c r="K36" i="15"/>
  <c r="AP13" i="89"/>
  <c r="I72" i="15"/>
  <c r="K40" i="15"/>
  <c r="AF13" i="89"/>
  <c r="I82" i="15"/>
  <c r="G11" i="98"/>
  <c r="I14" i="15"/>
  <c r="I105" i="15"/>
  <c r="Z11" i="89"/>
  <c r="I17" i="15"/>
  <c r="N21" i="15"/>
  <c r="AO18" i="98"/>
  <c r="K72" i="15"/>
  <c r="P27" i="15"/>
  <c r="AW10" i="89"/>
  <c r="I115" i="15"/>
  <c r="N11" i="109"/>
  <c r="AT10" i="89"/>
  <c r="I91" i="15"/>
  <c r="I120" i="15"/>
  <c r="H13" i="41"/>
  <c r="AH14" i="89"/>
  <c r="BS14" i="98"/>
  <c r="I47" i="15"/>
  <c r="K52" i="15"/>
  <c r="K16" i="98"/>
  <c r="I32" i="15"/>
  <c r="N38" i="15"/>
  <c r="BN16" i="98"/>
  <c r="AP12" i="111"/>
  <c r="N50" i="15"/>
  <c r="AL12" i="111"/>
  <c r="P97" i="15"/>
  <c r="E15" i="13"/>
  <c r="K11" i="98"/>
  <c r="G20" i="15"/>
  <c r="N54" i="15"/>
  <c r="N18" i="98"/>
  <c r="AT13" i="98"/>
  <c r="H14" i="89"/>
  <c r="J14" i="89"/>
  <c r="K58" i="15"/>
  <c r="AB13" i="98"/>
  <c r="N99" i="15"/>
  <c r="AB13" i="89"/>
  <c r="K96" i="15"/>
  <c r="E9" i="13"/>
  <c r="AA26" i="15"/>
  <c r="P71" i="15"/>
  <c r="K38" i="15"/>
  <c r="AE16" i="98"/>
  <c r="N88" i="15"/>
  <c r="J13" i="89"/>
  <c r="N53" i="15"/>
  <c r="BS15" i="98"/>
  <c r="I78" i="15"/>
  <c r="AO15" i="98"/>
  <c r="N89" i="15"/>
  <c r="G45" i="15"/>
  <c r="G9" i="13"/>
  <c r="I111" i="15"/>
  <c r="BM10" i="109"/>
  <c r="CA10" i="109"/>
  <c r="AP11" i="89"/>
  <c r="AB18" i="98"/>
  <c r="G75" i="15"/>
  <c r="Z12" i="111"/>
  <c r="BN10" i="98"/>
  <c r="AT18" i="89"/>
  <c r="G73" i="15"/>
  <c r="G112" i="15"/>
  <c r="K98" i="15"/>
  <c r="AJ13" i="111"/>
  <c r="AJ14" i="89"/>
  <c r="BI12" i="98"/>
  <c r="AT15" i="89"/>
  <c r="K35" i="15"/>
  <c r="N103" i="15"/>
  <c r="I40" i="15"/>
  <c r="K30" i="15"/>
  <c r="Z18" i="89"/>
  <c r="I113" i="15"/>
  <c r="G69" i="15"/>
  <c r="K51" i="15"/>
  <c r="AD11" i="111"/>
  <c r="N27" i="15"/>
  <c r="BD15" i="98"/>
  <c r="N33" i="15"/>
  <c r="K121" i="15"/>
  <c r="BC11" i="109"/>
  <c r="G24" i="15"/>
  <c r="I44" i="15"/>
  <c r="G27" i="15"/>
  <c r="K104" i="15"/>
  <c r="AF11" i="111"/>
  <c r="I62" i="15"/>
  <c r="P28" i="15"/>
  <c r="G111" i="15"/>
  <c r="M10" i="89"/>
  <c r="K53" i="15"/>
  <c r="N86" i="15"/>
  <c r="AJ16" i="89"/>
  <c r="AB13" i="111"/>
  <c r="AO16" i="98"/>
  <c r="P23" i="15"/>
  <c r="P47" i="15"/>
  <c r="K47" i="15"/>
  <c r="K55" i="15"/>
  <c r="N29" i="15"/>
  <c r="I52" i="15"/>
  <c r="N45" i="15"/>
  <c r="I86" i="15"/>
  <c r="BN11" i="98"/>
  <c r="AA50" i="15"/>
  <c r="N31" i="15"/>
  <c r="G85" i="15"/>
  <c r="H21" i="89"/>
  <c r="AB12" i="98"/>
  <c r="G71" i="15"/>
  <c r="AR17" i="89"/>
  <c r="P32" i="15"/>
  <c r="AT13" i="111"/>
  <c r="P92" i="15"/>
  <c r="K17" i="98"/>
  <c r="CB11" i="98"/>
  <c r="G37" i="15"/>
  <c r="G110" i="15"/>
  <c r="N48" i="15"/>
  <c r="AR11" i="89"/>
  <c r="O21" i="89"/>
  <c r="AE13" i="98"/>
  <c r="I18" i="98"/>
  <c r="G10" i="109"/>
  <c r="F14" i="89"/>
  <c r="N73" i="15"/>
  <c r="N11" i="98"/>
  <c r="K28" i="15"/>
  <c r="CB10" i="98"/>
  <c r="F19" i="89"/>
  <c r="AI10" i="109"/>
  <c r="G115" i="15"/>
  <c r="N85" i="15"/>
  <c r="N97" i="15"/>
  <c r="P16" i="98"/>
  <c r="P13" i="15"/>
  <c r="N76" i="15"/>
  <c r="AB12" i="89"/>
  <c r="BN12" i="98"/>
  <c r="G30" i="15"/>
  <c r="O20" i="89"/>
  <c r="AO12" i="98"/>
  <c r="N91" i="15"/>
  <c r="L15" i="13"/>
  <c r="AE10" i="98"/>
  <c r="K14" i="15"/>
  <c r="K43" i="15"/>
  <c r="N78" i="15"/>
  <c r="CA11" i="109"/>
  <c r="N16" i="15"/>
  <c r="AH11" i="111"/>
  <c r="G100" i="15"/>
  <c r="P67" i="15"/>
  <c r="N101" i="15"/>
  <c r="G15" i="13"/>
  <c r="G17" i="13"/>
  <c r="AF15" i="89"/>
  <c r="P59" i="15"/>
  <c r="P10" i="109"/>
  <c r="M13" i="111"/>
  <c r="F12" i="89"/>
  <c r="G11" i="13"/>
  <c r="BS18" i="98"/>
  <c r="P93" i="15"/>
  <c r="J15" i="13"/>
  <c r="I84" i="15"/>
  <c r="AA20" i="15"/>
  <c r="K45" i="15"/>
  <c r="G60" i="15"/>
  <c r="P50" i="15"/>
  <c r="K108" i="15"/>
  <c r="N66" i="15"/>
  <c r="Z17" i="89"/>
  <c r="I26" i="15"/>
  <c r="K123" i="15"/>
  <c r="AL18" i="89"/>
  <c r="AB10" i="89"/>
  <c r="G18" i="98"/>
  <c r="AN12" i="89"/>
  <c r="P98" i="15"/>
  <c r="K48" i="15"/>
  <c r="AH13" i="89"/>
  <c r="L11" i="13"/>
  <c r="AH18" i="89"/>
  <c r="AF16" i="89"/>
  <c r="AR16" i="89"/>
  <c r="N84" i="15"/>
  <c r="AJ13" i="89"/>
  <c r="AO14" i="98"/>
  <c r="AH12" i="89"/>
  <c r="N77" i="15"/>
  <c r="N102" i="15"/>
  <c r="P11" i="98"/>
  <c r="AA46" i="15"/>
  <c r="AA34" i="15"/>
  <c r="AS11" i="109"/>
  <c r="K18" i="15"/>
  <c r="P34" i="15"/>
  <c r="P80" i="15"/>
  <c r="G13" i="13"/>
  <c r="AN10" i="109"/>
  <c r="K59" i="15"/>
  <c r="N120" i="15"/>
  <c r="AH10" i="89"/>
  <c r="AN17" i="89"/>
  <c r="AA19" i="15"/>
  <c r="G54" i="15"/>
  <c r="G99" i="15"/>
  <c r="G94" i="15"/>
  <c r="P63" i="15"/>
  <c r="N59" i="15"/>
  <c r="H17" i="89"/>
  <c r="N115" i="15"/>
  <c r="AT11" i="89"/>
  <c r="BD17" i="98"/>
  <c r="N16" i="98"/>
  <c r="P84" i="15"/>
  <c r="I23" i="15"/>
  <c r="N82" i="15"/>
  <c r="H16" i="89"/>
  <c r="I103" i="15"/>
  <c r="I54" i="15"/>
  <c r="P82" i="15"/>
  <c r="N60" i="15"/>
  <c r="N24" i="15"/>
  <c r="I109" i="15"/>
  <c r="K25" i="15"/>
  <c r="AD15" i="89"/>
  <c r="I10" i="109"/>
  <c r="I29" i="15"/>
  <c r="G107" i="15"/>
  <c r="G13" i="15"/>
  <c r="BY10" i="98"/>
  <c r="AY14" i="98"/>
  <c r="G59" i="15"/>
  <c r="K20" i="15"/>
  <c r="I31" i="15"/>
  <c r="I18" i="15"/>
  <c r="AY17" i="98"/>
  <c r="N17" i="98"/>
  <c r="K19" i="98"/>
  <c r="K54" i="15"/>
  <c r="AA62" i="15"/>
  <c r="G61" i="15"/>
  <c r="G68" i="15"/>
  <c r="K12" i="109"/>
  <c r="AR14" i="89"/>
  <c r="BD16" i="98"/>
  <c r="N57" i="15"/>
  <c r="I25" i="15"/>
  <c r="AD16" i="89"/>
  <c r="I14" i="98"/>
  <c r="P15" i="98"/>
  <c r="G66" i="15"/>
  <c r="N37" i="15"/>
  <c r="G22" i="15"/>
  <c r="BC10" i="109"/>
  <c r="M14" i="89"/>
  <c r="E10" i="13"/>
  <c r="N105" i="15"/>
  <c r="I67" i="15"/>
  <c r="AJ11" i="98"/>
  <c r="BN18" i="98"/>
  <c r="O14" i="111"/>
  <c r="AE11" i="98"/>
  <c r="K12" i="98"/>
  <c r="G120" i="15"/>
  <c r="I70" i="15"/>
  <c r="J14" i="13"/>
  <c r="N39" i="15"/>
  <c r="K15" i="98"/>
  <c r="AA33" i="15"/>
  <c r="I96" i="15"/>
  <c r="J14" i="111"/>
  <c r="I41" i="15"/>
  <c r="M19" i="89"/>
  <c r="BS11" i="98"/>
  <c r="G16" i="98"/>
  <c r="AH13" i="111"/>
  <c r="P37" i="15"/>
  <c r="I95" i="15"/>
  <c r="CB12" i="98"/>
  <c r="P76" i="15"/>
  <c r="I61" i="15"/>
  <c r="K86" i="15"/>
  <c r="P123" i="15"/>
  <c r="G101" i="15"/>
  <c r="AD17" i="89"/>
  <c r="P77" i="15"/>
  <c r="BD18" i="98"/>
  <c r="AJ17" i="89"/>
  <c r="AT12" i="98"/>
  <c r="I90" i="15"/>
  <c r="N104" i="15"/>
  <c r="N12" i="98"/>
  <c r="N26" i="15"/>
  <c r="K60" i="15"/>
  <c r="M17" i="89"/>
  <c r="G32" i="15"/>
  <c r="K44" i="15"/>
  <c r="AY11" i="98"/>
  <c r="I11" i="98"/>
  <c r="G83" i="15"/>
  <c r="N67" i="15"/>
  <c r="G58" i="15"/>
  <c r="BI16" i="98"/>
  <c r="N74" i="15"/>
  <c r="N109" i="15"/>
  <c r="P54" i="15"/>
  <c r="N19" i="15"/>
  <c r="H15" i="41"/>
  <c r="N63" i="15"/>
  <c r="I30" i="15"/>
  <c r="AR15" i="89"/>
  <c r="CB14" i="98"/>
  <c r="K50" i="15"/>
  <c r="AB11" i="111"/>
  <c r="AL17" i="89"/>
  <c r="G72" i="15"/>
  <c r="AP12" i="89"/>
  <c r="AA64" i="15"/>
  <c r="G86" i="15"/>
  <c r="AY10" i="98"/>
  <c r="AR11" i="111"/>
  <c r="P108" i="15"/>
  <c r="N65" i="15"/>
  <c r="N20" i="15"/>
  <c r="AL16" i="89"/>
  <c r="P95" i="15"/>
  <c r="E13" i="13"/>
  <c r="AN18" i="89"/>
  <c r="G29" i="15"/>
  <c r="AT11" i="98"/>
  <c r="AJ12" i="89"/>
  <c r="N18" i="15"/>
  <c r="K83" i="15"/>
  <c r="K113" i="15"/>
  <c r="G48" i="15"/>
  <c r="N87" i="15"/>
  <c r="G65" i="15"/>
  <c r="AT10" i="98"/>
  <c r="AP18" i="89"/>
  <c r="P70" i="15"/>
  <c r="G19" i="15"/>
  <c r="P96" i="15"/>
  <c r="AA56" i="15"/>
  <c r="G14" i="15"/>
  <c r="P121" i="15"/>
  <c r="I12" i="98"/>
  <c r="I92" i="15"/>
  <c r="AO11" i="98"/>
  <c r="P40" i="15"/>
  <c r="P111" i="15"/>
  <c r="N40" i="15"/>
  <c r="AJ11" i="89"/>
  <c r="AE18" i="98"/>
  <c r="Z12" i="89"/>
  <c r="I13" i="98"/>
  <c r="AW17" i="89"/>
  <c r="G36" i="15"/>
  <c r="G25" i="15"/>
  <c r="I73" i="15"/>
  <c r="K80" i="15"/>
  <c r="N90" i="15"/>
  <c r="J13" i="111"/>
  <c r="P51" i="15"/>
  <c r="K61" i="15"/>
  <c r="N83" i="15"/>
  <c r="J18" i="13"/>
  <c r="AA21" i="15"/>
  <c r="O15" i="111"/>
  <c r="I64" i="15"/>
  <c r="K107" i="15"/>
  <c r="G38" i="15"/>
  <c r="P114" i="15"/>
  <c r="AT11" i="111"/>
  <c r="AA42" i="15"/>
  <c r="N14" i="15"/>
  <c r="K29" i="15"/>
  <c r="I76" i="15"/>
  <c r="K33" i="15"/>
  <c r="G113" i="15"/>
  <c r="N13" i="98"/>
  <c r="N17" i="15"/>
  <c r="AJ11" i="111"/>
  <c r="P75" i="15"/>
  <c r="AT12" i="111"/>
  <c r="AR18" i="89"/>
  <c r="G88" i="15"/>
  <c r="G34" i="15"/>
  <c r="P18" i="15"/>
  <c r="K31" i="15"/>
  <c r="BI17" i="98"/>
  <c r="J19" i="13"/>
  <c r="AB17" i="98"/>
  <c r="AH11" i="89"/>
  <c r="P74" i="15"/>
  <c r="BN15" i="98"/>
  <c r="AE14" i="98"/>
  <c r="F13" i="111"/>
  <c r="G121" i="15"/>
  <c r="K79" i="15"/>
  <c r="AF11" i="89"/>
  <c r="O17" i="89"/>
  <c r="AX11" i="109"/>
  <c r="I85" i="15"/>
  <c r="N55" i="15"/>
  <c r="J18" i="89"/>
  <c r="N12" i="109"/>
  <c r="P19" i="98"/>
  <c r="G15" i="15"/>
  <c r="M11" i="89"/>
  <c r="G16" i="15"/>
  <c r="P78" i="15"/>
  <c r="N36" i="15"/>
  <c r="G81" i="15"/>
  <c r="N49" i="15"/>
  <c r="N25" i="15"/>
  <c r="G93" i="15"/>
  <c r="H18" i="89"/>
  <c r="K17" i="15"/>
  <c r="H12" i="89"/>
  <c r="K99" i="15"/>
  <c r="Z11" i="111"/>
  <c r="AW16" i="89"/>
  <c r="K117" i="15"/>
  <c r="I110" i="15"/>
  <c r="H15" i="111"/>
  <c r="G89" i="15"/>
  <c r="BD13" i="98"/>
  <c r="N93" i="15"/>
  <c r="P29" i="15"/>
  <c r="G11" i="109"/>
  <c r="K24" i="15"/>
  <c r="P107" i="15"/>
  <c r="AO17" i="98"/>
  <c r="BI11" i="98"/>
  <c r="G46" i="15"/>
  <c r="AA11" i="15"/>
  <c r="K87" i="15"/>
  <c r="Z13" i="111"/>
  <c r="P17" i="98"/>
  <c r="N116" i="15"/>
  <c r="H11" i="89"/>
  <c r="P122" i="15"/>
  <c r="G40" i="15"/>
  <c r="H20" i="89"/>
  <c r="N100" i="15"/>
  <c r="AA18" i="15"/>
  <c r="K62" i="15"/>
  <c r="I60" i="15"/>
  <c r="P72" i="15"/>
  <c r="G16" i="13"/>
  <c r="I80" i="15"/>
  <c r="G78" i="15"/>
  <c r="I13" i="15"/>
  <c r="AP17" i="89"/>
  <c r="BY12" i="98"/>
  <c r="BY16" i="98"/>
  <c r="G26" i="15"/>
  <c r="K70" i="15"/>
  <c r="F21" i="89"/>
  <c r="BM11" i="109"/>
  <c r="AN12" i="111"/>
  <c r="N111" i="15"/>
  <c r="N81" i="15"/>
  <c r="AD13" i="89"/>
  <c r="N114" i="15"/>
  <c r="BS10" i="98"/>
  <c r="BD11" i="98"/>
  <c r="G84" i="15"/>
  <c r="BS17" i="98"/>
  <c r="I116" i="15"/>
  <c r="O13" i="111"/>
  <c r="AA22" i="15"/>
  <c r="I38" i="15"/>
  <c r="BN17" i="98"/>
  <c r="G53" i="15"/>
  <c r="P10" i="98"/>
  <c r="J11" i="89"/>
  <c r="K65" i="15"/>
  <c r="N14" i="98"/>
  <c r="K110" i="15"/>
  <c r="AW13" i="111"/>
  <c r="AB12" i="111"/>
  <c r="AA14" i="15"/>
  <c r="AT18" i="98"/>
  <c r="AY13" i="98"/>
  <c r="P101" i="15"/>
  <c r="AB11" i="109"/>
  <c r="AD11" i="109"/>
  <c r="AD11" i="89"/>
  <c r="K112" i="15"/>
  <c r="K115" i="15"/>
  <c r="E18" i="13"/>
  <c r="AA48" i="15"/>
  <c r="AJ12" i="111"/>
  <c r="N15" i="98"/>
  <c r="AF12" i="111"/>
  <c r="N80" i="15"/>
  <c r="I28" i="15"/>
  <c r="G96" i="15"/>
  <c r="I123" i="15"/>
  <c r="G116" i="15"/>
  <c r="AB14" i="89"/>
  <c r="AT14" i="89"/>
  <c r="AE15" i="98"/>
  <c r="I71" i="15"/>
  <c r="P24" i="15"/>
  <c r="AN10" i="89"/>
  <c r="I121" i="15"/>
  <c r="P20" i="15"/>
  <c r="P89" i="15"/>
  <c r="AL13" i="111"/>
  <c r="O18" i="89"/>
  <c r="I66" i="15"/>
  <c r="I34" i="15"/>
  <c r="AA30" i="15"/>
  <c r="F20" i="89"/>
  <c r="F11" i="89"/>
  <c r="P90" i="15"/>
  <c r="N95" i="15"/>
  <c r="I17" i="98"/>
  <c r="K76" i="15"/>
  <c r="G41" i="15"/>
  <c r="N23" i="15"/>
  <c r="G35" i="15"/>
  <c r="G10" i="98"/>
  <c r="K12" i="89"/>
  <c r="W12" i="89"/>
  <c r="L94" i="15"/>
  <c r="CK17" i="98"/>
  <c r="Y11" i="98"/>
  <c r="ED31" i="8"/>
  <c r="X11" i="15"/>
  <c r="O65" i="15"/>
  <c r="L71" i="15"/>
  <c r="L97" i="15"/>
  <c r="CB418" i="8"/>
  <c r="CC15" i="98"/>
  <c r="L114" i="15"/>
  <c r="X60" i="15"/>
  <c r="X13" i="15"/>
  <c r="L14" i="98"/>
  <c r="BJ42" i="8"/>
  <c r="X40" i="15"/>
  <c r="W11" i="111"/>
  <c r="L15" i="98"/>
  <c r="BV148" i="8"/>
  <c r="L38" i="15"/>
  <c r="BV658" i="8"/>
  <c r="O58" i="15"/>
  <c r="X32" i="15"/>
  <c r="CB468" i="8"/>
  <c r="W13" i="111"/>
  <c r="H43" i="15"/>
  <c r="O116" i="15"/>
  <c r="Z29" i="15"/>
  <c r="AS16" i="98"/>
  <c r="BV118" i="8"/>
  <c r="L70" i="15"/>
  <c r="L43" i="15"/>
  <c r="AX31" i="8"/>
  <c r="Z23" i="15"/>
  <c r="O106" i="15"/>
  <c r="F90" i="15"/>
  <c r="CB378" i="8"/>
  <c r="CJ18" i="98" a="1"/>
  <c r="M44" i="15"/>
  <c r="AV18" i="89"/>
  <c r="BV318" i="8"/>
  <c r="L10" i="109"/>
  <c r="Z12" i="15"/>
  <c r="L77" i="15"/>
  <c r="K14" i="111"/>
  <c r="L96" i="15"/>
  <c r="DP52" i="8"/>
  <c r="AD72" i="8"/>
  <c r="BV368" i="8"/>
  <c r="L110" i="15"/>
  <c r="O62" i="15"/>
  <c r="CK15" i="98"/>
  <c r="O14" i="15"/>
  <c r="L53" i="15"/>
  <c r="L90" i="15"/>
  <c r="F17" i="98"/>
  <c r="L16" i="15"/>
  <c r="L36" i="15"/>
  <c r="CB248" i="8"/>
  <c r="L122" i="15"/>
  <c r="CI13" i="98"/>
  <c r="E17" i="89"/>
  <c r="CB388" i="8"/>
  <c r="L69" i="15"/>
  <c r="CB318" i="8"/>
  <c r="Z66" i="15"/>
  <c r="BV358" i="8"/>
  <c r="BW19" i="8"/>
  <c r="W10" i="89"/>
  <c r="M56" i="15"/>
  <c r="BV508" i="8"/>
  <c r="CL9" i="8"/>
  <c r="J122" i="15"/>
  <c r="BV628" i="8"/>
  <c r="W17" i="89"/>
  <c r="L27" i="15"/>
  <c r="L79" i="15"/>
  <c r="W14" i="89"/>
  <c r="Y13" i="98"/>
  <c r="Z49" i="15"/>
  <c r="F74" i="15"/>
  <c r="L24" i="15"/>
  <c r="X56" i="15"/>
  <c r="CB328" i="8"/>
  <c r="BV138" i="8"/>
  <c r="BV108" i="8"/>
  <c r="L29" i="15"/>
  <c r="DK52" i="8"/>
  <c r="H11" i="13"/>
  <c r="L58" i="15"/>
  <c r="X33" i="15"/>
  <c r="BV158" i="8"/>
  <c r="BP62" i="8"/>
  <c r="EI31" i="8"/>
  <c r="S37" i="8"/>
  <c r="CB198" i="8"/>
  <c r="K14" i="8"/>
  <c r="K13" i="111"/>
  <c r="X57" i="15"/>
  <c r="Z63" i="15"/>
  <c r="L75" i="15"/>
  <c r="O11" i="109"/>
  <c r="AW20" i="8"/>
  <c r="BT72" i="8"/>
  <c r="L28" i="15"/>
  <c r="Z57" i="15"/>
  <c r="BV208" i="8"/>
  <c r="H14" i="13"/>
  <c r="O109" i="15"/>
  <c r="CB178" i="8"/>
  <c r="L106" i="15"/>
  <c r="L76" i="15"/>
  <c r="BY82" i="8"/>
  <c r="CB548" i="8"/>
  <c r="CB228" i="8"/>
  <c r="H51" i="15"/>
  <c r="L104" i="15"/>
  <c r="K20" i="89"/>
  <c r="BV538" i="8"/>
  <c r="CB108" i="8"/>
  <c r="CB518" i="8"/>
  <c r="BV388" i="8"/>
  <c r="L39" i="15"/>
  <c r="CB288" i="8"/>
  <c r="BV258" i="8"/>
  <c r="Z59" i="15"/>
  <c r="BE42" i="8"/>
  <c r="DC82" i="8"/>
  <c r="O87" i="15"/>
  <c r="CK10" i="98"/>
  <c r="BJ52" i="8"/>
  <c r="L49" i="15"/>
  <c r="CB528" i="8"/>
  <c r="L98" i="15"/>
  <c r="H27" i="15"/>
  <c r="L55" i="15"/>
  <c r="L19" i="98"/>
  <c r="L47" i="15"/>
  <c r="L41" i="15"/>
  <c r="L99" i="15"/>
  <c r="BV578" i="8"/>
  <c r="X24" i="15"/>
  <c r="M92" i="15"/>
  <c r="BV378" i="8"/>
  <c r="H63" i="15"/>
  <c r="T9" i="8"/>
  <c r="F77" i="15"/>
  <c r="O120" i="15"/>
  <c r="L17" i="15"/>
  <c r="CB598" i="8"/>
  <c r="Y10" i="109"/>
  <c r="CB218" i="8"/>
  <c r="G12" i="41"/>
  <c r="L67" i="15"/>
  <c r="BV608" i="8"/>
  <c r="BV548" i="8"/>
  <c r="L118" i="15"/>
  <c r="CI10" i="109"/>
  <c r="BD31" i="8"/>
  <c r="E12" i="41"/>
  <c r="K14" i="89"/>
  <c r="K17" i="89"/>
  <c r="BV448" i="8"/>
  <c r="CJ13" i="98" a="1"/>
  <c r="X42" i="15"/>
  <c r="CB268" i="8"/>
  <c r="L18" i="15"/>
  <c r="CJ16" i="98" a="1"/>
  <c r="BV168" i="8"/>
  <c r="CB588" i="8"/>
  <c r="O41" i="15"/>
  <c r="CD19" i="8"/>
  <c r="CJ10" i="98" a="1"/>
  <c r="C12" i="111"/>
  <c r="L31" i="15"/>
  <c r="L102" i="15"/>
  <c r="X58" i="15"/>
  <c r="X46" i="15"/>
  <c r="O110" i="15"/>
  <c r="L116" i="15"/>
  <c r="L35" i="15"/>
  <c r="L105" i="15"/>
  <c r="L15" i="15"/>
  <c r="CD82" i="8"/>
  <c r="CB658" i="8"/>
  <c r="O102" i="15"/>
  <c r="BV528" i="8"/>
  <c r="CB188" i="8"/>
  <c r="L86" i="15"/>
  <c r="L57" i="15"/>
  <c r="Z65" i="15"/>
  <c r="BV458" i="8"/>
  <c r="O61" i="15"/>
  <c r="O46" i="15"/>
  <c r="L11" i="98"/>
  <c r="CJ15" i="98" a="1"/>
  <c r="CB578" i="8"/>
  <c r="BV268" i="8"/>
  <c r="W13" i="89"/>
  <c r="M47" i="15"/>
  <c r="DV9" i="8"/>
  <c r="CB208" i="8"/>
  <c r="DY31" i="8"/>
  <c r="BV618" i="8"/>
  <c r="O99" i="15"/>
  <c r="Y12" i="98"/>
  <c r="L51" i="15"/>
  <c r="M15" i="15"/>
  <c r="L87" i="15"/>
  <c r="H35" i="15"/>
  <c r="CB238" i="8"/>
  <c r="O112" i="15"/>
  <c r="BV428" i="8"/>
  <c r="BV238" i="8"/>
  <c r="X16" i="15"/>
  <c r="CI16" i="98"/>
  <c r="Y11" i="109"/>
  <c r="C13" i="88"/>
  <c r="BV408" i="8"/>
  <c r="L108" i="15"/>
  <c r="S34" i="8"/>
  <c r="BV298" i="8"/>
  <c r="Z28" i="15"/>
  <c r="BV308" i="8"/>
  <c r="O79" i="15"/>
  <c r="Z31" i="15"/>
  <c r="CB428" i="8"/>
  <c r="L20" i="15"/>
  <c r="H10" i="13"/>
  <c r="L121" i="15"/>
  <c r="K13" i="89"/>
  <c r="X20" i="15"/>
  <c r="CB508" i="8"/>
  <c r="X36" i="15"/>
  <c r="L117" i="15"/>
  <c r="L95" i="15"/>
  <c r="L64" i="15"/>
  <c r="G16" i="41"/>
  <c r="L46" i="15"/>
  <c r="Y16" i="98"/>
  <c r="L33" i="15"/>
  <c r="Z35" i="15"/>
  <c r="L44" i="15"/>
  <c r="G14" i="111"/>
  <c r="DJ72" i="8"/>
  <c r="L42" i="15"/>
  <c r="CB438" i="8"/>
  <c r="CB358" i="8"/>
  <c r="BV288" i="8"/>
  <c r="H16" i="98"/>
  <c r="CB408" i="8"/>
  <c r="M118" i="15"/>
  <c r="X29" i="15"/>
  <c r="O113" i="15"/>
  <c r="AR20" i="8"/>
  <c r="L80" i="15"/>
  <c r="CK16" i="98"/>
  <c r="CK14" i="98"/>
  <c r="CB448" i="8"/>
  <c r="CB128" i="8"/>
  <c r="BV598" i="8"/>
  <c r="CB638" i="8"/>
  <c r="AA11" i="89"/>
  <c r="L52" i="15"/>
  <c r="AM14" i="89"/>
  <c r="L109" i="15"/>
  <c r="L119" i="15"/>
  <c r="CJ11" i="98" a="1"/>
  <c r="L22" i="15"/>
  <c r="X12" i="15"/>
  <c r="AA16" i="89"/>
  <c r="O26" i="15"/>
  <c r="M19" i="98"/>
  <c r="CB398" i="8"/>
  <c r="DT42" i="8"/>
  <c r="S36" i="8"/>
  <c r="Z51" i="15"/>
  <c r="BV478" i="8"/>
  <c r="H15" i="98"/>
  <c r="BV638" i="8"/>
  <c r="L83" i="15"/>
  <c r="CB348" i="8"/>
  <c r="K11" i="89"/>
  <c r="BV188" i="8"/>
  <c r="CA15" i="98"/>
  <c r="E15" i="41"/>
  <c r="CK11" i="98"/>
  <c r="BV488" i="8"/>
  <c r="CB368" i="8"/>
  <c r="H18" i="13"/>
  <c r="CB168" i="8"/>
  <c r="AP31" i="8"/>
  <c r="Y15" i="98"/>
  <c r="X18" i="15"/>
  <c r="O21" i="15"/>
  <c r="Z45" i="15"/>
  <c r="X64" i="15"/>
  <c r="AG15" i="89"/>
  <c r="H59" i="15"/>
  <c r="L107" i="15"/>
  <c r="L13" i="98"/>
  <c r="L93" i="15"/>
  <c r="Z27" i="15"/>
  <c r="BV328" i="8"/>
  <c r="Z47" i="15"/>
  <c r="Z52" i="15"/>
  <c r="S35" i="8"/>
  <c r="X48" i="15"/>
  <c r="H16" i="13"/>
  <c r="O33" i="15"/>
  <c r="CB478" i="8"/>
  <c r="L63" i="15"/>
  <c r="CE9" i="8"/>
  <c r="L113" i="15"/>
  <c r="X38" i="15"/>
  <c r="L72" i="15"/>
  <c r="L19" i="15"/>
  <c r="L73" i="15"/>
  <c r="CB648" i="8"/>
  <c r="BV568" i="8"/>
  <c r="J95" i="15"/>
  <c r="L91" i="15"/>
  <c r="AR72" i="8"/>
  <c r="CK18" i="98"/>
  <c r="BV198" i="8"/>
  <c r="BV468" i="8"/>
  <c r="O66" i="15"/>
  <c r="CB498" i="8"/>
  <c r="L111" i="15"/>
  <c r="BO52" i="8"/>
  <c r="J13" i="98"/>
  <c r="O100" i="15"/>
  <c r="CB278" i="8"/>
  <c r="CK13" i="98"/>
  <c r="BV218" i="8"/>
  <c r="Y18" i="98"/>
  <c r="Z61" i="15"/>
  <c r="O12" i="109"/>
  <c r="Z25" i="15"/>
  <c r="BV648" i="8"/>
  <c r="BV348" i="8"/>
  <c r="L30" i="15"/>
  <c r="DO42" i="8"/>
  <c r="K16" i="89"/>
  <c r="O79" i="8"/>
  <c r="L61" i="15"/>
  <c r="DH62" i="8"/>
  <c r="O86" i="15"/>
  <c r="CB608" i="8"/>
  <c r="O17" i="15"/>
  <c r="CB628" i="8"/>
  <c r="X41" i="15"/>
  <c r="CJ17" i="98" a="1"/>
  <c r="H79" i="8"/>
  <c r="AX18" i="89"/>
  <c r="BV398" i="8"/>
  <c r="CB308" i="8"/>
  <c r="L112" i="15"/>
  <c r="CB458" i="8"/>
  <c r="L50" i="15"/>
  <c r="DM62" i="8"/>
  <c r="DS31" i="8"/>
  <c r="X44" i="15"/>
  <c r="K15" i="89"/>
  <c r="CI14" i="98"/>
  <c r="X53" i="15"/>
  <c r="CI10" i="98"/>
  <c r="X61" i="15"/>
  <c r="H93" i="15"/>
  <c r="DH82" i="8"/>
  <c r="L13" i="89"/>
  <c r="L59" i="15"/>
  <c r="AD66" i="8"/>
  <c r="K66" i="8"/>
  <c r="Z11" i="15"/>
  <c r="X22" i="15"/>
  <c r="L74" i="15"/>
  <c r="L10" i="98"/>
  <c r="L81" i="15"/>
  <c r="W16" i="89"/>
  <c r="Y10" i="98"/>
  <c r="Z15" i="15"/>
  <c r="L23" i="15"/>
  <c r="L78" i="15"/>
  <c r="X30" i="15"/>
  <c r="M94" i="15"/>
  <c r="L54" i="15"/>
  <c r="Q9" i="13"/>
  <c r="L56" i="15"/>
  <c r="CB148" i="8"/>
  <c r="I9" i="13"/>
  <c r="O25" i="15"/>
  <c r="AE12" i="89"/>
  <c r="Z43" i="15"/>
  <c r="CB158" i="8"/>
  <c r="CI17" i="98"/>
  <c r="L123" i="15"/>
  <c r="CB618" i="8"/>
  <c r="L66" i="15"/>
  <c r="BV518" i="8"/>
  <c r="BV228" i="8"/>
  <c r="L16" i="98"/>
  <c r="X54" i="15"/>
  <c r="X34" i="15"/>
  <c r="CC18" i="98"/>
  <c r="H19" i="15"/>
  <c r="L37" i="15"/>
  <c r="L12" i="109"/>
  <c r="L120" i="15"/>
  <c r="CK12" i="98"/>
  <c r="M71" i="15"/>
  <c r="X65" i="15"/>
  <c r="Z32" i="15"/>
  <c r="CB258" i="8"/>
  <c r="BV248" i="8"/>
  <c r="H12" i="13"/>
  <c r="W18" i="89"/>
  <c r="X14" i="15"/>
  <c r="X50" i="15"/>
  <c r="R59" i="8"/>
  <c r="CJ10" i="109"/>
  <c r="BV558" i="8"/>
  <c r="Z37" i="15"/>
  <c r="CB568" i="8"/>
  <c r="L12" i="98"/>
  <c r="H19" i="13"/>
  <c r="K10" i="89"/>
  <c r="BY72" i="8"/>
  <c r="CB538" i="8"/>
  <c r="L65" i="15"/>
  <c r="BV418" i="8"/>
  <c r="O91" i="15"/>
  <c r="J10" i="98"/>
  <c r="BV588" i="8"/>
  <c r="CB138" i="8"/>
  <c r="O83" i="15"/>
  <c r="I16" i="13"/>
  <c r="E14" i="41"/>
  <c r="J103" i="15"/>
  <c r="K21" i="89"/>
  <c r="E13" i="41"/>
  <c r="CA18" i="98"/>
  <c r="L15" i="89"/>
  <c r="CB118" i="8"/>
  <c r="L85" i="15"/>
  <c r="CI12" i="98"/>
  <c r="CB488" i="8"/>
  <c r="K5" i="88"/>
  <c r="Z55" i="15"/>
  <c r="BV178" i="8"/>
  <c r="Z36" i="15"/>
  <c r="Z39" i="15"/>
  <c r="BB9" i="8"/>
  <c r="L18" i="98"/>
  <c r="O30" i="15"/>
  <c r="Z53" i="15"/>
  <c r="M52" i="15"/>
  <c r="X21" i="15"/>
  <c r="K59" i="8"/>
  <c r="Z40" i="15"/>
  <c r="X66" i="15"/>
  <c r="F97" i="15"/>
  <c r="X26" i="15"/>
  <c r="L92" i="15"/>
  <c r="CJ14" i="98" a="1"/>
  <c r="BV278" i="8"/>
  <c r="CJ12" i="98" a="1"/>
  <c r="L103" i="15"/>
  <c r="X19" i="15"/>
  <c r="L34" i="15"/>
  <c r="BU62" i="8"/>
  <c r="CB558" i="8"/>
  <c r="X62" i="15"/>
  <c r="O22" i="15"/>
  <c r="M70" i="15"/>
  <c r="BV438" i="8"/>
  <c r="L115" i="15"/>
  <c r="W15" i="89"/>
  <c r="BV338" i="8"/>
  <c r="X45" i="15"/>
  <c r="L68" i="15"/>
  <c r="K18" i="89"/>
  <c r="L21" i="15"/>
  <c r="L101" i="15"/>
  <c r="W12" i="111"/>
  <c r="AY72" i="8"/>
  <c r="X52" i="15"/>
  <c r="P14" i="8"/>
  <c r="EF20" i="8"/>
  <c r="K19" i="89"/>
  <c r="L11" i="109"/>
  <c r="AD79" i="8"/>
  <c r="H9" i="13"/>
  <c r="Z17" i="15"/>
  <c r="Z13" i="15"/>
  <c r="M28" i="15"/>
  <c r="CI11" i="98"/>
  <c r="CB338" i="8"/>
  <c r="BV498" i="8"/>
  <c r="C11" i="111"/>
  <c r="L100" i="15"/>
  <c r="L14" i="15"/>
  <c r="BV128" i="8"/>
  <c r="N19" i="89"/>
  <c r="L84" i="15"/>
  <c r="J101" i="15"/>
  <c r="O104" i="15"/>
  <c r="X28" i="15"/>
  <c r="AD85" i="8"/>
  <c r="BL52" i="8" l="1"/>
  <c r="BK46" i="8" s="1"/>
  <c r="BK48" i="8" s="1"/>
  <c r="BL43" i="8" s="1"/>
  <c r="BL42" i="8" s="1"/>
  <c r="BF37" i="8" s="1"/>
  <c r="BF38" i="8" s="1"/>
  <c r="BF32" i="8" s="1"/>
  <c r="BF31" i="8" s="1"/>
  <c r="AY26" i="8" s="1"/>
  <c r="AY27" i="8" s="1"/>
  <c r="AY21" i="8" s="1"/>
  <c r="AY20" i="8" s="1"/>
  <c r="AR15" i="8" s="1"/>
  <c r="AR16" i="8" s="1"/>
  <c r="BD10" i="8" s="1"/>
  <c r="BD9" i="8" s="1"/>
  <c r="E98" i="15"/>
  <c r="S98" i="15" s="1"/>
  <c r="B98" i="15" s="1"/>
  <c r="Y28" i="15"/>
  <c r="AB28" i="15" s="1"/>
  <c r="U28" i="15" s="1"/>
  <c r="E39" i="15"/>
  <c r="S39" i="15" s="1"/>
  <c r="B39" i="15" s="1"/>
  <c r="Z10" i="98"/>
  <c r="R101" i="15"/>
  <c r="E49" i="15"/>
  <c r="S49" i="15" s="1"/>
  <c r="B49" i="15" s="1"/>
  <c r="E84" i="15"/>
  <c r="S84" i="15" s="1"/>
  <c r="B84" i="15" s="1"/>
  <c r="X16" i="89"/>
  <c r="E81" i="15"/>
  <c r="S81" i="15" s="1"/>
  <c r="B81" i="15" s="1"/>
  <c r="E80" i="15"/>
  <c r="S80" i="15" s="1"/>
  <c r="B80" i="15" s="1"/>
  <c r="E10" i="98"/>
  <c r="S10" i="98" s="1"/>
  <c r="B10" i="98" s="1"/>
  <c r="D20" i="89"/>
  <c r="R20" i="89" s="1"/>
  <c r="A20" i="89" s="1"/>
  <c r="E14" i="15"/>
  <c r="S14" i="15" s="1"/>
  <c r="B14" i="15" s="1"/>
  <c r="E74" i="15"/>
  <c r="S74" i="15" s="1"/>
  <c r="B74" i="15" s="1"/>
  <c r="E104" i="15"/>
  <c r="S104" i="15" s="1"/>
  <c r="B104" i="15" s="1"/>
  <c r="E100" i="15"/>
  <c r="S100" i="15" s="1"/>
  <c r="B100" i="15" s="1"/>
  <c r="Y22" i="15"/>
  <c r="AB22" i="15" s="1"/>
  <c r="U22" i="15" s="1"/>
  <c r="Y29" i="15"/>
  <c r="AB29" i="15" s="1"/>
  <c r="U29" i="15" s="1"/>
  <c r="M66" i="8"/>
  <c r="M60" i="8" s="1"/>
  <c r="M59" i="8" s="1"/>
  <c r="M52" i="8" s="1"/>
  <c r="M54" i="8" s="1"/>
  <c r="AF66" i="8"/>
  <c r="AK59" i="8" s="1"/>
  <c r="AK61" i="8" s="1"/>
  <c r="CA82" i="8"/>
  <c r="BZ76" i="8" s="1"/>
  <c r="BZ78" i="8" s="1"/>
  <c r="CA73" i="8" s="1"/>
  <c r="CA72" i="8" s="1"/>
  <c r="BU67" i="8" s="1"/>
  <c r="E59" i="15"/>
  <c r="S59" i="15" s="1"/>
  <c r="B59" i="15" s="1"/>
  <c r="E76" i="15"/>
  <c r="S76" i="15" s="1"/>
  <c r="B76" i="15" s="1"/>
  <c r="E106" i="15"/>
  <c r="S106" i="15" s="1"/>
  <c r="B106" i="15" s="1"/>
  <c r="E42" i="15"/>
  <c r="S42" i="15" s="1"/>
  <c r="B42" i="15" s="1"/>
  <c r="C9" i="13"/>
  <c r="Y61" i="15"/>
  <c r="AB61" i="15" s="1"/>
  <c r="U61" i="15" s="1"/>
  <c r="C14" i="13"/>
  <c r="S14" i="13" s="1"/>
  <c r="T14" i="13" s="1"/>
  <c r="E11" i="109"/>
  <c r="S11" i="109" s="1"/>
  <c r="B11" i="109" s="1"/>
  <c r="Y53" i="15"/>
  <c r="AB53" i="15" s="1"/>
  <c r="U53" i="15" s="1"/>
  <c r="E44" i="15"/>
  <c r="S44" i="15" s="1"/>
  <c r="B44" i="15" s="1"/>
  <c r="D19" i="89"/>
  <c r="R19" i="89" s="1"/>
  <c r="A19" i="89" s="1"/>
  <c r="E28" i="15"/>
  <c r="S28" i="15" s="1"/>
  <c r="B28" i="15" s="1"/>
  <c r="D15" i="89"/>
  <c r="R15" i="89" s="1"/>
  <c r="A15" i="89" s="1"/>
  <c r="E33" i="15"/>
  <c r="S33" i="15" s="1"/>
  <c r="B33" i="15" s="1"/>
  <c r="BV72" i="8"/>
  <c r="BU66" i="8" s="1"/>
  <c r="Y44" i="15"/>
  <c r="AB44" i="15" s="1"/>
  <c r="U44" i="15" s="1"/>
  <c r="Z16" i="98"/>
  <c r="Y52" i="15"/>
  <c r="AB52" i="15" s="1"/>
  <c r="U52" i="15" s="1"/>
  <c r="E46" i="15"/>
  <c r="S46" i="15" s="1"/>
  <c r="B46" i="15" s="1"/>
  <c r="E75" i="15"/>
  <c r="S75" i="15" s="1"/>
  <c r="B75" i="15" s="1"/>
  <c r="X12" i="111"/>
  <c r="E50" i="15"/>
  <c r="S50" i="15" s="1"/>
  <c r="B50" i="15" s="1"/>
  <c r="E64" i="15"/>
  <c r="S64" i="15" s="1"/>
  <c r="B64" i="15" s="1"/>
  <c r="E101" i="15"/>
  <c r="S101" i="15" s="1"/>
  <c r="B101" i="15" s="1"/>
  <c r="E95" i="15"/>
  <c r="S95" i="15" s="1"/>
  <c r="B95" i="15" s="1"/>
  <c r="Y57" i="15"/>
  <c r="AB57" i="15" s="1"/>
  <c r="U57" i="15" s="1"/>
  <c r="E21" i="15"/>
  <c r="S21" i="15" s="1"/>
  <c r="B21" i="15" s="1"/>
  <c r="E112" i="15"/>
  <c r="S112" i="15" s="1"/>
  <c r="B112" i="15" s="1"/>
  <c r="E117" i="15"/>
  <c r="S117" i="15" s="1"/>
  <c r="B117" i="15" s="1"/>
  <c r="D13" i="111"/>
  <c r="R13" i="111" s="1"/>
  <c r="A13" i="111" s="1"/>
  <c r="D18" i="89"/>
  <c r="R18" i="89" s="1"/>
  <c r="A18" i="89" s="1"/>
  <c r="Y36" i="15"/>
  <c r="AB36" i="15" s="1"/>
  <c r="U36" i="15" s="1"/>
  <c r="E68" i="15"/>
  <c r="S68" i="15" s="1"/>
  <c r="B68" i="15" s="1"/>
  <c r="Y45" i="15"/>
  <c r="AB45" i="15" s="1"/>
  <c r="U45" i="15" s="1"/>
  <c r="Y20" i="15"/>
  <c r="AB20" i="15" s="1"/>
  <c r="U20" i="15" s="1"/>
  <c r="D13" i="89"/>
  <c r="R13" i="89" s="1"/>
  <c r="A13" i="89" s="1"/>
  <c r="X15" i="89"/>
  <c r="CJ17" i="98"/>
  <c r="E121" i="15"/>
  <c r="S121" i="15" s="1"/>
  <c r="B121" i="15" s="1"/>
  <c r="BR62" i="8"/>
  <c r="BQ56" i="8" s="1"/>
  <c r="E115" i="15"/>
  <c r="S115" i="15" s="1"/>
  <c r="B115" i="15" s="1"/>
  <c r="Y41" i="15"/>
  <c r="AB41" i="15" s="1"/>
  <c r="U41" i="15" s="1"/>
  <c r="C10" i="13"/>
  <c r="S10" i="13" s="1"/>
  <c r="T10" i="13" s="1"/>
  <c r="E20" i="15"/>
  <c r="S20" i="15" s="1"/>
  <c r="B20" i="15" s="1"/>
  <c r="Y33" i="15"/>
  <c r="AB33" i="15" s="1"/>
  <c r="U33" i="15" s="1"/>
  <c r="E58" i="15"/>
  <c r="S58" i="15" s="1"/>
  <c r="B58" i="15" s="1"/>
  <c r="C11" i="13"/>
  <c r="S11" i="13" s="1"/>
  <c r="T11" i="13" s="1"/>
  <c r="Y62" i="15"/>
  <c r="AB62" i="15" s="1"/>
  <c r="U62" i="15" s="1"/>
  <c r="E29" i="15"/>
  <c r="S29" i="15" s="1"/>
  <c r="B29" i="15" s="1"/>
  <c r="E61" i="15"/>
  <c r="S61" i="15" s="1"/>
  <c r="B61" i="15" s="1"/>
  <c r="E34" i="15"/>
  <c r="S34" i="15" s="1"/>
  <c r="B34" i="15" s="1"/>
  <c r="Y19" i="15"/>
  <c r="AB19" i="15" s="1"/>
  <c r="U19" i="15" s="1"/>
  <c r="D16" i="89"/>
  <c r="R16" i="89" s="1"/>
  <c r="A16" i="89" s="1"/>
  <c r="T38" i="8"/>
  <c r="E103" i="15"/>
  <c r="S103" i="15" s="1"/>
  <c r="B103" i="15" s="1"/>
  <c r="E108" i="15"/>
  <c r="S108" i="15" s="1"/>
  <c r="B108" i="15" s="1"/>
  <c r="Y56" i="15"/>
  <c r="AB56" i="15" s="1"/>
  <c r="U56" i="15" s="1"/>
  <c r="CJ12" i="98"/>
  <c r="E30" i="15"/>
  <c r="S30" i="15" s="1"/>
  <c r="B30" i="15" s="1"/>
  <c r="E24" i="15"/>
  <c r="S24" i="15" s="1"/>
  <c r="B24" i="15" s="1"/>
  <c r="D14" i="88"/>
  <c r="CJ14" i="98"/>
  <c r="Z11" i="109"/>
  <c r="E92" i="15"/>
  <c r="S92" i="15" s="1"/>
  <c r="B92" i="15" s="1"/>
  <c r="Z13" i="98"/>
  <c r="Y26" i="15"/>
  <c r="AB26" i="15" s="1"/>
  <c r="U26" i="15" s="1"/>
  <c r="Y16" i="15"/>
  <c r="AB16" i="15" s="1"/>
  <c r="U16" i="15" s="1"/>
  <c r="X14" i="89"/>
  <c r="E79" i="15"/>
  <c r="S79" i="15" s="1"/>
  <c r="B79" i="15" s="1"/>
  <c r="Y66" i="15"/>
  <c r="AB66" i="15" s="1"/>
  <c r="U66" i="15" s="1"/>
  <c r="Z18" i="98"/>
  <c r="E27" i="15"/>
  <c r="S27" i="15" s="1"/>
  <c r="B27" i="15" s="1"/>
  <c r="X17" i="89"/>
  <c r="Y21" i="15"/>
  <c r="AB21" i="15" s="1"/>
  <c r="U21" i="15" s="1"/>
  <c r="R122" i="15"/>
  <c r="E87" i="15"/>
  <c r="S87" i="15" s="1"/>
  <c r="B87" i="15" s="1"/>
  <c r="CN9" i="8"/>
  <c r="C11" i="15" s="1"/>
  <c r="R13" i="98"/>
  <c r="E51" i="15"/>
  <c r="S51" i="15" s="1"/>
  <c r="B51" i="15" s="1"/>
  <c r="E18" i="98"/>
  <c r="S18" i="98" s="1"/>
  <c r="B18" i="98" s="1"/>
  <c r="E111" i="15"/>
  <c r="S111" i="15" s="1"/>
  <c r="B111" i="15" s="1"/>
  <c r="Z12" i="98"/>
  <c r="X10" i="89"/>
  <c r="E69" i="15"/>
  <c r="S69" i="15" s="1"/>
  <c r="B69" i="15" s="1"/>
  <c r="E91" i="15"/>
  <c r="S91" i="15" s="1"/>
  <c r="B91" i="15" s="1"/>
  <c r="X13" i="89"/>
  <c r="R95" i="15"/>
  <c r="E85" i="15"/>
  <c r="S85" i="15" s="1"/>
  <c r="B85" i="15" s="1"/>
  <c r="E122" i="15"/>
  <c r="S122" i="15" s="1"/>
  <c r="B122" i="15" s="1"/>
  <c r="CJ15" i="98"/>
  <c r="E73" i="15"/>
  <c r="S73" i="15" s="1"/>
  <c r="B73" i="15" s="1"/>
  <c r="E11" i="98"/>
  <c r="S11" i="98" s="1"/>
  <c r="B11" i="98" s="1"/>
  <c r="E36" i="15"/>
  <c r="S36" i="15" s="1"/>
  <c r="B36" i="15" s="1"/>
  <c r="E19" i="15"/>
  <c r="S19" i="15" s="1"/>
  <c r="B19" i="15" s="1"/>
  <c r="E16" i="15"/>
  <c r="S16" i="15" s="1"/>
  <c r="B16" i="15" s="1"/>
  <c r="F13" i="41"/>
  <c r="J13" i="41" s="1"/>
  <c r="B13" i="41" s="1"/>
  <c r="E72" i="15"/>
  <c r="S72" i="15" s="1"/>
  <c r="B72" i="15" s="1"/>
  <c r="D21" i="89"/>
  <c r="R21" i="89" s="1"/>
  <c r="A21" i="89" s="1"/>
  <c r="Y38" i="15"/>
  <c r="AB38" i="15" s="1"/>
  <c r="U38" i="15" s="1"/>
  <c r="E90" i="15"/>
  <c r="S90" i="15" s="1"/>
  <c r="B90" i="15" s="1"/>
  <c r="R103" i="15"/>
  <c r="E113" i="15"/>
  <c r="S113" i="15" s="1"/>
  <c r="B113" i="15" s="1"/>
  <c r="E53" i="15"/>
  <c r="S53" i="15" s="1"/>
  <c r="B53" i="15" s="1"/>
  <c r="F14" i="41"/>
  <c r="J14" i="41" s="1"/>
  <c r="B14" i="41" s="1"/>
  <c r="CG9" i="8"/>
  <c r="E57" i="15"/>
  <c r="S57" i="15" s="1"/>
  <c r="B57" i="15" s="1"/>
  <c r="E63" i="15"/>
  <c r="S63" i="15" s="1"/>
  <c r="B63" i="15" s="1"/>
  <c r="E86" i="15"/>
  <c r="S86" i="15" s="1"/>
  <c r="B86" i="15" s="1"/>
  <c r="E110" i="15"/>
  <c r="S110" i="15" s="1"/>
  <c r="B110" i="15" s="1"/>
  <c r="C16" i="13"/>
  <c r="S16" i="13" s="1"/>
  <c r="T16" i="13" s="1"/>
  <c r="R10" i="98"/>
  <c r="Y48" i="15"/>
  <c r="AB48" i="15" s="1"/>
  <c r="U48" i="15" s="1"/>
  <c r="AF72" i="8"/>
  <c r="E15" i="15"/>
  <c r="S15" i="15" s="1"/>
  <c r="B15" i="15" s="1"/>
  <c r="E96" i="15"/>
  <c r="S96" i="15" s="1"/>
  <c r="B96" i="15" s="1"/>
  <c r="E65" i="15"/>
  <c r="S65" i="15" s="1"/>
  <c r="B65" i="15" s="1"/>
  <c r="E105" i="15"/>
  <c r="S105" i="15" s="1"/>
  <c r="B105" i="15" s="1"/>
  <c r="D14" i="111"/>
  <c r="R14" i="111" s="1"/>
  <c r="A14" i="111" s="1"/>
  <c r="E35" i="15"/>
  <c r="S35" i="15" s="1"/>
  <c r="B35" i="15" s="1"/>
  <c r="E77" i="15"/>
  <c r="S77" i="15" s="1"/>
  <c r="B77" i="15" s="1"/>
  <c r="E116" i="15"/>
  <c r="S116" i="15" s="1"/>
  <c r="B116" i="15" s="1"/>
  <c r="D10" i="89"/>
  <c r="R10" i="89" s="1"/>
  <c r="A10" i="89" s="1"/>
  <c r="E93" i="15"/>
  <c r="S93" i="15" s="1"/>
  <c r="B93" i="15" s="1"/>
  <c r="E10" i="109"/>
  <c r="S10" i="109" s="1"/>
  <c r="B10" i="109" s="1"/>
  <c r="C19" i="13"/>
  <c r="S19" i="13" s="1"/>
  <c r="T19" i="13" s="1"/>
  <c r="E13" i="98"/>
  <c r="S13" i="98" s="1"/>
  <c r="B13" i="98" s="1"/>
  <c r="Y46" i="15"/>
  <c r="AB46" i="15" s="1"/>
  <c r="U46" i="15" s="1"/>
  <c r="E12" i="98"/>
  <c r="S12" i="98" s="1"/>
  <c r="B12" i="98" s="1"/>
  <c r="E107" i="15"/>
  <c r="S107" i="15" s="1"/>
  <c r="B107" i="15" s="1"/>
  <c r="Y58" i="15"/>
  <c r="AB58" i="15" s="1"/>
  <c r="U58" i="15" s="1"/>
  <c r="E102" i="15"/>
  <c r="S102" i="15" s="1"/>
  <c r="B102" i="15" s="1"/>
  <c r="E31" i="15"/>
  <c r="S31" i="15" s="1"/>
  <c r="B31" i="15" s="1"/>
  <c r="CJ18" i="98"/>
  <c r="Y64" i="15"/>
  <c r="AB64" i="15" s="1"/>
  <c r="U64" i="15" s="1"/>
  <c r="CJ10" i="98"/>
  <c r="Y50" i="15"/>
  <c r="AB50" i="15" s="1"/>
  <c r="U50" i="15" s="1"/>
  <c r="Y18" i="15"/>
  <c r="AB18" i="15" s="1"/>
  <c r="U18" i="15" s="1"/>
  <c r="Y14" i="15"/>
  <c r="AB14" i="15" s="1"/>
  <c r="U14" i="15" s="1"/>
  <c r="Z15" i="98"/>
  <c r="X18" i="89"/>
  <c r="E43" i="15"/>
  <c r="S43" i="15" s="1"/>
  <c r="B43" i="15" s="1"/>
  <c r="C12" i="13"/>
  <c r="S12" i="13" s="1"/>
  <c r="T12" i="13" s="1"/>
  <c r="CJ16" i="98"/>
  <c r="E70" i="15"/>
  <c r="S70" i="15" s="1"/>
  <c r="B70" i="15" s="1"/>
  <c r="C18" i="13"/>
  <c r="S18" i="13" s="1"/>
  <c r="T18" i="13" s="1"/>
  <c r="E18" i="15"/>
  <c r="S18" i="15" s="1"/>
  <c r="B18" i="15" s="1"/>
  <c r="Y42" i="15"/>
  <c r="AB42" i="15" s="1"/>
  <c r="U42" i="15" s="1"/>
  <c r="Y65" i="15"/>
  <c r="AB65" i="15" s="1"/>
  <c r="U65" i="15" s="1"/>
  <c r="CJ13" i="98"/>
  <c r="F15" i="41"/>
  <c r="J15" i="41" s="1"/>
  <c r="B15" i="41" s="1"/>
  <c r="D17" i="89"/>
  <c r="R17" i="89" s="1"/>
  <c r="A17" i="89" s="1"/>
  <c r="X13" i="111"/>
  <c r="E120" i="15"/>
  <c r="S120" i="15" s="1"/>
  <c r="B120" i="15" s="1"/>
  <c r="D14" i="89"/>
  <c r="R14" i="89" s="1"/>
  <c r="A14" i="89" s="1"/>
  <c r="E12" i="109"/>
  <c r="S12" i="109" s="1"/>
  <c r="B12" i="109" s="1"/>
  <c r="D11" i="89"/>
  <c r="R11" i="89" s="1"/>
  <c r="A11" i="89" s="1"/>
  <c r="F12" i="41"/>
  <c r="J12" i="41" s="1"/>
  <c r="B12" i="41" s="1"/>
  <c r="Y32" i="15"/>
  <c r="AB32" i="15" s="1"/>
  <c r="U32" i="15" s="1"/>
  <c r="E37" i="15"/>
  <c r="S37" i="15" s="1"/>
  <c r="B37" i="15" s="1"/>
  <c r="E83" i="15"/>
  <c r="S83" i="15" s="1"/>
  <c r="B83" i="15" s="1"/>
  <c r="E118" i="15"/>
  <c r="S118" i="15" s="1"/>
  <c r="B118" i="15" s="1"/>
  <c r="E38" i="15"/>
  <c r="S38" i="15" s="1"/>
  <c r="B38" i="15" s="1"/>
  <c r="Y34" i="15"/>
  <c r="AB34" i="15" s="1"/>
  <c r="U34" i="15" s="1"/>
  <c r="Y54" i="15"/>
  <c r="AB54" i="15" s="1"/>
  <c r="U54" i="15" s="1"/>
  <c r="E15" i="98"/>
  <c r="S15" i="98" s="1"/>
  <c r="B15" i="98" s="1"/>
  <c r="E16" i="98"/>
  <c r="S16" i="98" s="1"/>
  <c r="B16" i="98" s="1"/>
  <c r="E67" i="15"/>
  <c r="S67" i="15" s="1"/>
  <c r="B67" i="15" s="1"/>
  <c r="X11" i="111"/>
  <c r="Y40" i="15"/>
  <c r="AB40" i="15" s="1"/>
  <c r="U40" i="15" s="1"/>
  <c r="E66" i="15"/>
  <c r="S66" i="15" s="1"/>
  <c r="B66" i="15" s="1"/>
  <c r="Z10" i="109"/>
  <c r="E14" i="98"/>
  <c r="S14" i="98" s="1"/>
  <c r="B14" i="98" s="1"/>
  <c r="Y13" i="15"/>
  <c r="AB13" i="15" s="1"/>
  <c r="U13" i="15" s="1"/>
  <c r="E123" i="15"/>
  <c r="S123" i="15" s="1"/>
  <c r="B123" i="15" s="1"/>
  <c r="E17" i="15"/>
  <c r="S17" i="15" s="1"/>
  <c r="B17" i="15" s="1"/>
  <c r="Y60" i="15"/>
  <c r="AB60" i="15" s="1"/>
  <c r="U60" i="15" s="1"/>
  <c r="E114" i="15"/>
  <c r="S114" i="15" s="1"/>
  <c r="B114" i="15" s="1"/>
  <c r="Y12" i="15"/>
  <c r="AB12" i="15" s="1"/>
  <c r="U12" i="15" s="1"/>
  <c r="E22" i="15"/>
  <c r="S22" i="15" s="1"/>
  <c r="B22" i="15" s="1"/>
  <c r="V9" i="8"/>
  <c r="O4" i="8" s="1"/>
  <c r="O5" i="8" s="1"/>
  <c r="CJ11" i="98"/>
  <c r="E97" i="15"/>
  <c r="S97" i="15" s="1"/>
  <c r="B97" i="15" s="1"/>
  <c r="E119" i="15"/>
  <c r="S119" i="15" s="1"/>
  <c r="B119" i="15" s="1"/>
  <c r="E71" i="15"/>
  <c r="S71" i="15" s="1"/>
  <c r="B71" i="15" s="1"/>
  <c r="E109" i="15"/>
  <c r="S109" i="15" s="1"/>
  <c r="B109" i="15" s="1"/>
  <c r="Y24" i="15"/>
  <c r="AB24" i="15" s="1"/>
  <c r="U24" i="15" s="1"/>
  <c r="Y11" i="15"/>
  <c r="AB11" i="15" s="1"/>
  <c r="U11" i="15" s="1"/>
  <c r="E56" i="15"/>
  <c r="S56" i="15" s="1"/>
  <c r="B56" i="15" s="1"/>
  <c r="E52" i="15"/>
  <c r="S52" i="15" s="1"/>
  <c r="B52" i="15" s="1"/>
  <c r="R9" i="13"/>
  <c r="E99" i="15"/>
  <c r="S99" i="15" s="1"/>
  <c r="B99" i="15" s="1"/>
  <c r="Z11" i="98"/>
  <c r="E54" i="15"/>
  <c r="S54" i="15" s="1"/>
  <c r="B54" i="15" s="1"/>
  <c r="E41" i="15"/>
  <c r="S41" i="15" s="1"/>
  <c r="B41" i="15" s="1"/>
  <c r="E47" i="15"/>
  <c r="S47" i="15" s="1"/>
  <c r="B47" i="15" s="1"/>
  <c r="E94" i="15"/>
  <c r="S94" i="15" s="1"/>
  <c r="B94" i="15" s="1"/>
  <c r="Y30" i="15"/>
  <c r="AB30" i="15" s="1"/>
  <c r="U30" i="15" s="1"/>
  <c r="E19" i="98"/>
  <c r="S19" i="98" s="1"/>
  <c r="B19" i="98" s="1"/>
  <c r="X12" i="89"/>
  <c r="E78" i="15"/>
  <c r="S78" i="15" s="1"/>
  <c r="B78" i="15" s="1"/>
  <c r="E55" i="15"/>
  <c r="S55" i="15" s="1"/>
  <c r="B55" i="15" s="1"/>
  <c r="D12" i="89"/>
  <c r="R12" i="89" s="1"/>
  <c r="A12" i="89" s="1"/>
  <c r="E23" i="15"/>
  <c r="S23" i="15" s="1"/>
  <c r="B23" i="15" s="1"/>
  <c r="BX278" i="8"/>
  <c r="BW272" i="8" s="1"/>
  <c r="BW274" i="8" s="1"/>
  <c r="BU289" i="8"/>
  <c r="BV289" i="8"/>
  <c r="BW289" i="8"/>
  <c r="BW291" i="8"/>
  <c r="M12" i="111"/>
  <c r="H12" i="111"/>
  <c r="J11" i="111"/>
  <c r="O11" i="111"/>
  <c r="O12" i="111"/>
  <c r="F11" i="111"/>
  <c r="H11" i="111"/>
  <c r="J12" i="111"/>
  <c r="M11" i="111"/>
  <c r="F12" i="111"/>
  <c r="D4" i="89" l="1"/>
  <c r="S9" i="13"/>
  <c r="T9" i="13" s="1"/>
  <c r="R3" i="13" s="1"/>
  <c r="CF3" i="8"/>
  <c r="C10" i="15"/>
  <c r="E3" i="15" s="1"/>
  <c r="E4" i="109"/>
  <c r="BU68" i="8"/>
  <c r="BW63" i="8" s="1"/>
  <c r="BW62" i="8" s="1"/>
  <c r="BQ57" i="8" s="1"/>
  <c r="BQ58" i="8" s="1"/>
  <c r="E4" i="98"/>
  <c r="CF4" i="8"/>
  <c r="BW299" i="8"/>
  <c r="BW301" i="8"/>
  <c r="BV299" i="8"/>
  <c r="BU299" i="8"/>
  <c r="BX288" i="8"/>
  <c r="BW282" i="8" s="1"/>
  <c r="BW284" i="8" s="1"/>
  <c r="CF5" i="8" l="1"/>
  <c r="V10" i="15" s="1"/>
  <c r="X3" i="15" s="1"/>
  <c r="BX298" i="8"/>
  <c r="BW292" i="8" s="1"/>
  <c r="BW294" i="8" s="1"/>
  <c r="BU309" i="8"/>
  <c r="BV309" i="8"/>
  <c r="BW311" i="8"/>
  <c r="BW309" i="8"/>
  <c r="C11" i="41" l="1"/>
  <c r="E3" i="41" s="1"/>
  <c r="BW319" i="8"/>
  <c r="BW321" i="8"/>
  <c r="BV319" i="8"/>
  <c r="BU319" i="8"/>
  <c r="BX308" i="8"/>
  <c r="BW302" i="8" s="1"/>
  <c r="BW304" i="8" s="1"/>
  <c r="BX318" i="8" l="1"/>
  <c r="BW312" i="8" s="1"/>
  <c r="BW314" i="8" s="1"/>
  <c r="BW331" i="8"/>
  <c r="BU329" i="8"/>
  <c r="BV329" i="8"/>
  <c r="BX329" i="8" s="1"/>
  <c r="BW329" i="8"/>
  <c r="BX328" i="8" l="1"/>
  <c r="BW322" i="8" s="1"/>
  <c r="BW324" i="8" s="1"/>
  <c r="BV339" i="8"/>
  <c r="BW339" i="8"/>
  <c r="BW341" i="8"/>
  <c r="BU339" i="8"/>
  <c r="BX338" i="8" l="1"/>
  <c r="BW332" i="8" s="1"/>
  <c r="BW334" i="8" s="1"/>
  <c r="BW351" i="8"/>
  <c r="BU349" i="8"/>
  <c r="BV349" i="8"/>
  <c r="BW349" i="8"/>
  <c r="D12" i="15"/>
  <c r="BX348" i="8" l="1"/>
  <c r="BW342" i="8" s="1"/>
  <c r="BW344" i="8" s="1"/>
  <c r="BV359" i="8"/>
  <c r="BW359" i="8"/>
  <c r="BU359" i="8"/>
  <c r="BW361" i="8"/>
  <c r="I12" i="15"/>
  <c r="P12" i="15"/>
  <c r="K12" i="15"/>
  <c r="N12" i="15"/>
  <c r="G12" i="15"/>
  <c r="BX358" i="8" l="1"/>
  <c r="BW352" i="8" s="1"/>
  <c r="BW354" i="8" s="1"/>
  <c r="BW371" i="8"/>
  <c r="BU369" i="8"/>
  <c r="BV369" i="8"/>
  <c r="BW369" i="8"/>
  <c r="BX368" i="8" l="1"/>
  <c r="BW362" i="8" s="1"/>
  <c r="BW364" i="8" s="1"/>
  <c r="BV379" i="8"/>
  <c r="BW379" i="8"/>
  <c r="BU379" i="8"/>
  <c r="BW381" i="8"/>
  <c r="BX378" i="8" l="1"/>
  <c r="BW372" i="8" s="1"/>
  <c r="BW374" i="8" s="1"/>
  <c r="BW391" i="8"/>
  <c r="BU389" i="8"/>
  <c r="BW389" i="8"/>
  <c r="BV389" i="8"/>
  <c r="BX388" i="8" l="1"/>
  <c r="BW382" i="8" s="1"/>
  <c r="BW384" i="8" s="1"/>
  <c r="BV399" i="8"/>
  <c r="BW399" i="8"/>
  <c r="BW401" i="8"/>
  <c r="BU399" i="8"/>
  <c r="BX398" i="8" l="1"/>
  <c r="BW392" i="8" s="1"/>
  <c r="BW394" i="8" s="1"/>
  <c r="BW411" i="8"/>
  <c r="BU409" i="8"/>
  <c r="BV409" i="8"/>
  <c r="BW409" i="8"/>
  <c r="BX408" i="8" l="1"/>
  <c r="BW402" i="8" s="1"/>
  <c r="BW404" i="8" s="1"/>
  <c r="BV419" i="8"/>
  <c r="BX419" i="8" s="1"/>
  <c r="BW419" i="8"/>
  <c r="BW421" i="8"/>
  <c r="BU419" i="8"/>
  <c r="BW429" i="8" l="1"/>
  <c r="BW431" i="8"/>
  <c r="BU429" i="8"/>
  <c r="BV429" i="8"/>
  <c r="BX418" i="8"/>
  <c r="BW412" i="8" s="1"/>
  <c r="BW414" i="8" s="1"/>
  <c r="BX428" i="8" l="1"/>
  <c r="BW422" i="8" s="1"/>
  <c r="BW424" i="8" s="1"/>
  <c r="BU439" i="8"/>
  <c r="BV439" i="8"/>
  <c r="BW439" i="8"/>
  <c r="BW441" i="8"/>
  <c r="BW449" i="8" l="1"/>
  <c r="BW451" i="8"/>
  <c r="BU449" i="8"/>
  <c r="BV449" i="8"/>
  <c r="BX438" i="8"/>
  <c r="BW432" i="8" s="1"/>
  <c r="BW434" i="8" s="1"/>
  <c r="BX448" i="8" l="1"/>
  <c r="BW442" i="8" s="1"/>
  <c r="BW444" i="8" s="1"/>
  <c r="BU459" i="8"/>
  <c r="BV459" i="8"/>
  <c r="BW459" i="8"/>
  <c r="BW461" i="8"/>
  <c r="BW469" i="8" l="1"/>
  <c r="BW471" i="8"/>
  <c r="BU469" i="8"/>
  <c r="BV469" i="8"/>
  <c r="BX458" i="8"/>
  <c r="BW452" i="8" s="1"/>
  <c r="BW454" i="8" s="1"/>
  <c r="H24" i="15"/>
  <c r="AG17" i="89"/>
  <c r="AU11" i="111"/>
  <c r="H40" i="15"/>
  <c r="AX11" i="89"/>
  <c r="F25" i="15"/>
  <c r="H76" i="15"/>
  <c r="O115" i="15"/>
  <c r="AI13" i="89"/>
  <c r="AK12" i="89"/>
  <c r="Z42" i="15"/>
  <c r="H15" i="15"/>
  <c r="J88" i="15"/>
  <c r="J64" i="15"/>
  <c r="H74" i="15"/>
  <c r="CA10" i="98"/>
  <c r="F13" i="13"/>
  <c r="I17" i="13"/>
  <c r="M83" i="15"/>
  <c r="AS18" i="98"/>
  <c r="H42" i="15"/>
  <c r="H29" i="15"/>
  <c r="AG16" i="89"/>
  <c r="N13" i="111"/>
  <c r="BC16" i="98"/>
  <c r="AA13" i="98"/>
  <c r="J40" i="15"/>
  <c r="Z58" i="15"/>
  <c r="D15" i="13"/>
  <c r="H116" i="15"/>
  <c r="M81" i="15"/>
  <c r="BX16" i="98"/>
  <c r="K12" i="13"/>
  <c r="O14" i="98"/>
  <c r="AQ15" i="89"/>
  <c r="M68" i="15"/>
  <c r="J36" i="15"/>
  <c r="H12" i="98"/>
  <c r="H30" i="15"/>
  <c r="AQ10" i="89"/>
  <c r="J16" i="15"/>
  <c r="N21" i="89"/>
  <c r="O93" i="15"/>
  <c r="H33" i="15"/>
  <c r="H114" i="15"/>
  <c r="M38" i="15"/>
  <c r="CC14" i="98"/>
  <c r="M20" i="15"/>
  <c r="F12" i="13"/>
  <c r="L11" i="89"/>
  <c r="G15" i="111"/>
  <c r="D14" i="13"/>
  <c r="F64" i="15"/>
  <c r="O84" i="15"/>
  <c r="O13" i="15"/>
  <c r="Q101" i="15"/>
  <c r="H92" i="15"/>
  <c r="AN17" i="98"/>
  <c r="AS17" i="98"/>
  <c r="N11" i="111"/>
  <c r="AA10" i="98"/>
  <c r="J118" i="15"/>
  <c r="M15" i="98"/>
  <c r="J15" i="15"/>
  <c r="M19" i="15"/>
  <c r="K15" i="13"/>
  <c r="H107" i="15"/>
  <c r="G18" i="89"/>
  <c r="H82" i="15"/>
  <c r="E12" i="89"/>
  <c r="J82" i="15"/>
  <c r="J42" i="15"/>
  <c r="M123" i="15"/>
  <c r="F54" i="15"/>
  <c r="O82" i="15"/>
  <c r="H50" i="15"/>
  <c r="K10" i="13"/>
  <c r="AE16" i="89"/>
  <c r="AK10" i="89"/>
  <c r="J41" i="15"/>
  <c r="M16" i="98"/>
  <c r="AQ12" i="111"/>
  <c r="O23" i="15"/>
  <c r="H104" i="15"/>
  <c r="M12" i="15"/>
  <c r="CA13" i="98"/>
  <c r="G17" i="89"/>
  <c r="F61" i="15"/>
  <c r="BH14" i="98"/>
  <c r="F122" i="15"/>
  <c r="I10" i="13"/>
  <c r="J22" i="15"/>
  <c r="H28" i="15"/>
  <c r="M21" i="15"/>
  <c r="J47" i="15"/>
  <c r="H10" i="109"/>
  <c r="BC14" i="98"/>
  <c r="AS13" i="89"/>
  <c r="D18" i="13"/>
  <c r="Q95" i="15"/>
  <c r="O40" i="15"/>
  <c r="BZ13" i="98"/>
  <c r="AW11" i="109"/>
  <c r="AI13" i="98"/>
  <c r="M112" i="15"/>
  <c r="AA11" i="109"/>
  <c r="M80" i="15"/>
  <c r="J28" i="15"/>
  <c r="L15" i="111"/>
  <c r="O88" i="15"/>
  <c r="AO12" i="111"/>
  <c r="AM10" i="109"/>
  <c r="F105" i="15"/>
  <c r="AO13" i="111"/>
  <c r="AA15" i="98"/>
  <c r="BX14" i="98"/>
  <c r="AS12" i="98"/>
  <c r="J107" i="15"/>
  <c r="AV12" i="89"/>
  <c r="Z22" i="15"/>
  <c r="AC10" i="89"/>
  <c r="AE13" i="89"/>
  <c r="BM18" i="98"/>
  <c r="AQ14" i="89"/>
  <c r="G16" i="89"/>
  <c r="J100" i="15"/>
  <c r="F13" i="15"/>
  <c r="O12" i="98"/>
  <c r="L14" i="111"/>
  <c r="AD15" i="98"/>
  <c r="CA16" i="98"/>
  <c r="M99" i="15"/>
  <c r="M51" i="15"/>
  <c r="G11" i="89"/>
  <c r="H60" i="15"/>
  <c r="O28" i="15"/>
  <c r="F34" i="15"/>
  <c r="AK13" i="89"/>
  <c r="AD10" i="98"/>
  <c r="H61" i="15"/>
  <c r="AC15" i="89"/>
  <c r="J12" i="98"/>
  <c r="BM14" i="98"/>
  <c r="F41" i="15"/>
  <c r="H123" i="15"/>
  <c r="N12" i="111"/>
  <c r="O20" i="15"/>
  <c r="M100" i="15"/>
  <c r="AV15" i="89"/>
  <c r="H65" i="15"/>
  <c r="Z60" i="15"/>
  <c r="F116" i="15"/>
  <c r="AO17" i="89"/>
  <c r="BR17" i="98"/>
  <c r="H12" i="15"/>
  <c r="N20" i="89"/>
  <c r="BC11" i="98"/>
  <c r="F15" i="13"/>
  <c r="H67" i="15"/>
  <c r="J77" i="15"/>
  <c r="J51" i="15"/>
  <c r="K9" i="13"/>
  <c r="M27" i="15"/>
  <c r="O117" i="15"/>
  <c r="O119" i="15"/>
  <c r="J117" i="15"/>
  <c r="G13" i="111"/>
  <c r="BC17" i="98"/>
  <c r="O69" i="15"/>
  <c r="O77" i="15"/>
  <c r="O16" i="98"/>
  <c r="AA16" i="98"/>
  <c r="O80" i="15"/>
  <c r="O42" i="15"/>
  <c r="AO15" i="89"/>
  <c r="J29" i="15"/>
  <c r="O19" i="98"/>
  <c r="F67" i="15"/>
  <c r="AN15" i="98"/>
  <c r="M116" i="15"/>
  <c r="M23" i="15"/>
  <c r="F18" i="13"/>
  <c r="H96" i="15"/>
  <c r="J111" i="15"/>
  <c r="AN12" i="98"/>
  <c r="AE14" i="89"/>
  <c r="J35" i="15"/>
  <c r="J86" i="15"/>
  <c r="J69" i="15"/>
  <c r="BZ10" i="98"/>
  <c r="I15" i="13"/>
  <c r="AI10" i="98"/>
  <c r="N13" i="89"/>
  <c r="H13" i="15"/>
  <c r="H110" i="15"/>
  <c r="J97" i="15"/>
  <c r="Y12" i="111"/>
  <c r="Z46" i="15"/>
  <c r="F14" i="15"/>
  <c r="BM16" i="98"/>
  <c r="F104" i="15"/>
  <c r="J55" i="15"/>
  <c r="AM15" i="89"/>
  <c r="AS14" i="89"/>
  <c r="O101" i="15"/>
  <c r="AV17" i="89"/>
  <c r="H22" i="15"/>
  <c r="L11" i="111"/>
  <c r="BG11" i="109"/>
  <c r="AD11" i="98"/>
  <c r="AM11" i="111"/>
  <c r="M13" i="98"/>
  <c r="D13" i="13"/>
  <c r="BM12" i="98"/>
  <c r="M57" i="15"/>
  <c r="F96" i="15"/>
  <c r="J33" i="15"/>
  <c r="M89" i="15"/>
  <c r="M86" i="15"/>
  <c r="H41" i="15"/>
  <c r="N10" i="89"/>
  <c r="AS15" i="89"/>
  <c r="H38" i="15"/>
  <c r="J78" i="15"/>
  <c r="BH15" i="98"/>
  <c r="AX17" i="89"/>
  <c r="O56" i="15"/>
  <c r="M29" i="15"/>
  <c r="N12" i="89"/>
  <c r="N14" i="89"/>
  <c r="BL10" i="109"/>
  <c r="M91" i="15"/>
  <c r="F43" i="15"/>
  <c r="F58" i="15"/>
  <c r="AK15" i="89"/>
  <c r="G19" i="89"/>
  <c r="I13" i="89"/>
  <c r="AX14" i="89"/>
  <c r="AR10" i="109"/>
  <c r="L21" i="89"/>
  <c r="BB10" i="109"/>
  <c r="AC10" i="109"/>
  <c r="H58" i="15"/>
  <c r="Z56" i="15"/>
  <c r="AX11" i="98"/>
  <c r="AC11" i="109"/>
  <c r="J121" i="15"/>
  <c r="O75" i="15"/>
  <c r="AO10" i="89"/>
  <c r="AC12" i="111"/>
  <c r="BL11" i="109"/>
  <c r="AA14" i="89"/>
  <c r="M84" i="15"/>
  <c r="AA10" i="109"/>
  <c r="O60" i="15"/>
  <c r="J91" i="15"/>
  <c r="F59" i="15"/>
  <c r="BH18" i="98"/>
  <c r="H94" i="15"/>
  <c r="M11" i="98"/>
  <c r="F65" i="15"/>
  <c r="K18" i="13"/>
  <c r="H83" i="15"/>
  <c r="G20" i="89"/>
  <c r="F114" i="15"/>
  <c r="H37" i="15"/>
  <c r="H20" i="15"/>
  <c r="H117" i="15"/>
  <c r="BZ14" i="98"/>
  <c r="M110" i="15"/>
  <c r="J44" i="15"/>
  <c r="AI14" i="98"/>
  <c r="AN10" i="98"/>
  <c r="E19" i="89"/>
  <c r="F21" i="15"/>
  <c r="E13" i="89"/>
  <c r="AD17" i="98"/>
  <c r="BH11" i="98"/>
  <c r="Z18" i="15"/>
  <c r="M87" i="15"/>
  <c r="D10" i="15"/>
  <c r="AC13" i="111"/>
  <c r="Y13" i="111"/>
  <c r="AU13" i="89"/>
  <c r="Y15" i="89"/>
  <c r="F89" i="15"/>
  <c r="I15" i="89"/>
  <c r="H12" i="109"/>
  <c r="O18" i="15"/>
  <c r="O29" i="15"/>
  <c r="AN11" i="98"/>
  <c r="F109" i="15"/>
  <c r="J39" i="15"/>
  <c r="AU16" i="89"/>
  <c r="M12" i="109"/>
  <c r="M10" i="109"/>
  <c r="M46" i="15"/>
  <c r="E21" i="89"/>
  <c r="AN14" i="98"/>
  <c r="M22" i="15"/>
  <c r="AI14" i="89"/>
  <c r="J114" i="15"/>
  <c r="F62" i="15"/>
  <c r="BC15" i="98"/>
  <c r="M115" i="15"/>
  <c r="J15" i="98"/>
  <c r="Q122" i="15"/>
  <c r="AA18" i="98"/>
  <c r="H57" i="15"/>
  <c r="O89" i="15"/>
  <c r="BX12" i="98"/>
  <c r="BG10" i="109"/>
  <c r="F88" i="15"/>
  <c r="V10" i="111"/>
  <c r="M63" i="15"/>
  <c r="AE17" i="89"/>
  <c r="K16" i="13"/>
  <c r="H95" i="15"/>
  <c r="F47" i="15"/>
  <c r="G11" i="111"/>
  <c r="BH12" i="98"/>
  <c r="M30" i="15"/>
  <c r="AX12" i="111"/>
  <c r="F12" i="15"/>
  <c r="M103" i="15"/>
  <c r="J90" i="15"/>
  <c r="BM13" i="98"/>
  <c r="H79" i="15"/>
  <c r="D10" i="13"/>
  <c r="Z33" i="15"/>
  <c r="J32" i="15"/>
  <c r="O92" i="15"/>
  <c r="M104" i="15"/>
  <c r="O17" i="98"/>
  <c r="F63" i="15"/>
  <c r="J54" i="15"/>
  <c r="J123" i="15"/>
  <c r="J96" i="15"/>
  <c r="O48" i="15"/>
  <c r="O72" i="15"/>
  <c r="AA13" i="111"/>
  <c r="E14" i="111"/>
  <c r="Q13" i="98"/>
  <c r="AI13" i="111"/>
  <c r="Z26" i="15"/>
  <c r="AG18" i="89"/>
  <c r="CA11" i="98"/>
  <c r="G12" i="89"/>
  <c r="F45" i="15"/>
  <c r="BM15" i="98"/>
  <c r="I14" i="89"/>
  <c r="BZ11" i="98"/>
  <c r="H68" i="15"/>
  <c r="F19" i="13"/>
  <c r="M93" i="15"/>
  <c r="M37" i="15"/>
  <c r="AX15" i="98"/>
  <c r="O85" i="15"/>
  <c r="AI16" i="89"/>
  <c r="F117" i="15"/>
  <c r="M74" i="15"/>
  <c r="I19" i="89"/>
  <c r="H18" i="98"/>
  <c r="J113" i="15"/>
  <c r="E11" i="89"/>
  <c r="F70" i="15"/>
  <c r="F98" i="15"/>
  <c r="F110" i="15"/>
  <c r="AD13" i="98"/>
  <c r="J23" i="15"/>
  <c r="O10" i="109"/>
  <c r="CC10" i="98"/>
  <c r="M34" i="15"/>
  <c r="O121" i="15"/>
  <c r="Z14" i="15"/>
  <c r="F80" i="15"/>
  <c r="J93" i="15"/>
  <c r="BC13" i="98"/>
  <c r="J73" i="15"/>
  <c r="BX10" i="98"/>
  <c r="H88" i="15"/>
  <c r="M82" i="15"/>
  <c r="Z16" i="15"/>
  <c r="M79" i="15"/>
  <c r="AU13" i="111"/>
  <c r="O13" i="98"/>
  <c r="F13" i="98"/>
  <c r="D12" i="13"/>
  <c r="H54" i="15"/>
  <c r="L12" i="15"/>
  <c r="Y14" i="89"/>
  <c r="H121" i="15"/>
  <c r="O111" i="15"/>
  <c r="M78" i="15"/>
  <c r="AX15" i="89"/>
  <c r="J12" i="109"/>
  <c r="Z21" i="15"/>
  <c r="O10" i="98"/>
  <c r="CC16" i="98"/>
  <c r="Z30" i="15"/>
  <c r="J46" i="15"/>
  <c r="J26" i="15"/>
  <c r="AS16" i="89"/>
  <c r="M43" i="15"/>
  <c r="F15" i="98"/>
  <c r="AS13" i="111"/>
  <c r="H119" i="15"/>
  <c r="H99" i="15"/>
  <c r="J98" i="15"/>
  <c r="AD18" i="98"/>
  <c r="AE10" i="89"/>
  <c r="M88" i="15"/>
  <c r="J109" i="15"/>
  <c r="D11" i="41"/>
  <c r="M72" i="15"/>
  <c r="AV13" i="111"/>
  <c r="M50" i="15"/>
  <c r="O35" i="15"/>
  <c r="J19" i="15"/>
  <c r="I11" i="13"/>
  <c r="AI11" i="111"/>
  <c r="AG14" i="89"/>
  <c r="H108" i="15"/>
  <c r="J34" i="15"/>
  <c r="K12" i="111"/>
  <c r="J74" i="15"/>
  <c r="AH10" i="109"/>
  <c r="F42" i="15"/>
  <c r="O70" i="15"/>
  <c r="BZ18" i="98"/>
  <c r="AO12" i="89"/>
  <c r="M55" i="15"/>
  <c r="I10" i="89"/>
  <c r="J21" i="15"/>
  <c r="W10" i="15"/>
  <c r="H72" i="15"/>
  <c r="E13" i="111"/>
  <c r="Y10" i="89"/>
  <c r="AO16" i="89"/>
  <c r="O18" i="98"/>
  <c r="F113" i="15"/>
  <c r="AD12" i="98"/>
  <c r="CB11" i="109"/>
  <c r="AE12" i="111"/>
  <c r="H56" i="15"/>
  <c r="E15" i="111"/>
  <c r="J62" i="15"/>
  <c r="AM13" i="89"/>
  <c r="L14" i="89"/>
  <c r="F52" i="15"/>
  <c r="H34" i="15"/>
  <c r="D11" i="15"/>
  <c r="M108" i="15"/>
  <c r="CC11" i="98"/>
  <c r="M106" i="15"/>
  <c r="M61" i="15"/>
  <c r="J83" i="15"/>
  <c r="K14" i="13"/>
  <c r="K17" i="13"/>
  <c r="J30" i="15"/>
  <c r="H11" i="109"/>
  <c r="M96" i="15"/>
  <c r="F11" i="109"/>
  <c r="H64" i="15"/>
  <c r="E14" i="89"/>
  <c r="J10" i="109"/>
  <c r="AO13" i="89"/>
  <c r="H70" i="15"/>
  <c r="AU12" i="89"/>
  <c r="J24" i="15"/>
  <c r="F24" i="15"/>
  <c r="O36" i="15"/>
  <c r="M102" i="15"/>
  <c r="H55" i="15"/>
  <c r="O49" i="15"/>
  <c r="F20" i="15"/>
  <c r="AV13" i="89"/>
  <c r="F68" i="15"/>
  <c r="AG12" i="89"/>
  <c r="H112" i="15"/>
  <c r="F14" i="13"/>
  <c r="AX11" i="111"/>
  <c r="J49" i="15"/>
  <c r="J27" i="15"/>
  <c r="F99" i="15"/>
  <c r="G10" i="89"/>
  <c r="H98" i="15"/>
  <c r="AX12" i="98"/>
  <c r="AO14" i="89"/>
  <c r="N15" i="89"/>
  <c r="F75" i="15"/>
  <c r="AC17" i="89"/>
  <c r="O45" i="15"/>
  <c r="AA17" i="98"/>
  <c r="D16" i="13"/>
  <c r="H17" i="98"/>
  <c r="N15" i="111"/>
  <c r="AS18" i="89"/>
  <c r="F10" i="109"/>
  <c r="L16" i="89"/>
  <c r="M66" i="15"/>
  <c r="F36" i="15"/>
  <c r="K11" i="111"/>
  <c r="AK17" i="89"/>
  <c r="M35" i="15"/>
  <c r="H44" i="15"/>
  <c r="H97" i="15"/>
  <c r="O16" i="15"/>
  <c r="M67" i="15"/>
  <c r="AV11" i="89"/>
  <c r="H118" i="15"/>
  <c r="AS14" i="98"/>
  <c r="H47" i="15"/>
  <c r="M120" i="15"/>
  <c r="AI12" i="89"/>
  <c r="O44" i="15"/>
  <c r="F10" i="98"/>
  <c r="AX13" i="98"/>
  <c r="AX12" i="89"/>
  <c r="AQ18" i="89"/>
  <c r="O123" i="15"/>
  <c r="G15" i="89"/>
  <c r="M58" i="15"/>
  <c r="AQ11" i="89"/>
  <c r="Z64" i="15"/>
  <c r="J61" i="15"/>
  <c r="O68" i="15"/>
  <c r="AQ17" i="89"/>
  <c r="AE18" i="89"/>
  <c r="F100" i="15"/>
  <c r="M114" i="15"/>
  <c r="AS10" i="98"/>
  <c r="Z44" i="15"/>
  <c r="E20" i="89"/>
  <c r="H46" i="15"/>
  <c r="Z19" i="15"/>
  <c r="BZ11" i="109"/>
  <c r="H111" i="15"/>
  <c r="J65" i="15"/>
  <c r="CB10" i="109"/>
  <c r="H11" i="98"/>
  <c r="AC12" i="89"/>
  <c r="O55" i="15"/>
  <c r="AM11" i="109"/>
  <c r="H14" i="15"/>
  <c r="AU10" i="89"/>
  <c r="M18" i="98"/>
  <c r="O15" i="15"/>
  <c r="F66" i="15"/>
  <c r="H75" i="15"/>
  <c r="AA11" i="111"/>
  <c r="BH17" i="98"/>
  <c r="F18" i="98"/>
  <c r="F28" i="15"/>
  <c r="O32" i="15"/>
  <c r="AX13" i="89"/>
  <c r="J11" i="109"/>
  <c r="O19" i="15"/>
  <c r="BR12" i="98"/>
  <c r="O38" i="15"/>
  <c r="H48" i="15"/>
  <c r="I12" i="13"/>
  <c r="J66" i="15"/>
  <c r="F83" i="15"/>
  <c r="F18" i="15"/>
  <c r="BC12" i="98"/>
  <c r="AI18" i="98"/>
  <c r="M39" i="15"/>
  <c r="M64" i="15"/>
  <c r="O34" i="15"/>
  <c r="O59" i="15"/>
  <c r="J116" i="15"/>
  <c r="J58" i="15"/>
  <c r="H122" i="15"/>
  <c r="AV12" i="111"/>
  <c r="O47" i="15"/>
  <c r="AI11" i="89"/>
  <c r="L17" i="89"/>
  <c r="AX14" i="98"/>
  <c r="L12" i="111"/>
  <c r="H115" i="15"/>
  <c r="F51" i="15"/>
  <c r="F39" i="15"/>
  <c r="AQ11" i="111"/>
  <c r="J89" i="15"/>
  <c r="BY11" i="109"/>
  <c r="J67" i="15"/>
  <c r="F31" i="15"/>
  <c r="AI15" i="89"/>
  <c r="M24" i="15"/>
  <c r="H26" i="15"/>
  <c r="F91" i="15"/>
  <c r="AH11" i="109"/>
  <c r="F92" i="15"/>
  <c r="J76" i="15"/>
  <c r="H32" i="15"/>
  <c r="Y17" i="89"/>
  <c r="O37" i="15"/>
  <c r="H81" i="15"/>
  <c r="AC13" i="89"/>
  <c r="BZ12" i="98"/>
  <c r="H106" i="15"/>
  <c r="F60" i="15"/>
  <c r="AI11" i="98"/>
  <c r="F17" i="13"/>
  <c r="Z50" i="15"/>
  <c r="O95" i="15"/>
  <c r="AA12" i="98"/>
  <c r="M18" i="15"/>
  <c r="AG11" i="89"/>
  <c r="M53" i="15"/>
  <c r="BZ17" i="98"/>
  <c r="J105" i="15"/>
  <c r="H113" i="15"/>
  <c r="O50" i="15"/>
  <c r="M32" i="15"/>
  <c r="AK13" i="111"/>
  <c r="BQ10" i="109"/>
  <c r="H109" i="15"/>
  <c r="O105" i="15"/>
  <c r="M33" i="15"/>
  <c r="O24" i="15"/>
  <c r="AA12" i="89"/>
  <c r="F33" i="15"/>
  <c r="BM11" i="98"/>
  <c r="AX18" i="98"/>
  <c r="BZ16" i="98"/>
  <c r="M13" i="15"/>
  <c r="Z48" i="15"/>
  <c r="O118" i="15"/>
  <c r="M77" i="15"/>
  <c r="AC16" i="89"/>
  <c r="Y18" i="89"/>
  <c r="H53" i="15"/>
  <c r="J16" i="98"/>
  <c r="AS15" i="98"/>
  <c r="F32" i="15"/>
  <c r="J71" i="15"/>
  <c r="J94" i="15"/>
  <c r="H49" i="15"/>
  <c r="CA14" i="98"/>
  <c r="M101" i="15"/>
  <c r="J92" i="15"/>
  <c r="M62" i="15"/>
  <c r="Q10" i="98"/>
  <c r="AI17" i="89"/>
  <c r="J63" i="15"/>
  <c r="F103" i="15"/>
  <c r="O54" i="15"/>
  <c r="AU11" i="89"/>
  <c r="AQ16" i="89"/>
  <c r="M117" i="15"/>
  <c r="F48" i="15"/>
  <c r="F40" i="15"/>
  <c r="AQ12" i="89"/>
  <c r="AX13" i="111"/>
  <c r="AV14" i="89"/>
  <c r="J37" i="15"/>
  <c r="C10" i="111"/>
  <c r="BH16" i="98"/>
  <c r="M73" i="15"/>
  <c r="AU18" i="89"/>
  <c r="M113" i="15"/>
  <c r="AA14" i="98"/>
  <c r="J17" i="98"/>
  <c r="O76" i="15"/>
  <c r="AQ13" i="89"/>
  <c r="AA10" i="89"/>
  <c r="AM18" i="89"/>
  <c r="AG13" i="111"/>
  <c r="BZ10" i="109"/>
  <c r="J60" i="15"/>
  <c r="Y12" i="89"/>
  <c r="H23" i="15"/>
  <c r="AX16" i="98"/>
  <c r="H85" i="15"/>
  <c r="J70" i="15"/>
  <c r="F95" i="15"/>
  <c r="F30" i="15"/>
  <c r="AM10" i="89"/>
  <c r="F93" i="15"/>
  <c r="O98" i="15"/>
  <c r="H25" i="15"/>
  <c r="O51" i="15"/>
  <c r="H87" i="15"/>
  <c r="BH13" i="98"/>
  <c r="O39" i="15"/>
  <c r="F11" i="13"/>
  <c r="BR10" i="98"/>
  <c r="Y13" i="89"/>
  <c r="M54" i="15"/>
  <c r="Y11" i="111"/>
  <c r="M40" i="15"/>
  <c r="J12" i="15"/>
  <c r="AU12" i="111"/>
  <c r="F9" i="13"/>
  <c r="AK11" i="89"/>
  <c r="J68" i="15"/>
  <c r="AS11" i="89"/>
  <c r="BR18" i="98"/>
  <c r="M14" i="98"/>
  <c r="AC11" i="111"/>
  <c r="BZ15" i="98"/>
  <c r="F22" i="15"/>
  <c r="AM16" i="89"/>
  <c r="AG13" i="89"/>
  <c r="H101" i="15"/>
  <c r="F14" i="98"/>
  <c r="M31" i="15"/>
  <c r="O31" i="15"/>
  <c r="F107" i="15"/>
  <c r="F44" i="15"/>
  <c r="M17" i="98"/>
  <c r="M111" i="15"/>
  <c r="M119" i="15"/>
  <c r="O103" i="15"/>
  <c r="H90" i="15"/>
  <c r="F29" i="15"/>
  <c r="AX10" i="89"/>
  <c r="J17" i="15"/>
  <c r="J75" i="15"/>
  <c r="I18" i="13"/>
  <c r="BX18" i="98"/>
  <c r="F87" i="15"/>
  <c r="H100" i="15"/>
  <c r="AW10" i="109"/>
  <c r="O108" i="15"/>
  <c r="H62" i="15"/>
  <c r="Z24" i="15"/>
  <c r="M107" i="15"/>
  <c r="F81" i="15"/>
  <c r="AV16" i="89"/>
  <c r="E18" i="89"/>
  <c r="J57" i="15"/>
  <c r="J52" i="15"/>
  <c r="AS11" i="98"/>
  <c r="AD14" i="98"/>
  <c r="AO18" i="89"/>
  <c r="AV11" i="111"/>
  <c r="M75" i="15"/>
  <c r="M97" i="15"/>
  <c r="J110" i="15"/>
  <c r="J81" i="15"/>
  <c r="M17" i="15"/>
  <c r="CC13" i="98"/>
  <c r="M25" i="15"/>
  <c r="O57" i="15"/>
  <c r="BB11" i="109"/>
  <c r="J50" i="15"/>
  <c r="M14" i="15"/>
  <c r="AX16" i="89"/>
  <c r="M45" i="15"/>
  <c r="F10" i="13"/>
  <c r="F84" i="15"/>
  <c r="CA12" i="98"/>
  <c r="H84" i="15"/>
  <c r="AG11" i="111"/>
  <c r="H103" i="15"/>
  <c r="F120" i="15"/>
  <c r="AK18" i="89"/>
  <c r="O78" i="15"/>
  <c r="N17" i="89"/>
  <c r="AK12" i="111"/>
  <c r="J72" i="15"/>
  <c r="M42" i="15"/>
  <c r="AI12" i="98"/>
  <c r="G13" i="89"/>
  <c r="M105" i="15"/>
  <c r="AO11" i="111"/>
  <c r="AX10" i="98"/>
  <c r="E15" i="89"/>
  <c r="O53" i="15"/>
  <c r="O94" i="15"/>
  <c r="L19" i="89"/>
  <c r="BX17" i="98"/>
  <c r="L18" i="89"/>
  <c r="F53" i="15"/>
  <c r="H36" i="15"/>
  <c r="J120" i="15"/>
  <c r="M49" i="15"/>
  <c r="AA11" i="98"/>
  <c r="F16" i="98"/>
  <c r="BR13" i="98"/>
  <c r="BY10" i="109"/>
  <c r="O97" i="15"/>
  <c r="AK14" i="89"/>
  <c r="O63" i="15"/>
  <c r="F35" i="15"/>
  <c r="H52" i="15"/>
  <c r="F27" i="15"/>
  <c r="J56" i="15"/>
  <c r="I12" i="89"/>
  <c r="F94" i="15"/>
  <c r="J11" i="98"/>
  <c r="I13" i="13"/>
  <c r="J80" i="15"/>
  <c r="BM10" i="98"/>
  <c r="J102" i="15"/>
  <c r="M122" i="15"/>
  <c r="F76" i="15"/>
  <c r="Z41" i="15"/>
  <c r="M41" i="15"/>
  <c r="H71" i="15"/>
  <c r="F55" i="15"/>
  <c r="N11" i="89"/>
  <c r="F108" i="15"/>
  <c r="O114" i="15"/>
  <c r="BR15" i="98"/>
  <c r="AA12" i="111"/>
  <c r="Q103" i="15"/>
  <c r="AS12" i="111"/>
  <c r="O122" i="15"/>
  <c r="F46" i="15"/>
  <c r="AK11" i="111"/>
  <c r="F112" i="15"/>
  <c r="L20" i="89"/>
  <c r="AI17" i="98"/>
  <c r="J106" i="15"/>
  <c r="O15" i="98"/>
  <c r="AI15" i="98"/>
  <c r="O107" i="15"/>
  <c r="F73" i="15"/>
  <c r="H102" i="15"/>
  <c r="M95" i="15"/>
  <c r="I14" i="13"/>
  <c r="M12" i="98"/>
  <c r="F69" i="15"/>
  <c r="M121" i="15"/>
  <c r="AA13" i="89"/>
  <c r="I17" i="89"/>
  <c r="BR11" i="98"/>
  <c r="G15" i="41"/>
  <c r="BC18" i="98"/>
  <c r="G13" i="41"/>
  <c r="O71" i="15"/>
  <c r="BW11" i="109"/>
  <c r="AM12" i="111"/>
  <c r="K11" i="13"/>
  <c r="H73" i="15"/>
  <c r="J14" i="15"/>
  <c r="J19" i="98"/>
  <c r="AN13" i="98"/>
  <c r="AA15" i="89"/>
  <c r="F57" i="15"/>
  <c r="Z20" i="15"/>
  <c r="O43" i="15"/>
  <c r="F19" i="98"/>
  <c r="AC11" i="89"/>
  <c r="N16" i="89"/>
  <c r="AE15" i="89"/>
  <c r="F78" i="15"/>
  <c r="BH10" i="98"/>
  <c r="J48" i="15"/>
  <c r="CA17" i="98"/>
  <c r="J13" i="15"/>
  <c r="AA18" i="89"/>
  <c r="BW10" i="109"/>
  <c r="O52" i="15"/>
  <c r="K19" i="13"/>
  <c r="F50" i="15"/>
  <c r="J115" i="15"/>
  <c r="F17" i="15"/>
  <c r="J99" i="15"/>
  <c r="D9" i="13"/>
  <c r="L10" i="89"/>
  <c r="I19" i="13"/>
  <c r="H86" i="15"/>
  <c r="J59" i="15"/>
  <c r="F23" i="15"/>
  <c r="AU14" i="89"/>
  <c r="AX17" i="98"/>
  <c r="AM11" i="89"/>
  <c r="M60" i="15"/>
  <c r="N14" i="111"/>
  <c r="F16" i="13"/>
  <c r="O27" i="15"/>
  <c r="H120" i="15"/>
  <c r="F72" i="15"/>
  <c r="J38" i="15"/>
  <c r="O12" i="15"/>
  <c r="Y11" i="89"/>
  <c r="F79" i="15"/>
  <c r="O90" i="15"/>
  <c r="BX13" i="98"/>
  <c r="M11" i="109"/>
  <c r="M65" i="15"/>
  <c r="J84" i="15"/>
  <c r="M26" i="15"/>
  <c r="Z62" i="15"/>
  <c r="O81" i="15"/>
  <c r="H91" i="15"/>
  <c r="AI16" i="98"/>
  <c r="H31" i="15"/>
  <c r="H78" i="15"/>
  <c r="AC18" i="89"/>
  <c r="I20" i="89"/>
  <c r="F111" i="15"/>
  <c r="J104" i="15"/>
  <c r="H69" i="15"/>
  <c r="J87" i="15"/>
  <c r="H66" i="15"/>
  <c r="H80" i="15"/>
  <c r="J25" i="15"/>
  <c r="I16" i="89"/>
  <c r="AU15" i="89"/>
  <c r="Z54" i="15"/>
  <c r="O64" i="15"/>
  <c r="F15" i="15"/>
  <c r="F16" i="15"/>
  <c r="AI12" i="111"/>
  <c r="O96" i="15"/>
  <c r="AU17" i="89"/>
  <c r="H77" i="15"/>
  <c r="H105" i="15"/>
  <c r="F119" i="15"/>
  <c r="D11" i="13"/>
  <c r="J20" i="15"/>
  <c r="Z34" i="15"/>
  <c r="I21" i="89"/>
  <c r="AG10" i="89"/>
  <c r="AV10" i="89"/>
  <c r="H18" i="15"/>
  <c r="F101" i="15"/>
  <c r="BR16" i="98"/>
  <c r="M76" i="15"/>
  <c r="AC14" i="89"/>
  <c r="J85" i="15"/>
  <c r="AI10" i="89"/>
  <c r="M85" i="15"/>
  <c r="N18" i="89"/>
  <c r="E10" i="89"/>
  <c r="I11" i="89"/>
  <c r="O11" i="98"/>
  <c r="AM12" i="89"/>
  <c r="BX15" i="98"/>
  <c r="I18" i="89"/>
  <c r="J112" i="15"/>
  <c r="O67" i="15"/>
  <c r="F118" i="15"/>
  <c r="F56" i="15"/>
  <c r="L13" i="111"/>
  <c r="AM13" i="111"/>
  <c r="AQ13" i="111"/>
  <c r="CC17" i="98"/>
  <c r="J43" i="15"/>
  <c r="AO11" i="89"/>
  <c r="G12" i="111"/>
  <c r="AN18" i="98"/>
  <c r="F12" i="98"/>
  <c r="F19" i="15"/>
  <c r="AS12" i="89"/>
  <c r="Y16" i="89"/>
  <c r="BM17" i="98"/>
  <c r="F38" i="15"/>
  <c r="F121" i="15"/>
  <c r="H89" i="15"/>
  <c r="H21" i="15"/>
  <c r="M59" i="15"/>
  <c r="H17" i="15"/>
  <c r="F115" i="15"/>
  <c r="J18" i="98"/>
  <c r="AE13" i="111"/>
  <c r="F11" i="98"/>
  <c r="H19" i="98"/>
  <c r="F85" i="15"/>
  <c r="BQ11" i="109"/>
  <c r="M69" i="15"/>
  <c r="F71" i="15"/>
  <c r="AS10" i="89"/>
  <c r="M36" i="15"/>
  <c r="M98" i="15"/>
  <c r="AG12" i="111"/>
  <c r="AA17" i="89"/>
  <c r="J119" i="15"/>
  <c r="F106" i="15"/>
  <c r="H13" i="98"/>
  <c r="H14" i="98"/>
  <c r="H10" i="98"/>
  <c r="J45" i="15"/>
  <c r="G14" i="89"/>
  <c r="AK16" i="89"/>
  <c r="J53" i="15"/>
  <c r="J18" i="15"/>
  <c r="F26" i="15"/>
  <c r="CC12" i="98"/>
  <c r="AM17" i="89"/>
  <c r="H45" i="15"/>
  <c r="AS13" i="98"/>
  <c r="K13" i="13"/>
  <c r="F86" i="15"/>
  <c r="F49" i="15"/>
  <c r="F82" i="15"/>
  <c r="H39" i="15"/>
  <c r="J14" i="98"/>
  <c r="F12" i="109"/>
  <c r="BX11" i="98"/>
  <c r="J108" i="15"/>
  <c r="J79" i="15"/>
  <c r="F123" i="15"/>
  <c r="L12" i="89"/>
  <c r="G21" i="89"/>
  <c r="M109" i="15"/>
  <c r="O73" i="15"/>
  <c r="E11" i="111"/>
  <c r="G14" i="41"/>
  <c r="O74" i="15"/>
  <c r="BR14" i="98"/>
  <c r="F102" i="15"/>
  <c r="AD16" i="98"/>
  <c r="AI18" i="89"/>
  <c r="F37" i="15"/>
  <c r="M10" i="98"/>
  <c r="J31" i="15"/>
  <c r="E16" i="89"/>
  <c r="AE11" i="89"/>
  <c r="M16" i="15"/>
  <c r="D17" i="13"/>
  <c r="Z38" i="15"/>
  <c r="AR11" i="109"/>
  <c r="AE11" i="111"/>
  <c r="D19" i="13"/>
  <c r="E12" i="111"/>
  <c r="BC10" i="98"/>
  <c r="AN16" i="98"/>
  <c r="H16" i="15"/>
  <c r="M48" i="15"/>
  <c r="M90" i="15"/>
  <c r="AS17" i="89"/>
  <c r="AS11" i="111"/>
  <c r="R31" i="15" l="1"/>
  <c r="CD16" i="98"/>
  <c r="V16" i="98" s="1"/>
  <c r="R79" i="15"/>
  <c r="R108" i="15"/>
  <c r="R14" i="98"/>
  <c r="R18" i="15"/>
  <c r="R53" i="15"/>
  <c r="R45" i="15"/>
  <c r="R119" i="15"/>
  <c r="AY17" i="89"/>
  <c r="T17" i="89" s="1"/>
  <c r="R18" i="98"/>
  <c r="R43" i="15"/>
  <c r="R112" i="15"/>
  <c r="Q18" i="89"/>
  <c r="Q11" i="89"/>
  <c r="R85" i="15"/>
  <c r="Q21" i="89"/>
  <c r="R20" i="15"/>
  <c r="Q16" i="89"/>
  <c r="R25" i="15"/>
  <c r="R87" i="15"/>
  <c r="R104" i="15"/>
  <c r="Q20" i="89"/>
  <c r="R84" i="15"/>
  <c r="R38" i="15"/>
  <c r="N16" i="13"/>
  <c r="R59" i="15"/>
  <c r="R99" i="15"/>
  <c r="R115" i="15"/>
  <c r="AY18" i="89"/>
  <c r="T18" i="89" s="1"/>
  <c r="R13" i="15"/>
  <c r="R48" i="15"/>
  <c r="AY11" i="89"/>
  <c r="T11" i="89" s="1"/>
  <c r="AY15" i="89"/>
  <c r="T15" i="89" s="1"/>
  <c r="R19" i="98"/>
  <c r="R14" i="15"/>
  <c r="Q17" i="89"/>
  <c r="AY13" i="89"/>
  <c r="T13" i="89" s="1"/>
  <c r="R106" i="15"/>
  <c r="AY12" i="111"/>
  <c r="T12" i="111" s="1"/>
  <c r="R102" i="15"/>
  <c r="R80" i="15"/>
  <c r="R11" i="98"/>
  <c r="Q12" i="89"/>
  <c r="R56" i="15"/>
  <c r="R120" i="15"/>
  <c r="R72" i="15"/>
  <c r="N10" i="13"/>
  <c r="R50" i="15"/>
  <c r="R81" i="15"/>
  <c r="R110" i="15"/>
  <c r="CD14" i="98"/>
  <c r="V14" i="98" s="1"/>
  <c r="R52" i="15"/>
  <c r="R57" i="15"/>
  <c r="R75" i="15"/>
  <c r="R17" i="15"/>
  <c r="R68" i="15"/>
  <c r="N9" i="13"/>
  <c r="R12" i="15"/>
  <c r="N11" i="13"/>
  <c r="R70" i="15"/>
  <c r="R60" i="15"/>
  <c r="AY10" i="89"/>
  <c r="T10" i="89" s="1"/>
  <c r="R17" i="98"/>
  <c r="R37" i="15"/>
  <c r="R63" i="15"/>
  <c r="R92" i="15"/>
  <c r="R94" i="15"/>
  <c r="R71" i="15"/>
  <c r="R16" i="98"/>
  <c r="AY16" i="89"/>
  <c r="T16" i="89" s="1"/>
  <c r="AY12" i="89"/>
  <c r="T12" i="89" s="1"/>
  <c r="R105" i="15"/>
  <c r="N17" i="13"/>
  <c r="R76" i="15"/>
  <c r="R67" i="15"/>
  <c r="R89" i="15"/>
  <c r="R58" i="15"/>
  <c r="R116" i="15"/>
  <c r="R66" i="15"/>
  <c r="R11" i="109"/>
  <c r="AY11" i="111"/>
  <c r="T11" i="111" s="1"/>
  <c r="R65" i="15"/>
  <c r="R61" i="15"/>
  <c r="D11" i="111"/>
  <c r="R11" i="111" s="1"/>
  <c r="R27" i="15"/>
  <c r="R49" i="15"/>
  <c r="N14" i="13"/>
  <c r="R24" i="15"/>
  <c r="R10" i="109"/>
  <c r="R30" i="15"/>
  <c r="R83" i="15"/>
  <c r="R62" i="15"/>
  <c r="CD12" i="98"/>
  <c r="V12" i="98" s="1"/>
  <c r="R21" i="15"/>
  <c r="Q10" i="89"/>
  <c r="R74" i="15"/>
  <c r="D12" i="111"/>
  <c r="R12" i="111" s="1"/>
  <c r="A12" i="111" s="1"/>
  <c r="R34" i="15"/>
  <c r="R19" i="15"/>
  <c r="R109" i="15"/>
  <c r="CD18" i="98"/>
  <c r="V18" i="98" s="1"/>
  <c r="R98" i="15"/>
  <c r="R26" i="15"/>
  <c r="R46" i="15"/>
  <c r="R12" i="109"/>
  <c r="E12" i="15"/>
  <c r="S12" i="15" s="1"/>
  <c r="B12" i="15" s="1"/>
  <c r="R73" i="15"/>
  <c r="R93" i="15"/>
  <c r="R23" i="15"/>
  <c r="CD13" i="98"/>
  <c r="V13" i="98" s="1"/>
  <c r="R113" i="15"/>
  <c r="Q19" i="89"/>
  <c r="N19" i="13"/>
  <c r="Q14" i="89"/>
  <c r="AY13" i="111"/>
  <c r="T13" i="111" s="1"/>
  <c r="R96" i="15"/>
  <c r="R123" i="15"/>
  <c r="R54" i="15"/>
  <c r="R32" i="15"/>
  <c r="R90" i="15"/>
  <c r="R15" i="98"/>
  <c r="R114" i="15"/>
  <c r="R39" i="15"/>
  <c r="Q15" i="89"/>
  <c r="CD17" i="98"/>
  <c r="V17" i="98" s="1"/>
  <c r="R44" i="15"/>
  <c r="R91" i="15"/>
  <c r="AY14" i="89"/>
  <c r="T14" i="89" s="1"/>
  <c r="R121" i="15"/>
  <c r="CC11" i="109"/>
  <c r="V11" i="109" s="1"/>
  <c r="CC10" i="109"/>
  <c r="V10" i="109" s="1"/>
  <c r="Q13" i="89"/>
  <c r="R78" i="15"/>
  <c r="R33" i="15"/>
  <c r="CD11" i="98"/>
  <c r="V11" i="98" s="1"/>
  <c r="R55" i="15"/>
  <c r="R97" i="15"/>
  <c r="R69" i="15"/>
  <c r="R86" i="15"/>
  <c r="R35" i="15"/>
  <c r="R111" i="15"/>
  <c r="N18" i="13"/>
  <c r="R29" i="15"/>
  <c r="R117" i="15"/>
  <c r="R51" i="15"/>
  <c r="R77" i="15"/>
  <c r="N15" i="13"/>
  <c r="R12" i="98"/>
  <c r="AH10" i="98"/>
  <c r="BW10" i="98" s="1"/>
  <c r="CD10" i="98"/>
  <c r="V10" i="98" s="1"/>
  <c r="CD15" i="98"/>
  <c r="V15" i="98" s="1"/>
  <c r="R100" i="15"/>
  <c r="R107" i="15"/>
  <c r="R28" i="15"/>
  <c r="R47" i="15"/>
  <c r="R22" i="15"/>
  <c r="R41" i="15"/>
  <c r="R42" i="15"/>
  <c r="R82" i="15"/>
  <c r="R15" i="15"/>
  <c r="R118" i="15"/>
  <c r="N12" i="13"/>
  <c r="R16" i="15"/>
  <c r="R36" i="15"/>
  <c r="R40" i="15"/>
  <c r="N13" i="13"/>
  <c r="R64" i="15"/>
  <c r="R88" i="15"/>
  <c r="BX468" i="8"/>
  <c r="BW462" i="8" s="1"/>
  <c r="BW464" i="8" s="1"/>
  <c r="BU479" i="8"/>
  <c r="BV479" i="8"/>
  <c r="BW479" i="8"/>
  <c r="BW481" i="8"/>
  <c r="M10" i="111"/>
  <c r="H10" i="111"/>
  <c r="I11" i="15"/>
  <c r="AA10" i="15"/>
  <c r="AP10" i="111"/>
  <c r="AW10" i="111"/>
  <c r="AH10" i="111"/>
  <c r="G10" i="15"/>
  <c r="AN10" i="111"/>
  <c r="O10" i="111"/>
  <c r="P11" i="15"/>
  <c r="N11" i="15"/>
  <c r="AJ10" i="111"/>
  <c r="Z10" i="111"/>
  <c r="AD10" i="111"/>
  <c r="N10" i="15"/>
  <c r="I10" i="15"/>
  <c r="G11" i="15"/>
  <c r="H11" i="41"/>
  <c r="J10" i="111"/>
  <c r="K11" i="15"/>
  <c r="AT10" i="111"/>
  <c r="AR10" i="111"/>
  <c r="AL10" i="111"/>
  <c r="P10" i="15"/>
  <c r="F10" i="111"/>
  <c r="AB10" i="111"/>
  <c r="AF10" i="111"/>
  <c r="K10" i="15"/>
  <c r="Q31" i="15"/>
  <c r="Q14" i="98"/>
  <c r="Q119" i="15"/>
  <c r="Q112" i="15"/>
  <c r="P21" i="89"/>
  <c r="Q87" i="15"/>
  <c r="Q38" i="15"/>
  <c r="Q115" i="15"/>
  <c r="P17" i="89"/>
  <c r="Q102" i="15"/>
  <c r="Q56" i="15"/>
  <c r="Q50" i="15"/>
  <c r="Q52" i="15"/>
  <c r="Q68" i="15"/>
  <c r="Q70" i="15"/>
  <c r="L10" i="111"/>
  <c r="E10" i="111"/>
  <c r="Q92" i="15"/>
  <c r="Q76" i="15"/>
  <c r="Q116" i="15"/>
  <c r="Q65" i="15"/>
  <c r="Q49" i="15"/>
  <c r="Q30" i="15"/>
  <c r="F11" i="15"/>
  <c r="Q62" i="15"/>
  <c r="Q21" i="15"/>
  <c r="Q34" i="15"/>
  <c r="Q109" i="15"/>
  <c r="Q46" i="15"/>
  <c r="Q93" i="15"/>
  <c r="P19" i="89"/>
  <c r="Q96" i="15"/>
  <c r="Q90" i="15"/>
  <c r="AO10" i="111"/>
  <c r="AG10" i="111"/>
  <c r="Q39" i="15"/>
  <c r="L10" i="15"/>
  <c r="Q121" i="15"/>
  <c r="Q78" i="15"/>
  <c r="Q97" i="15"/>
  <c r="Q111" i="15"/>
  <c r="Q51" i="15"/>
  <c r="Q107" i="15"/>
  <c r="Q41" i="15"/>
  <c r="Q118" i="15"/>
  <c r="Q40" i="15"/>
  <c r="Q77" i="15"/>
  <c r="Q28" i="15"/>
  <c r="Q42" i="15"/>
  <c r="M12" i="13"/>
  <c r="Q79" i="15"/>
  <c r="P11" i="89"/>
  <c r="P20" i="89"/>
  <c r="Q13" i="15"/>
  <c r="Q106" i="15"/>
  <c r="Q72" i="15"/>
  <c r="Q75" i="15"/>
  <c r="Q89" i="15"/>
  <c r="L11" i="15"/>
  <c r="X10" i="15"/>
  <c r="Q74" i="15"/>
  <c r="G11" i="41"/>
  <c r="Q54" i="15"/>
  <c r="AQ10" i="111"/>
  <c r="Q15" i="98"/>
  <c r="M10" i="15"/>
  <c r="Q91" i="15"/>
  <c r="Q29" i="15"/>
  <c r="Q64" i="15"/>
  <c r="Q45" i="15"/>
  <c r="Q85" i="15"/>
  <c r="Q84" i="15"/>
  <c r="Q48" i="15"/>
  <c r="Q17" i="15"/>
  <c r="M11" i="13"/>
  <c r="Q17" i="98"/>
  <c r="Q63" i="15"/>
  <c r="Q16" i="98"/>
  <c r="M17" i="13"/>
  <c r="M11" i="15"/>
  <c r="Q73" i="15"/>
  <c r="Q32" i="15"/>
  <c r="AM10" i="111"/>
  <c r="Q114" i="15"/>
  <c r="O10" i="15"/>
  <c r="P13" i="89"/>
  <c r="Q35" i="15"/>
  <c r="Q12" i="98"/>
  <c r="Q15" i="15"/>
  <c r="Q88" i="15"/>
  <c r="Q18" i="15"/>
  <c r="P18" i="89"/>
  <c r="Q20" i="15"/>
  <c r="Q104" i="15"/>
  <c r="M16" i="13"/>
  <c r="Q80" i="15"/>
  <c r="Q120" i="15"/>
  <c r="Q81" i="15"/>
  <c r="Q57" i="15"/>
  <c r="M9" i="13"/>
  <c r="Q60" i="15"/>
  <c r="N10" i="111"/>
  <c r="G10" i="111"/>
  <c r="Q94" i="15"/>
  <c r="Q67" i="15"/>
  <c r="Q66" i="15"/>
  <c r="Q61" i="15"/>
  <c r="M14" i="13"/>
  <c r="Q83" i="15"/>
  <c r="H11" i="15"/>
  <c r="P10" i="89"/>
  <c r="Q19" i="15"/>
  <c r="Q12" i="109"/>
  <c r="Q23" i="15"/>
  <c r="M19" i="13"/>
  <c r="Q123" i="15"/>
  <c r="AI10" i="111"/>
  <c r="Y10" i="111"/>
  <c r="AC10" i="111"/>
  <c r="W10" i="111"/>
  <c r="P15" i="89"/>
  <c r="J10" i="15"/>
  <c r="Q44" i="15"/>
  <c r="Q33" i="15"/>
  <c r="Q69" i="15"/>
  <c r="M18" i="13"/>
  <c r="M13" i="13"/>
  <c r="Q53" i="15"/>
  <c r="Q18" i="98"/>
  <c r="P16" i="89"/>
  <c r="Q59" i="15"/>
  <c r="Q19" i="98"/>
  <c r="Q11" i="98"/>
  <c r="Q110" i="15"/>
  <c r="Q12" i="15"/>
  <c r="K10" i="111"/>
  <c r="Q37" i="15"/>
  <c r="Q71" i="15"/>
  <c r="Q105" i="15"/>
  <c r="Q11" i="109"/>
  <c r="Q24" i="15"/>
  <c r="O11" i="15"/>
  <c r="Q98" i="15"/>
  <c r="P14" i="89"/>
  <c r="AK10" i="111"/>
  <c r="F10" i="15"/>
  <c r="Q86" i="15"/>
  <c r="M15" i="13"/>
  <c r="Q47" i="15"/>
  <c r="Q82" i="15"/>
  <c r="Q16" i="15"/>
  <c r="Q108" i="15"/>
  <c r="Q43" i="15"/>
  <c r="Q25" i="15"/>
  <c r="Q99" i="15"/>
  <c r="Q14" i="15"/>
  <c r="P12" i="89"/>
  <c r="M10" i="13"/>
  <c r="Q58" i="15"/>
  <c r="Q27" i="15"/>
  <c r="Q10" i="109"/>
  <c r="J11" i="15"/>
  <c r="Z10" i="15"/>
  <c r="Q26" i="15"/>
  <c r="Q113" i="15"/>
  <c r="AA10" i="111"/>
  <c r="AE10" i="111"/>
  <c r="H10" i="15"/>
  <c r="Q55" i="15"/>
  <c r="Q117" i="15"/>
  <c r="Q22" i="15"/>
  <c r="Q36" i="15"/>
  <c r="E11" i="41"/>
  <c r="Q100" i="15"/>
  <c r="F11" i="41" l="1"/>
  <c r="J11" i="41" s="1"/>
  <c r="E4" i="41" s="1"/>
  <c r="D10" i="111"/>
  <c r="R10" i="111" s="1"/>
  <c r="A10" i="111" s="1"/>
  <c r="X10" i="111"/>
  <c r="Y10" i="15"/>
  <c r="AB10" i="15" s="1"/>
  <c r="U10" i="15" s="1"/>
  <c r="E11" i="15"/>
  <c r="S11" i="15" s="1"/>
  <c r="B11" i="15" s="1"/>
  <c r="E10" i="15"/>
  <c r="S10" i="15" s="1"/>
  <c r="B10" i="15" s="1"/>
  <c r="W4" i="89"/>
  <c r="D4" i="111"/>
  <c r="X4" i="15"/>
  <c r="B11" i="41"/>
  <c r="BW489" i="8"/>
  <c r="BW491" i="8"/>
  <c r="BV489" i="8"/>
  <c r="BU489" i="8"/>
  <c r="BX478" i="8"/>
  <c r="BW472" i="8" s="1"/>
  <c r="BW474" i="8" s="1"/>
  <c r="R11" i="15"/>
  <c r="R10" i="15"/>
  <c r="AS10" i="111"/>
  <c r="AX10" i="111"/>
  <c r="Q11" i="15"/>
  <c r="AU10" i="111"/>
  <c r="Q10" i="15"/>
  <c r="AV10" i="111"/>
  <c r="E4" i="15" l="1"/>
  <c r="AY10" i="111"/>
  <c r="BX488" i="8"/>
  <c r="BW482" i="8" s="1"/>
  <c r="BW484" i="8" s="1"/>
  <c r="BW501" i="8"/>
  <c r="BU499" i="8"/>
  <c r="BV499" i="8"/>
  <c r="BX499" i="8" s="1"/>
  <c r="BW499" i="8"/>
  <c r="T10" i="111" l="1"/>
  <c r="W4" i="111"/>
  <c r="BX498" i="8"/>
  <c r="BW492" i="8" s="1"/>
  <c r="BW494" i="8" s="1"/>
  <c r="BV509" i="8"/>
  <c r="BW509" i="8"/>
  <c r="BW511" i="8"/>
  <c r="BU509" i="8"/>
  <c r="BX508" i="8" l="1"/>
  <c r="BW502" i="8" s="1"/>
  <c r="BW504" i="8" s="1"/>
  <c r="BW521" i="8"/>
  <c r="BU519" i="8"/>
  <c r="BW519" i="8"/>
  <c r="BV519" i="8"/>
  <c r="BX518" i="8" l="1"/>
  <c r="BW512" i="8" s="1"/>
  <c r="BW514" i="8" s="1"/>
  <c r="BV529" i="8"/>
  <c r="BW529" i="8"/>
  <c r="BU529" i="8"/>
  <c r="BW531" i="8"/>
  <c r="BX528" i="8" l="1"/>
  <c r="BW522" i="8" s="1"/>
  <c r="BW524" i="8" s="1"/>
  <c r="BW541" i="8"/>
  <c r="BU539" i="8"/>
  <c r="BV539" i="8"/>
  <c r="BW539" i="8"/>
  <c r="BX538" i="8" l="1"/>
  <c r="BW532" i="8" s="1"/>
  <c r="BW534" i="8" s="1"/>
  <c r="BV549" i="8"/>
  <c r="BW549" i="8"/>
  <c r="BU549" i="8"/>
  <c r="BW551" i="8"/>
  <c r="BX548" i="8" l="1"/>
  <c r="BW542" i="8" s="1"/>
  <c r="BW544" i="8" s="1"/>
  <c r="BW561" i="8"/>
  <c r="BU559" i="8"/>
  <c r="BV559" i="8"/>
  <c r="BW559" i="8"/>
  <c r="BX558" i="8" l="1"/>
  <c r="BW552" i="8" s="1"/>
  <c r="BW554" i="8" s="1"/>
  <c r="BV569" i="8"/>
  <c r="BW569" i="8"/>
  <c r="BU569" i="8"/>
  <c r="BW571" i="8"/>
  <c r="BX568" i="8" l="1"/>
  <c r="BW562" i="8" s="1"/>
  <c r="BW564" i="8" s="1"/>
  <c r="BW581" i="8"/>
  <c r="BU579" i="8"/>
  <c r="BW579" i="8"/>
  <c r="BV579" i="8"/>
  <c r="BX578" i="8" l="1"/>
  <c r="BW572" i="8" s="1"/>
  <c r="BW574" i="8" s="1"/>
  <c r="BV589" i="8"/>
  <c r="BW589" i="8"/>
  <c r="BW591" i="8"/>
  <c r="BU589" i="8"/>
  <c r="BX588" i="8" l="1"/>
  <c r="BW582" i="8" s="1"/>
  <c r="BW584" i="8" s="1"/>
  <c r="BW601" i="8"/>
  <c r="BU599" i="8"/>
  <c r="BV599" i="8"/>
  <c r="BW599" i="8"/>
  <c r="BX598" i="8" l="1"/>
  <c r="BW592" i="8" s="1"/>
  <c r="BW594" i="8" s="1"/>
  <c r="BV609" i="8"/>
  <c r="BW609" i="8"/>
  <c r="BU609" i="8"/>
  <c r="BW611" i="8"/>
  <c r="BX608" i="8" l="1"/>
  <c r="BW602" i="8" s="1"/>
  <c r="BW604" i="8" s="1"/>
  <c r="BW621" i="8"/>
  <c r="BU619" i="8"/>
  <c r="BV619" i="8"/>
  <c r="BW619" i="8"/>
  <c r="BX618" i="8" l="1"/>
  <c r="BW612" i="8" s="1"/>
  <c r="BW614" i="8" s="1"/>
  <c r="BV629" i="8"/>
  <c r="BW629" i="8"/>
  <c r="BU629" i="8"/>
  <c r="BW631" i="8"/>
  <c r="BX628" i="8" l="1"/>
  <c r="BW622" i="8" s="1"/>
  <c r="BW624" i="8" s="1"/>
  <c r="BW641" i="8"/>
  <c r="BU639" i="8"/>
  <c r="BV639" i="8"/>
  <c r="BW639" i="8"/>
  <c r="BX638" i="8" l="1"/>
  <c r="BW632" i="8" s="1"/>
  <c r="BW634" i="8" s="1"/>
  <c r="BV649" i="8"/>
  <c r="BW649" i="8"/>
  <c r="BU649" i="8"/>
  <c r="BW651" i="8"/>
  <c r="BX648" i="8" l="1"/>
  <c r="BW642" i="8" s="1"/>
  <c r="BW644" i="8" s="1"/>
  <c r="BU659" i="8"/>
  <c r="BW659" i="8"/>
  <c r="BV659" i="8"/>
  <c r="BX658" i="8" l="1"/>
  <c r="BW652" i="8" s="1"/>
  <c r="BW654"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D20" authorId="0" shapeId="0" xr:uid="{00000000-0006-0000-0100-000001000000}">
      <text>
        <r>
          <rPr>
            <b/>
            <sz val="9"/>
            <color indexed="81"/>
            <rFont val="Tahoma"/>
            <family val="2"/>
            <charset val="204"/>
          </rPr>
          <t xml:space="preserve">Рентабельность:
</t>
        </r>
        <r>
          <rPr>
            <sz val="9"/>
            <color indexed="81"/>
            <rFont val="Tahoma"/>
            <family val="2"/>
            <charset val="204"/>
          </rPr>
          <t xml:space="preserve">0% - низкая рентабельность - качественная оценка - 1;
100% - высокая рентабельность - качественная оценка - 4;
</t>
        </r>
      </text>
    </comment>
    <comment ref="N20" authorId="0" shapeId="0" xr:uid="{00000000-0006-0000-0100-000002000000}">
      <text>
        <r>
          <rPr>
            <b/>
            <sz val="9"/>
            <color indexed="81"/>
            <rFont val="Tahoma"/>
            <family val="2"/>
            <charset val="204"/>
          </rPr>
          <t xml:space="preserve">Ликвидность:
</t>
        </r>
        <r>
          <rPr>
            <sz val="9"/>
            <color indexed="81"/>
            <rFont val="Tahoma"/>
            <family val="2"/>
            <charset val="204"/>
          </rPr>
          <t>Л4 - низкая ликвидность - качественная оценка - 1;
Л1 - высокая ликвидность - качественная оценка - 4;</t>
        </r>
      </text>
    </comment>
    <comment ref="H26" authorId="0" shapeId="0" xr:uid="{00000000-0006-0000-0100-000003000000}">
      <text>
        <r>
          <rPr>
            <b/>
            <sz val="9"/>
            <color indexed="81"/>
            <rFont val="Tahoma"/>
            <family val="2"/>
            <charset val="204"/>
          </rPr>
          <t>Верхний критерий</t>
        </r>
      </text>
    </comment>
    <comment ref="H27" authorId="0" shapeId="0" xr:uid="{00000000-0006-0000-0100-000004000000}">
      <text>
        <r>
          <rPr>
            <b/>
            <sz val="9"/>
            <color indexed="81"/>
            <rFont val="Tahoma"/>
            <family val="2"/>
            <charset val="204"/>
          </rPr>
          <t>Нижний критерий</t>
        </r>
      </text>
    </comment>
    <comment ref="K38" authorId="0" shapeId="0" xr:uid="{00000000-0006-0000-0100-000005000000}">
      <text>
        <r>
          <rPr>
            <b/>
            <sz val="9"/>
            <color indexed="81"/>
            <rFont val="Tahoma"/>
            <family val="2"/>
            <charset val="204"/>
          </rPr>
          <t>2, 4, 3, 2, 3</t>
        </r>
      </text>
    </comment>
    <comment ref="K39" authorId="0" shapeId="0" xr:uid="{00000000-0006-0000-0100-000006000000}">
      <text>
        <r>
          <rPr>
            <b/>
            <sz val="9"/>
            <color indexed="81"/>
            <rFont val="Tahoma"/>
            <family val="2"/>
            <charset val="204"/>
          </rPr>
          <t>4, 3, 5, 4, 5</t>
        </r>
        <r>
          <rPr>
            <sz val="9"/>
            <color indexed="81"/>
            <rFont val="Tahoma"/>
            <family val="2"/>
            <charset val="204"/>
          </rPr>
          <t xml:space="preserve">
</t>
        </r>
      </text>
    </comment>
    <comment ref="K40" authorId="0" shapeId="0" xr:uid="{00000000-0006-0000-0100-000007000000}">
      <text>
        <r>
          <rPr>
            <b/>
            <sz val="9"/>
            <color indexed="81"/>
            <rFont val="Tahoma"/>
            <family val="2"/>
            <charset val="204"/>
          </rPr>
          <t>1, 3, 4, 3, 3</t>
        </r>
        <r>
          <rPr>
            <sz val="9"/>
            <color indexed="81"/>
            <rFont val="Tahoma"/>
            <family val="2"/>
            <charset val="204"/>
          </rPr>
          <t xml:space="preserve">
</t>
        </r>
      </text>
    </comment>
    <comment ref="K41" authorId="0" shapeId="0" xr:uid="{00000000-0006-0000-0100-000008000000}">
      <text>
        <r>
          <rPr>
            <b/>
            <sz val="9"/>
            <color indexed="81"/>
            <rFont val="Tahoma"/>
            <family val="2"/>
            <charset val="204"/>
          </rPr>
          <t>3, 4, 5, 3, 4</t>
        </r>
      </text>
    </comment>
    <comment ref="K42" authorId="0" shapeId="0" xr:uid="{00000000-0006-0000-0100-000009000000}">
      <text>
        <r>
          <rPr>
            <b/>
            <sz val="9"/>
            <color indexed="81"/>
            <rFont val="Tahoma"/>
            <family val="2"/>
            <charset val="204"/>
          </rPr>
          <t>5, 5, 3, 4, 4</t>
        </r>
        <r>
          <rPr>
            <sz val="9"/>
            <color indexed="81"/>
            <rFont val="Tahoma"/>
            <family val="2"/>
            <charset val="204"/>
          </rPr>
          <t xml:space="preserve">
</t>
        </r>
      </text>
    </comment>
  </commentList>
</comments>
</file>

<file path=xl/sharedStrings.xml><?xml version="1.0" encoding="utf-8"?>
<sst xmlns="http://schemas.openxmlformats.org/spreadsheetml/2006/main" count="20023" uniqueCount="1785">
  <si>
    <t>1,01</t>
  </si>
  <si>
    <t>1,02</t>
  </si>
  <si>
    <t>1,03</t>
  </si>
  <si>
    <t>1,04</t>
  </si>
  <si>
    <t>1,05</t>
  </si>
  <si>
    <t>1,06</t>
  </si>
  <si>
    <t>1,07</t>
  </si>
  <si>
    <t>1,08</t>
  </si>
  <si>
    <t>1,09</t>
  </si>
  <si>
    <t>1,1</t>
  </si>
  <si>
    <t>1,11</t>
  </si>
  <si>
    <t>1,12</t>
  </si>
  <si>
    <t>1,13</t>
  </si>
  <si>
    <t>1,14</t>
  </si>
  <si>
    <t>1,15</t>
  </si>
  <si>
    <t>1,16</t>
  </si>
  <si>
    <t>1,17</t>
  </si>
  <si>
    <t>1,18</t>
  </si>
  <si>
    <t>1,19</t>
  </si>
  <si>
    <t>1,2</t>
  </si>
  <si>
    <t>1,21</t>
  </si>
  <si>
    <t>1,22</t>
  </si>
  <si>
    <t>1,23</t>
  </si>
  <si>
    <t>1,24</t>
  </si>
  <si>
    <t>1,25</t>
  </si>
  <si>
    <t>1,26</t>
  </si>
  <si>
    <t>1,27</t>
  </si>
  <si>
    <t>1,28</t>
  </si>
  <si>
    <t>1,29</t>
  </si>
  <si>
    <t>1,3</t>
  </si>
  <si>
    <t>1,31</t>
  </si>
  <si>
    <t>1,32</t>
  </si>
  <si>
    <t>1,33</t>
  </si>
  <si>
    <t>1,34</t>
  </si>
  <si>
    <t>1,35</t>
  </si>
  <si>
    <t>1,36</t>
  </si>
  <si>
    <t>1,37</t>
  </si>
  <si>
    <t>1,38</t>
  </si>
  <si>
    <t>1,39</t>
  </si>
  <si>
    <t>1,4</t>
  </si>
  <si>
    <t>1,41</t>
  </si>
  <si>
    <t>1,42</t>
  </si>
  <si>
    <t>1,43</t>
  </si>
  <si>
    <t>1,44</t>
  </si>
  <si>
    <t>1,45</t>
  </si>
  <si>
    <t>1,46</t>
  </si>
  <si>
    <t>1,47</t>
  </si>
  <si>
    <t>1,48</t>
  </si>
  <si>
    <t>1,49</t>
  </si>
  <si>
    <t>1,5</t>
  </si>
  <si>
    <t>1,51</t>
  </si>
  <si>
    <t>1,52</t>
  </si>
  <si>
    <t>1,53</t>
  </si>
  <si>
    <t>1,54</t>
  </si>
  <si>
    <t>1,55</t>
  </si>
  <si>
    <t>1,56</t>
  </si>
  <si>
    <t>1,57</t>
  </si>
  <si>
    <t>1,58</t>
  </si>
  <si>
    <t>1,59</t>
  </si>
  <si>
    <t>1,6</t>
  </si>
  <si>
    <t>1,61</t>
  </si>
  <si>
    <t>1,62</t>
  </si>
  <si>
    <t>1,63</t>
  </si>
  <si>
    <t>1,64</t>
  </si>
  <si>
    <t>1,65</t>
  </si>
  <si>
    <t>1,66</t>
  </si>
  <si>
    <t>1,67</t>
  </si>
  <si>
    <t>1,68</t>
  </si>
  <si>
    <t>1,69</t>
  </si>
  <si>
    <t>1,7</t>
  </si>
  <si>
    <t>1,71</t>
  </si>
  <si>
    <t>1,72</t>
  </si>
  <si>
    <t>1,73</t>
  </si>
  <si>
    <t>1,74</t>
  </si>
  <si>
    <t>1,75</t>
  </si>
  <si>
    <t>1,76</t>
  </si>
  <si>
    <t>1,77</t>
  </si>
  <si>
    <t>1,78</t>
  </si>
  <si>
    <t>1,79</t>
  </si>
  <si>
    <t>1,8</t>
  </si>
  <si>
    <t>1,81</t>
  </si>
  <si>
    <t>1,82</t>
  </si>
  <si>
    <t>1,83</t>
  </si>
  <si>
    <t>1,84</t>
  </si>
  <si>
    <t>1,85</t>
  </si>
  <si>
    <t>1,86</t>
  </si>
  <si>
    <t>1,87</t>
  </si>
  <si>
    <t>1,88</t>
  </si>
  <si>
    <t>1,89</t>
  </si>
  <si>
    <t>1,9</t>
  </si>
  <si>
    <t>1,91</t>
  </si>
  <si>
    <t>1,92</t>
  </si>
  <si>
    <t>1,93</t>
  </si>
  <si>
    <t>1,94</t>
  </si>
  <si>
    <t>1,95</t>
  </si>
  <si>
    <t>1,96</t>
  </si>
  <si>
    <t>1,97</t>
  </si>
  <si>
    <t>1,98</t>
  </si>
  <si>
    <t>1,99</t>
  </si>
  <si>
    <t>Столбец1</t>
  </si>
  <si>
    <t>1</t>
  </si>
  <si>
    <t>2</t>
  </si>
  <si>
    <t>Содержание</t>
  </si>
  <si>
    <t>F0</t>
  </si>
  <si>
    <t>F1</t>
  </si>
  <si>
    <t>F2</t>
  </si>
  <si>
    <t>F3</t>
  </si>
  <si>
    <t>F4</t>
  </si>
  <si>
    <t>F5</t>
  </si>
  <si>
    <t>&lt;&lt;НАЗАД</t>
  </si>
  <si>
    <t>Матрицы</t>
  </si>
  <si>
    <t>Низ_F0</t>
  </si>
  <si>
    <t>Низ_F1</t>
  </si>
  <si>
    <t>Низ_F2</t>
  </si>
  <si>
    <t>Низ_F3</t>
  </si>
  <si>
    <t>Низ_F4</t>
  </si>
  <si>
    <t>Низ_F5</t>
  </si>
  <si>
    <t>Общий</t>
  </si>
  <si>
    <t>Бок_F0</t>
  </si>
  <si>
    <t>Бок_F1</t>
  </si>
  <si>
    <t>Бок_F2</t>
  </si>
  <si>
    <t>Бок_F3</t>
  </si>
  <si>
    <t>Бок_F4</t>
  </si>
  <si>
    <t>Бок_F5</t>
  </si>
  <si>
    <t>В_F0_F0</t>
  </si>
  <si>
    <t>В_F0_F1</t>
  </si>
  <si>
    <t>В_F0_F2</t>
  </si>
  <si>
    <t>В_F0_F3</t>
  </si>
  <si>
    <t>В_F0_F4</t>
  </si>
  <si>
    <t>В_F0_F5</t>
  </si>
  <si>
    <t>В_F1_F0</t>
  </si>
  <si>
    <t>В_F1_F1</t>
  </si>
  <si>
    <t>В_F1_F2</t>
  </si>
  <si>
    <t>В_F1_F3</t>
  </si>
  <si>
    <t>В_F1_F4</t>
  </si>
  <si>
    <t>В_F1_F5</t>
  </si>
  <si>
    <t>В_F2_F0</t>
  </si>
  <si>
    <t>В_F2_F1</t>
  </si>
  <si>
    <t>В_F2_F2</t>
  </si>
  <si>
    <t>В_F2_F3</t>
  </si>
  <si>
    <t>В_F2_F4</t>
  </si>
  <si>
    <t>В_F2_F5</t>
  </si>
  <si>
    <t>В_F3_F0</t>
  </si>
  <si>
    <t>В_F3_F1</t>
  </si>
  <si>
    <t>В_F3_F2</t>
  </si>
  <si>
    <t>В_F3_F3</t>
  </si>
  <si>
    <t>В_F3_F4</t>
  </si>
  <si>
    <t>В_F3_F5</t>
  </si>
  <si>
    <t>В_F4_F0</t>
  </si>
  <si>
    <t>В_F4_F1</t>
  </si>
  <si>
    <t>В_F4_F2</t>
  </si>
  <si>
    <t>В_F4_F3</t>
  </si>
  <si>
    <t>В_F4_F4</t>
  </si>
  <si>
    <t>В_F4_F5</t>
  </si>
  <si>
    <t>В_F5_F0</t>
  </si>
  <si>
    <t>В_F5_F1</t>
  </si>
  <si>
    <t>В_F5_F2</t>
  </si>
  <si>
    <t>В_F5_F3</t>
  </si>
  <si>
    <t>В_F5_F4</t>
  </si>
  <si>
    <t>В_F5_F5</t>
  </si>
  <si>
    <t>В_F0_F0_0</t>
  </si>
  <si>
    <t>В_F0_F1_0</t>
  </si>
  <si>
    <t>В_F0_F2_0</t>
  </si>
  <si>
    <t>В_F0_F3_0</t>
  </si>
  <si>
    <t>В_F0_F4_0</t>
  </si>
  <si>
    <t>В_F0_F5_0</t>
  </si>
  <si>
    <t>В_F1_F0_0</t>
  </si>
  <si>
    <t>В_F1_F1_0</t>
  </si>
  <si>
    <t>В_F1_F2_0</t>
  </si>
  <si>
    <t>В_F1_F3_0</t>
  </si>
  <si>
    <t>В_F1_F4_0</t>
  </si>
  <si>
    <t>В_F1_F5_0</t>
  </si>
  <si>
    <t>В_F2_F0_0</t>
  </si>
  <si>
    <t>В_F2_F1_0</t>
  </si>
  <si>
    <t>В_F2_F2_0</t>
  </si>
  <si>
    <t>В_F2_F3_0</t>
  </si>
  <si>
    <t>В_F2_F4_0</t>
  </si>
  <si>
    <t>В_F2_F5_0</t>
  </si>
  <si>
    <t>В_F3_F0_0</t>
  </si>
  <si>
    <t>В_F3_F1_0</t>
  </si>
  <si>
    <t>В_F3_F2_0</t>
  </si>
  <si>
    <t>В_F3_F3_0</t>
  </si>
  <si>
    <t>В_F3_F4_0</t>
  </si>
  <si>
    <t>В_F3_F5_0</t>
  </si>
  <si>
    <t>В_F4_F0_0</t>
  </si>
  <si>
    <t>В_F4_F1_0</t>
  </si>
  <si>
    <t>В_F4_F2_0</t>
  </si>
  <si>
    <t>В_F4_F3_0</t>
  </si>
  <si>
    <t>В_F4_F4_0</t>
  </si>
  <si>
    <t>В_F4_F5_0</t>
  </si>
  <si>
    <t>В_F5_F0_0</t>
  </si>
  <si>
    <t>В_F5_F1_0</t>
  </si>
  <si>
    <t>В_F5_F2_0</t>
  </si>
  <si>
    <t>В_F5_F3_0</t>
  </si>
  <si>
    <t>В_F5_F4_0</t>
  </si>
  <si>
    <t>В_F5_F5_0</t>
  </si>
  <si>
    <t>В_F0_F0_5</t>
  </si>
  <si>
    <t>В_F0_F1_5</t>
  </si>
  <si>
    <t>В_F0_F2_5</t>
  </si>
  <si>
    <t>В_F0_F3_5</t>
  </si>
  <si>
    <t>В_F0_F4_5</t>
  </si>
  <si>
    <t>В_F0_F5_5</t>
  </si>
  <si>
    <t>В_F1_F0_5</t>
  </si>
  <si>
    <t>В_F1_F1_5</t>
  </si>
  <si>
    <t>В_F1_F2_5</t>
  </si>
  <si>
    <t>В_F1_F3_5</t>
  </si>
  <si>
    <t>В_F1_F4_5</t>
  </si>
  <si>
    <t>В_F1_F5_5</t>
  </si>
  <si>
    <t>В_F2_F0_5</t>
  </si>
  <si>
    <t>В_F2_F1_5</t>
  </si>
  <si>
    <t>В_F2_F2_5</t>
  </si>
  <si>
    <t>В_F2_F3_5</t>
  </si>
  <si>
    <t>В_F2_F4_5</t>
  </si>
  <si>
    <t>В_F2_F5_5</t>
  </si>
  <si>
    <t>В_F3_F0_5</t>
  </si>
  <si>
    <t>В_F3_F1_5</t>
  </si>
  <si>
    <t>В_F3_F2_5</t>
  </si>
  <si>
    <t>В_F3_F3_5</t>
  </si>
  <si>
    <t>В_F3_F4_5</t>
  </si>
  <si>
    <t>В_F3_F5_5</t>
  </si>
  <si>
    <t>В_F4_F0_5</t>
  </si>
  <si>
    <t>В_F4_F1_5</t>
  </si>
  <si>
    <t>В_F4_F2_5</t>
  </si>
  <si>
    <t>В_F4_F3_5</t>
  </si>
  <si>
    <t>В_F4_F4_5</t>
  </si>
  <si>
    <t>В_F4_F5_5</t>
  </si>
  <si>
    <t>В_F5_F0_5</t>
  </si>
  <si>
    <t>В_F5_F1_5</t>
  </si>
  <si>
    <t>В_F5_F2_5</t>
  </si>
  <si>
    <t>В_F5_F3_5</t>
  </si>
  <si>
    <t>В_F5_F4_5</t>
  </si>
  <si>
    <t>В_F5_F5_5</t>
  </si>
  <si>
    <t>В_F0_F0т0</t>
  </si>
  <si>
    <t>В_F0_F1т0</t>
  </si>
  <si>
    <t>В_F0_F2т0</t>
  </si>
  <si>
    <t>В_F0_F3т0</t>
  </si>
  <si>
    <t>В_F0_F4т0</t>
  </si>
  <si>
    <t>В_F0_F5т0</t>
  </si>
  <si>
    <t>В_F1_F0т0</t>
  </si>
  <si>
    <t>В_F1_F1т0</t>
  </si>
  <si>
    <t>В_F1_F2т0</t>
  </si>
  <si>
    <t>В_F1_F3т0</t>
  </si>
  <si>
    <t>В_F1_F4т0</t>
  </si>
  <si>
    <t>В_F1_F5т0</t>
  </si>
  <si>
    <t>В_F2_F0т0</t>
  </si>
  <si>
    <t>В_F2_F1т0</t>
  </si>
  <si>
    <t>В_F2_F2т0</t>
  </si>
  <si>
    <t>В_F2_F3т0</t>
  </si>
  <si>
    <t>В_F2_F4т0</t>
  </si>
  <si>
    <t>В_F2_F5т0</t>
  </si>
  <si>
    <t>В_F3_F0т0</t>
  </si>
  <si>
    <t>В_F3_F1т0</t>
  </si>
  <si>
    <t>В_F3_F2т0</t>
  </si>
  <si>
    <t>В_F3_F3т0</t>
  </si>
  <si>
    <t>В_F3_F4т0</t>
  </si>
  <si>
    <t>В_F3_F5т0</t>
  </si>
  <si>
    <t>В_F4_F0т0</t>
  </si>
  <si>
    <t>В_F4_F1т0</t>
  </si>
  <si>
    <t>В_F4_F2т0</t>
  </si>
  <si>
    <t>В_F4_F3т0</t>
  </si>
  <si>
    <t>В_F4_F4т0</t>
  </si>
  <si>
    <t>В_F4_F5т0</t>
  </si>
  <si>
    <t>В_F5_F0т0</t>
  </si>
  <si>
    <t>В_F5_F1т0</t>
  </si>
  <si>
    <t>В_F5_F2т0</t>
  </si>
  <si>
    <t>В_F5_F3т0</t>
  </si>
  <si>
    <t>В_F5_F4т0</t>
  </si>
  <si>
    <t>В_F5_F5т0</t>
  </si>
  <si>
    <t>В_F0_F0т5</t>
  </si>
  <si>
    <t>В_F0_F1т5</t>
  </si>
  <si>
    <t>В_F0_F2т5</t>
  </si>
  <si>
    <t>В_F0_F3т5</t>
  </si>
  <si>
    <t>В_F0_F4т5</t>
  </si>
  <si>
    <t>В_F0_F5т5</t>
  </si>
  <si>
    <t>В_F1_F0т5</t>
  </si>
  <si>
    <t>В_F1_F1т5</t>
  </si>
  <si>
    <t>В_F1_F2т5</t>
  </si>
  <si>
    <t>В_F1_F3т5</t>
  </si>
  <si>
    <t>В_F1_F4т5</t>
  </si>
  <si>
    <t>В_F1_F5т5</t>
  </si>
  <si>
    <t>В_F2_F0т5</t>
  </si>
  <si>
    <t>В_F2_F1т5</t>
  </si>
  <si>
    <t>В_F2_F2т5</t>
  </si>
  <si>
    <t>В_F2_F3т5</t>
  </si>
  <si>
    <t>В_F2_F4т5</t>
  </si>
  <si>
    <t>В_F2_F5т5</t>
  </si>
  <si>
    <t>В_F3_F0т5</t>
  </si>
  <si>
    <t>В_F3_F1т5</t>
  </si>
  <si>
    <t>В_F3_F2т5</t>
  </si>
  <si>
    <t>В_F3_F3т5</t>
  </si>
  <si>
    <t>В_F3_F4т5</t>
  </si>
  <si>
    <t>В_F3_F5т5</t>
  </si>
  <si>
    <t>В_F4_F0т5</t>
  </si>
  <si>
    <t>В_F4_F1т5</t>
  </si>
  <si>
    <t>В_F4_F2т5</t>
  </si>
  <si>
    <t>В_F4_F3т5</t>
  </si>
  <si>
    <t>В_F4_F4т5</t>
  </si>
  <si>
    <t>В_F4_F5т5</t>
  </si>
  <si>
    <t>В_F5_F0т5</t>
  </si>
  <si>
    <t>В_F5_F1т5</t>
  </si>
  <si>
    <t>В_F5_F2т5</t>
  </si>
  <si>
    <t>В_F5_F3т5</t>
  </si>
  <si>
    <t>В_F5_F4т5</t>
  </si>
  <si>
    <t>В_F5_F5т5</t>
  </si>
  <si>
    <t>ВF0F0_05</t>
  </si>
  <si>
    <t>ВF0F1_05</t>
  </si>
  <si>
    <t>ВF5F5_05</t>
  </si>
  <si>
    <t>ВF5F4_05</t>
  </si>
  <si>
    <t>ВF5F3_05</t>
  </si>
  <si>
    <t>ВF5F2_05</t>
  </si>
  <si>
    <t>ВF5F1_05</t>
  </si>
  <si>
    <t>ВF5F0_05</t>
  </si>
  <si>
    <t>ВF4F5_05</t>
  </si>
  <si>
    <t>ВF4F4_05</t>
  </si>
  <si>
    <t>ВF4F3_05</t>
  </si>
  <si>
    <t>ВF4F2_05</t>
  </si>
  <si>
    <t>ВF4F1_05</t>
  </si>
  <si>
    <t>ВF4F0_05</t>
  </si>
  <si>
    <t>ВF3F5_05</t>
  </si>
  <si>
    <t>ВF3F4_05</t>
  </si>
  <si>
    <t>ВF3F3_05</t>
  </si>
  <si>
    <t>ВF3F2_05</t>
  </si>
  <si>
    <t>ВF3F1_05</t>
  </si>
  <si>
    <t>ВF3F0_05</t>
  </si>
  <si>
    <t>ВF2F5_05</t>
  </si>
  <si>
    <t>ВF2F4_05</t>
  </si>
  <si>
    <t>ВF2F3_05</t>
  </si>
  <si>
    <t>ВF2F2_05</t>
  </si>
  <si>
    <t>ВF2F1_05</t>
  </si>
  <si>
    <t>ВF2F0_05</t>
  </si>
  <si>
    <t>ВF1F5_05</t>
  </si>
  <si>
    <t>ВF1F4_05</t>
  </si>
  <si>
    <t>ВF1F3_05</t>
  </si>
  <si>
    <t>ВF1F2_05</t>
  </si>
  <si>
    <t>ВF1F1_05</t>
  </si>
  <si>
    <t>ВF1F0_05</t>
  </si>
  <si>
    <t>ВF0F5_05</t>
  </si>
  <si>
    <t>ВF0F4_05</t>
  </si>
  <si>
    <t>ВF0F3_05</t>
  </si>
  <si>
    <t>ВF0F2_05</t>
  </si>
  <si>
    <t>Шифр</t>
  </si>
  <si>
    <t>Прирост_в</t>
  </si>
  <si>
    <t>Прирост_л</t>
  </si>
  <si>
    <t>Прирост_д</t>
  </si>
  <si>
    <t>Низ_F0_5</t>
  </si>
  <si>
    <t>Низ_F1_5</t>
  </si>
  <si>
    <t>Низ_F2_5</t>
  </si>
  <si>
    <t>Низ_F3_5</t>
  </si>
  <si>
    <t>Низ_F4_5</t>
  </si>
  <si>
    <t>Низ_F5_5</t>
  </si>
  <si>
    <t>Бок_F0_5</t>
  </si>
  <si>
    <t>Бок_F1_5</t>
  </si>
  <si>
    <t>Бок_F2_5</t>
  </si>
  <si>
    <t>Бок_F3_5</t>
  </si>
  <si>
    <t>Бок_F4_5</t>
  </si>
  <si>
    <t>Бок_F5_5</t>
  </si>
  <si>
    <t>ТИП ШКАЛЫ</t>
  </si>
  <si>
    <t>Прямая</t>
  </si>
  <si>
    <t>Обратная</t>
  </si>
  <si>
    <t>Опт. в макс.</t>
  </si>
  <si>
    <t>Опт. в мин.</t>
  </si>
  <si>
    <t>ВОЗЬМИТЕ НУЖНУЮ ФОРМУ</t>
  </si>
  <si>
    <t>СВЁРТКА</t>
  </si>
  <si>
    <t>КРИТЕРИЙ</t>
  </si>
  <si>
    <t>всего строк</t>
  </si>
  <si>
    <t>числовых в диапазоне 1-4</t>
  </si>
  <si>
    <t>заполненных строк</t>
  </si>
  <si>
    <t>Изменяем</t>
  </si>
  <si>
    <t>Отслеживаем</t>
  </si>
  <si>
    <t>Смещение адреса по строке</t>
  </si>
  <si>
    <t>Смещение адреса по столбу</t>
  </si>
  <si>
    <t>СИзменяем</t>
  </si>
  <si>
    <t>ФизИзменяем</t>
  </si>
  <si>
    <t>СФизИзменяем</t>
  </si>
  <si>
    <t>ТипИзменяем</t>
  </si>
  <si>
    <t>СТипИзменяем</t>
  </si>
  <si>
    <t>ФИзменяем</t>
  </si>
  <si>
    <t>ССрФизИзменяем</t>
  </si>
  <si>
    <t>МинФизИзменяем</t>
  </si>
  <si>
    <t>СМинФизИзменяем</t>
  </si>
  <si>
    <t>МаксФизИзменяем</t>
  </si>
  <si>
    <t>СМаксФизИзменяем</t>
  </si>
  <si>
    <t>СрФизИзменяем</t>
  </si>
  <si>
    <t>ВидИзменяем</t>
  </si>
  <si>
    <t>СОтслеживаем</t>
  </si>
  <si>
    <t>ВидОтслеживаем</t>
  </si>
  <si>
    <t>Сопоставление</t>
  </si>
  <si>
    <t>O.K.</t>
  </si>
  <si>
    <t>ФОтслеживаем</t>
  </si>
  <si>
    <t>Диапазон анализа</t>
  </si>
  <si>
    <t>мин</t>
  </si>
  <si>
    <t>макс</t>
  </si>
  <si>
    <t>Шаг</t>
  </si>
  <si>
    <t>Шаг анализа</t>
  </si>
  <si>
    <t xml:space="preserve">"""UPMAIN_2
=ЕСЛИ(ИЛИ(И(R[1]C=""""F0"""";RC[1]=""""F0"""");И(R[1]C=""""F0"""";RC[1]=""""F2"""");И(R[1]C=""""F0"""";RC[1]=""""F4"""");И(R[1]C=""""F3"""";RC[1]=""""F0"""");И(R[1]C=""""F3"""";RC[1]=""""F2"""");И(R[1]C=""""F3"""";RC[1]=""""F4"""");И(R[1]C=""""F4"""";RC[1]=""""F0"""");И(R[1]C=""""F4"""";RC[1]=""""F2"""");И(R[1]C=""""F4"""";RC[1]=""""F4""""));ЕСЛИ(ИЛИ(И(R[1]C[1]=""""F0"""";R[2]C[2]=""""F5"""");И(R[1]C[1]=""""F5"""";R[2]C[2]=""""F0""""));ДВССЫЛ(""""ПВF0F0_05[ВF0F0_05]"""");ЕСЛИ(ИЛИ(R[1]C[1]=""""F0"""";R[2]C[2]=""""F0"""");ДВССЫЛ(""""П_В_F0_F0т5[В_F0_F0т5]"""");ЕСЛИ(ИЛИ(R[1]C[1]=""""F5"""";R[2]C[2]=""""F5"""");ДВССЫЛ(""""П_В_F0_F0т0[В_F0_F0т0]"""");ДВССЫЛ(""""ПВF0F0_05[ВF0F0_05]""""))));ЕСЛИ(ИЛИ(И(R[1]C=""""F0"""";RC[1]=""""F1"""");И(R[1]C=""""F0"""";RC[1]=""""F3"""");И(R[1]C=""""F0"""";RC[1]=""""F5"""");И(R[1]C=""""F3"""";RC[1]=""""F1"""");И(R[1]C=""""F3"""";RC[1]=""""F3"""");И(R[1]C=""""F3"""";RC[1]=""""F5"""");И(R[1]C=""""F4"""";RC[1]=""""F1"""");И(R[1]C=""""F4"""";RC[1]=""""F3"""");И(R[1]C=""""F4"""";RC[1]=""""F5""""));ЕСЛИ(ИЛИ(И(R[1]C[1]=""""F0"""";R[2]C[2]=""""F5"""");И(R[1]C[1]=""""F5"""";R[2]C[2]=""""F0""""));ДВССЫЛ(""""ПВF0F1_05[ВF0F1_05]"""");ЕСЛИ(ИЛИ(R[1]C[1]=""""F0"""";R[2]C[2]=""""F0"""");ДВССЫЛ(""""П_В_F0_F1т5[В_F0_F1т5]"""");ЕСЛИ(ИЛИ(R[1]C[1]=""""F5"""";R[2]C[2]=""""F5"""");ДВССЫЛ(""""П_В_F0_F1т0[В_F0_F1т0]"""");ДВССЫЛ(""""ПВF0F1_05[ВF0F1_05]""""))));ЕСЛИ(ИЛИ(И(R[1]C=""""F1"""";RC[1]=""""F0"""");И(R[1]C=""""F1"""";RC[1]=""""F2"""");И(R[1]C=""""F1"""";RC[1]=""""F4"""");И(R[1]C=""""F2"""";RC[1]=""""F0"""");И(R[1]C=""""F2"""";RC[1]=""""F2"""");И(R[1]C=""""F2"""";RC[1]=""""F4"""");И(R[1]C=""""F5"""";RC[1]=""""F0"""");И(R[1]C=""""F5"""";RC[1]=""""F2"""");И(R[1]C=""""F5"""";RC[1]=""""F4""""));ЕСЛИ(ИЛИ(И(R[1]C[1]=""""F0"""";R[2]C[2]=""""F5"""");И(R[1]C[1]=""""F5"""";R[2]C[2]=""""F0""""));ДВССЫЛ(""""ПВF1F0_05[ВF1F0_05]"""");ЕСЛИ(ИЛИ(R[1]C[1]=""""F0"""";R[2]C[2]=""""F0"""");ДВССЫЛ(""""П_В_F1_F0т5[В_F1_F0т5]"""");ЕСЛИ(ИЛИ(R[1]C[1]=""""F5"""";R[2]C[2]=""""F5"""");ДВССЫЛ(""""П_В_F1_F0т0[В_F1_F0т0]"""");ДВССЫЛ(""""ПВF1F0_05[ВF1F0_05]""""))));ЕСЛИ(ИЛИ(И(R[1]C=""""F1"""";RC[1]=""""F1"""");И(R[1]C=""""F1"""";RC[1]=""""F3"""");И(R[1]C=""""F1"""";RC[1]=""""F5"""");И(R[1]C=""""F2"""";RC[1]=""""F1"""");И(R[1]C=""""F2"""";RC[1]=""""F3"""");И(R[1]C=""""F2"""";RC[1]=""""F5"""");И(R[1]C=""""F5"""";RC[1]=""""F1"""");И(R[1]C=""""F5"""";RC[1]=""""F3"""");И(R[1]C=""""F5"""";RC[1]=""""F5""""));ЕСЛИ(ИЛИ(И(R[1]C[1]=""""F0"""";R[2]C[2]=""""F5"""");И(R[1]C[1]=""""F5"""";R[2]C[2]=""""F0""""));ДВССЫЛ(""""ПВF1F1_05[ВF1F1_05]"""");ЕСЛИ(ИЛИ(R[1]C[1]=""""F0"""";R[2]C[2]=""""F0"""");ДВССЫЛ(""""П_В_F1_F1т5[В_F1_F1т5]"""");ЕСЛИ(ИЛИ(R[1]C[1]=""""F5"""";R[2]C[2]=""""F5"""");ДВССЫЛ(""""П_В_F1_F1т0[В_F1_F1т0]"""");ДВССЫЛ(""""ПВF1F1_05[ВF1F1_05]""""))));))))
UPMAIN_1
=ЕСЛИ(ИЛИ(И(R[1]C=""""F0"""";RC[1]=""""F0"""");И(R[1]C=""""F0"""";RC[1]=""""F2"""");И(R[1]C=""""F0"""";RC[1]=""""F4"""");И(R[1]C=""""F3"""";RC[1]=""""F0"""");И(R[1]C=""""F3"""";RC[1]=""""F2"""");И(R[1]C=""""F3"""";RC[1]=""""F4"""");И(R[1]C=""""F4"""";RC[1]=""""F0"""");И(R[1]C=""""F4"""";RC[1]=""""F2"""");И(R[1]C=""""F4"""";RC[1]=""""F4""""));ЕСЛИ(R[1]C[1]=""""F0"""";ДВССЫЛ(""""П_В_F0_F0_0[В_F0_F0_0]"""");ЕСЛИ(R[1]C[1]=""""F5"""";ДВССЫЛ(""""П_В_F0_F0_5[В_F0_F0_5]"""");ДВССЫЛ(""""П_В_F0_F0[В_F0_F0]"""")));ЕСЛИ(ИЛИ(И(R[1]C=""""F0"""";RC[1]=""""F1"""");И(R[1]C=""""F0"""";RC[1]=""""F3"""");И(R[1]C=""""F0"""";RC[1]=""""F5"""");И(R[1]C=""""F3"""";RC[1]=""""F1"""");И(R[1]C=""""F3"""";RC[1]=""""F3"""");И(R[1]C=""""F3"""";RC[1]=""""F5"""");И(R[1]C=""""F4"""";RC[1]=""""F1"""");И(R[1]C=""""F4"""";RC[1]=""""F3"""");И(R[1]C=""""F4"""";RC[1]=""""F5""""));ЕСЛИ(R[1]C[1]=""""F0"""";ДВССЫЛ(""""П_В_F0_F1_0[В_F0_F1_0]"""");ЕСЛИ(R[1]C[1]=""""F5"""";ДВССЫЛ(""""П_В_F0_F1_5[В_F0_F1_5]"""");ДВССЫЛ(""""П_В_F0_F1[В_F0_F1]"""")));ЕСЛИ(ИЛИ(И(R[1]C=""""F1"""";RC[1]=""""F0"""");И(R[1]C=""""F1"""";RC[1]=""""F2"""");И(R[1]C=""""F1"""";RC[1]=""""F4"""");И(R[1]C=""""F2"""";RC[1]=""""F0"""");И(R[1]C=""""F2"""";RC[1]=""""F2"""");И(R[1]C=""""F2"""";RC[1]=""""F4"""");И(R[1]C=""""F5"""";RC[1]=""""F0"""");И(R[1]C=""""F5"""";RC[1]=""""F2"""");И(R[1]C=""""F5"""";RC[1]=""""F4""""));ЕСЛИ(R[1]C[1]=""""F0"""";ДВССЫЛ(""""П_В_F1_F0_0[В_F1_F0_0]"""");ЕСЛИ(R[1]C[1]=""""F5"""";ДВССЫЛ(""""П_В_F1_F0_5[В_F1_F0_5]"""");ДВССЫЛ(""""П_В_F1_F0[В_F1_F0]"""")));ЕСЛИ(ИЛИ(И(R[1]C=""""F1"""";RC[1]=""""F1"""");И(R[1]C=""""F1"""";RC[1]=""""F3"""");И(R[1]C=""""F1"""";RC[1]=""""F5"""");И(R[1]C=""""F2"""";RC[1]=""""F1"""");И(R[1]C=""""F2"""";RC[1]=""""F3"""");И(R[1]C=""""F2"""";RC[1]=""""F5"""");И(R[1]C=""""F5"""";RC[1]=""""F1"""");И(R[1]C=""""F5"""";RC[1]=""""F3"""");И(R[1]C=""""F5"""";RC[1]=""""F5""""));ЕСЛИ(R[1]C[1]=""""F0"""";ДВССЫЛ(""""П_В_F1_F1_0[В_F1_F1_0]"""");ЕСЛИ(R[1]C[1]=""""F5"""";ДВССЫЛ(""""П_В_F1_F1_5[В_F1_F1_5]"""");ДВССЫЛ(""""П_В_F1_F1[В_F1_F1]"""")));))))
UP
=ЕСЛИ(ИЛИ(И(R[1]C=""""F0"""";RC[1]=""""F0"""");И(R[1]C=""""F0"""";RC[1]=""""F2"""");И(R[1]C=""""F0"""";RC[1]=""""F4"""");И(R[1]C=""""F3"""";RC[1]=""""F0"""");И(R[1]C=""""F3"""";RC[1]=""""F2"""");И(R[1]C=""""F3"""";RC[1]=""""F4"""");И(R[1]C=""""F4"""";RC[1]=""""F0"""");И(R[1]C=""""F4"""";RC[1]=""""F2"""");И(R[1]C=""""F4"""";RC[1]=""""F4""""));ДВССЫЛ(""""П_В_F0_F0[В_F0_F0]"""");ЕСЛИ(ИЛИ(И(R[1]C=""""F0"""";RC[1]=""""F1"""");И(R[1]C=""""F0"""";RC[1]=""""F3"""");И(R[1]C=""""F0"""";RC[1]=""""F5"""");И(R[1]C=""""F3"""";RC[1]=""""F1"""");И(R[1]C=""""F3"""";RC[1]=""""F3"""");И(R[1]C=""""F3"""";RC[1]=""""F5"""");И(R[1]C=""""F4"""";RC[1]=""""F1"""");И(R[1]C=""""F4"""";RC[1]=""""F3"""");И(R[1]C=""""F4"""";RC[1]=""""F5""""));ДВССЫЛ(""""П_В_F0_F1[В_F0_F1]"""");ЕСЛИ(ИЛИ(И(R[1]C=""""F1"""";RC[1]=""""F0"""");И(R[1]C=""""F1"""";RC[1]=""""F2"""");И(R[1]C=""""F1"""";RC[1]=""""F4"""");И(R[1]C=""""F2"""";RC[1]=""""F0"""");И(R[1]C=""""F2"""";RC[1]=""""F2"""");И(R[1]C=""""F2"""";RC[1]=""""F4"""");И(R[1]C=""""F5"""";RC[1]=""""F0"""");И(R[1]C=""""F5"""";RC[1]=""""F2"""");И(R[1]C=""""F5"""";RC[1]=""""F4""""));ДВССЫЛ(""""П_В_F1_F0[В_F1_F0]"""");ЕСЛИ(ИЛИ(И(R[1]C=""""F1"""";RC[1]=""""F1"""");И(R[1]C=""""F1"""";RC[1]=""""F3"""");И(R[1]C=""""F1"""";RC[1]=""""F5"""");И(R[1]C=""""F2"""";RC[1]=""""F1"""");И(R[1]C=""""F2"""";RC[1]=""""F3"""");И(R[1]C=""""F2"""";RC[1]=""""F5"""");И(R[1]C=""""F5"""";RC[1]=""""F1"""");И(R[1]C=""""F5"""";RC[1]=""""F3"""");И(R[1]C=""""F5"""";RC[1]=""""F5""""));ДВССЫЛ(""""П_В_F1_F1[В_F1_F1]"""");))))
Расчётсвёртки
=Еслиошибка(Если(И(округлвниз(R[-2]C;0)&gt;=1;округлвниз(R[-1]C;0)&gt;=1);
Если(И(округлвниз(R[-2]C;0)&lt;2;округлвниз(R[-1]C;0)&lt;2);Вычисление_1_1;
Если(И(округлвниз(R[-2]C;0)&lt;2;округлвниз(R[-1]C;0)&lt;3);Вычисление_1_2+ВПР(RC[3];Длт;3;ЛОЖЬ);
Если(И(округлвниз(R[-2]C;0)&lt;2;округлвниз(R[-1]C;0)&lt;=4);Вычисление_1_3+ВПР(RC[3];Длт;3;ЛОЖЬ)+ВПР(RC[2];Длт;3;ЛОЖЬ);
Если(И(округлвниз(R[-2]C;0)&lt;3;округлвниз(R[-1]C;0)&lt;2);Вычисление_2_1+ВПР(RC[3];Длт;2;ЛОЖЬ);
Если(И(округлвниз(R[-2]C;0)&lt;3;округлвниз(R[-1]C;0)&lt;3);Вычисление_2_2+ВПР(RC[3];Длт;4;ЛОЖЬ);
Если(И(округлвниз(R[-2]C;0)&lt;3;округлвниз(R[-1]C;0)&lt;=4);Вычисление_2_3+ВПР(RC[3];Длт;4;ЛОЖЬ)+ВПР(R[-1]C[2];Длт;3;ЛОЖЬ);
Если(И(округлвниз(R[-2]C;0)&lt;=4;округлвниз(R[-1]C;0)&lt;2);Вычисление_3_1+ВПР(RC[3];Длт;2;ЛОЖЬ)+ВПР(R[-1]C[3];Длт;2;ЛОЖЬ);
Если(И(округлвниз(R[-2]C;0)&lt;=4;округлвниз(R[-1]C;0)&lt;3);Вычисление_3_2+ВПР(RC[3];Длт;2;ЛОЖЬ)+ВПР(R[-1]C[3];Длт;4;ЛОЖЬ);
Если(И(округлвниз(R[-2]C;0)&lt;=4;округлвниз(R[-1]C;0)&lt;=4);Вычисление_3_3+ВПР(RC[3];Длт;4;ЛОЖЬ)+ВПР(R[-1]C[2];Длт;4;ЛОЖЬ);""
)))))))));"");)
ROWDOWN_1
=ЕСЛИ(Модель!RC[1]=""""F0"""";ДВССЫЛ(""""П_Низ_F0[Низ_F0]"""");
ЕСЛИ(Модель!RC[1]=""""F1"""";ДВССЫЛ(""""П_Низ_F1[Низ_F1]"""");
ЕСЛИ(Модель!RC[1]=""""F2"""";ДВССЫЛ(""""П_Низ_F2[Низ_F2]"""");
ЕСЛИ(Модель!RC[1]=""""F3"""";ДВССЫЛ(""""П_Низ_F3[Низ_F3]"""");
ЕСЛИ(Модель!RC[1]=""""F4"""";ДВССЫЛ(""""П_Низ_F4[Низ_F4]"""");
ЕСЛИ(Модель!RC[1]=""""F5"""";
ЕСЛИ(Модель!RC[2]=""""F5"""";ДВССЫЛ(""""П_Низ_F5_5[Низ_F5_5]"""");ДВССЫЛ(""""П_Низ_F5[Низ_F5]""""))
;))))))
COLUMNRIHT_1
=ЕСЛИ(Модель!R[1]C=""""F0"""";ДВССЫЛ(""""П_Бок_F0[Бок_F0]"""");
ЕСЛИ(Модель!R[1]C=""""F1"""";ДВССЫЛ(""""П_Бок_F1[Бок_F1]"""");
ЕСЛИ(Модель!R[1]C=""""F2"""";ДВССЫЛ(""""П_Бок_F2[Бок_F2]"""");
ЕСЛИ(Модель!R[1]C=""""F3"""";ДВССЫЛ(""""П_Бок_F3[Бок_F3]"""");
ЕСЛИ(Модель!R[1]C=""""F4"""";ДВССЫЛ(""""П_Бок_F4[Бок_F4]"""");
ЕСЛИ(Модель!R[1]C=""""F5"""";
ЕСЛИ(Модель!R[2]C=""""F5"""";ДВССЫЛ(""""П_Бок_F5_5[Бок_F5_5]"""");ДВССЫЛ(""""П_Бок_F5[Бок_F5]""""))
;))))))
UPLEFT
=ЕСЛИ(ИЛИ(И(Модель!R[1]C=""""F0"""";ИЛИ(Модель!RC[1]=""""F0"""";Модель!RC[1]=""""F2"""";Модель!RC[1]=""""F4""""));И(Модель!R[1]C=""""F3"""";ИЛИ(Модель!RC[1]=""""F0"""";Модель!RC[1]=""""F2"""";Модель!RC[1]=""""F4""""));И(Модель!R[1]C=""""F4"""";ИЛИ(Модель!RC[1]=""""F0"""";Модель!RC[1]=""""F2"""";Модель!RC[1]=""""F4"""")););ЕСЛИ((ВПР(Модель!R[1]C[1];Длт;4;ЛОЖЬ)+ВПР(Модель!R[1]C[2];Длт;3;ЛОЖЬ))&gt;=3;ДВССЫЛ(""""П_В_F0_F0т0[В_F0_F0т0]"""");ЕСЛИ((ВПР(Модель!R[1]C[1];Длт;4;ЛОЖЬ)+ВПР(Модель!R[1]C[2];Длт;3;ЛОЖЬ))&gt;=2;ДВССЫЛ(""""П_В_F0_F0_5[В_F0_F0_5]"""");ДВССЫЛ(""""П_В_F0_F0[В_F0_F0]"""")));ЕСЛИ(ИЛИ(И(Модель!R[1]C=""""F0"""";ИЛИ(Модель!RC[1]=""""F1"""";Модель!RC[1]=""""F3"""";Модель!RC[1]=""""F5""""));И(Модель!R[1]C=""""F3"""";ИЛИ(Модель!RC[1]=""""F1"""";Модель!RC[1]=""""F3"""";Модель!RC[1]=""""F5""""));И(Модель!R[1]C=""""F4"""";ИЛИ(Модель!RC[1]=""""F1"""";Модель!RC[1]=""""F3"""";Модель!RC[1]=""""F5"""")););ЕСЛИ((ВПР(Модель!R[1]C[1];Длт;4;ЛОЖЬ)+ВПР(Модель!R[1]C[2];Длт;3;ЛОЖЬ))&gt;=3;ДВССЫЛ(""""П_В_F0_F1т0[В_F0_F1т0]"""");ЕСЛИ((ВПР(Модель!R[1]C[1];Длт;4;ЛОЖЬ)+ВПР(Модель!R[1]C[2];Длт;3;ЛОЖЬ))&gt;=2;ДВССЫЛ(""""П_В_F0_F1_5[В_F0_F1_5]"""");ДВССЫЛ(""""П_В_F0_F1[В_F0_F1]"""")));ЕСЛИ(ИЛИ(И(Модель!R[1]C=""""F1"""";ИЛИ(Модель!RC[1]=""""F0"""";Модель!RC[1]=""""F2"""";Модель!RC[1]=""""F4""""));И(Модель!R[1]C=""""F2"""";ИЛИ(Модель!RC[1]=""""F0"""";Модель!RC[1]=""""F2"""";Модель!RC[1]=""""F4""""));И(Модель!R[1]C=""""F5"""";ИЛИ(Модель!RC[1]=""""F0"""";Модель!RC[1]=""""F2"""";Модель!RC[1]=""""F4"""")););ЕСЛИ((ВПР(Модель!R[1]C[1];Длт;4;ЛОЖЬ)+ВПР(Модель!R[1]C[2];Длт;3;ЛОЖЬ))&gt;=3;ДВССЫЛ(""""П_В_F1_F0т0[В_F1_F0т0]"""");ЕСЛИ((ВПР(Модель!R[1]C[1];Длт;4;ЛОЖЬ)+ВПР(Модель!R[1]C[2];Длт;3;ЛОЖЬ))&gt;=2;ДВССЫЛ(""""П_В_F1_F0_5[В_F1_F0_5]"""");ДВССЫЛ(""""П_В_F1_F0[В_F1_F0]"""")));ЕСЛИ(ИЛИ(И(Модель!R[1]C=""""F1"""";ИЛИ(Модель!RC[1]=""""F1"""";Модель!RC[1]=""""F3"""";Модель!RC[1]=""""F5""""));И(Модель!R[1]C=""""F2"""";ИЛИ(Модель!RC[1]=""""F1"""";Модель!RC[1]=""""F3"""";Модель!RC[1]=""""F5""""));И(Модель!R[1]C=""""F5"""";ИЛИ(Модель!RC[1]=""""F1"""";Модель!RC[1]=""""F3"""";Модель!RC[1]=""""F5"""")););ЕСЛИ((ВПР(Модель!R[1]C[1];Длт;4;ЛОЖЬ)+ВПР(Модель!R[1]C[2];Длт;3;ЛОЖЬ))&gt;=3;ДВССЫЛ(""""П_В_F1_F1т0[В_F1_F1т0]"""");ЕСЛИ((ВПР(Модель!R[1]C[1];Длт;4;ЛОЖЬ)+ВПР(Модель!R[1]C[2];Длт;3;ЛОЖЬ))&gt;=2;ДВССЫЛ(""""П_В_F1_F1_5[В_F1_F1_5]"""");ДВССЫЛ(""""П_В_F1_F1[В_F1_F1]"""")));))))
UPUP
=ЕСЛИ(ИЛИ(И(Модель!R[1]C=""""F0"""";ИЛИ(Модель!RC[1]=""""F0"""";Модель!RC[1]=""""F2"""";Модель!RC[1]=""""F4""""));И(Модель!R[1]C=""""F3"""";ИЛИ(Модель!RC[1]=""""F0"""";Модель!RC[1]=""""F2"""";Модель!RC[1]=""""F4""""));И(Модель!R[1]C=""""F4"""";ИЛИ(Модель!RC[1]=""""F0"""";Модель!RC[1]=""""F2"""";Модель!RC[1]=""""F4"""")););ЕСЛИ((ВПР(Модель!R[1]C[1];Длт;4;ЛОЖЬ)+ВПР(Модель!R[2]C[1];Длт;2;ЛОЖЬ))&gt;=3;ДВССЫЛ(""""П_В_F0_F0т0[В_F0_F0т0]"""");ЕСЛИ((ВПР(Модель!R[1]C[1];Длт;4;ЛОЖЬ)+ВПР(Модель!R[2]C[1];Длт;2;ЛОЖЬ))&gt;=2;ДВССЫЛ(""""П_В_F0_F0_5[В_F0_F0_5]"""");ДВССЫЛ(""""П_В_F0_F0[В_F0_F0]"""")));ЕСЛИ(ИЛИ(И(Модель!R[1]C=""""F0"""";ИЛИ(Модель!RC[1]=""""F1"""";Модель!RC[1]=""""F3"""";Модель!RC[1]=""""F5""""));И(Модель!R[1]C=""""F3"""";ИЛИ(Модель!RC[1]=""""F1"""";Модель!RC[1]=""""F3"""";Модель!RC[1]=""""F5""""));И(Модель!R[1]C=""""F4"""";ИЛИ(Модель!RC[1]=""""F1"""";Модель!RC[1]=""""F3"""";Модель!RC[1]=""""F5"""")););ЕСЛИ((ВПР(Модель!R[1]C[1];Длт;4;ЛОЖЬ)+ВПР(Модель!R[2]C[1];Длт;2;ЛОЖЬ))&gt;=3;ДВССЫЛ(""""П_В_F0_F1т0[В_F0_F1т0]"""");ЕСЛИ((ВПР(Модель!R[1]C[1];Длт;4;ЛОЖЬ)+ВПР(Модель!R[2]C[1];Длт;2;ЛОЖЬ))&gt;=2;ДВССЫЛ(""""П_В_F0_F1_5[В_F0_F1_5]"""");ДВССЫЛ(""""П_В_F0_F1[В_F0_F1]"""")));ЕСЛИ(ИЛИ(И(Модель!R[1]C=""""F1"""";ИЛИ(Модель!RC[1]=""""F0"""";Модель!RC[1]=""""F2"""";Модель!RC[1]=""""F4""""));И(Модель!R[1]C=""""F2"""";ИЛИ(Модель!RC[1]=""""F0"""";Модель!RC[1]=""""F2"""";Модель!RC[1]=""""F4""""));И(Модель!R[1]C=""""F5"""";ИЛИ(Модель!RC[1]=""""F0"""";Модель!RC[1]=""""F2"""";Модель!RC[1]=""""F4"""")););ЕСЛИ((ВПР(Модель!R[1]C[1];Длт;4;ЛОЖЬ)+ВПР(Модель!R[2]C[1];Длт;2;ЛОЖЬ))&gt;=3;ДВССЫЛ(""""П_В_F1_F0т0[В_F1_F0т0]"""");ЕСЛИ((ВПР(Модель!R[1]C[1];Длт;4;ЛОЖЬ)+ВПР(Модель!R[2]C[1];Длт;2;ЛОЖЬ))&gt;=2;ДВССЫЛ(""""П_В_F1_F0_5[В_F1_F0_5]"""");ДВССЫЛ(""""П_В_F1_F0[В_F1_F0]"""")));ЕСЛИ(ИЛИ(И(Модель!R[1]C=""""F1"""";ИЛИ(Модель!RC[1]=""""F1"""";Модель!RC[1]=""""F3"""";Модель!RC[1]=""""F5""""));И(Модель!R[1]C=""""F2"""";ИЛИ(Модель!RC[1]=""""F1"""";Модель!RC[1]=""""F3"""";Модель!RC[1]=""""F5""""));И(Модель!R[1]C=""""F5"""";ИЛИ(Модель!RC[1]=""""F1"""";Модель!RC[1]=""""F3"""";Модель!RC[1]=""""F5"""")););ЕСЛИ((ВПР(Модель!R[1]C[1];Длт;4;ЛОЖЬ)+ВПР(Модель!R[2]C[1];Длт;2;ЛОЖЬ))&gt;=3;ДВССЫЛ(""""П_В_F1_F1т0[В_F1_F1т0]"""");ЕСЛИ((ВПР(Модель!R[1]C[1];Длт;4;ЛОЖЬ)+ВПР(Модель!R[2]C[1];Длт;2;ЛОЖЬ))&gt;=2;ДВССЫЛ(""""П_В_F1_F1_5[В_F1_F1_5]"""");ДВССЫЛ(""""П_В_F1_F1[В_F1_F1]"""")));))))
""
Приведение
=Еслиошибка(ЕСЛИ(И(Модель!R[1]C&lt;=МАКС(Модель!R[1]C[-3]:R[1]C[-1]);Модель!R[1]C&gt;=МИН(Модель!R[1]C[-3]:R[1]C[-1])); ЕСЛИ(Модель!R[1]C[-2]&lt;=МАКС(Модель!R[1]C[-3];Модель!R[1]C[-1]); ЕСЛИ(ИЛИ(Модель!R[-1]C[-3]="Прямая";Модель!R[-1]C[-3]="Обратная");((Модель!R[1]C-Модель!R[1]C[-3])*(Модель!RC[-1]-Модель!RC[-3])/(Модель!R[1]C[-1]-Модель!R[1]C[-3]))+Модель!RC[-3];ЕСЛИ(МИН(Модель!R[1]C[-3]:R[1]C[-1])=Модель!R[1]C[-3]; ЕСЛИ((Модель!R[1]C[-3]+Модель!R[1]C)&lt;=Модель!R[1]C[-2];((Модель!R[1]C-Модель!R[1]C[-3])*(Модель!RC[-2]-Модель!RC[-3])/(Модель!R[1]C[-2]-Модель!R[1]C[-3]))+Модель!RC[-3];((Модель!R[1]C-Модель!R[1]C[-2])*(Модель!RC[-1]-Модель!RC[-2])/(Модель!R[1]C[-1]-Модель!R[1]C[-2]))+Модель!RC[-2]); ЕСЛИ(МИН(Модель!R[1]C[-3]:R[1]C[-1])=Модель!R[1]C[-1];ЕСЛИ((Модель!R[1]C[-1]+Модель!R[1]C)&lt;=Модель!R[1]C[-2];((Модель!R[1]C-Модель!R[1]C[-2])*(Модель!RC[-1]-Модель!RC[-2])/(Модель!R[1]C[-1]-Модель!R[1]C[-2]))+Модель!RC[-2];((Модель!R[1]C-Модель!R[1]C[-3])*(Модель!RC[-2]-Модель!RC[-3])/(Модель!R[1]C[-2]-Модель!R[1]C[-3]))+Модель!RC[-3]);"!!!")));"!!!");"!!!");"!!!")
Вычисление_1_1
=ЕСЛИ(Модель!RC[3]="F0";ИНДЕКС(MatrixF0;(Модель!R[-2]C-1+0,01)*100;(Модель!R[-1]C-1+0,02)*100);
ЕСЛИ(Модель!RC[3]="F1";ИНДЕКС(MatrixF1;(Модель!R[-2]C-1+0,01)*100;(Модель!R[-1]C-1+0,02)*100);
ЕСЛИ(Модель!RC[3]="F2";ИНДЕКС(MatrixF2;(Модель!R[-2]C-1+0,01)*100;(Модель!R[-1]C-1+0,02)*100);
ЕСЛИ(Модель!RC[3]="F3";ИНДЕКС(MatrixF3;(Модель!R[-2]C-1+0,01)*100;(Модель!R[-1]C-1+0,02)*100);
ЕСЛИ(Модель!RC[3]="F4";ИНДЕКС(MatrixF4;(Модель!R[-2]C-1+0,01)*100;(Модель!R[-1]C-1+0,02)*100);
ЕСЛИ(Модель!RC[3]="F5";ИНДЕКС(MatrixF5;(Модель!R[-2]C-1+0,01)*100;(Модель!R[-1]C-1+0,02)*100);""))))))
Вычисление_1_2
=ЕСЛИ(Модель!RC[2]="F0";ИНДЕКС(MatrixF0;(Модель!R[-2]C-1+0,01)*100;(Модель!R[-1]C-2+0,02)*100);
ЕСЛИ(Модель!RC[2]="F1";ИНДЕКС(MatrixF1;(Модель!R[-2]C-1+0,01)*100;(Модель!R[-1]C-2+0,02)*100);
ЕСЛИ(Модель!RC[2]="F2";ИНДЕКС(MatrixF2;(Модель!R[-2]C-1+0,01)*100;(Модель!R[-1]C-2+0,02)*100);
ЕСЛИ(Модель!RC[2]="F3";ИНДЕКС(MatrixF3;(Модель!R[-2]C-1+0,01)*100;(Модель!R[-1]C-2+0,02)*100);
ЕСЛИ(Модель!RC[2]="F4";ИНДЕКС(MatrixF4;(Модель!R[-2]C-1+0,01)*100;(Модель!R[-1]C-2+0,02)*100);
ЕСЛИ(Модель!RC[2]="F5";ИНДЕКС(MatrixF5;(Модель!R[-2]C-1+0,01)*100;(Модель!R[-1]C-2+0,02)*100);""))))))
Вычисление_1_3
=ЕСЛИ(Модель!RC[1]="F0";ИНДЕКС(MatrixF0;(Модель!R[-2]C-1+0,01)*100;(Модель!R[-1]C-3+0,02)*100);
ЕСЛИ(Модель!RC[1]="F1";ИНДЕКС(MatrixF1;(Модель!R[-2]C-1+0,01)*100;(Модель!R[-1]C-3+0,02)*100);
ЕСЛИ(Модель!RC[1]="F2";ИНДЕКС(MatrixF2;(Модель!R[-2]C-1+0,01)*100;(Модель!R[-1]C-3+0,02)*100);
ЕСЛИ(Модель!RC[1]="F3";ИНДЕКС(MatrixF3;(Модель!R[-2]C-1+0,01)*100;(Модель!R[-1]C-3+0,02)*100);
ЕСЛИ(Модель!RC[1]="F4";ИНДЕКС(MatrixF4;(Модель!R[-2]C-1+0,01)*100;(Модель!R[-1]C-3+0,02)*100);
ЕСЛИ(Модель!RC[1]="F5";ИНДЕКС(MatrixF5;(Модель!R[-2]C-1+0,01)*100;(Модель!R[-1]C-3+0,02)*100);""))))))
Вычисление_2_1
=ЕСЛИ(Модель!R[-1]C[3]="F0";ИНДЕКС(MatrixF0;(Модель!R[-2]C-2+0,01)*100;(Модель!R[-1]C-1+0,02)*100);
ЕСЛИ(Модель!R[-1]C[3]="F1";ИНДЕКС(MatrixF1;(Модель!R[-2]C-2+0,01)*100;(Модель!R[-1]C-1+0,02)*100);
ЕСЛИ(Модель!R[-1]C[3]="F2";ИНДЕКС(MatrixF2;(Модель!R[-2]C-2+0,01)*100;(Модель!R[-1]C-1+0,02)*100);
ЕСЛИ(Модель!R[-1]C[3]="F3";ИНДЕКС(MatrixF3;(Модель!R[-2]C-2+0,01)*100;(Модель!R[-1]C-1+0,02)*100);
ЕСЛИ(Модель!R[-1]C[3]="F4";ИНДЕКС(MatrixF4;(Модель!R[-2]C-2+0,01)*100;(Модель!R[-1]C-1+0,02)*100);
ЕСЛИ(Модель!R[-1]C[3]="F5";ИНДЕКС(MatrixF5;(Модель!R[-2]C-2+0,01)*100;(Модель!R[-1]C-1+0,02)*100);""))))))
Вычисление_2_2
=ЕСЛИ(Модель!R[-1]C[2]="F0";ИНДЕКС(MatrixF0;(Модель!R[-2]C-2+0,01)*100;(Модель!R[-1]C-2+0,02)*100);
ЕСЛИ(Модель!R[-1]C[2]="F1";ИНДЕКС(MatrixF1;(Модель!R[-2]C-2+0,01)*100;(Модель!R[-1]C-2+0,02)*100);
ЕСЛИ(Модель!R[-1]C[2]="F2";ИНДЕКС(MatrixF2;(Модель!R[-2]C-2+0,01)*100;(Модель!R[-1]C-2+0,02)*100);
ЕСЛИ(Модель!R[-1]C[2]="F3";ИНДЕКС(MatrixF3;(Модель!R[-2]C-2+0,01)*100;(Модель!R[-1]C-2+0,02)*100);
ЕСЛИ(Модель!R[-1]C[2]="F4";ИНДЕКС(MatrixF4;(Модель!R[-2]C-2+0,01)*100;(Модель!R[-1]C-2+0,02)*100);
ЕСЛИ(Модель!R[-1]C[2]="F5";ИНДЕКС(MatrixF5;(Модель!R[-2]C-2+0,01)*100;(Модель!R[-1]C-2+0,02)*100);""))))))
Вычисление_2_3
=ЕСЛИ(Модель!R[-1]C[1]="F0";ИНДЕКС(MatrixF0;(Модель!R[-2]C-2+0,01)*100;(Модель!R[-1]C-3+0,02)*100);
ЕСЛИ(Модель!R[-1]C[1]="F1";ИНДЕКС(MatrixF1;(Модель!R[-2]C-2+0,01)*100;(Модель!R[-1]C-3+0,02)*100);
ЕСЛИ(Модель!R[-1]C[1]="F2";ИНДЕКС(MatrixF2;(Модель!R[-2]C-2+0,01)*100;(Модель!R[-1]C-3+0,02)*100);
ЕСЛИ(Модель!R[-1]C[1]="F3";ИНДЕКС(MatrixF3;(Модель!R[-2]C-2+0,01)*100;(Модель!R[-1]C-3+0,02)*100);
ЕСЛИ(Модель!R[-1]C[1]="F4";ИНДЕКС(MatrixF4;(Модель!R[-2]C-2+0,01)*100;(Модель!R[-1]C-3+0,02)*100);
ЕСЛИ(Модель!R[-1]C[1]="F5";ИНДЕКС(MatrixF5;(Модель!R[-2]C-2+0,01)*100;(Модель!R[-1]C-3+0,02)*100);""))))))
Вычисление_3_1
=ЕСЛИ(Модель!R[-2]C[3]="F0";ИНДЕКС(MatrixF0;(Модель!R[-2]C-3+0,01)*100;(Модель!R[-1]C-1+0,02)*100);
ЕСЛИ(Модель!R[-2]C[3]="F1";ИНДЕКС(MatrixF1;(Модель!R[-2]C-3+0,01)*100;(Модель!R[-1]C-1+0,02)*100);
ЕСЛИ(Модель!R[-2]C[3]="F2";ИНДЕКС(MatrixF2;(Модель!R[-2]C-3+0,01)*100;(Модель!R[-1]C-1+0,02)*100);
ЕСЛИ(Модель!R[-2]C[3]="F3";ИНДЕКС(MatrixF3;(Модель!R[-2]C-3+0,01)*100;(Модель!R[-1]C-1+0,02)*100);
ЕСЛИ(Модель!R[-2]C[3]="F4";ИНДЕКС(MatrixF4;(Модель!R[-2]C-3+0,01)*100;(Модель!R[-1]C-1+0,02)*100);
ЕСЛИ(Модель!R[-2]C[3]="F5";ИНДЕКС(MatrixF5;(Модель!R[-2]C-3+0,01)*100;(Модель!R[-1]C-1+0,02)*100);""))))))
Вычисление_3_2
=ЕСЛИ(Модель!R[-2]C[2]="F0";ИНДЕКС(MatrixF0;(Модель!R[-2]C-3+0,01)*100;(Модель!R[-1]C-2+0,02)*100);
ЕСЛИ(Модель!R[-2]C[2]="F1";ИНДЕКС(MatrixF1;(Модель!R[-2]C-3+0,01)*100;(Модель!R[-1]C-2+0,02)*100);
ЕСЛИ(Модель!R[-2]C[2]="F2";ИНДЕКС(MatrixF2;(Модель!R[-2]C-3+0,01)*100;(Модель!R[-1]C-2+0,02)*100);
ЕСЛИ(Модель!R[-2]C[2]="F3";ИНДЕКС(MatrixF3;(Модель!R[-2]C-3+0,01)*100;(Модель!R[-1]C-2+0,02)*100);
ЕСЛИ(Модель!R[-2]C[2]="F4";ИНДЕКС(MatrixF4;(Модель!R[-2]C-3+0,01)*100;(Модель!R[-1]C-2+0,02)*100);
ЕСЛИ(Модель!R[-2]C[2]="F5";ИНДЕКС(MatrixF5;(Модель!R[-2]C-3+0,01)*100;(Модель!R[-1]C-2+0,02)*100);""))))))
Вычисление_3_3
=ЕСЛИ(Модель!R[-2]C[1]="F0";ИНДЕКС(MatrixF0;(Модель!R[-2]C-3+0,01)*100;(Модель!R[-1]C-3+0,02)*100);
ЕСЛИ(Модель!R[-2]C[1]="F1";ИНДЕКС(MatrixF1;(Модель!R[-2]C-3+0,01)*100;(Модель!R[-1]C-3+0,02)*100);
ЕСЛИ(Модель!R[-2]C[1]="F2";ИНДЕКС(MatrixF2;(Модель!R[-2]C-3+0,01)*100;(Модель!R[-1]C-3+0,02)*100);
ЕСЛИ(Модель!R[-2]C[1]="F3";ИНДЕКС(MatrixF3;(Модель!R[-2]C-3+0,01)*100;(Модель!R[-1]C-3+0,02)*100);
ЕСЛИ(Модель!R[-2]C[1]="F4";ИНДЕКС(MatrixF4;(Модель!R[-2]C-3+0,01)*100;(Модель!R[-1]C-3+0,02)*100);
ЕСЛИ(Модель!R[-2]C[1]="F5";ИНДЕКС(MatrixF5;(Модель!R[-2]C-3+0,01)*100;(Модель!R[-1]C-3+0,02)*100);""))))))
</t>
  </si>
  <si>
    <t>№</t>
  </si>
  <si>
    <t>Критерий</t>
  </si>
  <si>
    <t>Скритерий</t>
  </si>
  <si>
    <t>ФизКритерий</t>
  </si>
  <si>
    <t>СФизКритерий</t>
  </si>
  <si>
    <t>ТипКритерий</t>
  </si>
  <si>
    <t>СТипКритерий</t>
  </si>
  <si>
    <t>Фкритерий</t>
  </si>
  <si>
    <t>МинФизКритерий</t>
  </si>
  <si>
    <t>СМинФизКритерий</t>
  </si>
  <si>
    <t>МаксФизКритерий</t>
  </si>
  <si>
    <t>СМаксФизКритерий</t>
  </si>
  <si>
    <t>СрФизКритерий</t>
  </si>
  <si>
    <t>ССрФизКритерий</t>
  </si>
  <si>
    <t>ВидКритерий</t>
  </si>
  <si>
    <t>O.K.Критерий</t>
  </si>
  <si>
    <t>Свёртка</t>
  </si>
  <si>
    <t>ФСвёртка</t>
  </si>
  <si>
    <t>ВидСвёртка</t>
  </si>
  <si>
    <t>ССвёртка</t>
  </si>
  <si>
    <t>O.K.Свёртка</t>
  </si>
  <si>
    <t>Оценки</t>
  </si>
  <si>
    <t>Критерии</t>
  </si>
  <si>
    <t>3</t>
  </si>
  <si>
    <t>4</t>
  </si>
  <si>
    <t>5</t>
  </si>
  <si>
    <t>6</t>
  </si>
  <si>
    <t>7</t>
  </si>
  <si>
    <t>8</t>
  </si>
  <si>
    <t>9</t>
  </si>
  <si>
    <t>10</t>
  </si>
  <si>
    <t>11</t>
  </si>
  <si>
    <t>12</t>
  </si>
  <si>
    <t>13</t>
  </si>
  <si>
    <t>14</t>
  </si>
  <si>
    <t>15</t>
  </si>
  <si>
    <t>16</t>
  </si>
  <si>
    <t>17</t>
  </si>
  <si>
    <t>18</t>
  </si>
  <si>
    <t>19</t>
  </si>
  <si>
    <t>20</t>
  </si>
  <si>
    <t>21</t>
  </si>
  <si>
    <t>22</t>
  </si>
  <si>
    <t>23</t>
  </si>
  <si>
    <t>24</t>
  </si>
  <si>
    <t>25</t>
  </si>
  <si>
    <t>_</t>
  </si>
  <si>
    <t>__</t>
  </si>
  <si>
    <t>Y</t>
  </si>
  <si>
    <t>Количество проверяемых строк</t>
  </si>
  <si>
    <t>Общее количество строк</t>
  </si>
  <si>
    <t>Число заполненных строк</t>
  </si>
  <si>
    <t>заполненных корректно строк</t>
  </si>
  <si>
    <t>Искомое</t>
  </si>
  <si>
    <t>Мин</t>
  </si>
  <si>
    <t>Макс</t>
  </si>
  <si>
    <t>Качественные</t>
  </si>
  <si>
    <r>
      <t>№</t>
    </r>
    <r>
      <rPr>
        <sz val="11"/>
        <color theme="9" tint="0.79998168889431442"/>
        <rFont val="Calibri"/>
        <family val="2"/>
        <charset val="204"/>
        <scheme val="minor"/>
      </rPr>
      <t>_</t>
    </r>
    <r>
      <rPr>
        <sz val="11"/>
        <color theme="1"/>
        <rFont val="Calibri"/>
        <family val="2"/>
        <charset val="204"/>
        <scheme val="minor"/>
      </rPr>
      <t>Э</t>
    </r>
  </si>
  <si>
    <t>О</t>
  </si>
  <si>
    <t>Итог</t>
  </si>
  <si>
    <t>АЭКСП</t>
  </si>
  <si>
    <t>Наименование</t>
  </si>
  <si>
    <t>СНаименование</t>
  </si>
  <si>
    <t>___</t>
  </si>
  <si>
    <t>Представление</t>
  </si>
  <si>
    <t>Спрос</t>
  </si>
  <si>
    <t>X</t>
  </si>
  <si>
    <t>1; 2; 3</t>
  </si>
  <si>
    <t>=ЕСЛИОШИБКА(ЕСЛИ(ЛЕВСИМВ([@Фкритерий];5)="=Прив";"Критерий";ЕСЛИ(ЛЕВСИМВ([@Фкритерий];5)="=Матр";"ошибка";"ошибка"));"ошибка")</t>
  </si>
  <si>
    <t>=ЕСЛИОШИБКА(ЕСЛИ(ДЛСТР((ДВССЫЛ([@СНаименование];ЛОЖЬ)))=0;"ошибка";ЕСЛИОШИБКА(ДВССЫЛ([@СНаименование];ЛОЖЬ);"ошибка"));"ошибка")</t>
  </si>
  <si>
    <t>=ЕСЛИОШИБКА(ЕСЛИ(Ч(ДВССЫЛ([@СФизКритерий];ЛОЖЬ))=0;"ошибка";ЕСЛИОШИБКА(ДВССЫЛ([@СФизКритерий];ЛОЖЬ);"ошибка"));"ошибка")</t>
  </si>
  <si>
    <t>=ЕСЛИОШИБКА(ЕСЛИ(ИЛИ(ДВССЫЛ([@СТипКритерий];ЛОЖЬ)=Перебор!R58C14;ДВССЫЛ([@СТипКритерий];ЛОЖЬ)=Перебор!R59C14;ДВССЫЛ([@СТипКритерий];ЛОЖЬ)=Перебор!R60C14;ДВССЫЛ([@СТипКритерий];ЛОЖЬ)=Перебор!R61C14);ДВССЫЛ([@СТипКритерий];ЛОЖЬ);"ошибка");"ошибка")</t>
  </si>
  <si>
    <t>=ЕСЛИОШИБКА(Ф.ТЕКСТ(ДВССЫЛ([@Скритерий];ЛОЖЬ));"ошибка")</t>
  </si>
  <si>
    <t>=ЕСЛИОШИБКА(ЕСЛИ(Ч(ДВССЫЛ([@СМинФизКритерий];ЛОЖЬ))=0;"ошибка";ЕСЛИОШИБКА(ДВССЫЛ([@СМинФизКритерий];ЛОЖЬ);"ошибка"));"ошибка")</t>
  </si>
  <si>
    <t>=ЕСЛИОШИБКА(ЕСЛИ(Ч(ДВССЫЛ([@СМаксФизКритерий];ЛОЖЬ))=0;"ошибка";ЕСЛИОШИБКА(ДВССЫЛ([@СМаксФизКритерий];ЛОЖЬ);"ошибка"));"ошибка")</t>
  </si>
  <si>
    <t>=ЕСЛИОШИБКА(ЕСЛИ(И([@ВидКритерий]="Критерий";[@Фкритерий]="=Приведение");1;-1);-1)</t>
  </si>
  <si>
    <t>Столбец</t>
  </si>
  <si>
    <t>Формула</t>
  </si>
  <si>
    <t>=ЕСЛИОШИБКА(ЕСЛИ(И([@Критерий]&gt;=1;[@Критерий]&lt;=4);ЕСЛИ(ЕСЛИОШИБКА(НАЙТИ("!";Ф.ТЕКСТ([@Критерий]));"на странице")="на странице";СЦЕПИТЬ("R";СТРОКА((ДВССЫЛ(ПРАВСИМВ(Ф.ТЕКСТ([@Критерий]); ДЛСТР(Ф.ТЕКСТ([@Критерий]))-1);ЛОЖЬ)));"C";СТОЛБЕЦ((ДВССЫЛ(ПРАВСИМВ(Ф.ТЕКСТ([@Критерий]); ДЛСТР(Ф.ТЕКСТ([@Критерий]))-1);ЛОЖЬ)))-R8C);СЦЕПИТЬ(ПРАВСИМВ(ЛЕВСИМВ(Ф.ТЕКСТ([@Критерий]);НАЙТИ("!";Ф.ТЕКСТ([@Критерий])));ДЛСТР(ЛЕВСИМВ(Ф.ТЕКСТ([@Критерий]);НАЙТИ("!";Ф.ТЕКСТ([@Критерий]))))-1);"R";СТРОКА((ДВССЫЛ(ПРАВСИМВ(Ф.ТЕКСТ([@Критерий]); ДЛСТР(Ф.ТЕКСТ([@Критерий]))-1);ЛОЖЬ)));"C";СТОЛБЕЦ((ДВССЫЛ(ПРАВСИМВ(Ф.ТЕКСТ([@Критерий]); ДЛСТР(Ф.ТЕКСТ([@Критерий]))-1);ЛОЖЬ)))-R8C));"ошибка");"ошибка")</t>
  </si>
  <si>
    <t>=ЕСЛИОШИБКА(ЗАМЕНИТЬ(ЗАМЕНИТЬ([@Скритерий];НАЙТИ("C";[@Скритерий])+1;ДЛСТР([@Скритерий])-НАЙТИ("C";[@Скритерий]);eval(ПРАВСИМВ([@Скритерий];ДЛСТР([@Скритерий])-НАЙТИ("C";[@Скритерий])))+R7C);НАЙТИ("R";[@Скритерий])+1;НАЙТИ("C";[@Скритерий])-НАЙТИ("R";[@Скритерий])-1;eval(ПСТР([@Скритерий];НАЙТИ("R";[@Скритерий])+1;НАЙТИ("C";[@Скритерий])-1-НАЙТИ("R";[@Скритерий])))+R6C);"ошибка")</t>
  </si>
  <si>
    <t>СВ_1_1</t>
  </si>
  <si>
    <t>СВ_2_1</t>
  </si>
  <si>
    <t>СВ_1_2</t>
  </si>
  <si>
    <t>ССВ_1_1</t>
  </si>
  <si>
    <t>ССВ_2_1</t>
  </si>
  <si>
    <t>ССВ_1_2</t>
  </si>
  <si>
    <t>СВ_2_2</t>
  </si>
  <si>
    <t>ССВ_2_2</t>
  </si>
  <si>
    <t>СВ_3_1</t>
  </si>
  <si>
    <t>ССВ_3_1</t>
  </si>
  <si>
    <t>СВ_1_3</t>
  </si>
  <si>
    <t>ССВ_1_3</t>
  </si>
  <si>
    <t>СВ_3_2</t>
  </si>
  <si>
    <t>ССВ_3_2</t>
  </si>
  <si>
    <t>СВ_2_3</t>
  </si>
  <si>
    <t>ССВ_2_3</t>
  </si>
  <si>
    <t>СВ_3_3</t>
  </si>
  <si>
    <t>ССВ_3_3</t>
  </si>
  <si>
    <t>Л</t>
  </si>
  <si>
    <t>СЛ</t>
  </si>
  <si>
    <t>ФСЛ</t>
  </si>
  <si>
    <t>П</t>
  </si>
  <si>
    <t>СП</t>
  </si>
  <si>
    <t>ФСП</t>
  </si>
  <si>
    <t>=ЕСЛИ(И([@Критерий]&lt;&gt;"";[@[O.K.Критерий]]=1);СТРОКА()-СТРОКА(</t>
  </si>
  <si>
    <t>=ЕСЛИ(И([@Свёртка]&lt;&gt;"";[@[O.K.Свёртка]]=1);СТРОКА()-СТРОКА(</t>
  </si>
  <si>
    <t>=ЕСЛИОШИБКА(ЕСЛИ(И([@Свёртка]&gt;=1;[@Свёртка]&lt;=4);ЕСЛИ(ЕСЛИОШИБКА(НАЙТИ("!";Ф.ТЕКСТ([@Свёртка]));"на странице")="на странице";СЦЕПИТЬ("R";СТРОКА((ДВССЫЛ(ПРАВСИМВ(Ф.ТЕКСТ([@Свёртка]); ДЛСТР(Ф.ТЕКСТ([@Свёртка]))-1);ЛОЖЬ)));"C";СТОЛБЕЦ((ДВССЫЛ(ПРАВСИМВ(Ф.ТЕКСТ([@Свёртка]); ДЛСТР(Ф.ТЕКСТ([@Свёртка]))-1);ЛОЖЬ)))-R6C);СЦЕПИТЬ(ПРАВСИМВ(ЛЕВСИМВ(Ф.ТЕКСТ([@Свёртка]);НАЙТИ("!";Ф.ТЕКСТ([@Свёртка])));ДЛСТР(ЛЕВСИМВ(Ф.ТЕКСТ([@Свёртка]);НАЙТИ("!";Ф.ТЕКСТ([@Свёртка]))))-1);"R";СТРОКА((ДВССЫЛ(ПРАВСИМВ(Ф.ТЕКСТ([@Свёртка]); ДЛСТР(Ф.ТЕКСТ([@Свёртка]))-1);ЛОЖЬ)));"C";СТОЛБЕЦ((ДВССЫЛ(ПРАВСИМВ(Ф.ТЕКСТ([@Свёртка]); ДЛСТР(Ф.ТЕКСТ([@Свёртка]))-1);ЛОЖЬ)))-R6C));"ошибка");"ошибка")</t>
  </si>
  <si>
    <t>=ЕСЛИОШИБКА(Ф.ТЕКСТ(ДВССЫЛ([@ССвёртка];ЛОЖЬ));"ошибка")</t>
  </si>
  <si>
    <t>=ЕСЛИОШИБКА(ЕСЛИ(ЛЕВСИМВ([@ФСвёртка];5)="=Прив";"ошибка";ЕСЛИ(ЛЕВСИМВ([@ФСвёртка];5)="=Матр";"Свёртка";"ошибка"));"ошибка")</t>
  </si>
  <si>
    <t>=ЕСЛИОШИБКА(ЗАМЕНИТЬ(ЗАМЕНИТЬ([@ССвёртка];НАЙТИ("C";[@ССвёртка])+1;ДЛСТР([@ССвёртка])-НАЙТИ("C";[@ССвёртка]);eval(ПРАВСИМВ([@ССвёртка];ДЛСТР([@ССвёртка])-НАЙТИ("C";[@ССвёртка])))+R7C);НАЙТИ("R";[@ССвёртка])+1;НАЙТИ("C";[@ССвёртка])-НАЙТИ("R";[@ССвёртка])-1;eval(ПСТР([@ССвёртка];НАЙТИ("R";[@ССвёртка])+1;НАЙТИ("C";[@ССвёртка])-1-НАЙТИ("R";[@ССвёртка])))+R6C);"ошибка")</t>
  </si>
  <si>
    <t>=ЕСЛИОШИБКА(ЕСЛИ(ДЛСТР((ДВССЫЛ([@[ССВ_1_1]];ЛОЖЬ)))=0;"ошибка";ЕСЛИОШИБКА(ДВССЫЛ([@[ССВ_1_1]];ЛОЖЬ);"ошибка"));"ошибка")</t>
  </si>
  <si>
    <t>=ЕСЛИОШИБКА(ЕСЛИ(ДЛСТР((ДВССЫЛ([@[ССВ_2_1]];ЛОЖЬ)))=0;"ошибка";ЕСЛИОШИБКА(ДВССЫЛ([@[ССВ_2_1]];ЛОЖЬ);"ошибка"));"ошибка")</t>
  </si>
  <si>
    <t>=ЕСЛИОШИБКА(ЕСЛИ(ДЛСТР((ДВССЫЛ([@[ССВ_1_2]];ЛОЖЬ)))=0;"ошибка";ЕСЛИОШИБКА(ДВССЫЛ([@[ССВ_1_2]];ЛОЖЬ);"ошибка"));"ошибка")</t>
  </si>
  <si>
    <t>=ЕСЛИОШИБКА(ЕСЛИ(ДЛСТР((ДВССЫЛ([@[ССВ_2_2]];ЛОЖЬ)))=0;"ошибка";ЕСЛИОШИБКА(ДВССЫЛ([@[ССВ_2_2]];ЛОЖЬ);"ошибка"));"ошибка")</t>
  </si>
  <si>
    <t>=ЕСЛИОШИБКА(ЕСЛИ(ДЛСТР((ДВССЫЛ([@[ССВ_3_1]];ЛОЖЬ)))=0;"ошибка";ЕСЛИОШИБКА(ДВССЫЛ([@[ССВ_3_1]];ЛОЖЬ);"ошибка"));"ошибка")</t>
  </si>
  <si>
    <t>=ЕСЛИОШИБКА(ЕСЛИ(ДЛСТР((ДВССЫЛ([@[ССВ_1_3]];ЛОЖЬ)))=0;"ошибка";ЕСЛИОШИБКА(ДВССЫЛ([@[ССВ_1_3]];ЛОЖЬ);"ошибка"));"ошибка")</t>
  </si>
  <si>
    <t>=ЕСЛИОШИБКА(ЕСЛИ(ДЛСТР((ДВССЫЛ([@[ССВ_3_2]];ЛОЖЬ)))=0;"ошибка";ЕСЛИОШИБКА(ДВССЫЛ([@[ССВ_3_2]];ЛОЖЬ);"ошибка"));"ошибка")</t>
  </si>
  <si>
    <t>=ЕСЛИОШИБКА(ЕСЛИ(ДЛСТР((ДВССЫЛ([@[ССВ_2_3]];ЛОЖЬ)))=0;"ошибка";ЕСЛИОШИБКА(ДВССЫЛ([@[ССВ_2_3]];ЛОЖЬ);"ошибка"));"ошибка")</t>
  </si>
  <si>
    <t>=ЕСЛИОШИБКА(ЕСЛИ(ДЛСТР((ДВССЫЛ([@[ССВ_3_3]];ЛОЖЬ)))=0;"ошибка";ЕСЛИОШИБКА(ДВССЫЛ([@[ССВ_3_3]];ЛОЖЬ);"ошибка"));"ошибка")</t>
  </si>
  <si>
    <t>=ЕСЛИОШИБКА(ЕСЛИ(ДЛСТР((ДВССЫЛ([@СЛ];ЛОЖЬ)))=0;"ошибка";ЕСЛИОШИБКА(ДВССЫЛ([@СЛ];ЛОЖЬ);"ошибка"));"ошибка")</t>
  </si>
  <si>
    <t>=ЕСЛИОШИБКА(Ф.ТЕКСТ(ДВССЫЛ([@СЛ];ЛОЖЬ));"ошибка")</t>
  </si>
  <si>
    <t>=ЕСЛИОШИБКА(ЕСЛИ(ДЛСТР((ДВССЫЛ([@СП];ЛОЖЬ)))=0;"ошибка";ЕСЛИОШИБКА(ДВССЫЛ([@СП];ЛОЖЬ);"ошибка"));"ошибка")</t>
  </si>
  <si>
    <t>=ЕСЛИОШИБКА(Ф.ТЕКСТ(ДВССЫЛ([@СП];ЛОЖЬ));"ошибка")</t>
  </si>
  <si>
    <t>=ЕСЛИ(И([@ВидСвёртка]="Свёртка";СЦЕПИТЬ(ЛЕВСИМВ([@[СВ_1_1]];1);ЛЕВСИМВ([@[СВ_2_1]];1);ЛЕВСИМВ([@[СВ_1_2]];1);ЛЕВСИМВ([@[СВ_2_2]];1);ЛЕВСИМВ([@[СВ_3_1]];1);ЛЕВСИМВ([@[СВ_1_3]];1);ЛЕВСИМВ([@[СВ_3_2]];1);ЛЕВСИМВ([@[СВ_2_3]];1);ЛЕВСИМВ([@[СВ_3_3]];1))="FFFFFFFFF";И([@Л]&gt;=1;[@Л]&lt;=4);И([@П]&gt;=1;[@П]&lt;=4));1;-1)</t>
  </si>
  <si>
    <t>СВ_1_1_OK</t>
  </si>
  <si>
    <t>ССВ_1_1_kolvo</t>
  </si>
  <si>
    <t>СВ_2_1_OK</t>
  </si>
  <si>
    <t>ССВ_2_1_kolvo</t>
  </si>
  <si>
    <t>СВ_1_2_OK</t>
  </si>
  <si>
    <t>ССВ_1_2_kolvo</t>
  </si>
  <si>
    <t>СВ_2_2_OK</t>
  </si>
  <si>
    <t>ССВ_2_2_kolvo</t>
  </si>
  <si>
    <t>СВ_3_1_OK</t>
  </si>
  <si>
    <t>ССВ_3_1_kolvo</t>
  </si>
  <si>
    <t>СВ_1_3_OK</t>
  </si>
  <si>
    <t>ССВ_1_3_kolvo</t>
  </si>
  <si>
    <t>СВ_3_2_OK</t>
  </si>
  <si>
    <t>ССВ_3_2_kolvo</t>
  </si>
  <si>
    <t>СВ_2_3_OK</t>
  </si>
  <si>
    <t>ССВ_2_3_kolvo</t>
  </si>
  <si>
    <t>СВ_3_3_OK</t>
  </si>
  <si>
    <t>ССВ_3_3_kolvo</t>
  </si>
  <si>
    <t>СВ_1_1_№</t>
  </si>
  <si>
    <t>СВ_2_1_№</t>
  </si>
  <si>
    <t>СВ_1_2_№</t>
  </si>
  <si>
    <t>СВ_2_2_№</t>
  </si>
  <si>
    <t>СВ_3_1_№</t>
  </si>
  <si>
    <t>СВ_1_3_№</t>
  </si>
  <si>
    <t>СВ_3_2_№</t>
  </si>
  <si>
    <t>СВ_2_3_№</t>
  </si>
  <si>
    <t>СВ_3_3_№</t>
  </si>
  <si>
    <t>ИТОГО_СВ</t>
  </si>
  <si>
    <t>=[@[ССВ_1_1_kolvo]]+[@[ССВ_2_1_kolvo]]+[@[ССВ_1_2_kolvo]]+[@[ССВ_2_2_kolvo]]+[@[ССВ_3_1_kolvo]]+[@[ССВ_1_3_kolvo]]+[@[ССВ_3_2_kolvo]]+[@[ССВ_2_3_kolvo]]+[@[ССВ_3_3_kolvo]]</t>
  </si>
  <si>
    <t>=ЕСЛИОШИБКА(ЕСЛИ(Ч(ДВССЫЛ([@ССрФизКритерий];ЛОЖЬ))=0;"ошибка";ЕСЛИОШИБКА(ДВССЫЛ([@ССрФизКритерий];ЛОЖЬ);"ошибка"));"")</t>
  </si>
  <si>
    <t>=ЕСЛИ(ИЛИ([@ТипКритерий]=Перебор!R60C14;[@ТипКритерий]=Перебор!R61C14);ЕСЛИОШИБКА(ЗАМЕНИТЬ(ЗАМЕНИТЬ([@Скритерий];НАЙТИ("C";[@Скритерий])+1;ДЛСТР([@Скритерий])-НАЙТИ("C";[@Скритерий]);eval(ПРАВСИМВ([@Скритерий];ДЛСТР([@Скритерий])-НАЙТИ("C";[@Скритерий])))+R7C);НАЙТИ("R";[@Скритерий])+1;НАЙТИ("C";[@Скритерий])-НАЙТИ("R";[@Скритерий])-1;eval(ПСТР([@Скритерий];НАЙТИ("R";[@Скритерий])+1;НАЙТИ("C";[@Скритерий])-1-НАЙТИ("R";[@Скритерий])))+R6C);"ошибка");"")</t>
  </si>
  <si>
    <t>Размещение</t>
  </si>
  <si>
    <t>1; 4; 11; 5; 6</t>
  </si>
  <si>
    <t>min</t>
  </si>
  <si>
    <t>max</t>
  </si>
  <si>
    <t>Стандарт</t>
  </si>
  <si>
    <t>1; 3; 4; 5; 7; 2</t>
  </si>
  <si>
    <t>Кол-во знач</t>
  </si>
  <si>
    <t>Цеол_матр</t>
  </si>
  <si>
    <t>Л!</t>
  </si>
  <si>
    <t>R!</t>
  </si>
  <si>
    <t>C!</t>
  </si>
  <si>
    <t>F</t>
  </si>
  <si>
    <t>С</t>
  </si>
  <si>
    <t>=ЧЗНАЧ(ПСТР([@ССвёртка];ПОИСК("R";[@ССвёртка])+1;ПОИСК("C";[@ССвёртка])-ПОИСК("R";[@ССвёртка])-1))</t>
  </si>
  <si>
    <t>=ЧЗНАЧ(ПСТР([@ССвёртка];ПОИСК("C";[@ССвёртка])+1;ДЛСТР([@ССвёртка])-ПОИСК("C";[@ССвёртка])))</t>
  </si>
  <si>
    <t>=ЕСЛИ(ЕОШ(ПОИСК("!";[@ССвёртка]));"";ЛЕВСИМВ([@ССвёртка];ПОИСК("!";[@ССвёртка])))</t>
  </si>
  <si>
    <t>=[@ССвёртка]</t>
  </si>
  <si>
    <t>=СЧЁТЕСЛИМН(СМЕЩ(ДВССЫЛ((СМЕЩ(ДВССЫЛ([@С];ЛОЖЬ);-2;1)&amp;"!R2C2");ЛОЖЬ);;;101;101);"="&amp;([@F]-(1+(ВЫБОР(--ПРАВБ(СМЕЩ(ДВССЫЛ([@С];ЛОЖЬ);;3))+1;0;1;1;1;1;2)+ВЫБОР(--ПРАВБ(СМЕЩ(ДВССЫЛ([@С];ЛОЖЬ);-1;2))+1;0;1;1;1;1;2)))+1))*ЕСЛИ(И([@F]&gt;=(1+(ВЫБОР(--ПРАВБ(СМЕЩ(ДВССЫЛ([@С];ЛОЖЬ);;3))+1;0;1;1;1;1;2)+ВЫБОР(--ПРАВБ(СМЕЩ(ДВССЫЛ([@С];ЛОЖЬ);-1;2))+1;0;1;1;1;1;2)));[@F]&lt;=(1+(ВЫБОР(--ПРАВБ(СМЕЩ(ДВССЫЛ([@С];ЛОЖЬ);;3))+1;0;1;1;1;1;2)+ВЫБОР(--ПРАВБ(СМЕЩ(ДВССЫЛ([@С];ЛОЖЬ);-1;2))+1;0;1;1;1;1;2)+ВЫБОР(--ПРАВБ(СМЕЩ(ДВССЫЛ([@С];ЛОЖЬ);-2;1))+1;0;1;1;1;1;2))));1;0)+СЧЁТЕСЛИМН(СМЕЩ(ДВССЫЛ((СМЕЩ(ДВССЫЛ([@С];ЛОЖЬ);-2;2)&amp;"!R2C2");ЛОЖЬ);;;101;101);"="&amp;([@F]-(1+(ВЫБОР(--ПРАВБ(СМЕЩ(ДВССЫЛ([@С];ЛОЖЬ);;3))+1;0;1;0;1;1;1)+ВЫБОР(--ПРАВБ(СМЕЩ(ДВССЫЛ([@С];ЛОЖЬ);-1;3))+1;0;1;1;1;1;2)))+1))*ЕСЛИ(И([@F]&gt;=(1+(ВЫБОР(--ПРАВБ(СМЕЩ(ДВССЫЛ([@С];ЛОЖЬ);;3))+1;0;0;0;1;1;1)+ВЫБОР(--ПРАВБ(СМЕЩ(ДВССЫЛ([@С];ЛОЖЬ);-1;3))+1;0;1;1;1;1;2)));[@F]&lt;=(1+(ВЫБОР(--ПРАВБ(СМЕЩ(ДВССЫЛ([@С];ЛОЖЬ);;3))+1;0;0;0;1;1;1)+ВЫБОР(--ПРАВБ(СМЕЩ(ДВССЫЛ([@С];ЛОЖЬ);-1;3))+1;0;1;1;1;1;2)+ВЫБОР(--ПРАВБ(СМЕЩ(ДВССЫЛ([@С];ЛОЖЬ);-2;2))+1;0;1;1;1;1;2))));1;0)+СЧЁТЕСЛИМН(СМЕЩ(ДВССЫЛ((СМЕЩ(ДВССЫЛ([@С];ЛОЖЬ);-2;3)&amp;"!R2C2");ЛОЖЬ);;;101;101);"="&amp;([@F]-(1+(ВЫБОР(--ПРАВБ(СМЕЩ(ДВССЫЛ([@С];ЛОЖЬ);;3))+1;0;0;0;1;1;1)+ВЫБОР(--ПРАВБ(СМЕЩ(ДВССЫЛ([@С];ЛОЖЬ);-1;3))+1;0;0;0;1;1;1)))+1))*ЕСЛИ(И([@F]&gt;=(1+(ВЫБОР(--ПРАВБ(СМЕЩ(ДВССЫЛ([@С];ЛОЖЬ);;3))+1;0;0;0;1;1;1)+ВЫБОР(--ПРАВБ(СМЕЩ(ДВССЫЛ([@С];ЛОЖЬ);-1;3))+1;0;0;0;1;1;1)));[@F]&lt;=(1+(ВЫБОР(--ПРАВБ(СМЕЩ(ДВССЫЛ([@С];ЛОЖЬ);;3))+1;0;0;0;1;1;1)+ВЫБОР(--ПРАВБ(СМЕЩ(ДВССЫЛ([@С];ЛОЖЬ);-1;3))+1;0;0;0;1;1;1)+ВЫБОР(--ПРАВБ(СМЕЩ(ДВССЫЛ([@С];ЛОЖЬ);-2;3))+1;0;1;1;1;1;2))));1;0)+СЧЁТЕСЛИМН(СМЕЩ(ДВССЫЛ((СМЕЩ(ДВССЫЛ([@С];ЛОЖЬ);-1;1)&amp;"!R2C2");ЛОЖЬ);;;101;101);"="&amp;([@F]-(1+(ВЫБОР(--ПРАВБ(СМЕЩ(ДВССЫЛ([@С];ЛОЖЬ);;3))+1;0;0;1;0;1;1)+ВЫБОР(--ПРАВБ(СМЕЩ(ДВССЫЛ([@С];ЛОЖЬ);0;2))+1;0;1;1;1;1;2)))+1))*ЕСЛИ(И([@F]&gt;=(1+(ВЫБОР(--ПРАВБ(СМЕЩ(ДВССЫЛ([@С];ЛОЖЬ);;3))+1;0;0;1;0;1;1)+ВЫБОР(--ПРАВБ(СМЕЩ(ДВССЫЛ([@С];ЛОЖЬ);;2))+1;0;1;1;1;1;2)));[@F]&lt;=(1+(ВЫБОР(--ПРАВБ(СМЕЩ(ДВССЫЛ([@С];ЛОЖЬ);;3))+1;0;0;1;0;1;1)+ВЫБОР(--ПРАВБ(СМЕЩ(ДВССЫЛ([@С];ЛОЖЬ);;2))+1;0;1;1;1;1;2)+ВЫБОР(--ПРАВБ(СМЕЩ(ДВССЫЛ([@С];ЛОЖЬ);-1;1))+1;0;1;1;1;1;2))));1;0)+СЧЁТЕСЛИМН(СМЕЩ(ДВССЫЛ((СМЕЩ(ДВССЫЛ([@С];ЛОЖЬ);-1;2)&amp;"!R2C2");ЛОЖЬ);;;101;101);"="&amp;([@F]-(1+(ВЫБОР(--ПРАВБ(СМЕЩ(ДВССЫЛ([@С];ЛОЖЬ);;3))+1;0;1;1;1;1;2)))+1))*ЕСЛИ(И([@F]&gt;=(1+(ВЫБОР(--ПРАВБ(СМЕЩ(ДВССЫЛ([@С];ЛОЖЬ);;3))+1;0;1;1;1;1;2)));[@F]&lt;=(1+(ВЫБОР(--ПРАВБ(СМЕЩ(ДВССЫЛ([@С];ЛОЖЬ);;3))+1;0;1;1;1;1;2)+ВЫБОР(--ПРАВБ(СМЕЩ(ДВССЫЛ([@С];ЛОЖЬ);-1;2))+1;0;1;1;1;1;2))));1;0)+СЧЁТЕСЛИМН(СМЕЩ(ДВССЫЛ((СМЕЩ(ДВССЫЛ([@С];ЛОЖЬ);-1;3)&amp;"!R2C2");ЛОЖЬ);;;101;101);"="&amp;([@F]-(1+(ВЫБОР(--ПРАВБ(СМЕЩ(ДВССЫЛ([@С];ЛОЖЬ);;3))+1;0;0;0;1;1;1)))+1))*ЕСЛИ(И([@F]&gt;=(1+(ВЫБОР(--ПРАВБ(СМЕЩ(ДВССЫЛ([@С];ЛОЖЬ);;3))+1;0;0;0;1;1;1)));[@F]&lt;=(1+(ВЫБОР(--ПРАВБ(СМЕЩ(ДВССЫЛ([@С];ЛОЖЬ);;3))+1;0;0;0;1;1;1)+ВЫБОР(--ПРАВБ(СМЕЩ(ДВССЫЛ([@С];ЛОЖЬ);-1;3))+1;0;1;1;1;1;2))));1;0)+СЧЁТЕСЛИМН(СМЕЩ(ДВССЫЛ((СМЕЩ(ДВССЫЛ([@С];ЛОЖЬ);;1)&amp;"!R2C2");ЛОЖЬ);;;101;101);"="&amp;([@F]-(1+(ВЫБОР(--ПРАВБ(СМЕЩ(ДВССЫЛ([@С];ЛОЖЬ);;3))+1;0;0;1;0;1;1)+ВЫБОР(--ПРАВБ(СМЕЩ(ДВССЫЛ([@С];ЛОЖЬ);;2))+1;0;0;1;0;1;1)))+1))*ЕСЛИ(И([@F]&gt;=(1+(ВЫБОР(--ПРАВБ(СМЕЩ(ДВССЫЛ([@С];ЛОЖЬ);;3))+1;0;0;1;0;1;1)+ВЫБОР(--ПРАВБ(СМЕЩ(ДВССЫЛ([@С];ЛОЖЬ);;2))+1;0;0;1;0;1;1)));[@F]&lt;=(1+(ВЫБОР(--ПРАВБ(СМЕЩ(ДВССЫЛ([@С];ЛОЖЬ);;3))+1;0;0;1;0;1;1)+ВЫБОР(--ПРАВБ(СМЕЩ(ДВССЫЛ([@С];ЛОЖЬ);;2))+1;0;0;1;0;1;1)+ВЫБОР(--ПРАВБ(СМЕЩ(ДВССЫЛ([@С];ЛОЖЬ);;3))+1;0;1;1;1;1;2))));1;0)+СЧЁТЕСЛИМН(СМЕЩ(ДВССЫЛ((СМЕЩ(ДВССЫЛ([@С];ЛОЖЬ);;2)&amp;"!R2C2");ЛОЖЬ);;;101;101);"="&amp;([@F]-(1+(ВЫБОР(--ПРАВБ(СМЕЩ(ДВССЫЛ([@С];ЛОЖЬ);;3))+1;0;0;1;0;1;1)))+1))*ЕСЛИ(И([@F]&gt;=(1+(ВЫБОР(--ПРАВБ(СМЕЩ(ДВССЫЛ([@С];ЛОЖЬ);0;3))+1;0;0;1;0;1;1)));[@F]&lt;=(1+(ВЫБОР(--ПРАВБ(СМЕЩ(ДВССЫЛ([@С];ЛОЖЬ);;3))+1;0;1;0;0;1;1)+ВЫБОР(--ПРАВБ(СМЕЩ(ДВССЫЛ([@С];ЛОЖЬ);;2))+1;0;1;1;1;1;2))));1;0)+СЧЁТЕСЛИМН(СМЕЩ(ДВССЫЛ((СМЕЩ(ДВССЫЛ([@С];ЛОЖЬ);;3)&amp;"!R2C2");ЛОЖЬ);;;101;101);"="&amp;([@F]-1+1))*ЕСЛИ(И([@F]&gt;=1;[@F]&lt;=1+(ВЫБОР(--ПРАВБ(СМЕЩ(ДВССЫЛ([@С];ЛОЖЬ);;3))+1;0;1;1;1;1;2)));1;0)</t>
  </si>
  <si>
    <t>=ЕСЛИОШИБКА(ЕСЛИ(СУММ((МУМНОЖ(ВЫБОР(ПРАВСИМВ(СМЕЩ(ДВССЫЛ(СЦЕПИТЬ([@[Л!]];"R";[@[R!]];"C";[@[C!]]);ЛОЖЬ);-2;1;3;3))+1;0;1;0;1;1;1,5);{1:1:1})&gt;4)+(МУМНОЖ(ТРАНСП(ВЫБОР(ПРАВСИМВ(СМЕЩ(ДВССЫЛ(СЦЕПИТЬ([@[Л!]];"R";[@[R!]];"C";[@[C!]]);ЛОЖЬ);-2;1;3;3))+1;0;1;1;0;1;1,5));{1:1:1})&gt;4)+(СУММ(ВЫБОР(ПРАВСИМВ(ВЫБОР({1:2:3};СМЕЩ(ДВССЫЛ(СЦЕПИТЬ([@[Л!]];"R";[@[R!]];"C";[@[C!]]);ЛОЖЬ);-2;1);СМЕЩ(ДВССЫЛ(СЦЕПИТЬ([@[Л!]];"R";[@[R!]];"C";[@[C!]]);ЛОЖЬ);-1;2);СМЕЩ(ДВССЫЛ(СЦЕПИТЬ([@[Л!]];"R";[@[R!]];"C";[@[C!]]);ЛОЖЬ);0;3)))+1;0;1;1;1;1;2))&gt;3));0;1);0)</t>
  </si>
  <si>
    <t>Цел_матр_мас</t>
  </si>
  <si>
    <t>Цел_матр_обычн</t>
  </si>
  <si>
    <t>=ЕСЛИ(СУММ(ЕСЛИ(СУММ(ПРОСМОТР(--ПРАВСИМВ(СМЕЩ(ДВССЫЛ([@ССвёртка];ЛОЖЬ);-2;1));{0;1;2;3;4;5};{0;1;1;0;1;1,5});ПРОСМОТР(--ПРАВСИМВ(СМЕЩ(ДВССЫЛ([@ССвёртка];ЛОЖЬ);-1;1));{0;1;2;3;4;5};{0;1;1;0;1;1,5});ПРОСМОТР(--ПРАВСИМВ(СМЕЩ(ДВССЫЛ([@ССвёртка];ЛОЖЬ);0;1));{0;1;2;3;4;5};{0;1;1;0;1;1,5}))&gt;4;1;0);ЕСЛИ(СУММ(ПРОСМОТР(--ПРАВСИМВ(СМЕЩ(ДВССЫЛ([@ССвёртка];ЛОЖЬ);-2;2));{0;1;2;3;4;5};{0;1;1;0;1;1,5});ПРОСМОТР(--ПРАВСИМВ(СМЕЩ(ДВССЫЛ([@ССвёртка];ЛОЖЬ);-1;2));{0;1;2;3;4;5};{0;1;1;0;1;1,5});ПРОСМОТР(--ПРАВСИМВ(СМЕЩ(ДВССЫЛ([@ССвёртка];ЛОЖЬ);0;2));{0;1;2;3;4;5};{0;1;1;0;1;1,5}))&gt;4;1;0);ЕСЛИ(СУММ(ПРОСМОТР(--ПРАВСИМВ(СМЕЩ(ДВССЫЛ([@ССвёртка];ЛОЖЬ);-2;3));{0;1;2;3;4;5};{0;1;1;0;1;1,5});ПРОСМОТР(--ПРАВСИМВ(СМЕЩ(ДВССЫЛ([@ССвёртка];ЛОЖЬ);-1;3));{0;1;2;3;4;5};{0;1;1;0;1;1,5});ПРОСМОТР(--ПРАВСИМВ(СМЕЩ(ДВССЫЛ([@ССвёртка];ЛОЖЬ);0;3));{0;1;2;3;4;5};{0;1;1;0;1;1,5}))&gt;4;1;0);ЕСЛИ(СУММ(ПРОСМОТР(--ПРАВСИМВ(СМЕЩ(ДВССЫЛ([@ССвёртка];ЛОЖЬ);-2;1));{0;1;2;3;4;5};{0;1;1;1;1;2});ПРОСМОТР(--ПРАВСИМВ(СМЕЩ(ДВССЫЛ([@ССвёртка];ЛОЖЬ);-1;2));{0;1;2;3;4;5};{0;1;1;1;1;2});ПРОСМОТР(--ПРАВСИМВ(СМЕЩ(ДВССЫЛ([@ССвёртка];ЛОЖЬ);0;3));{0;1;2;3;4;5};{0;1;1;1;1;2}))&lt;&gt;3;1;0);ЕСЛИ(СУММ(ПРОСМОТР(--ПРАВСИМВ(СМЕЩ(ДВССЫЛ([@ССвёртка];ЛОЖЬ);-2;1));{0;1;2;3;4;5};{0;1;0;1;1;1,5});ПРОСМОТР(--ПРАВСИМВ(СМЕЩ(ДВССЫЛ([@ССвёртка];ЛОЖЬ);-2;2));{0;1;2;3;4;5};{0;1;0;1;1;1,5});ПРОСМОТР(--ПРАВСИМВ(СМЕЩ(ДВССЫЛ([@ССвёртка];ЛОЖЬ);-2;3));{0;1;2;3;4;5};{0;1;0;1;1;1,5}))&gt;4;1;0);ЕСЛИ(СУММ(ПРОСМОТР(--ПРАВСИМВ(СМЕЩ(ДВССЫЛ([@ССвёртка];ЛОЖЬ);-1;1));{0;1;2;3;4;5};{0;1;0;1;1;1,5});ПРОСМОТР(--ПРАВСИМВ(СМЕЩ(ДВССЫЛ([@ССвёртка];ЛОЖЬ);-1;2));{0;1;2;3;4;5};{0;1;0;1;1;1,5});ПРОСМОТР(--ПРАВСИМВ(СМЕЩ(ДВССЫЛ([@ССвёртка];ЛОЖЬ);-1;3));{0;1;2;3;4;5};{0;1;0;1;1;1,5}))&gt;4;1;0);ЕСЛИ(СУММ(ПРОСМОТР(--ПРАВСИМВ(СМЕЩ(ДВССЫЛ([@ССвёртка];ЛОЖЬ);0;1));{0;1;2;3;4;5};{0;1;0;1;1;1,5});ПРОСМОТР(--ПРАВСИМВ(СМЕЩ(ДВССЫЛ([@ССвёртка];ЛОЖЬ);0;2));{0;1;2;3;4;5};{0;1;0;1;1;1,5});ПРОСМОТР(--ПРАВСИМВ(СМЕЩ(ДВССЫЛ([@ССвёртка];ЛОЖЬ);0;3));{0;1;2;3;4;5};{0;1;0;1;1;1,5}))&gt;4;1;0))&lt;&gt;0;0;1)</t>
  </si>
  <si>
    <t>Данные</t>
  </si>
  <si>
    <t>(без действий)</t>
  </si>
  <si>
    <t>поворот 90° &gt;&gt;</t>
  </si>
  <si>
    <t>поворот 180° &gt;&gt;</t>
  </si>
  <si>
    <t>поворот 270° &gt;&gt;</t>
  </si>
  <si>
    <t>&lt;&lt; поворот 90°</t>
  </si>
  <si>
    <t>&lt;&lt; поворот 180°</t>
  </si>
  <si>
    <t>&lt;&lt; поворот 270°</t>
  </si>
  <si>
    <t>↕ отражение</t>
  </si>
  <si>
    <t>↔ отражение</t>
  </si>
  <si>
    <t>ошибка</t>
  </si>
  <si>
    <t/>
  </si>
  <si>
    <t>График 1</t>
  </si>
  <si>
    <t>Модель!R20C15</t>
  </si>
  <si>
    <t xml:space="preserve"> </t>
  </si>
  <si>
    <t>График 4</t>
  </si>
  <si>
    <t>График 5</t>
  </si>
  <si>
    <t>График 6</t>
  </si>
  <si>
    <t>График 7</t>
  </si>
  <si>
    <t>График 8</t>
  </si>
  <si>
    <t>Уровень спроса</t>
  </si>
  <si>
    <t>Качество помещения</t>
  </si>
  <si>
    <t>Цена</t>
  </si>
  <si>
    <t>Местоположение</t>
  </si>
  <si>
    <t>Качество ремонта</t>
  </si>
  <si>
    <t>X1</t>
  </si>
  <si>
    <t>X2</t>
  </si>
  <si>
    <t>X3</t>
  </si>
  <si>
    <t>Свёртка Рентабельность-Ликвидность</t>
  </si>
  <si>
    <t>Перспективы рынка</t>
  </si>
  <si>
    <t>Min</t>
  </si>
  <si>
    <t>Max</t>
  </si>
  <si>
    <t>Отношение к бизнесу</t>
  </si>
  <si>
    <t>M</t>
  </si>
  <si>
    <t>М</t>
  </si>
  <si>
    <t>Б</t>
  </si>
  <si>
    <t>Количественные</t>
  </si>
  <si>
    <t>A1</t>
  </si>
  <si>
    <t>A2</t>
  </si>
  <si>
    <t>B1</t>
  </si>
  <si>
    <t>B2</t>
  </si>
  <si>
    <t>=A1</t>
  </si>
  <si>
    <t>=</t>
  </si>
  <si>
    <t>ё</t>
  </si>
  <si>
    <t>Столбец2</t>
  </si>
  <si>
    <t>Столбец3</t>
  </si>
  <si>
    <t>1; 2; 3; 4; 5; 6; 7; 8; 9</t>
  </si>
  <si>
    <t>Наимен_Св</t>
  </si>
  <si>
    <t>Наимен_Кр</t>
  </si>
  <si>
    <t>0</t>
  </si>
  <si>
    <t>5; 6; 9; 10; 17; 18; 19; 22; 23</t>
  </si>
  <si>
    <t>3,09</t>
  </si>
  <si>
    <t>3,02</t>
  </si>
  <si>
    <t>3,08</t>
  </si>
  <si>
    <t>3,03</t>
  </si>
  <si>
    <t>3,3</t>
  </si>
  <si>
    <t>3,04</t>
  </si>
  <si>
    <t>3,12</t>
  </si>
  <si>
    <t>3,06</t>
  </si>
  <si>
    <t>2,36</t>
  </si>
  <si>
    <t>3,1</t>
  </si>
  <si>
    <t>3,59</t>
  </si>
  <si>
    <t>3,62</t>
  </si>
  <si>
    <t>3,15</t>
  </si>
  <si>
    <t>3,64</t>
  </si>
  <si>
    <t>3,18</t>
  </si>
  <si>
    <t>3,43</t>
  </si>
  <si>
    <t>3,21</t>
  </si>
  <si>
    <t>3,54</t>
  </si>
  <si>
    <t>2,48</t>
  </si>
  <si>
    <t>3,11</t>
  </si>
  <si>
    <t>3,13</t>
  </si>
  <si>
    <t>3,26</t>
  </si>
  <si>
    <t>3,2</t>
  </si>
  <si>
    <t>2,5</t>
  </si>
  <si>
    <t>3,35</t>
  </si>
  <si>
    <t>26</t>
  </si>
  <si>
    <t>27</t>
  </si>
  <si>
    <t>2,39</t>
  </si>
  <si>
    <t>28</t>
  </si>
  <si>
    <t>2,41</t>
  </si>
  <si>
    <t>29</t>
  </si>
  <si>
    <t>3,01</t>
  </si>
  <si>
    <t>30</t>
  </si>
  <si>
    <t>3,19</t>
  </si>
  <si>
    <t>31</t>
  </si>
  <si>
    <t>32</t>
  </si>
  <si>
    <t>33</t>
  </si>
  <si>
    <t>34</t>
  </si>
  <si>
    <t>35</t>
  </si>
  <si>
    <t>3,25</t>
  </si>
  <si>
    <t>36</t>
  </si>
  <si>
    <t>37</t>
  </si>
  <si>
    <t>3,07</t>
  </si>
  <si>
    <t>38</t>
  </si>
  <si>
    <t>3,38</t>
  </si>
  <si>
    <t>39</t>
  </si>
  <si>
    <t>40</t>
  </si>
  <si>
    <t>41</t>
  </si>
  <si>
    <t>42</t>
  </si>
  <si>
    <t>3,41</t>
  </si>
  <si>
    <t>43</t>
  </si>
  <si>
    <t>3,24</t>
  </si>
  <si>
    <t>44</t>
  </si>
  <si>
    <t>45</t>
  </si>
  <si>
    <t>3,49</t>
  </si>
  <si>
    <t>46</t>
  </si>
  <si>
    <t>47</t>
  </si>
  <si>
    <t>2,33</t>
  </si>
  <si>
    <t>48</t>
  </si>
  <si>
    <t>2,45</t>
  </si>
  <si>
    <t>49</t>
  </si>
  <si>
    <t>50</t>
  </si>
  <si>
    <t>3,17</t>
  </si>
  <si>
    <t>51</t>
  </si>
  <si>
    <t>2,38</t>
  </si>
  <si>
    <t>52</t>
  </si>
  <si>
    <t>53</t>
  </si>
  <si>
    <t>54</t>
  </si>
  <si>
    <t>55</t>
  </si>
  <si>
    <t>56</t>
  </si>
  <si>
    <t>3,27</t>
  </si>
  <si>
    <t>57</t>
  </si>
  <si>
    <t>3,16</t>
  </si>
  <si>
    <t>58</t>
  </si>
  <si>
    <t>59</t>
  </si>
  <si>
    <t>2,4</t>
  </si>
  <si>
    <t>60</t>
  </si>
  <si>
    <t>61</t>
  </si>
  <si>
    <t>3,53</t>
  </si>
  <si>
    <t>62</t>
  </si>
  <si>
    <t>63</t>
  </si>
  <si>
    <t>64</t>
  </si>
  <si>
    <t>3,5</t>
  </si>
  <si>
    <t>65</t>
  </si>
  <si>
    <t>66</t>
  </si>
  <si>
    <t>67</t>
  </si>
  <si>
    <t>68</t>
  </si>
  <si>
    <t>69</t>
  </si>
  <si>
    <t>70</t>
  </si>
  <si>
    <t>3,48</t>
  </si>
  <si>
    <t>71</t>
  </si>
  <si>
    <t>3,05</t>
  </si>
  <si>
    <t>72</t>
  </si>
  <si>
    <t>3,36</t>
  </si>
  <si>
    <t>73</t>
  </si>
  <si>
    <t>2,14</t>
  </si>
  <si>
    <t>74</t>
  </si>
  <si>
    <t>2,18</t>
  </si>
  <si>
    <t>75</t>
  </si>
  <si>
    <t>76</t>
  </si>
  <si>
    <t>77</t>
  </si>
  <si>
    <t>78</t>
  </si>
  <si>
    <t>79</t>
  </si>
  <si>
    <t>2,31</t>
  </si>
  <si>
    <t>80</t>
  </si>
  <si>
    <t>81</t>
  </si>
  <si>
    <t>2,44</t>
  </si>
  <si>
    <t>82</t>
  </si>
  <si>
    <t>2,46</t>
  </si>
  <si>
    <t>83</t>
  </si>
  <si>
    <t>84</t>
  </si>
  <si>
    <t>85</t>
  </si>
  <si>
    <t>3,29</t>
  </si>
  <si>
    <t>86</t>
  </si>
  <si>
    <t>87</t>
  </si>
  <si>
    <t>88</t>
  </si>
  <si>
    <t>2,42</t>
  </si>
  <si>
    <t>89</t>
  </si>
  <si>
    <t>3,31</t>
  </si>
  <si>
    <t>90</t>
  </si>
  <si>
    <t>91</t>
  </si>
  <si>
    <t>92</t>
  </si>
  <si>
    <t>93</t>
  </si>
  <si>
    <t>94</t>
  </si>
  <si>
    <t>95</t>
  </si>
  <si>
    <t>96</t>
  </si>
  <si>
    <t>3,28</t>
  </si>
  <si>
    <t>97</t>
  </si>
  <si>
    <t>98</t>
  </si>
  <si>
    <t>99</t>
  </si>
  <si>
    <t>100</t>
  </si>
  <si>
    <t>101</t>
  </si>
  <si>
    <t>3,37</t>
  </si>
  <si>
    <t>102</t>
  </si>
  <si>
    <t>103</t>
  </si>
  <si>
    <t>104</t>
  </si>
  <si>
    <t>105</t>
  </si>
  <si>
    <t>106</t>
  </si>
  <si>
    <t>3,46</t>
  </si>
  <si>
    <t>107</t>
  </si>
  <si>
    <t>108</t>
  </si>
  <si>
    <t>109</t>
  </si>
  <si>
    <t>3,33</t>
  </si>
  <si>
    <t>110</t>
  </si>
  <si>
    <t>111</t>
  </si>
  <si>
    <t>112</t>
  </si>
  <si>
    <t>113</t>
  </si>
  <si>
    <t>3,51</t>
  </si>
  <si>
    <t>114</t>
  </si>
  <si>
    <t>115</t>
  </si>
  <si>
    <t>116</t>
  </si>
  <si>
    <t>117</t>
  </si>
  <si>
    <t>118</t>
  </si>
  <si>
    <t>119</t>
  </si>
  <si>
    <t>120</t>
  </si>
  <si>
    <t>121</t>
  </si>
  <si>
    <t>122</t>
  </si>
  <si>
    <t>123</t>
  </si>
  <si>
    <t>3,4</t>
  </si>
  <si>
    <t>124</t>
  </si>
  <si>
    <t>125</t>
  </si>
  <si>
    <t>126</t>
  </si>
  <si>
    <t>127</t>
  </si>
  <si>
    <t>2,25</t>
  </si>
  <si>
    <t>128</t>
  </si>
  <si>
    <t>129</t>
  </si>
  <si>
    <t>3,34</t>
  </si>
  <si>
    <t>130</t>
  </si>
  <si>
    <t>131</t>
  </si>
  <si>
    <t>132</t>
  </si>
  <si>
    <t>3,52</t>
  </si>
  <si>
    <t>133</t>
  </si>
  <si>
    <t>134</t>
  </si>
  <si>
    <t>135</t>
  </si>
  <si>
    <t>136</t>
  </si>
  <si>
    <t>137</t>
  </si>
  <si>
    <t>138</t>
  </si>
  <si>
    <t>139</t>
  </si>
  <si>
    <t>140</t>
  </si>
  <si>
    <t>141</t>
  </si>
  <si>
    <t>142</t>
  </si>
  <si>
    <t>143</t>
  </si>
  <si>
    <t>144</t>
  </si>
  <si>
    <t>145</t>
  </si>
  <si>
    <t>2,49</t>
  </si>
  <si>
    <t>146</t>
  </si>
  <si>
    <t>3,22</t>
  </si>
  <si>
    <t>147</t>
  </si>
  <si>
    <t>148</t>
  </si>
  <si>
    <t>3,61</t>
  </si>
  <si>
    <t>149</t>
  </si>
  <si>
    <t>3,23</t>
  </si>
  <si>
    <t>150</t>
  </si>
  <si>
    <t>3,47</t>
  </si>
  <si>
    <t>151</t>
  </si>
  <si>
    <t>2,2</t>
  </si>
  <si>
    <t>152</t>
  </si>
  <si>
    <t>153</t>
  </si>
  <si>
    <t>154</t>
  </si>
  <si>
    <t>2,3</t>
  </si>
  <si>
    <t>155</t>
  </si>
  <si>
    <t>156</t>
  </si>
  <si>
    <t>3,32</t>
  </si>
  <si>
    <t>157</t>
  </si>
  <si>
    <t>2,47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</si>
  <si>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</si>
  <si>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</si>
  <si>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</si>
  <si>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</si>
  <si>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</si>
  <si>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</si>
  <si>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</si>
  <si>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</si>
  <si>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</si>
  <si>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</si>
  <si>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</si>
  <si>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</si>
  <si>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</si>
  <si>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</si>
  <si>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</si>
  <si>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</si>
  <si>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</si>
  <si>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</si>
  <si>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</si>
  <si>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</si>
  <si>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</si>
  <si>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</si>
  <si>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</si>
  <si>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</si>
  <si>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</si>
  <si>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</si>
  <si>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</si>
  <si>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</si>
  <si>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</si>
  <si>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</si>
  <si>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</si>
  <si>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</si>
  <si>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</si>
  <si>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</si>
  <si>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</si>
  <si>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</si>
  <si>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</si>
  <si>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</si>
  <si>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</si>
  <si>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</si>
  <si>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</si>
  <si>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</si>
  <si>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</si>
  <si>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</si>
  <si>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</si>
  <si>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</si>
  <si>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</si>
  <si>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3,45</t>
  </si>
  <si>
    <t>205</t>
  </si>
  <si>
    <t>206</t>
  </si>
  <si>
    <t>2,26</t>
  </si>
  <si>
    <t>207</t>
  </si>
  <si>
    <t>208</t>
  </si>
  <si>
    <t>209</t>
  </si>
  <si>
    <t>210</t>
  </si>
  <si>
    <t>2,32</t>
  </si>
  <si>
    <t>211</t>
  </si>
  <si>
    <t>212</t>
  </si>
  <si>
    <t>213</t>
  </si>
  <si>
    <t>214</t>
  </si>
  <si>
    <t>3,14</t>
  </si>
  <si>
    <t>215</t>
  </si>
  <si>
    <t>216</t>
  </si>
  <si>
    <t>217</t>
  </si>
  <si>
    <t>218</t>
  </si>
  <si>
    <t>219</t>
  </si>
  <si>
    <t>220</t>
  </si>
  <si>
    <t>221</t>
  </si>
  <si>
    <t>222</t>
  </si>
  <si>
    <t>223</t>
  </si>
  <si>
    <t>224</t>
  </si>
  <si>
    <t>225</t>
  </si>
  <si>
    <t>2,43</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</si>
  <si>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</si>
  <si>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</si>
  <si>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</si>
  <si>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</si>
  <si>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</si>
  <si>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</si>
  <si>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</si>
  <si>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</si>
  <si>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</si>
  <si>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</si>
  <si>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</si>
  <si>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</si>
  <si>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</si>
  <si>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</si>
  <si>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</si>
  <si>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</si>
  <si>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</si>
  <si>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</si>
  <si>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</si>
  <si>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</si>
  <si>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</si>
  <si>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</si>
  <si>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</si>
  <si>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</si>
  <si>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</si>
  <si>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</si>
  <si>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</si>
  <si>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</si>
  <si>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</si>
  <si>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</si>
  <si>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</si>
  <si>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</si>
  <si>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</si>
  <si>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</si>
  <si>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</si>
  <si>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</si>
  <si>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</si>
  <si>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</si>
  <si>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</si>
  <si>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</si>
  <si>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</si>
  <si>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</si>
  <si>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</si>
  <si>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</si>
  <si>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</si>
  <si>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</si>
  <si>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</si>
  <si>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</si>
  <si>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</si>
  <si>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</si>
  <si>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</si>
  <si>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</si>
  <si>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</si>
  <si>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</si>
  <si>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</si>
  <si>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</si>
  <si>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</si>
  <si>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</si>
  <si>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</si>
  <si>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</si>
  <si>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</si>
  <si>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</si>
  <si>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</si>
  <si>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3,58</t>
  </si>
  <si>
    <t>289</t>
  </si>
  <si>
    <t>290</t>
  </si>
  <si>
    <t>3,63</t>
  </si>
  <si>
    <t>291</t>
  </si>
  <si>
    <t>3,42</t>
  </si>
  <si>
    <t>292</t>
  </si>
  <si>
    <t>293</t>
  </si>
  <si>
    <t>294</t>
  </si>
  <si>
    <t>295</t>
  </si>
  <si>
    <t>296</t>
  </si>
  <si>
    <t>3,39</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</si>
  <si>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</si>
  <si>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</si>
  <si>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</si>
  <si>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</si>
  <si>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</si>
  <si>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</si>
  <si>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</si>
  <si>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</si>
  <si>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</si>
  <si>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</si>
  <si>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</si>
  <si>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</si>
  <si>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</si>
  <si>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</si>
  <si>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</si>
  <si>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</si>
  <si>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</si>
  <si>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</si>
  <si>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</si>
  <si>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</si>
  <si>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</si>
  <si>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</si>
  <si>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</si>
  <si>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</si>
  <si>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</si>
  <si>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</si>
  <si>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</si>
  <si>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</si>
  <si>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</si>
  <si>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</si>
  <si>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</si>
  <si>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</si>
  <si>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</si>
  <si>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</si>
  <si>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</si>
  <si>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</si>
  <si>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</si>
  <si>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</si>
  <si>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</si>
  <si>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</si>
  <si>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</si>
  <si>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</si>
  <si>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</si>
  <si>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</si>
  <si>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</si>
  <si>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</si>
  <si>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</si>
  <si>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</si>
  <si>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</si>
  <si>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</si>
  <si>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</si>
  <si>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</si>
  <si>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</si>
  <si>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</si>
  <si>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</si>
  <si>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</si>
  <si>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3,66</t>
  </si>
  <si>
    <t>353</t>
  </si>
  <si>
    <t>354</t>
  </si>
  <si>
    <t>3,56</t>
  </si>
  <si>
    <t>355</t>
  </si>
  <si>
    <t>356</t>
  </si>
  <si>
    <t>357</t>
  </si>
  <si>
    <t>358</t>
  </si>
  <si>
    <t>359</t>
  </si>
  <si>
    <t>360</t>
  </si>
  <si>
    <t>361</t>
  </si>
  <si>
    <t>362</t>
  </si>
  <si>
    <t>3,7</t>
  </si>
  <si>
    <t>363</t>
  </si>
  <si>
    <t>364</t>
  </si>
  <si>
    <t>365</t>
  </si>
  <si>
    <t>366</t>
  </si>
  <si>
    <t>367</t>
  </si>
  <si>
    <t>368</t>
  </si>
  <si>
    <t>369</t>
  </si>
  <si>
    <t>370</t>
  </si>
  <si>
    <t>371</t>
  </si>
  <si>
    <t>372</t>
  </si>
  <si>
    <t>3,65</t>
  </si>
  <si>
    <t>373</t>
  </si>
  <si>
    <t>374</t>
  </si>
  <si>
    <t>375</t>
  </si>
  <si>
    <t>376</t>
  </si>
  <si>
    <t>377</t>
  </si>
  <si>
    <t>378</t>
  </si>
  <si>
    <t>379</t>
  </si>
  <si>
    <t>380</t>
  </si>
  <si>
    <t>381</t>
  </si>
  <si>
    <t>382</t>
  </si>
  <si>
    <t>383</t>
  </si>
  <si>
    <t>384</t>
  </si>
  <si>
    <t>385</t>
  </si>
  <si>
    <t>386</t>
  </si>
  <si>
    <t>387</t>
  </si>
  <si>
    <t>388</t>
  </si>
  <si>
    <t>389</t>
  </si>
  <si>
    <t>390</t>
  </si>
  <si>
    <t>391</t>
  </si>
  <si>
    <t>2,37</t>
  </si>
  <si>
    <t>392</t>
  </si>
  <si>
    <t>2,34</t>
  </si>
  <si>
    <t>393</t>
  </si>
  <si>
    <t>394</t>
  </si>
  <si>
    <t>3,72</t>
  </si>
  <si>
    <t>395</t>
  </si>
  <si>
    <t>3,6</t>
  </si>
  <si>
    <t>396</t>
  </si>
  <si>
    <t>397</t>
  </si>
  <si>
    <t>398</t>
  </si>
  <si>
    <t>399</t>
  </si>
  <si>
    <t>400</t>
  </si>
  <si>
    <t>401</t>
  </si>
  <si>
    <t>402</t>
  </si>
  <si>
    <t>403</t>
  </si>
  <si>
    <t>2,27</t>
  </si>
  <si>
    <t>404</t>
  </si>
  <si>
    <t>405</t>
  </si>
  <si>
    <t>3,74</t>
  </si>
  <si>
    <t>406</t>
  </si>
  <si>
    <t>407</t>
  </si>
  <si>
    <t>408</t>
  </si>
  <si>
    <t>409</t>
  </si>
  <si>
    <t>410</t>
  </si>
  <si>
    <t>3,44</t>
  </si>
  <si>
    <t>411</t>
  </si>
  <si>
    <t>412</t>
  </si>
  <si>
    <t>413</t>
  </si>
  <si>
    <t>414</t>
  </si>
  <si>
    <t>415</t>
  </si>
  <si>
    <t>416</t>
  </si>
  <si>
    <t>417</t>
  </si>
  <si>
    <t>3,71</t>
  </si>
  <si>
    <t>418</t>
  </si>
  <si>
    <t>419</t>
  </si>
  <si>
    <t>420</t>
  </si>
  <si>
    <t>421</t>
  </si>
  <si>
    <t>422</t>
  </si>
  <si>
    <t>423</t>
  </si>
  <si>
    <t>424</t>
  </si>
  <si>
    <t>425</t>
  </si>
  <si>
    <t>426</t>
  </si>
  <si>
    <t>427</t>
  </si>
  <si>
    <t>428</t>
  </si>
  <si>
    <t>429</t>
  </si>
  <si>
    <t>430</t>
  </si>
  <si>
    <t>431</t>
  </si>
  <si>
    <t>432</t>
  </si>
  <si>
    <t>433</t>
  </si>
  <si>
    <t>434</t>
  </si>
  <si>
    <t>435</t>
  </si>
  <si>
    <t>436</t>
  </si>
  <si>
    <t>437</t>
  </si>
  <si>
    <t>438</t>
  </si>
  <si>
    <t>439</t>
  </si>
  <si>
    <t>3,75</t>
  </si>
  <si>
    <t>440</t>
  </si>
  <si>
    <t>3,55</t>
  </si>
  <si>
    <t>441</t>
  </si>
  <si>
    <t>442</t>
  </si>
  <si>
    <t>443</t>
  </si>
  <si>
    <t>444</t>
  </si>
  <si>
    <t>445</t>
  </si>
  <si>
    <t>446</t>
  </si>
  <si>
    <t>447</t>
  </si>
  <si>
    <t>448</t>
  </si>
  <si>
    <t>449</t>
  </si>
  <si>
    <t>3,68</t>
  </si>
  <si>
    <t>450</t>
  </si>
  <si>
    <t>451</t>
  </si>
  <si>
    <t>452</t>
  </si>
  <si>
    <t>2,35</t>
  </si>
  <si>
    <t>453</t>
  </si>
  <si>
    <t>454</t>
  </si>
  <si>
    <t>455</t>
  </si>
  <si>
    <t>456</t>
  </si>
  <si>
    <t>457</t>
  </si>
  <si>
    <t>458</t>
  </si>
  <si>
    <t>459</t>
  </si>
  <si>
    <t>460</t>
  </si>
  <si>
    <t>461</t>
  </si>
  <si>
    <t>462</t>
  </si>
  <si>
    <t>3,79</t>
  </si>
  <si>
    <t>463</t>
  </si>
  <si>
    <t>464</t>
  </si>
  <si>
    <t>465</t>
  </si>
  <si>
    <t>466</t>
  </si>
  <si>
    <t>467</t>
  </si>
  <si>
    <t>468</t>
  </si>
  <si>
    <t>469</t>
  </si>
  <si>
    <t>470</t>
  </si>
  <si>
    <t>471</t>
  </si>
  <si>
    <t>472</t>
  </si>
  <si>
    <t>473</t>
  </si>
  <si>
    <t>474</t>
  </si>
  <si>
    <t>475</t>
  </si>
  <si>
    <t>2,22</t>
  </si>
  <si>
    <t>476</t>
  </si>
  <si>
    <t>477</t>
  </si>
  <si>
    <t>478</t>
  </si>
  <si>
    <t>479</t>
  </si>
  <si>
    <t>480</t>
  </si>
  <si>
    <t>481</t>
  </si>
  <si>
    <t>482</t>
  </si>
  <si>
    <t>483</t>
  </si>
  <si>
    <t>2,21</t>
  </si>
  <si>
    <t>484</t>
  </si>
  <si>
    <t>3,69</t>
  </si>
  <si>
    <t>485</t>
  </si>
  <si>
    <t>486</t>
  </si>
  <si>
    <t>487</t>
  </si>
  <si>
    <t>488</t>
  </si>
  <si>
    <t>489</t>
  </si>
  <si>
    <t>490</t>
  </si>
  <si>
    <t>491</t>
  </si>
  <si>
    <t>492</t>
  </si>
  <si>
    <t>493</t>
  </si>
  <si>
    <t>494</t>
  </si>
  <si>
    <t>495</t>
  </si>
  <si>
    <t>496</t>
  </si>
  <si>
    <t>497</t>
  </si>
  <si>
    <t>498</t>
  </si>
  <si>
    <t>499</t>
  </si>
  <si>
    <t>500</t>
  </si>
  <si>
    <t>501</t>
  </si>
  <si>
    <t>502</t>
  </si>
  <si>
    <t>503</t>
  </si>
  <si>
    <t>504</t>
  </si>
  <si>
    <t>505</t>
  </si>
  <si>
    <t>506</t>
  </si>
  <si>
    <t>507</t>
  </si>
  <si>
    <t>508</t>
  </si>
  <si>
    <t>509</t>
  </si>
  <si>
    <t>3,81</t>
  </si>
  <si>
    <t>510</t>
  </si>
  <si>
    <t>511</t>
  </si>
  <si>
    <t>512</t>
  </si>
  <si>
    <t>3,67</t>
  </si>
  <si>
    <t>513</t>
  </si>
  <si>
    <t>514</t>
  </si>
  <si>
    <t>515</t>
  </si>
  <si>
    <t>516</t>
  </si>
  <si>
    <t>517</t>
  </si>
  <si>
    <t>518</t>
  </si>
  <si>
    <t>519</t>
  </si>
  <si>
    <t>520</t>
  </si>
  <si>
    <t>521</t>
  </si>
  <si>
    <t>2,19</t>
  </si>
  <si>
    <t>3,82</t>
  </si>
  <si>
    <t>522</t>
  </si>
  <si>
    <t>523</t>
  </si>
  <si>
    <t>524</t>
  </si>
  <si>
    <t>525</t>
  </si>
  <si>
    <t>526</t>
  </si>
  <si>
    <t>527</t>
  </si>
  <si>
    <t>3,57</t>
  </si>
  <si>
    <t>528</t>
  </si>
  <si>
    <t>529</t>
  </si>
  <si>
    <t>530</t>
  </si>
  <si>
    <t>531</t>
  </si>
  <si>
    <t>532</t>
  </si>
  <si>
    <t>3,73</t>
  </si>
  <si>
    <t>533</t>
  </si>
  <si>
    <t>3,83</t>
  </si>
  <si>
    <t>534</t>
  </si>
  <si>
    <t>535</t>
  </si>
  <si>
    <t>536</t>
  </si>
  <si>
    <t>537</t>
  </si>
  <si>
    <t>538</t>
  </si>
  <si>
    <t>539</t>
  </si>
  <si>
    <t>540</t>
  </si>
  <si>
    <t>541</t>
  </si>
  <si>
    <t>542</t>
  </si>
  <si>
    <t>543</t>
  </si>
  <si>
    <t>544</t>
  </si>
  <si>
    <t>2,24</t>
  </si>
  <si>
    <t>545</t>
  </si>
  <si>
    <t>546</t>
  </si>
  <si>
    <t>547</t>
  </si>
  <si>
    <t>548</t>
  </si>
  <si>
    <t>549</t>
  </si>
  <si>
    <t>550</t>
  </si>
  <si>
    <t>551</t>
  </si>
  <si>
    <t>552</t>
  </si>
  <si>
    <t>553</t>
  </si>
  <si>
    <t>554</t>
  </si>
  <si>
    <t>555</t>
  </si>
  <si>
    <t>556</t>
  </si>
  <si>
    <t>557</t>
  </si>
  <si>
    <t>558</t>
  </si>
  <si>
    <t>559</t>
  </si>
  <si>
    <t>560</t>
  </si>
  <si>
    <t>561</t>
  </si>
  <si>
    <t>562</t>
  </si>
  <si>
    <t>563</t>
  </si>
  <si>
    <t>564</t>
  </si>
  <si>
    <t>565</t>
  </si>
  <si>
    <t>566</t>
  </si>
  <si>
    <t>567</t>
  </si>
  <si>
    <t>568</t>
  </si>
  <si>
    <t>569</t>
  </si>
  <si>
    <t>570</t>
  </si>
  <si>
    <t>3,88</t>
  </si>
  <si>
    <t>571</t>
  </si>
  <si>
    <t>572</t>
  </si>
  <si>
    <t>573</t>
  </si>
  <si>
    <t>574</t>
  </si>
  <si>
    <t>575</t>
  </si>
  <si>
    <t>576</t>
  </si>
  <si>
    <t>577</t>
  </si>
  <si>
    <t>578</t>
  </si>
  <si>
    <t>2,15</t>
  </si>
  <si>
    <t>579</t>
  </si>
  <si>
    <t>580</t>
  </si>
  <si>
    <t>581</t>
  </si>
  <si>
    <t>3,78</t>
  </si>
  <si>
    <t>582</t>
  </si>
  <si>
    <t>583</t>
  </si>
  <si>
    <t>3,87</t>
  </si>
  <si>
    <t>584</t>
  </si>
  <si>
    <t>585</t>
  </si>
  <si>
    <t>586</t>
  </si>
  <si>
    <t>587</t>
  </si>
  <si>
    <t>588</t>
  </si>
  <si>
    <t>589</t>
  </si>
  <si>
    <t>590</t>
  </si>
  <si>
    <t>591</t>
  </si>
  <si>
    <t>592</t>
  </si>
  <si>
    <t>593</t>
  </si>
  <si>
    <t>594</t>
  </si>
  <si>
    <t>595</t>
  </si>
  <si>
    <t>3,85</t>
  </si>
  <si>
    <t>596</t>
  </si>
  <si>
    <t>597</t>
  </si>
  <si>
    <t>598</t>
  </si>
  <si>
    <t>599</t>
  </si>
  <si>
    <t>600</t>
  </si>
  <si>
    <t>601</t>
  </si>
  <si>
    <t>602</t>
  </si>
  <si>
    <t>603</t>
  </si>
  <si>
    <t>604</t>
  </si>
  <si>
    <t>605</t>
  </si>
  <si>
    <t>606</t>
  </si>
  <si>
    <t>607</t>
  </si>
  <si>
    <t>608</t>
  </si>
  <si>
    <t>609</t>
  </si>
  <si>
    <t>2,29</t>
  </si>
  <si>
    <t>610</t>
  </si>
  <si>
    <t>611</t>
  </si>
  <si>
    <t>612</t>
  </si>
  <si>
    <t>613</t>
  </si>
  <si>
    <t>614</t>
  </si>
  <si>
    <t>615</t>
  </si>
  <si>
    <t>616</t>
  </si>
  <si>
    <t>617</t>
  </si>
  <si>
    <t>618</t>
  </si>
  <si>
    <t>619</t>
  </si>
  <si>
    <t>620</t>
  </si>
  <si>
    <t>621</t>
  </si>
  <si>
    <t>622</t>
  </si>
  <si>
    <t>623</t>
  </si>
  <si>
    <t>624</t>
  </si>
  <si>
    <t>625</t>
  </si>
  <si>
    <t>626</t>
  </si>
  <si>
    <t>627</t>
  </si>
  <si>
    <t>628</t>
  </si>
  <si>
    <t>629</t>
  </si>
  <si>
    <t>630</t>
  </si>
  <si>
    <t>3,84</t>
  </si>
  <si>
    <t>631</t>
  </si>
  <si>
    <t>2,16</t>
  </si>
  <si>
    <t>632</t>
  </si>
  <si>
    <t>3,93</t>
  </si>
  <si>
    <t>633</t>
  </si>
  <si>
    <t>634</t>
  </si>
  <si>
    <t>635</t>
  </si>
  <si>
    <t>3,8</t>
  </si>
  <si>
    <t>636</t>
  </si>
  <si>
    <t>637</t>
  </si>
  <si>
    <t>638</t>
  </si>
  <si>
    <t>639</t>
  </si>
  <si>
    <t>640</t>
  </si>
  <si>
    <t>641</t>
  </si>
  <si>
    <t>642</t>
  </si>
  <si>
    <t>643</t>
  </si>
  <si>
    <t>644</t>
  </si>
  <si>
    <t>645</t>
  </si>
  <si>
    <t>646</t>
  </si>
  <si>
    <t>647</t>
  </si>
  <si>
    <t>648</t>
  </si>
  <si>
    <t>649</t>
  </si>
  <si>
    <t>650</t>
  </si>
  <si>
    <t>651</t>
  </si>
  <si>
    <t>652</t>
  </si>
  <si>
    <t>653</t>
  </si>
  <si>
    <t>654</t>
  </si>
  <si>
    <t>655</t>
  </si>
  <si>
    <t>656</t>
  </si>
  <si>
    <t>657</t>
  </si>
  <si>
    <t>658</t>
  </si>
  <si>
    <t>659</t>
  </si>
  <si>
    <t>2,52</t>
  </si>
  <si>
    <t>660</t>
  </si>
  <si>
    <t>661</t>
  </si>
  <si>
    <t>662</t>
  </si>
  <si>
    <t>2,8</t>
  </si>
  <si>
    <t>663</t>
  </si>
  <si>
    <t>664</t>
  </si>
  <si>
    <t>665</t>
  </si>
  <si>
    <t>2,9</t>
  </si>
  <si>
    <t>666</t>
  </si>
  <si>
    <t>667</t>
  </si>
  <si>
    <t>668</t>
  </si>
  <si>
    <t>669</t>
  </si>
  <si>
    <t>2,17</t>
  </si>
  <si>
    <t>670</t>
  </si>
  <si>
    <t>3,77</t>
  </si>
  <si>
    <t>671</t>
  </si>
  <si>
    <t>3,76</t>
  </si>
  <si>
    <t>672</t>
  </si>
  <si>
    <t>673</t>
  </si>
  <si>
    <t>3,89</t>
  </si>
  <si>
    <t>674</t>
  </si>
  <si>
    <t>675</t>
  </si>
  <si>
    <t>676</t>
  </si>
  <si>
    <t>677</t>
  </si>
  <si>
    <t>678</t>
  </si>
  <si>
    <t>679</t>
  </si>
  <si>
    <t>680</t>
  </si>
  <si>
    <t>3,98</t>
  </si>
  <si>
    <t>681</t>
  </si>
  <si>
    <t>682</t>
  </si>
  <si>
    <t>683</t>
  </si>
  <si>
    <t>684</t>
  </si>
  <si>
    <t>2,07</t>
  </si>
  <si>
    <t>685</t>
  </si>
  <si>
    <t>686</t>
  </si>
  <si>
    <t>687</t>
  </si>
  <si>
    <t>688</t>
  </si>
  <si>
    <t>689</t>
  </si>
  <si>
    <t>690</t>
  </si>
  <si>
    <t>691</t>
  </si>
  <si>
    <t>692</t>
  </si>
  <si>
    <t>693</t>
  </si>
  <si>
    <t>694</t>
  </si>
  <si>
    <t>695</t>
  </si>
  <si>
    <t>696</t>
  </si>
  <si>
    <t>2,83</t>
  </si>
  <si>
    <t>697</t>
  </si>
  <si>
    <t>2,79</t>
  </si>
  <si>
    <t>698</t>
  </si>
  <si>
    <t>699</t>
  </si>
  <si>
    <t>2,94</t>
  </si>
  <si>
    <t>700</t>
  </si>
  <si>
    <t>2,89</t>
  </si>
  <si>
    <t>701</t>
  </si>
  <si>
    <t>702</t>
  </si>
  <si>
    <t>2,61</t>
  </si>
  <si>
    <t>703</t>
  </si>
  <si>
    <t>2,73</t>
  </si>
  <si>
    <t>704</t>
  </si>
  <si>
    <t>705</t>
  </si>
  <si>
    <t>706</t>
  </si>
  <si>
    <t>707</t>
  </si>
  <si>
    <t>708</t>
  </si>
  <si>
    <t>709</t>
  </si>
  <si>
    <t>710</t>
  </si>
  <si>
    <t>711</t>
  </si>
  <si>
    <t>712</t>
  </si>
  <si>
    <t>713</t>
  </si>
  <si>
    <t>714</t>
  </si>
  <si>
    <t>715</t>
  </si>
  <si>
    <t>716</t>
  </si>
  <si>
    <t>717</t>
  </si>
  <si>
    <t>718</t>
  </si>
  <si>
    <t>2,08</t>
  </si>
  <si>
    <t>719</t>
  </si>
  <si>
    <t>2,03</t>
  </si>
  <si>
    <t>720</t>
  </si>
  <si>
    <t>721</t>
  </si>
  <si>
    <t>722</t>
  </si>
  <si>
    <t>723</t>
  </si>
  <si>
    <t>724</t>
  </si>
  <si>
    <t>725</t>
  </si>
  <si>
    <t>726</t>
  </si>
  <si>
    <t>727</t>
  </si>
  <si>
    <t>728</t>
  </si>
  <si>
    <t>729</t>
  </si>
  <si>
    <t>730</t>
  </si>
  <si>
    <t>731</t>
  </si>
  <si>
    <t>2,51</t>
  </si>
  <si>
    <t>732</t>
  </si>
  <si>
    <t>733</t>
  </si>
  <si>
    <t>734</t>
  </si>
  <si>
    <t>735</t>
  </si>
  <si>
    <t>736</t>
  </si>
  <si>
    <t>737</t>
  </si>
  <si>
    <t>2,78</t>
  </si>
  <si>
    <t>738</t>
  </si>
  <si>
    <t>739</t>
  </si>
  <si>
    <t>740</t>
  </si>
  <si>
    <t>2,62</t>
  </si>
  <si>
    <t>741</t>
  </si>
  <si>
    <t>742</t>
  </si>
  <si>
    <t>743</t>
  </si>
  <si>
    <t>2,71</t>
  </si>
  <si>
    <t>744</t>
  </si>
  <si>
    <t>745</t>
  </si>
  <si>
    <t>746</t>
  </si>
  <si>
    <t>747</t>
  </si>
  <si>
    <t>748</t>
  </si>
  <si>
    <t>749</t>
  </si>
  <si>
    <t>750</t>
  </si>
  <si>
    <t>751</t>
  </si>
  <si>
    <t>752</t>
  </si>
  <si>
    <t>753</t>
  </si>
  <si>
    <t>2,12</t>
  </si>
  <si>
    <t>754</t>
  </si>
  <si>
    <t>3,9</t>
  </si>
  <si>
    <t>755</t>
  </si>
  <si>
    <t>756</t>
  </si>
  <si>
    <t>2,13</t>
  </si>
  <si>
    <t>757</t>
  </si>
  <si>
    <t>758</t>
  </si>
  <si>
    <t>759</t>
  </si>
  <si>
    <t>760</t>
  </si>
  <si>
    <t>761</t>
  </si>
  <si>
    <t>2,1</t>
  </si>
  <si>
    <t>762</t>
  </si>
  <si>
    <t>2,54</t>
  </si>
  <si>
    <t>763</t>
  </si>
  <si>
    <t>764</t>
  </si>
  <si>
    <t>765</t>
  </si>
  <si>
    <t>766</t>
  </si>
  <si>
    <t>2,57</t>
  </si>
  <si>
    <t>767</t>
  </si>
  <si>
    <t>768</t>
  </si>
  <si>
    <t>769</t>
  </si>
  <si>
    <t>2,28</t>
  </si>
  <si>
    <t>770</t>
  </si>
  <si>
    <t>771</t>
  </si>
  <si>
    <t>2,88</t>
  </si>
  <si>
    <t>772</t>
  </si>
  <si>
    <t>773</t>
  </si>
  <si>
    <t>774</t>
  </si>
  <si>
    <t>775</t>
  </si>
  <si>
    <t>776</t>
  </si>
  <si>
    <t>777</t>
  </si>
  <si>
    <t>2,72</t>
  </si>
  <si>
    <t>778</t>
  </si>
  <si>
    <t>2,68</t>
  </si>
  <si>
    <t>779</t>
  </si>
  <si>
    <t>780</t>
  </si>
  <si>
    <t>781</t>
  </si>
  <si>
    <t>782</t>
  </si>
  <si>
    <t>783</t>
  </si>
  <si>
    <t>784</t>
  </si>
  <si>
    <t>785</t>
  </si>
  <si>
    <t>786</t>
  </si>
  <si>
    <t>787</t>
  </si>
  <si>
    <t>788</t>
  </si>
  <si>
    <t>789</t>
  </si>
  <si>
    <t>790</t>
  </si>
  <si>
    <t>791</t>
  </si>
  <si>
    <t>792</t>
  </si>
  <si>
    <t>793</t>
  </si>
  <si>
    <t>2,02</t>
  </si>
  <si>
    <t>794</t>
  </si>
  <si>
    <t>795</t>
  </si>
  <si>
    <t>796</t>
  </si>
  <si>
    <t>797</t>
  </si>
  <si>
    <t>798</t>
  </si>
  <si>
    <t>799</t>
  </si>
  <si>
    <t>800</t>
  </si>
  <si>
    <t>801</t>
  </si>
  <si>
    <t>802</t>
  </si>
  <si>
    <t>803</t>
  </si>
  <si>
    <t>804</t>
  </si>
  <si>
    <t>805</t>
  </si>
  <si>
    <t>806</t>
  </si>
  <si>
    <t>2,75</t>
  </si>
  <si>
    <t>807</t>
  </si>
  <si>
    <t>2,81</t>
  </si>
  <si>
    <t>808</t>
  </si>
  <si>
    <t>809</t>
  </si>
  <si>
    <t>810</t>
  </si>
  <si>
    <t>811</t>
  </si>
  <si>
    <t>812</t>
  </si>
  <si>
    <t>2,23</t>
  </si>
  <si>
    <t>813</t>
  </si>
  <si>
    <t>2,65</t>
  </si>
  <si>
    <t>814</t>
  </si>
  <si>
    <t>815</t>
  </si>
  <si>
    <t>816</t>
  </si>
  <si>
    <t>817</t>
  </si>
  <si>
    <t>818</t>
  </si>
  <si>
    <t>819</t>
  </si>
  <si>
    <t>820</t>
  </si>
  <si>
    <t>2,96</t>
  </si>
  <si>
    <t>821</t>
  </si>
  <si>
    <t>822</t>
  </si>
  <si>
    <t>823</t>
  </si>
  <si>
    <t>824</t>
  </si>
  <si>
    <t>825</t>
  </si>
  <si>
    <t>826</t>
  </si>
  <si>
    <t>3,94</t>
  </si>
  <si>
    <t>827</t>
  </si>
  <si>
    <t>828</t>
  </si>
  <si>
    <t>2,01</t>
  </si>
  <si>
    <t>829</t>
  </si>
  <si>
    <t>830</t>
  </si>
  <si>
    <t>831</t>
  </si>
  <si>
    <t>832</t>
  </si>
  <si>
    <t>833</t>
  </si>
  <si>
    <t>834</t>
  </si>
  <si>
    <t>835</t>
  </si>
  <si>
    <t>836</t>
  </si>
  <si>
    <t>837</t>
  </si>
  <si>
    <t>838</t>
  </si>
  <si>
    <t>839</t>
  </si>
  <si>
    <t>840</t>
  </si>
  <si>
    <t>2,84</t>
  </si>
  <si>
    <t>841</t>
  </si>
  <si>
    <t>842</t>
  </si>
  <si>
    <t>843</t>
  </si>
  <si>
    <t>844</t>
  </si>
  <si>
    <t>845</t>
  </si>
  <si>
    <t>846</t>
  </si>
  <si>
    <t>2,59</t>
  </si>
  <si>
    <t>847</t>
  </si>
  <si>
    <t>848</t>
  </si>
  <si>
    <t>849</t>
  </si>
  <si>
    <t>850</t>
  </si>
  <si>
    <t>851</t>
  </si>
  <si>
    <t>852</t>
  </si>
  <si>
    <t>853</t>
  </si>
  <si>
    <t>854</t>
  </si>
  <si>
    <t>855</t>
  </si>
  <si>
    <t>856</t>
  </si>
  <si>
    <t>857</t>
  </si>
  <si>
    <t>2,56</t>
  </si>
  <si>
    <t>858</t>
  </si>
  <si>
    <t>859</t>
  </si>
  <si>
    <t>3,99</t>
  </si>
  <si>
    <t>860</t>
  </si>
  <si>
    <t>3,86</t>
  </si>
  <si>
    <t>861</t>
  </si>
  <si>
    <t>862</t>
  </si>
  <si>
    <t>863</t>
  </si>
  <si>
    <t>864</t>
  </si>
  <si>
    <t>865</t>
  </si>
  <si>
    <t>866</t>
  </si>
  <si>
    <t>867</t>
  </si>
  <si>
    <t>868</t>
  </si>
  <si>
    <t>869</t>
  </si>
  <si>
    <t>2,55</t>
  </si>
  <si>
    <t>870</t>
  </si>
  <si>
    <t>871</t>
  </si>
  <si>
    <t>872</t>
  </si>
  <si>
    <t>873</t>
  </si>
  <si>
    <t>874</t>
  </si>
  <si>
    <t>875</t>
  </si>
  <si>
    <t>876</t>
  </si>
  <si>
    <t>2,58</t>
  </si>
  <si>
    <t>877</t>
  </si>
  <si>
    <t>878</t>
  </si>
  <si>
    <t>879</t>
  </si>
  <si>
    <t>2,74</t>
  </si>
  <si>
    <t>880</t>
  </si>
  <si>
    <t>881</t>
  </si>
  <si>
    <t>2,87</t>
  </si>
  <si>
    <t>882</t>
  </si>
  <si>
    <t>2,64</t>
  </si>
  <si>
    <t>883</t>
  </si>
  <si>
    <t>884</t>
  </si>
  <si>
    <t>2,69</t>
  </si>
  <si>
    <t>885</t>
  </si>
  <si>
    <t>886</t>
  </si>
  <si>
    <t>887</t>
  </si>
  <si>
    <t>888</t>
  </si>
  <si>
    <t>889</t>
  </si>
  <si>
    <t>890</t>
  </si>
  <si>
    <t>891</t>
  </si>
  <si>
    <t>2,97</t>
  </si>
  <si>
    <t>892</t>
  </si>
  <si>
    <t>2,98</t>
  </si>
  <si>
    <t>893</t>
  </si>
  <si>
    <t>894</t>
  </si>
  <si>
    <t>895</t>
  </si>
  <si>
    <t>896</t>
  </si>
  <si>
    <t>897</t>
  </si>
  <si>
    <t>898</t>
  </si>
  <si>
    <t>899</t>
  </si>
  <si>
    <t>900</t>
  </si>
  <si>
    <t>901</t>
  </si>
  <si>
    <t>902</t>
  </si>
  <si>
    <t>903</t>
  </si>
  <si>
    <t>904</t>
  </si>
  <si>
    <t>905</t>
  </si>
  <si>
    <t>906</t>
  </si>
  <si>
    <t>907</t>
  </si>
  <si>
    <t>908</t>
  </si>
  <si>
    <t>909</t>
  </si>
  <si>
    <t>910</t>
  </si>
  <si>
    <t>911</t>
  </si>
  <si>
    <t>912</t>
  </si>
  <si>
    <t>913</t>
  </si>
  <si>
    <t>2,82</t>
  </si>
  <si>
    <t>914</t>
  </si>
  <si>
    <t>915</t>
  </si>
  <si>
    <t>2,93</t>
  </si>
  <si>
    <t>916</t>
  </si>
  <si>
    <t>917</t>
  </si>
  <si>
    <t>2,63</t>
  </si>
  <si>
    <t>918</t>
  </si>
  <si>
    <t>2,11</t>
  </si>
  <si>
    <t>919</t>
  </si>
  <si>
    <t>920</t>
  </si>
  <si>
    <t>921</t>
  </si>
  <si>
    <t>922</t>
  </si>
  <si>
    <t>923</t>
  </si>
  <si>
    <t>924</t>
  </si>
  <si>
    <t>3,97</t>
  </si>
  <si>
    <t>925</t>
  </si>
  <si>
    <t>926</t>
  </si>
  <si>
    <t>927</t>
  </si>
  <si>
    <t>928</t>
  </si>
  <si>
    <t>2,09</t>
  </si>
  <si>
    <t>929</t>
  </si>
  <si>
    <t>930</t>
  </si>
  <si>
    <t>931</t>
  </si>
  <si>
    <t>932</t>
  </si>
  <si>
    <t>933</t>
  </si>
  <si>
    <t>934</t>
  </si>
  <si>
    <t>935</t>
  </si>
  <si>
    <t>936</t>
  </si>
  <si>
    <t>937</t>
  </si>
  <si>
    <t>938</t>
  </si>
  <si>
    <t>939</t>
  </si>
  <si>
    <t>940</t>
  </si>
  <si>
    <t>941</t>
  </si>
  <si>
    <t>942</t>
  </si>
  <si>
    <t>943</t>
  </si>
  <si>
    <t>944</t>
  </si>
  <si>
    <t>945</t>
  </si>
  <si>
    <t>946</t>
  </si>
  <si>
    <t>947</t>
  </si>
  <si>
    <t>948</t>
  </si>
  <si>
    <t>949</t>
  </si>
  <si>
    <t>950</t>
  </si>
  <si>
    <t>951</t>
  </si>
  <si>
    <t>952</t>
  </si>
  <si>
    <t>953</t>
  </si>
  <si>
    <t>954</t>
  </si>
  <si>
    <t>955</t>
  </si>
  <si>
    <t>956</t>
  </si>
  <si>
    <t>957</t>
  </si>
  <si>
    <t>958</t>
  </si>
  <si>
    <t>959</t>
  </si>
  <si>
    <t>960</t>
  </si>
  <si>
    <t>961</t>
  </si>
  <si>
    <t>962</t>
  </si>
  <si>
    <t>2,66</t>
  </si>
  <si>
    <t>963</t>
  </si>
  <si>
    <t>964</t>
  </si>
  <si>
    <t>965</t>
  </si>
  <si>
    <t>966</t>
  </si>
  <si>
    <t>967</t>
  </si>
  <si>
    <t>968</t>
  </si>
  <si>
    <t>2,92</t>
  </si>
  <si>
    <t>969</t>
  </si>
  <si>
    <t>970</t>
  </si>
  <si>
    <t>971</t>
  </si>
  <si>
    <t>972</t>
  </si>
  <si>
    <t>973</t>
  </si>
  <si>
    <t>974</t>
  </si>
  <si>
    <t>975</t>
  </si>
  <si>
    <t>2,06</t>
  </si>
  <si>
    <t>976</t>
  </si>
  <si>
    <t>977</t>
  </si>
  <si>
    <t>978</t>
  </si>
  <si>
    <t>3,95</t>
  </si>
  <si>
    <t>979</t>
  </si>
  <si>
    <t>980</t>
  </si>
  <si>
    <t>981</t>
  </si>
  <si>
    <t>982</t>
  </si>
  <si>
    <t>983</t>
  </si>
  <si>
    <t>984</t>
  </si>
  <si>
    <t>985</t>
  </si>
  <si>
    <t>986</t>
  </si>
  <si>
    <t>2,53</t>
  </si>
  <si>
    <t>987</t>
  </si>
  <si>
    <t>988</t>
  </si>
  <si>
    <t>989</t>
  </si>
  <si>
    <t>990</t>
  </si>
  <si>
    <t>991</t>
  </si>
  <si>
    <t>992</t>
  </si>
  <si>
    <t>993</t>
  </si>
  <si>
    <t>994</t>
  </si>
  <si>
    <t>995</t>
  </si>
  <si>
    <t>996</t>
  </si>
  <si>
    <t>997</t>
  </si>
  <si>
    <t>998</t>
  </si>
  <si>
    <t>999</t>
  </si>
  <si>
    <t>1000</t>
  </si>
  <si>
    <t>1; 2</t>
  </si>
  <si>
    <t>3,91</t>
  </si>
  <si>
    <t>3,92</t>
  </si>
  <si>
    <t>3,96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</si>
</sst>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4" x14ac:knownFonts="1">
    <font>
      <sz val="11"/>
      <color theme="1"/>
      <name val="Calibri"/>
      <family val="2"/>
      <charset val="204"/>
      <scheme val="minor"/>
    </font>
    <font>
      <b/>
      <sz val="11"/>
      <color theme="1"/>
      <name val="Calibri"/>
      <family val="2"/>
      <charset val="204"/>
      <scheme val="minor"/>
    </font>
    <font>
      <sz val="10"/>
      <name val="Arial Cyr"/>
      <charset val="204"/>
    </font>
    <font>
      <u/>
      <sz val="11"/>
      <color theme="10"/>
      <name val="Calibri"/>
      <family val="2"/>
      <charset val="204"/>
      <scheme val="minor"/>
    </font>
    <font>
      <b/>
      <u/>
      <sz val="14"/>
      <color theme="10"/>
      <name val="Calibri"/>
      <family val="2"/>
      <charset val="204"/>
      <scheme val="minor"/>
    </font>
    <font>
      <b/>
      <u/>
      <sz val="13"/>
      <color theme="10"/>
      <name val="Calibri"/>
      <family val="2"/>
      <charset val="204"/>
      <scheme val="minor"/>
    </font>
    <font>
      <sz val="11"/>
      <color theme="1"/>
      <name val="Cambria"/>
      <family val="1"/>
      <charset val="204"/>
    </font>
    <font>
      <sz val="18"/>
      <color theme="1"/>
      <name val="KGDEKONFONT"/>
    </font>
    <font>
      <sz val="11"/>
      <color theme="1"/>
      <name val="Times New Roman"/>
      <family val="1"/>
      <charset val="204"/>
    </font>
    <font>
      <sz val="8"/>
      <color theme="1"/>
      <name val="Calibri"/>
      <family val="2"/>
      <charset val="204"/>
      <scheme val="minor"/>
    </font>
    <font>
      <b/>
      <u/>
      <sz val="11"/>
      <color rgb="FFC00000"/>
      <name val="Calibri"/>
      <family val="2"/>
      <charset val="204"/>
      <scheme val="minor"/>
    </font>
    <font>
      <b/>
      <i/>
      <sz val="11"/>
      <color theme="1"/>
      <name val="Calibri"/>
      <family val="2"/>
      <charset val="204"/>
      <scheme val="minor"/>
    </font>
    <font>
      <i/>
      <sz val="11"/>
      <color theme="1"/>
      <name val="Calibri"/>
      <family val="2"/>
      <charset val="204"/>
      <scheme val="minor"/>
    </font>
    <font>
      <b/>
      <i/>
      <sz val="11"/>
      <color theme="0"/>
      <name val="Calibri"/>
      <family val="2"/>
      <charset val="204"/>
      <scheme val="minor"/>
    </font>
    <font>
      <sz val="11"/>
      <color theme="0"/>
      <name val="Calibri"/>
      <family val="2"/>
      <charset val="204"/>
      <scheme val="minor"/>
    </font>
    <font>
      <sz val="11"/>
      <color theme="9" tint="0.79998168889431442"/>
      <name val="Calibri"/>
      <family val="2"/>
      <charset val="204"/>
      <scheme val="minor"/>
    </font>
    <font>
      <sz val="11"/>
      <color rgb="FFFFCCCC"/>
      <name val="Calibri"/>
      <family val="2"/>
      <charset val="204"/>
      <scheme val="minor"/>
    </font>
    <font>
      <b/>
      <sz val="10"/>
      <color theme="1"/>
      <name val="Calibri"/>
      <family val="2"/>
      <charset val="204"/>
      <scheme val="minor"/>
    </font>
    <font>
      <sz val="9"/>
      <color theme="1"/>
      <name val="Calibri"/>
      <family val="2"/>
      <charset val="204"/>
      <scheme val="minor"/>
    </font>
    <font>
      <sz val="9"/>
      <color theme="1"/>
      <name val="Cambria"/>
      <family val="1"/>
      <charset val="204"/>
    </font>
    <font>
      <sz val="11"/>
      <color theme="1"/>
      <name val="Calibri"/>
      <family val="2"/>
      <charset val="204"/>
      <scheme val="minor"/>
    </font>
    <font>
      <i/>
      <sz val="11"/>
      <color theme="1"/>
      <name val="Calibri"/>
      <family val="2"/>
      <charset val="204"/>
      <scheme val="minor"/>
    </font>
    <font>
      <b/>
      <sz val="11"/>
      <color theme="0"/>
      <name val="Calibri"/>
      <family val="2"/>
      <charset val="204"/>
      <scheme val="minor"/>
    </font>
    <font>
      <sz val="11"/>
      <color theme="1"/>
      <name val="Calibri"/>
      <family val="2"/>
      <charset val="204"/>
      <scheme val="minor"/>
    </font>
    <font>
      <b/>
      <sz val="9"/>
      <color indexed="81"/>
      <name val="Tahoma"/>
      <family val="2"/>
      <charset val="204"/>
    </font>
    <font>
      <sz val="9"/>
      <color indexed="81"/>
      <name val="Tahoma"/>
      <family val="2"/>
      <charset val="204"/>
    </font>
    <font>
      <b/>
      <sz val="11"/>
      <color rgb="FFFF0000"/>
      <name val="Calibri"/>
      <family val="2"/>
      <charset val="204"/>
      <scheme val="minor"/>
    </font>
    <font>
      <sz val="11"/>
      <color theme="2"/>
      <name val="Calibri"/>
      <family val="2"/>
      <charset val="204"/>
      <scheme val="minor"/>
    </font>
    <font>
      <sz val="48"/>
      <color theme="1"/>
      <name val="Calibri"/>
      <family val="2"/>
      <charset val="204"/>
      <scheme val="minor"/>
    </font>
    <font>
      <sz val="11"/>
      <color rgb="FFFF0000"/>
      <name val="Calibri"/>
      <family val="2"/>
      <charset val="204"/>
      <scheme val="minor"/>
    </font>
    <font>
      <sz val="11"/>
      <color rgb="FF9C5700"/>
      <name val="Calibri"/>
      <family val="2"/>
      <charset val="204"/>
      <scheme val="minor"/>
    </font>
    <font>
      <sz val="8"/>
      <name val="Calibri"/>
      <family val="2"/>
      <charset val="204"/>
      <scheme val="minor"/>
    </font>
    <font>
      <sz val="11"/>
      <color theme="1"/>
      <name val="Calibri"/>
      <family val="2"/>
      <charset val="204"/>
      <scheme val="minor"/>
    </font>
    <font>
      <sz val="10"/>
      <color theme="1"/>
      <name val="Calibri"/>
      <family val="2"/>
      <charset val="204"/>
      <scheme val="minor"/>
    </font>
  </fonts>
  <fills count="18">
    <fill>
      <patternFill patternType="none"/>
    </fill>
    <fill>
      <patternFill patternType="gray125"/>
    </fill>
    <fill>
      <patternFill patternType="solid">
        <fgColor rgb="FFFFFF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CCCC"/>
        <bgColor indexed="64"/>
      </patternFill>
    </fill>
    <fill>
      <patternFill patternType="solid">
        <fgColor theme="9" tint="0.59999389629810485"/>
        <bgColor indexed="64"/>
      </patternFill>
    </fill>
    <fill>
      <patternFill patternType="solid">
        <fgColor theme="0" tint="-0.14999847407452621"/>
        <bgColor theme="0" tint="-0.14999847407452621"/>
      </patternFill>
    </fill>
    <fill>
      <patternFill patternType="solid">
        <fgColor theme="7"/>
        <bgColor theme="7"/>
      </patternFill>
    </fill>
    <fill>
      <patternFill patternType="solid">
        <fgColor theme="0"/>
        <bgColor indexed="64"/>
      </patternFill>
    </fill>
    <fill>
      <patternFill patternType="solid">
        <fgColor theme="9"/>
        <bgColor theme="9"/>
      </patternFill>
    </fill>
    <fill>
      <patternFill patternType="solid">
        <fgColor theme="7"/>
        <bgColor indexed="64"/>
      </patternFill>
    </fill>
    <fill>
      <patternFill patternType="solid">
        <fgColor theme="2"/>
        <bgColor indexed="64"/>
      </patternFill>
    </fill>
    <fill>
      <patternFill patternType="solid">
        <fgColor rgb="FFC00000"/>
        <bgColor indexed="64"/>
      </patternFill>
    </fill>
    <fill>
      <patternFill patternType="solid">
        <fgColor rgb="FFFFEB9C"/>
      </patternFill>
    </fill>
    <fill>
      <patternFill patternType="solid">
        <fgColor rgb="FF0070C0"/>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right style="thin">
        <color indexed="64"/>
      </right>
      <top style="thin">
        <color indexed="64"/>
      </top>
      <bottom style="thin">
        <color indexed="64"/>
      </bottom>
      <diagonal/>
    </border>
    <border>
      <left/>
      <right style="thin">
        <color indexed="64"/>
      </right>
      <top/>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ck">
        <color indexed="64"/>
      </left>
      <right style="medium">
        <color indexed="64"/>
      </right>
      <top style="thin">
        <color indexed="64"/>
      </top>
      <bottom/>
      <diagonal/>
    </border>
    <border>
      <left style="thin">
        <color indexed="64"/>
      </left>
      <right style="thick">
        <color indexed="64"/>
      </right>
      <top style="thin">
        <color indexed="64"/>
      </top>
      <bottom style="thin">
        <color indexed="64"/>
      </bottom>
      <diagonal/>
    </border>
    <border>
      <left style="thick">
        <color indexed="64"/>
      </left>
      <right style="medium">
        <color indexed="64"/>
      </right>
      <top style="medium">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medium">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right/>
      <top/>
      <bottom style="thick">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style="thin">
        <color indexed="64"/>
      </top>
      <bottom style="thick">
        <color indexed="64"/>
      </bottom>
      <diagonal/>
    </border>
    <border>
      <left style="thin">
        <color indexed="64"/>
      </left>
      <right style="medium">
        <color indexed="64"/>
      </right>
      <top style="thin">
        <color indexed="64"/>
      </top>
      <bottom style="thick">
        <color indexed="64"/>
      </bottom>
      <diagonal/>
    </border>
    <border>
      <left/>
      <right/>
      <top style="medium">
        <color indexed="64"/>
      </top>
      <bottom/>
      <diagonal/>
    </border>
    <border>
      <left style="thick">
        <color indexed="64"/>
      </left>
      <right/>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theme="1"/>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right/>
      <top style="dotted">
        <color auto="1"/>
      </top>
      <bottom style="medium">
        <color auto="1"/>
      </bottom>
      <diagonal/>
    </border>
    <border>
      <left style="thick">
        <color auto="1"/>
      </left>
      <right style="dotted">
        <color auto="1"/>
      </right>
      <top style="thick">
        <color auto="1"/>
      </top>
      <bottom style="dotted">
        <color auto="1"/>
      </bottom>
      <diagonal/>
    </border>
    <border>
      <left/>
      <right/>
      <top style="thick">
        <color auto="1"/>
      </top>
      <bottom style="dotted">
        <color auto="1"/>
      </bottom>
      <diagonal/>
    </border>
    <border>
      <left style="dotted">
        <color auto="1"/>
      </left>
      <right style="thick">
        <color auto="1"/>
      </right>
      <top style="thick">
        <color auto="1"/>
      </top>
      <bottom style="dotted">
        <color auto="1"/>
      </bottom>
      <diagonal/>
    </border>
    <border>
      <left style="thick">
        <color auto="1"/>
      </left>
      <right style="dotted">
        <color auto="1"/>
      </right>
      <top style="dotted">
        <color auto="1"/>
      </top>
      <bottom style="medium">
        <color auto="1"/>
      </bottom>
      <diagonal/>
    </border>
    <border>
      <left style="dotted">
        <color auto="1"/>
      </left>
      <right style="thick">
        <color auto="1"/>
      </right>
      <top style="dotted">
        <color auto="1"/>
      </top>
      <bottom style="medium">
        <color auto="1"/>
      </bottom>
      <diagonal/>
    </border>
    <border>
      <left/>
      <right style="thick">
        <color auto="1"/>
      </right>
      <top/>
      <bottom/>
      <diagonal/>
    </border>
    <border>
      <left style="thick">
        <color auto="1"/>
      </left>
      <right/>
      <top/>
      <bottom style="thick">
        <color auto="1"/>
      </bottom>
      <diagonal/>
    </border>
    <border>
      <left/>
      <right style="thick">
        <color auto="1"/>
      </right>
      <top/>
      <bottom style="thick">
        <color auto="1"/>
      </bottom>
      <diagonal/>
    </border>
    <border>
      <left/>
      <right/>
      <top style="thick">
        <color indexed="64"/>
      </top>
      <bottom style="thick">
        <color indexed="64"/>
      </bottom>
      <diagonal/>
    </border>
    <border>
      <left style="thick">
        <color indexed="64"/>
      </left>
      <right style="medium">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ck">
        <color indexed="64"/>
      </right>
      <top/>
      <bottom style="thin">
        <color indexed="64"/>
      </bottom>
      <diagonal/>
    </border>
    <border>
      <left style="thick">
        <color indexed="64"/>
      </left>
      <right/>
      <top style="thick">
        <color indexed="64"/>
      </top>
      <bottom style="thick">
        <color indexed="64"/>
      </bottom>
      <diagonal/>
    </border>
    <border>
      <left/>
      <right style="thick">
        <color indexed="64"/>
      </right>
      <top style="thick">
        <color indexed="64"/>
      </top>
      <bottom style="thick">
        <color indexed="64"/>
      </bottom>
      <diagonal/>
    </border>
    <border>
      <left/>
      <right/>
      <top/>
      <bottom style="medium">
        <color theme="1"/>
      </bottom>
      <diagonal/>
    </border>
    <border>
      <left/>
      <right/>
      <top style="dotted">
        <color auto="1"/>
      </top>
      <bottom style="dotted">
        <color auto="1"/>
      </bottom>
      <diagonal/>
    </border>
    <border>
      <left style="dotted">
        <color auto="1"/>
      </left>
      <right style="dotted">
        <color auto="1"/>
      </right>
      <top style="dotted">
        <color auto="1"/>
      </top>
      <bottom style="dotted">
        <color auto="1"/>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top style="dotted">
        <color auto="1"/>
      </top>
      <bottom/>
      <diagonal/>
    </border>
    <border>
      <left style="dotted">
        <color auto="1"/>
      </left>
      <right style="dotted">
        <color auto="1"/>
      </right>
      <top style="dotted">
        <color auto="1"/>
      </top>
      <bottom/>
      <diagonal/>
    </border>
    <border>
      <left style="medium">
        <color indexed="64"/>
      </left>
      <right style="medium">
        <color indexed="64"/>
      </right>
      <top/>
      <bottom style="thin">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medium">
        <color indexed="64"/>
      </right>
      <top style="thick">
        <color indexed="64"/>
      </top>
      <bottom style="thin">
        <color indexed="64"/>
      </bottom>
      <diagonal/>
    </border>
  </borders>
  <cellStyleXfs count="4">
    <xf numFmtId="0" fontId="0" fillId="0" borderId="0"/>
    <xf numFmtId="0" fontId="2" fillId="0" borderId="0"/>
    <xf numFmtId="0" fontId="3" fillId="0" borderId="0" applyNumberFormat="0" applyFill="0" applyBorder="0" applyAlignment="0" applyProtection="0"/>
    <xf numFmtId="0" fontId="30" fillId="16" borderId="0" applyNumberFormat="0" applyBorder="0" applyAlignment="0" applyProtection="0"/>
  </cellStyleXfs>
  <cellXfs count="262">
    <xf numFmtId="0" fontId="0" fillId="0" borderId="0" xfId="0"/>
    <xf numFmtId="0" fontId="0" fillId="0" borderId="10" xfId="0" applyBorder="1"/>
    <xf numFmtId="0" fontId="0" fillId="0" borderId="0" xfId="0" applyAlignment="1">
      <alignment vertical="center"/>
    </xf>
    <xf numFmtId="0" fontId="1" fillId="0" borderId="0" xfId="0" applyFont="1"/>
    <xf numFmtId="0" fontId="5" fillId="0" borderId="0" xfId="2" applyFont="1"/>
    <xf numFmtId="0" fontId="0" fillId="0" borderId="0" xfId="0" applyAlignment="1">
      <alignment horizontal="center" vertical="center"/>
    </xf>
    <xf numFmtId="0" fontId="0" fillId="0" borderId="1" xfId="0" applyBorder="1" applyAlignment="1">
      <alignment horizontal="center" vertical="center"/>
    </xf>
    <xf numFmtId="0" fontId="0" fillId="0" borderId="1" xfId="0" applyBorder="1"/>
    <xf numFmtId="0" fontId="0" fillId="0" borderId="13" xfId="0" applyBorder="1"/>
    <xf numFmtId="0" fontId="0" fillId="0" borderId="14" xfId="0" applyBorder="1"/>
    <xf numFmtId="0" fontId="0" fillId="0" borderId="15" xfId="0" applyBorder="1"/>
    <xf numFmtId="0" fontId="0" fillId="0" borderId="9" xfId="0" applyBorder="1"/>
    <xf numFmtId="0" fontId="6" fillId="0" borderId="1" xfId="0" applyFont="1" applyBorder="1" applyAlignment="1">
      <alignment horizontal="justify" vertical="center" wrapText="1"/>
    </xf>
    <xf numFmtId="0" fontId="6" fillId="0" borderId="9" xfId="0" applyFont="1" applyBorder="1" applyAlignment="1">
      <alignment horizontal="justify" vertical="center" wrapText="1"/>
    </xf>
    <xf numFmtId="0" fontId="6" fillId="0" borderId="7" xfId="0" applyFont="1" applyBorder="1" applyAlignment="1">
      <alignment horizontal="justify" vertical="center" wrapText="1"/>
    </xf>
    <xf numFmtId="0" fontId="0" fillId="0" borderId="12" xfId="0" applyBorder="1" applyAlignment="1">
      <alignment horizontal="center" vertical="center"/>
    </xf>
    <xf numFmtId="0" fontId="0" fillId="2" borderId="0" xfId="0" applyFill="1" applyAlignment="1">
      <alignment horizontal="center" vertical="center"/>
    </xf>
    <xf numFmtId="0" fontId="0" fillId="2" borderId="12" xfId="0" applyFill="1" applyBorder="1" applyAlignment="1">
      <alignment horizontal="center" vertical="center"/>
    </xf>
    <xf numFmtId="0" fontId="0" fillId="2" borderId="1" xfId="0" applyFill="1" applyBorder="1" applyAlignment="1">
      <alignment horizontal="center" vertical="center"/>
    </xf>
    <xf numFmtId="0" fontId="0" fillId="2" borderId="14" xfId="0" applyFill="1" applyBorder="1" applyAlignment="1">
      <alignment horizontal="center" vertical="center"/>
    </xf>
    <xf numFmtId="0" fontId="0" fillId="3" borderId="0" xfId="0" applyFill="1" applyAlignment="1">
      <alignment horizontal="center" vertical="center"/>
    </xf>
    <xf numFmtId="0" fontId="0" fillId="3" borderId="12" xfId="0" applyFill="1" applyBorder="1" applyAlignment="1">
      <alignment horizontal="center" vertical="center"/>
    </xf>
    <xf numFmtId="0" fontId="0" fillId="3" borderId="1" xfId="0" applyFill="1" applyBorder="1" applyAlignment="1">
      <alignment horizontal="center" vertical="center"/>
    </xf>
    <xf numFmtId="0" fontId="0" fillId="3" borderId="14" xfId="0" applyFill="1" applyBorder="1" applyAlignment="1">
      <alignment horizontal="center" vertical="center"/>
    </xf>
    <xf numFmtId="0" fontId="0" fillId="4" borderId="0" xfId="0" applyFill="1" applyAlignment="1">
      <alignment horizontal="center" vertical="center"/>
    </xf>
    <xf numFmtId="0" fontId="0" fillId="4" borderId="12" xfId="0" applyFill="1" applyBorder="1" applyAlignment="1">
      <alignment horizontal="center" vertical="center"/>
    </xf>
    <xf numFmtId="0" fontId="0" fillId="4" borderId="1" xfId="0" applyFill="1" applyBorder="1" applyAlignment="1">
      <alignment horizontal="center" vertical="center"/>
    </xf>
    <xf numFmtId="0" fontId="0" fillId="4" borderId="14" xfId="0" applyFill="1" applyBorder="1" applyAlignment="1">
      <alignment horizontal="center" vertical="center"/>
    </xf>
    <xf numFmtId="0" fontId="0" fillId="5" borderId="0" xfId="0" applyFill="1" applyAlignment="1">
      <alignment horizontal="center" vertical="center"/>
    </xf>
    <xf numFmtId="0" fontId="0" fillId="5" borderId="12" xfId="0" applyFill="1" applyBorder="1" applyAlignment="1">
      <alignment horizontal="center" vertical="center"/>
    </xf>
    <xf numFmtId="0" fontId="0" fillId="5" borderId="1" xfId="0" applyFill="1" applyBorder="1" applyAlignment="1">
      <alignment horizontal="center" vertical="center"/>
    </xf>
    <xf numFmtId="0" fontId="0" fillId="5" borderId="14" xfId="0" applyFill="1" applyBorder="1" applyAlignment="1">
      <alignment horizontal="center" vertical="center"/>
    </xf>
    <xf numFmtId="0" fontId="0" fillId="6" borderId="0" xfId="0" applyFill="1" applyAlignment="1">
      <alignment horizontal="center" vertical="center"/>
    </xf>
    <xf numFmtId="0" fontId="0" fillId="6" borderId="12" xfId="0" applyFill="1" applyBorder="1" applyAlignment="1">
      <alignment horizontal="center" vertical="center"/>
    </xf>
    <xf numFmtId="0" fontId="0" fillId="6" borderId="1" xfId="0" applyFill="1" applyBorder="1" applyAlignment="1">
      <alignment horizontal="center" vertical="center"/>
    </xf>
    <xf numFmtId="0" fontId="0" fillId="6" borderId="14" xfId="0" applyFill="1" applyBorder="1" applyAlignment="1">
      <alignment horizontal="center" vertical="center"/>
    </xf>
    <xf numFmtId="0" fontId="6" fillId="0" borderId="0" xfId="0" applyFont="1" applyAlignment="1">
      <alignment horizontal="justify" vertical="center" wrapText="1"/>
    </xf>
    <xf numFmtId="2" fontId="0" fillId="0" borderId="0" xfId="0" applyNumberFormat="1"/>
    <xf numFmtId="0" fontId="0" fillId="0" borderId="0" xfId="0" applyAlignment="1">
      <alignment shrinkToFit="1"/>
    </xf>
    <xf numFmtId="0" fontId="0" fillId="0" borderId="0" xfId="0" applyProtection="1">
      <protection locked="0"/>
    </xf>
    <xf numFmtId="0" fontId="0" fillId="0" borderId="34" xfId="0" applyBorder="1" applyAlignment="1" applyProtection="1">
      <alignment horizontal="center"/>
      <protection locked="0"/>
    </xf>
    <xf numFmtId="0" fontId="0" fillId="0" borderId="0" xfId="0" applyAlignment="1" applyProtection="1">
      <alignment horizontal="center"/>
      <protection locked="0"/>
    </xf>
    <xf numFmtId="0" fontId="0" fillId="0" borderId="35" xfId="0" applyBorder="1" applyAlignment="1" applyProtection="1">
      <alignment horizontal="center"/>
      <protection locked="0"/>
    </xf>
    <xf numFmtId="0" fontId="0" fillId="0" borderId="34" xfId="0" applyBorder="1" applyProtection="1">
      <protection locked="0"/>
    </xf>
    <xf numFmtId="0" fontId="0" fillId="0" borderId="29" xfId="0" applyBorder="1" applyProtection="1">
      <protection locked="0"/>
    </xf>
    <xf numFmtId="0" fontId="0" fillId="0" borderId="35" xfId="0" applyBorder="1" applyProtection="1">
      <protection locked="0"/>
    </xf>
    <xf numFmtId="4" fontId="0" fillId="4" borderId="16" xfId="0" applyNumberFormat="1" applyFill="1" applyBorder="1" applyAlignment="1" applyProtection="1">
      <alignment horizontal="center" vertical="center"/>
      <protection locked="0"/>
    </xf>
    <xf numFmtId="0" fontId="0" fillId="4" borderId="11" xfId="0" applyFill="1" applyBorder="1" applyAlignment="1" applyProtection="1">
      <alignment horizontal="center" vertical="center"/>
      <protection locked="0"/>
    </xf>
    <xf numFmtId="0" fontId="0" fillId="4" borderId="1" xfId="0" applyFill="1" applyBorder="1" applyAlignment="1" applyProtection="1">
      <alignment horizontal="center" vertical="center"/>
      <protection locked="0"/>
    </xf>
    <xf numFmtId="0" fontId="0" fillId="4" borderId="7" xfId="0" applyFill="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1" xfId="0" applyFont="1" applyBorder="1" applyAlignment="1" applyProtection="1">
      <alignment horizontal="center" vertical="center"/>
      <protection locked="0"/>
    </xf>
    <xf numFmtId="0" fontId="7" fillId="0" borderId="17" xfId="0" applyFont="1" applyBorder="1" applyAlignment="1" applyProtection="1">
      <alignment horizontal="center" vertical="center"/>
      <protection locked="0"/>
    </xf>
    <xf numFmtId="4" fontId="0" fillId="7" borderId="18" xfId="0" applyNumberFormat="1" applyFill="1" applyBorder="1" applyAlignment="1" applyProtection="1">
      <alignment horizontal="center" vertical="center"/>
      <protection locked="0"/>
    </xf>
    <xf numFmtId="0" fontId="0" fillId="4" borderId="19" xfId="0" applyFill="1" applyBorder="1" applyAlignment="1" applyProtection="1">
      <alignment horizontal="center" vertical="center"/>
      <protection locked="0"/>
    </xf>
    <xf numFmtId="0" fontId="0" fillId="4" borderId="20" xfId="0" applyFill="1" applyBorder="1" applyAlignment="1" applyProtection="1">
      <alignment horizontal="center" vertical="center"/>
      <protection locked="0"/>
    </xf>
    <xf numFmtId="0" fontId="0" fillId="4" borderId="21" xfId="0" applyFill="1" applyBorder="1" applyAlignment="1" applyProtection="1">
      <alignment horizontal="center" vertical="center"/>
      <protection locked="0"/>
    </xf>
    <xf numFmtId="0" fontId="7" fillId="0" borderId="22" xfId="0" applyFont="1" applyBorder="1" applyAlignment="1" applyProtection="1">
      <alignment horizontal="center" vertical="center"/>
      <protection locked="0"/>
    </xf>
    <xf numFmtId="0" fontId="7" fillId="0" borderId="20" xfId="0" applyFont="1" applyBorder="1" applyAlignment="1" applyProtection="1">
      <alignment horizontal="center" vertical="center"/>
      <protection locked="0"/>
    </xf>
    <xf numFmtId="0" fontId="7" fillId="0" borderId="23" xfId="0" applyFont="1" applyBorder="1" applyAlignment="1" applyProtection="1">
      <alignment horizontal="center" vertical="center"/>
      <protection locked="0"/>
    </xf>
    <xf numFmtId="0" fontId="8" fillId="0" borderId="10" xfId="0" applyFont="1" applyBorder="1" applyProtection="1">
      <protection locked="0"/>
    </xf>
    <xf numFmtId="0" fontId="8" fillId="0" borderId="10" xfId="0" applyFont="1" applyBorder="1" applyAlignment="1" applyProtection="1">
      <alignment horizontal="center" vertical="center"/>
      <protection locked="0"/>
    </xf>
    <xf numFmtId="3" fontId="8" fillId="0" borderId="10" xfId="0" applyNumberFormat="1" applyFont="1" applyBorder="1" applyProtection="1">
      <protection locked="0"/>
    </xf>
    <xf numFmtId="0" fontId="8" fillId="0" borderId="8" xfId="0" applyFont="1" applyBorder="1" applyProtection="1">
      <protection locked="0"/>
    </xf>
    <xf numFmtId="0" fontId="8" fillId="0" borderId="0" xfId="0" applyFont="1" applyProtection="1">
      <protection locked="0"/>
    </xf>
    <xf numFmtId="2" fontId="0" fillId="0" borderId="0" xfId="0" applyNumberFormat="1" applyAlignment="1">
      <alignment shrinkToFit="1"/>
    </xf>
    <xf numFmtId="0" fontId="0" fillId="0" borderId="0" xfId="0" applyAlignment="1">
      <alignment horizontal="center"/>
    </xf>
    <xf numFmtId="0" fontId="0" fillId="0" borderId="0" xfId="0" applyAlignment="1">
      <alignment horizontal="center" shrinkToFit="1"/>
    </xf>
    <xf numFmtId="0" fontId="0" fillId="0" borderId="2" xfId="0" applyBorder="1"/>
    <xf numFmtId="0" fontId="1" fillId="0" borderId="3" xfId="0" applyFont="1" applyBorder="1" applyAlignment="1">
      <alignment horizontal="center"/>
    </xf>
    <xf numFmtId="0" fontId="0" fillId="0" borderId="4" xfId="0" applyBorder="1"/>
    <xf numFmtId="0" fontId="0" fillId="0" borderId="37" xfId="0" applyBorder="1"/>
    <xf numFmtId="0" fontId="1" fillId="0" borderId="6" xfId="0" applyFont="1" applyBorder="1" applyAlignment="1">
      <alignment horizontal="center"/>
    </xf>
    <xf numFmtId="0" fontId="11" fillId="0" borderId="40" xfId="0" applyFont="1" applyBorder="1" applyAlignment="1">
      <alignment horizontal="center"/>
    </xf>
    <xf numFmtId="2" fontId="0" fillId="8" borderId="1" xfId="0" applyNumberFormat="1" applyFill="1" applyBorder="1"/>
    <xf numFmtId="2" fontId="0" fillId="8" borderId="7" xfId="0" applyNumberFormat="1" applyFill="1" applyBorder="1"/>
    <xf numFmtId="2" fontId="0" fillId="7" borderId="25" xfId="0" applyNumberFormat="1" applyFill="1" applyBorder="1" applyAlignment="1">
      <alignment horizontal="center" vertical="center"/>
    </xf>
    <xf numFmtId="0" fontId="0" fillId="4" borderId="31" xfId="0" applyFill="1" applyBorder="1" applyAlignment="1">
      <alignment horizontal="center" vertical="center"/>
    </xf>
    <xf numFmtId="0" fontId="0" fillId="4" borderId="20" xfId="0" applyFill="1" applyBorder="1" applyAlignment="1">
      <alignment horizontal="center" vertical="center"/>
    </xf>
    <xf numFmtId="0" fontId="0" fillId="4" borderId="27" xfId="0" applyFill="1" applyBorder="1" applyAlignment="1">
      <alignment horizontal="center" vertical="center"/>
    </xf>
    <xf numFmtId="0" fontId="0" fillId="4" borderId="26" xfId="0" applyFill="1" applyBorder="1" applyAlignment="1">
      <alignment horizontal="center" vertical="center"/>
    </xf>
    <xf numFmtId="0" fontId="0" fillId="0" borderId="30" xfId="0"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2" fontId="12" fillId="0" borderId="0" xfId="0" applyNumberFormat="1" applyFont="1" applyAlignment="1">
      <alignment horizontal="center"/>
    </xf>
    <xf numFmtId="0" fontId="0" fillId="9" borderId="43" xfId="0" applyFill="1" applyBorder="1" applyAlignment="1">
      <alignment shrinkToFit="1"/>
    </xf>
    <xf numFmtId="0" fontId="12" fillId="0" borderId="0" xfId="0" applyFont="1" applyAlignment="1">
      <alignment horizontal="left"/>
    </xf>
    <xf numFmtId="0" fontId="12" fillId="0" borderId="0" xfId="0" applyFont="1" applyAlignment="1">
      <alignment horizontal="center"/>
    </xf>
    <xf numFmtId="0" fontId="12" fillId="0" borderId="0" xfId="0" applyFont="1" applyAlignment="1">
      <alignment horizontal="center" vertical="center"/>
    </xf>
    <xf numFmtId="0" fontId="13" fillId="10" borderId="43" xfId="0" applyFont="1" applyFill="1" applyBorder="1" applyAlignment="1">
      <alignment horizontal="center" vertical="center"/>
    </xf>
    <xf numFmtId="0" fontId="13" fillId="10" borderId="43" xfId="0" applyFont="1" applyFill="1" applyBorder="1" applyAlignment="1">
      <alignment horizontal="left" vertical="center"/>
    </xf>
    <xf numFmtId="0" fontId="0" fillId="0" borderId="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44"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37" xfId="0" applyBorder="1" applyAlignment="1" applyProtection="1">
      <alignment horizontal="center" vertical="center"/>
      <protection locked="0"/>
    </xf>
    <xf numFmtId="0" fontId="0" fillId="0" borderId="39" xfId="0" applyBorder="1" applyAlignment="1" applyProtection="1">
      <alignment horizontal="center" vertical="center"/>
      <protection locked="0"/>
    </xf>
    <xf numFmtId="0" fontId="0" fillId="0" borderId="45" xfId="0" applyBorder="1" applyAlignment="1" applyProtection="1">
      <alignment horizontal="center" vertical="center"/>
      <protection locked="0"/>
    </xf>
    <xf numFmtId="0" fontId="14" fillId="11" borderId="46" xfId="0" applyFont="1" applyFill="1" applyBorder="1" applyAlignment="1">
      <alignment horizontal="center" vertical="center"/>
    </xf>
    <xf numFmtId="0" fontId="8" fillId="0" borderId="34" xfId="0" applyFont="1" applyBorder="1" applyProtection="1">
      <protection locked="0"/>
    </xf>
    <xf numFmtId="0" fontId="8" fillId="0" borderId="35" xfId="0" applyFont="1" applyBorder="1" applyProtection="1">
      <protection locked="0"/>
    </xf>
    <xf numFmtId="0" fontId="15" fillId="0" borderId="0" xfId="0" applyFont="1" applyAlignment="1">
      <alignment horizontal="center" vertical="center"/>
    </xf>
    <xf numFmtId="0" fontId="0" fillId="0" borderId="36" xfId="0" applyBorder="1" applyProtection="1">
      <protection locked="0"/>
    </xf>
    <xf numFmtId="0" fontId="0" fillId="0" borderId="10" xfId="0" applyBorder="1" applyProtection="1">
      <protection locked="0"/>
    </xf>
    <xf numFmtId="0" fontId="0" fillId="0" borderId="8" xfId="0" applyBorder="1" applyProtection="1">
      <protection locked="0"/>
    </xf>
    <xf numFmtId="0" fontId="17" fillId="4" borderId="47" xfId="0" applyFont="1" applyFill="1" applyBorder="1" applyAlignment="1">
      <alignment horizontal="center" vertical="center"/>
    </xf>
    <xf numFmtId="0" fontId="17" fillId="4" borderId="48" xfId="0" applyFont="1" applyFill="1" applyBorder="1" applyAlignment="1">
      <alignment horizontal="center" vertical="center"/>
    </xf>
    <xf numFmtId="0" fontId="17" fillId="4" borderId="49" xfId="0" applyFont="1" applyFill="1" applyBorder="1" applyAlignment="1">
      <alignment horizontal="center" vertical="center"/>
    </xf>
    <xf numFmtId="0" fontId="0" fillId="0" borderId="50" xfId="0" applyBorder="1" applyAlignment="1">
      <alignment horizontal="center" vertical="center"/>
    </xf>
    <xf numFmtId="0" fontId="0" fillId="0" borderId="51" xfId="0" applyBorder="1" applyAlignment="1">
      <alignment horizontal="center" vertical="center"/>
    </xf>
    <xf numFmtId="0" fontId="0" fillId="0" borderId="29" xfId="0" applyBorder="1" applyAlignment="1">
      <alignment horizontal="center" vertical="center"/>
    </xf>
    <xf numFmtId="0" fontId="0" fillId="0" borderId="52" xfId="0" applyBorder="1" applyAlignment="1">
      <alignment horizontal="center" vertical="center"/>
    </xf>
    <xf numFmtId="0" fontId="0" fillId="0" borderId="53" xfId="0" applyBorder="1" applyAlignment="1">
      <alignment horizontal="center" vertical="center"/>
    </xf>
    <xf numFmtId="0" fontId="16" fillId="0" borderId="24" xfId="0" applyFont="1" applyBorder="1" applyAlignment="1">
      <alignment horizontal="center" vertical="center"/>
    </xf>
    <xf numFmtId="0" fontId="0" fillId="0" borderId="54" xfId="0" applyBorder="1" applyAlignment="1">
      <alignment horizontal="center" vertical="center"/>
    </xf>
    <xf numFmtId="4" fontId="0" fillId="4" borderId="56" xfId="0" applyNumberFormat="1" applyFill="1" applyBorder="1" applyAlignment="1" applyProtection="1">
      <alignment horizontal="center" vertical="center"/>
      <protection locked="0"/>
    </xf>
    <xf numFmtId="0" fontId="0" fillId="4" borderId="57" xfId="0" applyFill="1" applyBorder="1" applyAlignment="1" applyProtection="1">
      <alignment horizontal="center" vertical="center"/>
      <protection locked="0"/>
    </xf>
    <xf numFmtId="0" fontId="0" fillId="4" borderId="58" xfId="0" applyFill="1" applyBorder="1" applyAlignment="1" applyProtection="1">
      <alignment horizontal="center" vertical="center"/>
      <protection locked="0"/>
    </xf>
    <xf numFmtId="0" fontId="0" fillId="4" borderId="59" xfId="0" applyFill="1" applyBorder="1" applyAlignment="1" applyProtection="1">
      <alignment horizontal="center" vertical="center"/>
      <protection locked="0"/>
    </xf>
    <xf numFmtId="0" fontId="7" fillId="0" borderId="60" xfId="0" applyFont="1" applyBorder="1" applyAlignment="1" applyProtection="1">
      <alignment horizontal="center" vertical="center"/>
      <protection locked="0"/>
    </xf>
    <xf numFmtId="0" fontId="7" fillId="0" borderId="58" xfId="0" applyFont="1" applyBorder="1" applyAlignment="1" applyProtection="1">
      <alignment horizontal="center" vertical="center"/>
      <protection locked="0"/>
    </xf>
    <xf numFmtId="0" fontId="7" fillId="0" borderId="61" xfId="0" applyFont="1" applyBorder="1" applyAlignment="1" applyProtection="1">
      <alignment horizontal="center" vertical="center"/>
      <protection locked="0"/>
    </xf>
    <xf numFmtId="0" fontId="0" fillId="0" borderId="64" xfId="0" applyBorder="1"/>
    <xf numFmtId="0" fontId="0" fillId="9" borderId="0" xfId="0" applyFill="1" applyAlignment="1">
      <alignment shrinkToFit="1"/>
    </xf>
    <xf numFmtId="0" fontId="1" fillId="0" borderId="0" xfId="0" applyFont="1" applyAlignment="1">
      <alignment horizontal="center"/>
    </xf>
    <xf numFmtId="49" fontId="0" fillId="0" borderId="0" xfId="0" applyNumberFormat="1"/>
    <xf numFmtId="0" fontId="9" fillId="0" borderId="0" xfId="0" applyFont="1" applyAlignment="1">
      <alignment horizontal="center" vertical="center"/>
    </xf>
    <xf numFmtId="0" fontId="18" fillId="0" borderId="0" xfId="0" applyFont="1" applyAlignment="1">
      <alignment horizontal="center" vertical="center"/>
    </xf>
    <xf numFmtId="2" fontId="18" fillId="0" borderId="0" xfId="0" applyNumberFormat="1" applyFont="1" applyAlignment="1">
      <alignment horizontal="center" vertical="center"/>
    </xf>
    <xf numFmtId="2" fontId="19" fillId="0" borderId="0" xfId="0" applyNumberFormat="1" applyFont="1" applyAlignment="1">
      <alignment horizontal="center" vertical="center"/>
    </xf>
    <xf numFmtId="0" fontId="14" fillId="11" borderId="0" xfId="0" applyFont="1" applyFill="1" applyAlignment="1">
      <alignment horizontal="center" vertical="center"/>
    </xf>
    <xf numFmtId="0" fontId="20" fillId="0" borderId="0" xfId="0" applyFont="1" applyAlignment="1">
      <alignment horizontal="center"/>
    </xf>
    <xf numFmtId="2" fontId="21" fillId="0" borderId="0" xfId="0" applyNumberFormat="1" applyFont="1" applyAlignment="1">
      <alignment horizontal="center"/>
    </xf>
    <xf numFmtId="0" fontId="0" fillId="9" borderId="0" xfId="0" applyFill="1"/>
    <xf numFmtId="0" fontId="0" fillId="9" borderId="0" xfId="0" applyFill="1" applyAlignment="1">
      <alignment horizontal="center"/>
    </xf>
    <xf numFmtId="0" fontId="0" fillId="0" borderId="0" xfId="0" applyAlignment="1">
      <alignment vertical="center" shrinkToFit="1"/>
    </xf>
    <xf numFmtId="0" fontId="0" fillId="0" borderId="0" xfId="0" applyAlignment="1">
      <alignment horizontal="center" vertical="center" shrinkToFit="1"/>
    </xf>
    <xf numFmtId="4" fontId="0" fillId="0" borderId="0" xfId="0" applyNumberFormat="1" applyAlignment="1">
      <alignment horizontal="center" vertical="center"/>
    </xf>
    <xf numFmtId="2" fontId="0" fillId="0" borderId="0" xfId="0" applyNumberFormat="1" applyAlignment="1">
      <alignment horizontal="center" vertical="center"/>
    </xf>
    <xf numFmtId="0" fontId="1" fillId="0" borderId="0" xfId="0" applyFont="1" applyAlignment="1">
      <alignment horizontal="center" vertical="center"/>
    </xf>
    <xf numFmtId="0" fontId="22" fillId="12" borderId="67" xfId="0" applyFont="1" applyFill="1" applyBorder="1" applyAlignment="1">
      <alignment horizontal="center"/>
    </xf>
    <xf numFmtId="0" fontId="22" fillId="12" borderId="67" xfId="0" applyFont="1" applyFill="1" applyBorder="1" applyAlignment="1">
      <alignment horizontal="center" vertical="center"/>
    </xf>
    <xf numFmtId="0" fontId="0" fillId="9" borderId="0" xfId="0" applyFill="1" applyAlignment="1">
      <alignment horizontal="center" vertical="center"/>
    </xf>
    <xf numFmtId="0" fontId="20" fillId="9" borderId="0" xfId="0" applyFont="1" applyFill="1" applyAlignment="1">
      <alignment horizontal="center"/>
    </xf>
    <xf numFmtId="0" fontId="20" fillId="9" borderId="0" xfId="0" applyFont="1" applyFill="1" applyAlignment="1">
      <alignment horizontal="center" vertical="center"/>
    </xf>
    <xf numFmtId="0" fontId="20" fillId="9" borderId="0" xfId="0" applyFont="1" applyFill="1"/>
    <xf numFmtId="4" fontId="0" fillId="0" borderId="0" xfId="0" applyNumberFormat="1"/>
    <xf numFmtId="0" fontId="0" fillId="0" borderId="0" xfId="0" quotePrefix="1"/>
    <xf numFmtId="0" fontId="20" fillId="0" borderId="0" xfId="0" applyFont="1"/>
    <xf numFmtId="0" fontId="20" fillId="0" borderId="0" xfId="0" applyFont="1" applyAlignment="1">
      <alignment horizontal="center" vertical="center"/>
    </xf>
    <xf numFmtId="2" fontId="20" fillId="0" borderId="0" xfId="0" applyNumberFormat="1" applyFont="1" applyAlignment="1">
      <alignment horizontal="center" vertical="center"/>
    </xf>
    <xf numFmtId="0" fontId="20" fillId="0" borderId="0" xfId="0" applyFont="1" applyAlignment="1">
      <alignment vertical="center" shrinkToFit="1"/>
    </xf>
    <xf numFmtId="0" fontId="20" fillId="0" borderId="0" xfId="0" applyFont="1" applyAlignment="1">
      <alignment horizontal="center" vertical="center" shrinkToFit="1"/>
    </xf>
    <xf numFmtId="4" fontId="20" fillId="0" borderId="0" xfId="0" applyNumberFormat="1" applyFont="1" applyAlignment="1">
      <alignment horizontal="center" vertical="center"/>
    </xf>
    <xf numFmtId="0" fontId="23" fillId="0" borderId="0" xfId="0" applyFont="1" applyAlignment="1">
      <alignment horizontal="center"/>
    </xf>
    <xf numFmtId="0" fontId="23" fillId="0" borderId="0" xfId="0" applyFont="1"/>
    <xf numFmtId="0" fontId="0" fillId="0" borderId="68" xfId="0" applyBorder="1" applyAlignment="1">
      <alignment horizontal="center" vertical="center"/>
    </xf>
    <xf numFmtId="0" fontId="14" fillId="11" borderId="69" xfId="0" applyFont="1" applyFill="1" applyBorder="1" applyAlignment="1">
      <alignment horizontal="center" vertical="center"/>
    </xf>
    <xf numFmtId="0" fontId="1" fillId="4" borderId="70" xfId="0" applyFont="1" applyFill="1" applyBorder="1" applyAlignment="1">
      <alignment horizontal="center" vertical="center"/>
    </xf>
    <xf numFmtId="0" fontId="1" fillId="4" borderId="71" xfId="0" applyFont="1" applyFill="1" applyBorder="1" applyAlignment="1">
      <alignment horizontal="center" vertical="center"/>
    </xf>
    <xf numFmtId="0" fontId="1" fillId="4" borderId="72" xfId="0" applyFont="1" applyFill="1" applyBorder="1" applyAlignment="1">
      <alignment horizontal="center" vertical="center"/>
    </xf>
    <xf numFmtId="0" fontId="1" fillId="4" borderId="73" xfId="0" applyFont="1" applyFill="1" applyBorder="1" applyAlignment="1">
      <alignment horizontal="center" vertical="center"/>
    </xf>
    <xf numFmtId="0" fontId="1" fillId="4" borderId="74" xfId="0" applyFont="1" applyFill="1" applyBorder="1" applyAlignment="1">
      <alignment horizontal="center" vertical="center"/>
    </xf>
    <xf numFmtId="0" fontId="0" fillId="0" borderId="75" xfId="0" applyBorder="1" applyAlignment="1">
      <alignment horizontal="center" vertical="center"/>
    </xf>
    <xf numFmtId="0" fontId="14" fillId="11" borderId="76" xfId="0" applyFont="1" applyFill="1" applyBorder="1" applyAlignment="1">
      <alignment horizontal="center" vertical="center"/>
    </xf>
    <xf numFmtId="0" fontId="0" fillId="4" borderId="77" xfId="0" applyFill="1" applyBorder="1" applyAlignment="1">
      <alignment horizontal="center" vertical="center"/>
    </xf>
    <xf numFmtId="0" fontId="0" fillId="0" borderId="57" xfId="0" applyBorder="1" applyAlignment="1">
      <alignment horizontal="center" vertical="center"/>
    </xf>
    <xf numFmtId="0" fontId="0" fillId="0" borderId="58" xfId="0" applyBorder="1" applyAlignment="1">
      <alignment horizontal="center" vertical="center"/>
    </xf>
    <xf numFmtId="0" fontId="0" fillId="0" borderId="59" xfId="0" applyBorder="1" applyAlignment="1">
      <alignment horizontal="center" vertical="center"/>
    </xf>
    <xf numFmtId="0" fontId="1" fillId="7" borderId="40" xfId="0" applyFont="1" applyFill="1" applyBorder="1" applyAlignment="1">
      <alignment horizontal="center" vertical="center"/>
    </xf>
    <xf numFmtId="0" fontId="0" fillId="4" borderId="41" xfId="0" applyFill="1" applyBorder="1" applyAlignment="1">
      <alignment horizontal="center" vertical="center"/>
    </xf>
    <xf numFmtId="0" fontId="0" fillId="0" borderId="11" xfId="0" applyBorder="1" applyAlignment="1">
      <alignment horizontal="center" vertical="center"/>
    </xf>
    <xf numFmtId="0" fontId="0" fillId="0" borderId="7" xfId="0" applyBorder="1" applyAlignment="1">
      <alignment horizontal="center" vertical="center"/>
    </xf>
    <xf numFmtId="0" fontId="1" fillId="7" borderId="41" xfId="0" applyFont="1" applyFill="1" applyBorder="1" applyAlignment="1">
      <alignment horizontal="center" vertical="center"/>
    </xf>
    <xf numFmtId="0" fontId="0" fillId="4" borderId="42" xfId="0" applyFill="1" applyBorder="1" applyAlignment="1">
      <alignment horizontal="center" vertical="center"/>
    </xf>
    <xf numFmtId="0" fontId="1" fillId="7" borderId="42" xfId="0" applyFont="1" applyFill="1" applyBorder="1" applyAlignment="1">
      <alignment horizontal="center" vertical="center"/>
    </xf>
    <xf numFmtId="0" fontId="9" fillId="0" borderId="0" xfId="0" applyFont="1"/>
    <xf numFmtId="0" fontId="9" fillId="4" borderId="57" xfId="0" applyFont="1" applyFill="1" applyBorder="1" applyAlignment="1" applyProtection="1">
      <alignment horizontal="center" vertical="center"/>
      <protection locked="0"/>
    </xf>
    <xf numFmtId="0" fontId="9" fillId="4" borderId="11" xfId="0" applyFont="1" applyFill="1" applyBorder="1" applyAlignment="1" applyProtection="1">
      <alignment horizontal="center" vertical="center"/>
      <protection locked="0"/>
    </xf>
    <xf numFmtId="0" fontId="9" fillId="4" borderId="19" xfId="0" applyFont="1" applyFill="1" applyBorder="1" applyAlignment="1" applyProtection="1">
      <alignment horizontal="center" vertical="center"/>
      <protection locked="0"/>
    </xf>
    <xf numFmtId="0" fontId="9" fillId="0" borderId="1" xfId="0" applyFont="1" applyBorder="1" applyAlignment="1" applyProtection="1">
      <alignment horizontal="center" vertical="center"/>
      <protection locked="0"/>
    </xf>
    <xf numFmtId="0" fontId="9" fillId="4" borderId="20" xfId="0" applyFont="1" applyFill="1" applyBorder="1" applyAlignment="1">
      <alignment horizontal="center" vertical="center"/>
    </xf>
    <xf numFmtId="0" fontId="9" fillId="0" borderId="5" xfId="0" applyFont="1" applyBorder="1" applyAlignment="1" applyProtection="1">
      <alignment horizontal="center" vertical="center"/>
      <protection locked="0"/>
    </xf>
    <xf numFmtId="0" fontId="9" fillId="4" borderId="27" xfId="0" applyFont="1" applyFill="1" applyBorder="1" applyAlignment="1">
      <alignment horizontal="center" vertical="center"/>
    </xf>
    <xf numFmtId="4" fontId="0" fillId="4" borderId="26" xfId="0" applyNumberFormat="1" applyFill="1" applyBorder="1" applyAlignment="1">
      <alignment horizontal="center" vertical="center"/>
    </xf>
    <xf numFmtId="2" fontId="0" fillId="4" borderId="26" xfId="0" applyNumberFormat="1" applyFill="1" applyBorder="1" applyAlignment="1">
      <alignment horizontal="center" vertical="center"/>
    </xf>
    <xf numFmtId="0" fontId="7" fillId="2" borderId="1" xfId="0" applyFont="1" applyFill="1" applyBorder="1" applyAlignment="1" applyProtection="1">
      <alignment horizontal="center" vertical="center"/>
      <protection locked="0"/>
    </xf>
    <xf numFmtId="0" fontId="7" fillId="2" borderId="17" xfId="0" applyFont="1" applyFill="1" applyBorder="1" applyAlignment="1" applyProtection="1">
      <alignment horizontal="center" vertical="center"/>
      <protection locked="0"/>
    </xf>
    <xf numFmtId="0" fontId="7" fillId="2" borderId="20" xfId="0" applyFont="1" applyFill="1" applyBorder="1" applyAlignment="1" applyProtection="1">
      <alignment horizontal="center" vertical="center"/>
      <protection locked="0"/>
    </xf>
    <xf numFmtId="0" fontId="7" fillId="2" borderId="22" xfId="0" applyFont="1" applyFill="1" applyBorder="1" applyAlignment="1" applyProtection="1">
      <alignment horizontal="center" vertical="center"/>
      <protection locked="0"/>
    </xf>
    <xf numFmtId="0" fontId="7" fillId="13" borderId="23" xfId="0" applyFont="1" applyFill="1" applyBorder="1" applyAlignment="1" applyProtection="1">
      <alignment horizontal="center" vertical="center"/>
      <protection locked="0"/>
    </xf>
    <xf numFmtId="0" fontId="0" fillId="0" borderId="0" xfId="0" applyAlignment="1">
      <alignment horizontal="right" vertical="center"/>
    </xf>
    <xf numFmtId="0" fontId="0" fillId="0" borderId="0" xfId="0" applyAlignment="1">
      <alignment horizontal="left" indent="3"/>
    </xf>
    <xf numFmtId="0" fontId="27" fillId="14" borderId="1" xfId="0" applyFont="1" applyFill="1" applyBorder="1"/>
    <xf numFmtId="0" fontId="0" fillId="0" borderId="0" xfId="0" applyFill="1"/>
    <xf numFmtId="0" fontId="28" fillId="0" borderId="0" xfId="0" applyFont="1" applyAlignment="1"/>
    <xf numFmtId="0" fontId="28" fillId="0" borderId="0" xfId="0" applyFont="1" applyBorder="1" applyAlignment="1"/>
    <xf numFmtId="0" fontId="0" fillId="0" borderId="0" xfId="0" applyAlignment="1"/>
    <xf numFmtId="0" fontId="7" fillId="0" borderId="22" xfId="0" applyFont="1" applyFill="1" applyBorder="1" applyAlignment="1" applyProtection="1">
      <alignment horizontal="center" vertical="center"/>
      <protection locked="0"/>
    </xf>
    <xf numFmtId="0" fontId="7" fillId="0" borderId="20" xfId="0" applyFont="1" applyFill="1" applyBorder="1" applyAlignment="1" applyProtection="1">
      <alignment horizontal="center" vertical="center"/>
      <protection locked="0"/>
    </xf>
    <xf numFmtId="0" fontId="7" fillId="0" borderId="23" xfId="0" applyFont="1" applyFill="1" applyBorder="1" applyAlignment="1" applyProtection="1">
      <alignment horizontal="center" vertical="center"/>
      <protection locked="0"/>
    </xf>
    <xf numFmtId="0" fontId="0" fillId="0" borderId="0" xfId="0" applyFill="1" applyAlignment="1"/>
    <xf numFmtId="0" fontId="28" fillId="0" borderId="0" xfId="0" applyFont="1" applyFill="1" applyBorder="1" applyAlignment="1"/>
    <xf numFmtId="0" fontId="28" fillId="0" borderId="0" xfId="0" applyFont="1" applyFill="1" applyAlignment="1"/>
    <xf numFmtId="0" fontId="29" fillId="15" borderId="0" xfId="0" applyFont="1" applyFill="1"/>
    <xf numFmtId="0" fontId="30" fillId="16" borderId="1" xfId="3" applyBorder="1" applyAlignment="1">
      <alignment horizontal="center" vertical="center"/>
    </xf>
    <xf numFmtId="0" fontId="0" fillId="0" borderId="0" xfId="0" quotePrefix="1" applyAlignment="1">
      <alignment horizontal="center" vertical="center"/>
    </xf>
    <xf numFmtId="3" fontId="0" fillId="0" borderId="0" xfId="0" applyNumberFormat="1"/>
    <xf numFmtId="0" fontId="0" fillId="0" borderId="0" xfId="0" applyNumberFormat="1"/>
    <xf numFmtId="0" fontId="0" fillId="0" borderId="0" xfId="0" applyNumberFormat="1" applyAlignment="1">
      <alignment horizontal="center"/>
    </xf>
    <xf numFmtId="14" fontId="0" fillId="0" borderId="0" xfId="0" applyNumberFormat="1"/>
    <xf numFmtId="0" fontId="32" fillId="0" borderId="0" xfId="0" applyNumberFormat="1" applyFont="1" applyAlignment="1">
      <alignment horizontal="center"/>
    </xf>
    <xf numFmtId="0" fontId="0" fillId="0" borderId="0" xfId="0" applyNumberFormat="1" applyAlignment="1">
      <alignment horizontal="center" shrinkToFit="1"/>
    </xf>
    <xf numFmtId="0" fontId="11" fillId="0" borderId="0" xfId="0" applyFont="1" applyAlignment="1">
      <alignment horizontal="center"/>
    </xf>
    <xf numFmtId="0" fontId="33" fillId="0" borderId="30" xfId="0" applyFont="1" applyBorder="1" applyAlignment="1" applyProtection="1">
      <alignment horizontal="center" vertical="center"/>
      <protection locked="0"/>
    </xf>
    <xf numFmtId="0" fontId="33" fillId="0" borderId="1" xfId="0" applyFont="1" applyBorder="1" applyAlignment="1" applyProtection="1">
      <alignment horizontal="center" vertical="center"/>
      <protection locked="0"/>
    </xf>
    <xf numFmtId="0" fontId="33" fillId="0" borderId="5" xfId="0" applyFont="1" applyBorder="1" applyAlignment="1" applyProtection="1">
      <alignment horizontal="center" vertical="center"/>
      <protection locked="0"/>
    </xf>
    <xf numFmtId="2" fontId="33" fillId="7" borderId="25" xfId="0" applyNumberFormat="1" applyFont="1" applyFill="1" applyBorder="1" applyAlignment="1">
      <alignment horizontal="center" vertical="center"/>
    </xf>
    <xf numFmtId="0" fontId="33" fillId="4" borderId="31" xfId="0" applyFont="1" applyFill="1" applyBorder="1" applyAlignment="1">
      <alignment horizontal="center" vertical="center"/>
    </xf>
    <xf numFmtId="0" fontId="33" fillId="4" borderId="20" xfId="0" applyFont="1" applyFill="1" applyBorder="1" applyAlignment="1">
      <alignment horizontal="center" vertical="center"/>
    </xf>
    <xf numFmtId="0" fontId="33" fillId="4" borderId="27" xfId="0" applyFont="1" applyFill="1" applyBorder="1" applyAlignment="1">
      <alignment horizontal="center" vertical="center"/>
    </xf>
    <xf numFmtId="0" fontId="33" fillId="4" borderId="26" xfId="0" applyFont="1" applyFill="1" applyBorder="1" applyAlignment="1">
      <alignment horizontal="center" vertical="center"/>
    </xf>
    <xf numFmtId="0" fontId="32" fillId="0" borderId="0" xfId="0" applyNumberFormat="1" applyFont="1" applyFill="1" applyAlignment="1">
      <alignment horizontal="center" shrinkToFit="1"/>
    </xf>
    <xf numFmtId="0" fontId="0" fillId="0" borderId="0" xfId="0" applyNumberFormat="1" applyFont="1" applyFill="1" applyAlignment="1">
      <alignment horizontal="center" shrinkToFit="1"/>
    </xf>
    <xf numFmtId="0" fontId="0" fillId="0" borderId="0" xfId="0" applyNumberFormat="1" applyFont="1" applyAlignment="1">
      <alignment horizontal="center"/>
    </xf>
    <xf numFmtId="0" fontId="0" fillId="0" borderId="0" xfId="0" applyAlignment="1">
      <alignment horizontal="right"/>
    </xf>
    <xf numFmtId="11" fontId="0" fillId="0" borderId="0" xfId="0" applyNumberFormat="1" applyAlignment="1">
      <alignment horizontal="right"/>
    </xf>
    <xf numFmtId="0" fontId="1" fillId="0" borderId="0" xfId="0" applyFont="1" applyFill="1" applyAlignment="1">
      <alignment horizontal="right"/>
    </xf>
    <xf numFmtId="11" fontId="1" fillId="0" borderId="0" xfId="0" applyNumberFormat="1" applyFont="1" applyFill="1" applyAlignment="1">
      <alignment horizontal="right"/>
    </xf>
    <xf numFmtId="0" fontId="0" fillId="4" borderId="0" xfId="0" applyFill="1" applyBorder="1" applyAlignment="1">
      <alignment horizontal="center" vertical="center"/>
    </xf>
    <xf numFmtId="0" fontId="0" fillId="0" borderId="0" xfId="0" applyNumberFormat="1" applyAlignment="1">
      <alignment horizontal="right"/>
    </xf>
    <xf numFmtId="0" fontId="0" fillId="17" borderId="0" xfId="0" applyFill="1"/>
    <xf numFmtId="0" fontId="11" fillId="17" borderId="0" xfId="0" applyFont="1" applyFill="1" applyAlignment="1">
      <alignment horizontal="center"/>
    </xf>
    <xf numFmtId="0" fontId="0" fillId="17" borderId="0" xfId="0" applyNumberFormat="1" applyFill="1"/>
    <xf numFmtId="11" fontId="0" fillId="0" borderId="0" xfId="0" applyNumberFormat="1"/>
    <xf numFmtId="2" fontId="0" fillId="8" borderId="39" xfId="0" applyNumberFormat="1" applyFill="1" applyBorder="1" applyAlignment="1">
      <alignment horizontal="center"/>
    </xf>
    <xf numFmtId="2" fontId="0" fillId="8" borderId="38" xfId="0" applyNumberFormat="1" applyFill="1" applyBorder="1" applyAlignment="1">
      <alignment horizontal="center"/>
    </xf>
    <xf numFmtId="0" fontId="0" fillId="0" borderId="41" xfId="0" applyBorder="1" applyAlignment="1">
      <alignment horizontal="center" vertical="center"/>
    </xf>
    <xf numFmtId="0" fontId="0" fillId="0" borderId="42" xfId="0" applyBorder="1" applyAlignment="1">
      <alignment horizontal="center" vertical="center"/>
    </xf>
    <xf numFmtId="0" fontId="1" fillId="0" borderId="65" xfId="0" applyFont="1" applyBorder="1" applyAlignment="1" applyProtection="1">
      <alignment horizontal="center" vertical="center"/>
      <protection locked="0"/>
    </xf>
    <xf numFmtId="0" fontId="1" fillId="0" borderId="55" xfId="0" applyFont="1" applyBorder="1" applyAlignment="1" applyProtection="1">
      <alignment horizontal="center" vertical="center"/>
      <protection locked="0"/>
    </xf>
    <xf numFmtId="0" fontId="1" fillId="0" borderId="66" xfId="0" applyFont="1" applyBorder="1" applyAlignment="1" applyProtection="1">
      <alignment horizontal="center" vertical="center"/>
      <protection locked="0"/>
    </xf>
    <xf numFmtId="0" fontId="0" fillId="4" borderId="62" xfId="0" applyFill="1" applyBorder="1" applyAlignment="1">
      <alignment horizontal="center" vertical="center"/>
    </xf>
    <xf numFmtId="0" fontId="0" fillId="4" borderId="58" xfId="0" applyFill="1" applyBorder="1" applyAlignment="1">
      <alignment horizontal="center" vertical="center"/>
    </xf>
    <xf numFmtId="0" fontId="0" fillId="4" borderId="63" xfId="0" applyFill="1" applyBorder="1" applyAlignment="1">
      <alignment horizontal="center" vertical="center"/>
    </xf>
    <xf numFmtId="0" fontId="0" fillId="4" borderId="78" xfId="0" applyFill="1" applyBorder="1" applyAlignment="1">
      <alignment horizontal="center" vertical="center"/>
    </xf>
    <xf numFmtId="0" fontId="0" fillId="4" borderId="79" xfId="0" applyFill="1" applyBorder="1" applyAlignment="1">
      <alignment horizontal="center" vertical="center"/>
    </xf>
    <xf numFmtId="0" fontId="0" fillId="4" borderId="80" xfId="0" applyFill="1" applyBorder="1" applyAlignment="1">
      <alignment horizontal="center" vertical="center"/>
    </xf>
    <xf numFmtId="0" fontId="26" fillId="0" borderId="0" xfId="0" applyFont="1" applyAlignment="1">
      <alignment horizontal="center" vertical="center"/>
    </xf>
    <xf numFmtId="10" fontId="0" fillId="0" borderId="0" xfId="0" applyNumberFormat="1" applyAlignment="1">
      <alignment horizontal="center" vertical="center"/>
    </xf>
    <xf numFmtId="0" fontId="17" fillId="0" borderId="65" xfId="0" applyFont="1" applyBorder="1" applyAlignment="1" applyProtection="1">
      <alignment horizontal="center" vertical="center"/>
      <protection locked="0"/>
    </xf>
    <xf numFmtId="0" fontId="17" fillId="0" borderId="55" xfId="0" applyFont="1" applyBorder="1" applyAlignment="1" applyProtection="1">
      <alignment horizontal="center" vertical="center"/>
      <protection locked="0"/>
    </xf>
    <xf numFmtId="0" fontId="17" fillId="0" borderId="66" xfId="0" applyFont="1" applyBorder="1" applyAlignment="1" applyProtection="1">
      <alignment horizontal="center" vertical="center"/>
      <protection locked="0"/>
    </xf>
    <xf numFmtId="0" fontId="1" fillId="0" borderId="65" xfId="0" applyFont="1" applyBorder="1" applyAlignment="1" applyProtection="1">
      <alignment horizontal="center" vertical="center" wrapText="1"/>
      <protection locked="0"/>
    </xf>
    <xf numFmtId="0" fontId="1" fillId="0" borderId="55" xfId="0" applyFont="1" applyBorder="1" applyAlignment="1" applyProtection="1">
      <alignment horizontal="center" vertical="center" wrapText="1"/>
      <protection locked="0"/>
    </xf>
    <xf numFmtId="0" fontId="1" fillId="0" borderId="66" xfId="0" applyFont="1" applyBorder="1" applyAlignment="1" applyProtection="1">
      <alignment horizontal="center" vertical="center" wrapText="1"/>
      <protection locked="0"/>
    </xf>
    <xf numFmtId="0" fontId="1" fillId="0" borderId="0" xfId="0" applyFont="1" applyAlignment="1" applyProtection="1">
      <alignment horizontal="center" vertical="center"/>
      <protection locked="0"/>
    </xf>
    <xf numFmtId="0" fontId="10" fillId="0" borderId="32" xfId="0" applyFont="1" applyBorder="1" applyAlignment="1" applyProtection="1">
      <alignment horizontal="center" vertical="center"/>
      <protection locked="0"/>
    </xf>
    <xf numFmtId="0" fontId="10" fillId="0" borderId="28" xfId="0" applyFont="1" applyBorder="1" applyAlignment="1" applyProtection="1">
      <alignment horizontal="center" vertical="center"/>
      <protection locked="0"/>
    </xf>
    <xf numFmtId="0" fontId="10" fillId="0" borderId="33" xfId="0" applyFont="1" applyBorder="1" applyAlignment="1" applyProtection="1">
      <alignment horizontal="center" vertical="center"/>
      <protection locked="0"/>
    </xf>
    <xf numFmtId="0" fontId="9" fillId="0" borderId="0" xfId="0" quotePrefix="1" applyFont="1" applyAlignment="1">
      <alignment horizontal="left" vertical="top" wrapText="1"/>
    </xf>
    <xf numFmtId="0" fontId="4" fillId="0" borderId="0" xfId="2" applyFont="1" applyAlignment="1">
      <alignment horizontal="center" vertical="center"/>
    </xf>
  </cellXfs>
  <cellStyles count="4">
    <cellStyle name="Гиперссылка" xfId="2" builtinId="8"/>
    <cellStyle name="Нейтральный" xfId="3" builtinId="28"/>
    <cellStyle name="Обычный" xfId="0" builtinId="0"/>
    <cellStyle name="Обычный 2" xfId="1" xr:uid="{00000000-0005-0000-0000-000002000000}"/>
  </cellStyles>
  <dxfs count="1805">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0" formatCode="General"/>
      <fill>
        <patternFill patternType="solid">
          <fgColor indexed="64"/>
          <bgColor indexed="22"/>
        </patternFill>
      </fill>
      <alignment horizontal="center" vertical="center" textRotation="0" wrapText="0" indent="0" justifyLastLine="0" shrinkToFit="0" readingOrder="0"/>
      <border diagonalUp="0" diagonalDown="0" outline="0">
        <left/>
        <right style="medium">
          <color indexed="64"/>
        </right>
        <top style="thin">
          <color indexed="64"/>
        </top>
        <bottom style="thin">
          <color indexed="64"/>
        </bottom>
      </border>
    </dxf>
    <dxf>
      <border outline="0">
        <left style="medium">
          <color indexed="64"/>
        </left>
        <right style="medium">
          <color indexed="64"/>
        </right>
        <top style="medium">
          <color indexed="64"/>
        </top>
        <bottom style="medium">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dxf>
    <dxf>
      <border outline="0">
        <bottom style="medium">
          <color indexed="64"/>
        </bottom>
      </border>
    </dxf>
    <dxf>
      <font>
        <strike val="0"/>
        <outline val="0"/>
        <shadow val="0"/>
        <u val="none"/>
        <vertAlign val="baseline"/>
        <sz val="9"/>
        <color theme="1"/>
        <name val="Calibri"/>
        <scheme val="minor"/>
      </font>
      <fill>
        <patternFill patternType="solid">
          <fgColor indexed="64"/>
          <bgColor indexed="22"/>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color theme="0"/>
      </font>
      <fill>
        <patternFill>
          <bgColor theme="2" tint="-0.89996032593768116"/>
        </patternFill>
      </fill>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font>
        <strike val="0"/>
        <outline val="0"/>
        <shadow val="0"/>
        <u val="none"/>
        <vertAlign val="baseline"/>
        <sz val="9"/>
        <name val="Cambria"/>
        <scheme val="none"/>
      </font>
      <numFmt numFmtId="0" formatCode="General"/>
      <fill>
        <patternFill patternType="solid">
          <fgColor indexed="64"/>
          <bgColor indexed="22"/>
        </patternFill>
      </fill>
      <alignment horizontal="center" vertical="center" textRotation="0" wrapText="0" indent="0" justifyLastLine="0" shrinkToFit="0" readingOrder="0"/>
      <border diagonalUp="0" diagonalDown="0" outline="0">
        <left/>
        <right style="medium">
          <color indexed="64"/>
        </right>
        <top style="thin">
          <color indexed="64"/>
        </top>
        <bottom style="thin">
          <color indexed="64"/>
        </bottom>
      </border>
    </dxf>
    <dxf>
      <border outline="0">
        <left style="medium">
          <color indexed="64"/>
        </left>
        <right style="medium">
          <color indexed="64"/>
        </right>
        <top style="medium">
          <color indexed="64"/>
        </top>
        <bottom style="medium">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dxf>
    <dxf>
      <border outline="0">
        <bottom style="medium">
          <color indexed="64"/>
        </bottom>
      </border>
    </dxf>
    <dxf>
      <font>
        <b val="0"/>
        <i val="0"/>
        <strike val="0"/>
        <condense val="0"/>
        <extend val="0"/>
        <outline val="0"/>
        <shadow val="0"/>
        <u val="none"/>
        <vertAlign val="baseline"/>
        <sz val="9"/>
        <color theme="1"/>
        <name val="Calibri"/>
        <scheme val="minor"/>
      </font>
      <alignment horizontal="center" vertical="center" textRotation="0" wrapText="0" indent="0" justifyLastLine="0" shrinkToFit="0" readingOrder="0"/>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0" formatCode="General"/>
      <fill>
        <patternFill patternType="solid">
          <fgColor indexed="64"/>
          <bgColor indexed="22"/>
        </patternFill>
      </fill>
      <alignment horizontal="center" vertical="center" textRotation="0" wrapText="0" indent="0" justifyLastLine="0" shrinkToFit="0" readingOrder="0"/>
      <border diagonalUp="0" diagonalDown="0" outline="0">
        <left/>
        <right style="medium">
          <color indexed="64"/>
        </right>
        <top style="thin">
          <color indexed="64"/>
        </top>
        <bottom style="thin">
          <color indexed="64"/>
        </bottom>
      </border>
    </dxf>
    <dxf>
      <border outline="0">
        <left style="medium">
          <color indexed="64"/>
        </left>
        <right style="medium">
          <color indexed="64"/>
        </right>
        <top style="medium">
          <color indexed="64"/>
        </top>
        <bottom style="medium">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dxf>
    <dxf>
      <border outline="0">
        <bottom style="medium">
          <color indexed="64"/>
        </bottom>
      </border>
    </dxf>
    <dxf>
      <font>
        <b val="0"/>
        <i val="0"/>
        <strike val="0"/>
        <condense val="0"/>
        <extend val="0"/>
        <outline val="0"/>
        <shadow val="0"/>
        <u val="none"/>
        <vertAlign val="baseline"/>
        <sz val="9"/>
        <color theme="1"/>
        <name val="Calibri"/>
        <scheme val="minor"/>
      </font>
      <alignment horizontal="center" vertical="center" textRotation="0" wrapText="0" indent="0" justifyLastLine="0" shrinkToFit="0" readingOrder="0"/>
    </dxf>
    <dxf>
      <font>
        <b/>
        <i/>
        <color theme="0"/>
      </font>
      <fill>
        <patternFill>
          <bgColor theme="1"/>
        </patternFill>
      </fill>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0" formatCode="General"/>
      <fill>
        <patternFill patternType="solid">
          <fgColor indexed="64"/>
          <bgColor indexed="22"/>
        </patternFill>
      </fill>
      <alignment horizontal="center" vertical="center" textRotation="0" wrapText="0" indent="0" justifyLastLine="0" shrinkToFit="0" readingOrder="0"/>
      <border diagonalUp="0" diagonalDown="0" outline="0">
        <left/>
        <right style="medium">
          <color indexed="64"/>
        </right>
        <top style="thin">
          <color indexed="64"/>
        </top>
        <bottom style="thin">
          <color indexed="64"/>
        </bottom>
      </border>
    </dxf>
    <dxf>
      <border outline="0">
        <left style="medium">
          <color indexed="64"/>
        </left>
        <right style="medium">
          <color indexed="64"/>
        </right>
        <top style="medium">
          <color indexed="64"/>
        </top>
        <bottom style="medium">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dxf>
    <dxf>
      <border outline="0">
        <bottom style="medium">
          <color indexed="64"/>
        </bottom>
      </border>
    </dxf>
    <dxf>
      <font>
        <strike val="0"/>
        <outline val="0"/>
        <shadow val="0"/>
        <u val="none"/>
        <vertAlign val="baseline"/>
        <sz val="9"/>
        <color theme="1"/>
        <name val="Calibri"/>
        <scheme val="minor"/>
      </font>
      <alignment horizontal="center" vertical="center" textRotation="0" wrapText="0" indent="0" justifyLastLine="0" shrinkToFit="0" readingOrder="0"/>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medium">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0" formatCode="General"/>
      <alignment horizontal="center" vertical="center" textRotation="0" wrapText="0" indent="0" justifyLastLine="0" shrinkToFit="0" readingOrder="0"/>
      <border diagonalUp="0" diagonalDown="0" outline="0">
        <left/>
        <right style="medium">
          <color indexed="64"/>
        </right>
        <top style="thin">
          <color indexed="64"/>
        </top>
        <bottom style="thin">
          <color indexed="64"/>
        </bottom>
      </border>
    </dxf>
    <dxf>
      <border outline="0">
        <left style="medium">
          <color indexed="64"/>
        </left>
        <right style="medium">
          <color indexed="64"/>
        </right>
        <top style="medium">
          <color indexed="64"/>
        </top>
        <bottom style="medium">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dxf>
    <dxf>
      <border outline="0">
        <bottom style="medium">
          <color indexed="64"/>
        </bottom>
      </border>
    </dxf>
    <dxf>
      <alignment horizontal="general" vertical="center" textRotation="0" wrapText="0" indent="0" justifyLastLine="0" shrinkToFit="0" readingOrder="0"/>
    </dxf>
    <dxf>
      <font>
        <b/>
        <i val="0"/>
        <color rgb="FFFF0000"/>
      </font>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fill>
        <patternFill patternType="solid">
          <fgColor indexed="64"/>
          <bgColor indexed="22"/>
        </patternFill>
      </fill>
      <alignment horizontal="center" vertical="center" textRotation="0" wrapText="0" indent="0" justifyLastLine="0" shrinkToFit="0" readingOrder="0"/>
      <border diagonalUp="0" diagonalDown="0" outline="0">
        <left/>
        <right/>
        <top style="thin">
          <color indexed="64"/>
        </top>
        <bottom style="thin">
          <color indexed="64"/>
        </bottom>
      </border>
    </dxf>
    <dxf>
      <border outline="0">
        <left style="medium">
          <color indexed="64"/>
        </left>
        <right style="medium">
          <color indexed="64"/>
        </right>
        <top style="medium">
          <color indexed="64"/>
        </top>
        <bottom style="medium">
          <color indexed="64"/>
        </bottom>
      </border>
    </dxf>
    <dxf>
      <numFmt numFmtId="2" formatCode="0.00"/>
      <alignment horizontal="center" vertical="center" textRotation="0" wrapText="0" indent="0" justifyLastLine="0" shrinkToFit="0" readingOrder="0"/>
    </dxf>
    <dxf>
      <border outline="0">
        <bottom style="medium">
          <color indexed="64"/>
        </bottom>
      </border>
    </dxf>
    <dxf>
      <font>
        <strike val="0"/>
        <outline val="0"/>
        <shadow val="0"/>
        <u val="none"/>
        <vertAlign val="baseline"/>
        <sz val="9"/>
        <color theme="1"/>
        <name val="Calibri"/>
        <scheme val="minor"/>
      </font>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dxf>
    <dxf>
      <numFmt numFmtId="30" formatCode="@"/>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alignment horizontal="center" vertical="center" textRotation="0" wrapText="0" indent="0" justifyLastLine="0" shrinkToFit="0" readingOrder="0"/>
      <border diagonalUp="0" diagonalDown="0" outline="0">
        <left/>
        <right style="thick">
          <color auto="1"/>
        </right>
        <top/>
        <bottom style="thick">
          <color auto="1"/>
        </bottom>
      </border>
    </dxf>
    <dxf>
      <alignment horizontal="center" vertical="center" textRotation="0" wrapText="0" indent="0" justifyLastLine="0" shrinkToFit="0" readingOrder="0"/>
      <border diagonalUp="0" diagonalDown="0" outline="0">
        <left/>
        <right/>
        <top style="dotted">
          <color auto="1"/>
        </top>
        <bottom style="dotted">
          <color auto="1"/>
        </bottom>
      </border>
    </dxf>
    <dxf>
      <font>
        <strike val="0"/>
        <outline val="0"/>
        <shadow val="0"/>
        <u val="none"/>
        <vertAlign val="baseline"/>
        <sz val="11"/>
        <color theme="0"/>
        <name val="Calibri"/>
        <scheme val="minor"/>
      </font>
      <fill>
        <patternFill patternType="solid">
          <fgColor indexed="64"/>
          <bgColor theme="0"/>
        </patternFill>
      </fill>
      <alignment horizontal="center" vertical="center" textRotation="0" wrapText="0" indent="0" justifyLastLine="0" shrinkToFit="0" readingOrder="0"/>
      <border diagonalUp="0" diagonalDown="0" outline="0">
        <left style="dotted">
          <color auto="1"/>
        </left>
        <right style="dotted">
          <color auto="1"/>
        </right>
        <top style="dotted">
          <color auto="1"/>
        </top>
        <bottom style="dotted">
          <color auto="1"/>
        </bottom>
      </border>
    </dxf>
    <dxf>
      <alignment horizontal="center" vertical="center" textRotation="0" wrapText="0" indent="0" justifyLastLine="0" shrinkToFit="0" readingOrder="0"/>
      <border diagonalUp="0" diagonalDown="0" outline="0">
        <left style="thick">
          <color auto="1"/>
        </left>
        <right/>
        <top/>
        <bottom style="thick">
          <color auto="1"/>
        </bottom>
      </border>
    </dxf>
    <dxf>
      <numFmt numFmtId="0" formatCode="General"/>
      <alignment horizontal="center" vertical="center" textRotation="0" wrapText="0" indent="0" justifyLastLine="0" shrinkToFit="0" readingOrder="0"/>
      <border diagonalUp="0" diagonalDown="0" outline="0">
        <left/>
        <right/>
        <top style="dotted">
          <color auto="1"/>
        </top>
        <bottom style="dotted">
          <color auto="1"/>
        </bottom>
      </border>
    </dxf>
    <dxf>
      <alignment horizontal="center" vertical="center" textRotation="0" wrapText="0" indent="0" justifyLastLine="0" shrinkToFit="0" readingOrder="0"/>
      <border diagonalUp="0" diagonalDown="0">
        <left style="dotted">
          <color auto="1"/>
        </left>
        <right style="dotted">
          <color auto="1"/>
        </right>
        <top/>
        <bottom/>
        <vertical style="dotted">
          <color auto="1"/>
        </vertical>
        <horizontal style="dotted">
          <color auto="1"/>
        </horizontal>
      </border>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left style="dotted">
          <color auto="1"/>
        </left>
        <right style="dotted">
          <color auto="1"/>
        </right>
        <top/>
        <bottom/>
        <vertical style="dotted">
          <color auto="1"/>
        </vertical>
        <horizontal style="dotted">
          <color auto="1"/>
        </horizontal>
      </border>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center" vertical="bottom" textRotation="0" wrapText="0" indent="0" justifyLastLine="0" shrinkToFit="0" readingOrder="0"/>
    </dxf>
    <dxf>
      <alignment horizontal="center" vertical="bottom" textRotation="0" wrapText="0" indent="0" justifyLastLine="0" shrinkToFit="0" readingOrder="0"/>
    </dxf>
    <dxf>
      <fill>
        <patternFill>
          <fgColor indexed="64"/>
          <bgColor rgb="FFFF9999"/>
        </patternFill>
      </fill>
    </dxf>
    <dxf>
      <fill>
        <patternFill>
          <fgColor indexed="64"/>
          <bgColor rgb="FFFF9999"/>
        </patternFill>
      </fill>
    </dxf>
    <dxf>
      <alignment horizontal="center" vertical="bottom" textRotation="0" wrapText="0" indent="0" justifyLastLine="0" shrinkToFit="0" readingOrder="0"/>
    </dxf>
    <dxf>
      <alignment horizontal="center" vertical="bottom" textRotation="0" wrapText="0" indent="0" justifyLastLine="0" shrinkToFit="0" readingOrder="0"/>
    </dxf>
    <dxf>
      <fill>
        <patternFill>
          <fgColor indexed="64"/>
          <bgColor rgb="FFFF9999"/>
        </patternFill>
      </fill>
    </dxf>
    <dxf>
      <fill>
        <patternFill>
          <fgColor indexed="64"/>
          <bgColor rgb="FFFF9999"/>
        </patternFill>
      </fill>
    </dxf>
    <dxf>
      <numFmt numFmtId="0" formatCode="General"/>
      <alignment horizontal="center" vertical="bottom" textRotation="0" wrapText="0" indent="0" justifyLastLine="0" shrinkToFit="1" readingOrder="0"/>
    </dxf>
    <dxf>
      <font>
        <b val="0"/>
        <i/>
        <strike val="0"/>
        <condense val="0"/>
        <extend val="0"/>
        <outline val="0"/>
        <shadow val="0"/>
        <u val="none"/>
        <vertAlign val="baseline"/>
        <sz val="11"/>
        <color theme="1"/>
        <name val="Calibri"/>
        <scheme val="minor"/>
      </font>
      <numFmt numFmtId="2" formatCode="0.00"/>
      <alignment horizontal="center" vertical="bottom" textRotation="0" wrapText="0" indent="0" justifyLastLine="0" shrinkToFit="0" readingOrder="0"/>
    </dxf>
    <dxf>
      <numFmt numFmtId="0" formatCode="General"/>
      <alignment horizontal="general" vertical="bottom" textRotation="0" wrapText="0" indent="0" justifyLastLine="0" shrinkToFit="1" readingOrder="0"/>
    </dxf>
    <dxf>
      <numFmt numFmtId="0" formatCode="General"/>
    </dxf>
    <dxf>
      <numFmt numFmtId="0" formatCode="General"/>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font>
        <i/>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center" vertical="bottom" textRotation="0" wrapText="0" indent="0" justifyLastLine="0" shrinkToFit="0" readingOrder="0"/>
    </dxf>
    <dxf>
      <font>
        <b/>
        <i/>
        <strike val="0"/>
        <condense val="0"/>
        <extend val="0"/>
        <outline val="0"/>
        <shadow val="0"/>
        <u val="none"/>
        <vertAlign val="baseline"/>
        <sz val="11"/>
        <color theme="0"/>
        <name val="Calibri"/>
        <scheme val="minor"/>
      </font>
      <fill>
        <patternFill patternType="solid">
          <fgColor theme="7"/>
          <bgColor theme="7"/>
        </patternFill>
      </fill>
      <alignment horizontal="center" vertical="center" textRotation="0" wrapText="0" indent="0" justifyLastLine="0" shrinkToFit="0" readingOrder="0"/>
    </dxf>
    <dxf>
      <fill>
        <patternFill>
          <bgColor rgb="FFFF9999"/>
        </patternFill>
      </fill>
    </dxf>
    <dxf>
      <fill>
        <patternFill>
          <bgColor rgb="FFFF9999"/>
        </patternFill>
      </fill>
    </dxf>
    <dxf>
      <numFmt numFmtId="0" formatCode="General"/>
    </dxf>
    <dxf>
      <numFmt numFmtId="0" formatCode="General"/>
    </dxf>
    <dxf>
      <fill>
        <patternFill>
          <bgColor theme="9"/>
        </patternFill>
      </fill>
    </dxf>
    <dxf>
      <alignment horizontal="center" vertical="center" textRotation="0" wrapText="0" relativeIndent="0" justifyLastLine="0" shrinkToFit="0" readingOrder="0"/>
      <border diagonalUp="0" diagonalDown="0" outline="0">
        <left/>
        <right style="thick">
          <color auto="1"/>
        </right>
        <top/>
        <bottom style="thick">
          <color auto="1"/>
        </bottom>
      </border>
    </dxf>
    <dxf>
      <alignment horizontal="center" vertical="center" textRotation="0" wrapText="0" indent="0" justifyLastLine="0" shrinkToFit="0" readingOrder="0"/>
      <border diagonalUp="0" diagonalDown="0" outline="0">
        <left/>
        <right/>
        <top style="dotted">
          <color auto="1"/>
        </top>
        <bottom style="dotted">
          <color auto="1"/>
        </bottom>
      </border>
    </dxf>
    <dxf>
      <font>
        <b val="0"/>
        <i val="0"/>
        <strike val="0"/>
        <condense val="0"/>
        <extend val="0"/>
        <outline val="0"/>
        <shadow val="0"/>
        <u val="none"/>
        <vertAlign val="baseline"/>
        <sz val="11"/>
        <color rgb="FFFFCCCC"/>
        <name val="Calibri"/>
        <scheme val="minor"/>
      </font>
      <alignment horizontal="center" vertical="center" textRotation="0" wrapText="0" relativeIndent="0" justifyLastLine="0" shrinkToFit="0" readingOrder="0"/>
      <border diagonalUp="0" diagonalDown="0" outline="0">
        <left/>
        <right/>
        <top/>
        <bottom style="thick">
          <color indexed="64"/>
        </bottom>
      </border>
    </dxf>
    <dxf>
      <font>
        <strike val="0"/>
        <outline val="0"/>
        <shadow val="0"/>
        <u val="none"/>
        <vertAlign val="baseline"/>
        <sz val="11"/>
        <color theme="0"/>
        <name val="Calibri"/>
        <scheme val="minor"/>
      </font>
      <fill>
        <patternFill patternType="solid">
          <fgColor indexed="64"/>
          <bgColor theme="0"/>
        </patternFill>
      </fill>
      <alignment horizontal="center" vertical="center" textRotation="0" wrapText="0" indent="0" justifyLastLine="0" shrinkToFit="0" readingOrder="0"/>
      <border diagonalUp="0" diagonalDown="0" outline="0">
        <left style="dotted">
          <color auto="1"/>
        </left>
        <right style="dotted">
          <color auto="1"/>
        </right>
        <top style="dotted">
          <color auto="1"/>
        </top>
        <bottom style="dotted">
          <color auto="1"/>
        </bottom>
      </border>
    </dxf>
    <dxf>
      <alignment horizontal="center" vertical="center" textRotation="0" wrapText="0" relativeIndent="0" justifyLastLine="0" shrinkToFit="0" readingOrder="0"/>
      <border diagonalUp="0" diagonalDown="0" outline="0">
        <left style="thick">
          <color auto="1"/>
        </left>
        <right/>
        <top/>
        <bottom style="thick">
          <color auto="1"/>
        </bottom>
      </border>
    </dxf>
    <dxf>
      <numFmt numFmtId="0" formatCode="General"/>
      <alignment horizontal="center" vertical="center" textRotation="0" wrapText="0" indent="0" justifyLastLine="0" shrinkToFit="0" readingOrder="0"/>
      <border diagonalUp="0" diagonalDown="0" outline="0">
        <left/>
        <right/>
        <top style="dotted">
          <color auto="1"/>
        </top>
        <bottom style="dotted">
          <color auto="1"/>
        </bottom>
      </border>
    </dxf>
    <dxf>
      <alignment horizontal="center" vertical="center" textRotation="0" wrapText="0" indent="0" justifyLastLine="0" shrinkToFit="0" readingOrder="0"/>
      <border diagonalUp="0" diagonalDown="0">
        <left style="dotted">
          <color auto="1"/>
        </left>
        <right style="dotted">
          <color auto="1"/>
        </right>
        <top/>
        <bottom/>
        <vertical style="dotted">
          <color auto="1"/>
        </vertical>
        <horizontal style="dotted">
          <color auto="1"/>
        </horizontal>
      </border>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left style="dotted">
          <color auto="1"/>
        </left>
        <right style="dotted">
          <color auto="1"/>
        </right>
        <top/>
        <bottom/>
        <vertical style="dotted">
          <color auto="1"/>
        </vertical>
        <horizontal style="dotted">
          <color auto="1"/>
        </horizontal>
      </border>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ill>
        <patternFill>
          <bgColor theme="0" tint="-0.24994659260841701"/>
        </patternFill>
      </fill>
    </dxf>
    <dxf>
      <font>
        <b/>
        <i/>
      </font>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font>
      <alignment horizontal="center" vertical="bottom" textRotation="0" wrapText="0" indent="0" justifyLastLine="0" shrinkToFit="0" readingOrder="0"/>
    </dxf>
    <dxf>
      <fill>
        <patternFill>
          <bgColor theme="8"/>
        </patternFill>
      </fil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15" formatCode="0.00E+00"/>
      <alignment horizontal="right" vertical="bottom" textRotation="0" wrapText="0" indent="0" justifyLastLine="0" shrinkToFit="0" readingOrder="0"/>
    </dxf>
    <dxf>
      <numFmt numFmtId="15" formatCode="0.00E+00"/>
      <alignment horizontal="right" vertical="bottom" textRotation="0" wrapText="0" indent="0" justifyLastLine="0" shrinkToFit="0" readingOrder="0"/>
    </dxf>
    <dxf>
      <numFmt numFmtId="15" formatCode="0.00E+00"/>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1"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1"/>
        <color theme="1"/>
        <name val="Calibri"/>
        <scheme val="minor"/>
      </font>
      <numFmt numFmtId="0" formatCode="General"/>
      <alignment horizontal="center" vertical="bottom" textRotation="0" wrapText="0" indent="0" justifyLastLine="0" shrinkToFit="0" readingOrder="0"/>
    </dxf>
    <dxf>
      <numFmt numFmtId="0" formatCode="General"/>
    </dxf>
    <dxf>
      <numFmt numFmtId="0" formatCode="General"/>
    </dxf>
    <dxf>
      <font>
        <i/>
      </font>
      <numFmt numFmtId="2" formatCode="0.00"/>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ont>
        <i/>
      </font>
      <alignment horizontal="center" vertical="bottom" textRotation="0" wrapText="0" indent="0" justifyLastLine="0" shrinkToFit="0" readingOrder="0"/>
    </dxf>
    <dxf>
      <numFmt numFmtId="0" formatCode="General"/>
      <alignment horizontal="center" vertical="bottom" textRotation="0" wrapText="0" indent="0" justifyLastLine="0" shrinkToFit="1" readingOrder="0"/>
    </dxf>
    <dxf>
      <numFmt numFmtId="0" formatCode="General"/>
    </dxf>
    <dxf>
      <numFmt numFmtId="0" formatCode="General"/>
    </dxf>
    <dxf>
      <numFmt numFmtId="0" formatCode="General"/>
    </dxf>
    <dxf>
      <numFmt numFmtId="0" formatCode="General"/>
    </dxf>
    <dxf>
      <numFmt numFmtId="0" formatCode="General"/>
    </dxf>
    <dxf>
      <font>
        <i/>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center" vertical="bottom" textRotation="0" wrapText="0" indent="0" justifyLastLine="0" shrinkToFit="1" readingOrder="0"/>
    </dxf>
    <dxf>
      <font>
        <b/>
        <i/>
        <strike val="0"/>
        <condense val="0"/>
        <extend val="0"/>
        <outline val="0"/>
        <shadow val="0"/>
        <u val="none"/>
        <vertAlign val="baseline"/>
        <sz val="11"/>
        <color theme="0"/>
        <name val="Calibri"/>
        <scheme val="minor"/>
      </font>
      <fill>
        <patternFill patternType="solid">
          <fgColor theme="7"/>
          <bgColor theme="7"/>
        </patternFill>
      </fill>
      <alignment horizontal="center" vertical="center" textRotation="0" wrapText="0" indent="0" justifyLastLine="0" shrinkToFit="0" readingOrder="0"/>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theme="1"/>
        </patternFill>
      </fill>
    </dxf>
    <dxf>
      <fill>
        <patternFill>
          <bgColor rgb="FFFF9999"/>
        </patternFill>
      </fill>
    </dxf>
    <dxf>
      <fill>
        <patternFill>
          <bgColor rgb="FFFF9999"/>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alignment horizontal="center" vertical="bottom" textRotation="0" wrapText="0" indent="0" justifyLastLine="0" shrinkToFit="0" readingOrder="0"/>
    </dxf>
    <dxf>
      <border outline="0">
        <top style="medium">
          <color theme="1"/>
        </top>
      </border>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border outline="0">
        <bottom style="medium">
          <color theme="1"/>
        </bottom>
      </border>
    </dxf>
    <dxf>
      <font>
        <b/>
        <i val="0"/>
        <strike val="0"/>
        <condense val="0"/>
        <extend val="0"/>
        <outline val="0"/>
        <shadow val="0"/>
        <u val="none"/>
        <vertAlign val="baseline"/>
        <sz val="11"/>
        <color theme="0"/>
        <name val="Calibri"/>
        <scheme val="minor"/>
      </font>
      <fill>
        <patternFill patternType="solid">
          <fgColor theme="9"/>
          <bgColor theme="9"/>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readingOrder="0"/>
    </dxf>
    <dxf>
      <alignment horizontal="center" vertical="center" textRotation="0" wrapText="0" indent="0" justifyLastLine="0" readingOrder="0"/>
    </dxf>
    <dxf>
      <alignment horizontal="center" vertical="center" textRotation="0" wrapText="0" indent="0" justifyLastLine="0" readingOrder="0"/>
    </dxf>
    <dxf>
      <alignment horizontal="center" vertical="center" textRotation="0" wrapText="0" indent="0" justifyLastLine="0" readingOrder="0"/>
    </dxf>
    <dxf>
      <alignment horizontal="center" vertical="center" textRotation="0" wrapText="0" indent="0" justifyLastLine="0" readingOrder="0"/>
    </dxf>
    <dxf>
      <alignment horizontal="center" vertical="center" textRotation="0" wrapText="0" indent="0" justifyLastLine="0" readingOrder="0"/>
    </dxf>
    <dxf>
      <alignment horizontal="center" vertical="center" textRotation="0" wrapText="0" indent="0" justifyLastLine="0" readingOrder="0"/>
    </dxf>
    <dxf>
      <alignment horizontal="center" vertical="center" textRotation="0" wrapText="0" indent="0" justifyLastLine="0" readingOrder="0"/>
    </dxf>
    <dxf>
      <alignment horizontal="center" vertical="center" textRotation="0" wrapText="0" indent="0" justifyLastLine="0" readingOrder="0"/>
    </dxf>
    <dxf>
      <alignment horizontal="center" vertical="center"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fill>
        <patternFill patternType="none">
          <fgColor indexed="64"/>
          <bgColor auto="1"/>
        </patternFill>
      </fill>
    </dxf>
    <dxf>
      <alignment horizontal="center"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fill>
        <patternFill>
          <fgColor indexed="64"/>
          <bgColor rgb="FFFF9999"/>
        </patternFill>
      </fill>
    </dxf>
    <dxf>
      <fill>
        <patternFill>
          <bgColor rgb="FFFFCCCC"/>
        </patternFill>
      </fill>
    </dxf>
    <dxf>
      <fill>
        <patternFill>
          <bgColor theme="1"/>
        </patternFill>
      </fill>
    </dxf>
    <dxf>
      <fill>
        <patternFill>
          <fgColor indexed="64"/>
          <bgColor rgb="FFFF9999"/>
        </patternFill>
      </fill>
    </dxf>
    <dxf>
      <fill>
        <patternFill>
          <fgColor indexed="64"/>
          <bgColor rgb="FFFF9999"/>
        </patternFill>
      </fill>
    </dxf>
    <dxf>
      <fill>
        <patternFill>
          <fgColor indexed="64"/>
          <bgColor rgb="FFFF9999"/>
        </patternFill>
      </fill>
    </dxf>
    <dxf>
      <fill>
        <patternFill>
          <fgColor indexed="64"/>
          <bgColor rgb="FFFF9999"/>
        </patternFill>
      </fill>
    </dxf>
    <dxf>
      <numFmt numFmtId="0" formatCode="General"/>
      <alignment horizontal="center"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2" formatCode="0.00"/>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2" formatCode="0.00"/>
    </dxf>
    <dxf>
      <alignment horizontal="center" vertical="center" textRotation="0" wrapText="0" indent="0" justifyLastLine="0" shrinkToFit="0" readingOrder="0"/>
    </dxf>
    <dxf>
      <fill>
        <patternFill>
          <bgColor rgb="FFFF9999"/>
        </patternFill>
      </fill>
    </dxf>
    <dxf>
      <fill>
        <patternFill>
          <bgColor rgb="FFFF9999"/>
        </patternFill>
      </fill>
    </dxf>
    <dxf>
      <fill>
        <patternFill>
          <bgColor rgb="FFFF9999"/>
        </patternFill>
      </fill>
    </dxf>
    <dxf>
      <fill>
        <patternFill>
          <bgColor rgb="FFFF9999"/>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alignment horizontal="center" vertical="bottom" textRotation="0" wrapText="0" indent="0" justifyLastLine="0" shrinkToFit="0" readingOrder="0"/>
    </dxf>
    <dxf>
      <border outline="0">
        <top style="medium">
          <color theme="1"/>
        </top>
      </border>
    </dxf>
    <dxf>
      <font>
        <b val="0"/>
        <i val="0"/>
        <strike val="0"/>
        <condense val="0"/>
        <extend val="0"/>
        <outline val="0"/>
        <shadow val="0"/>
        <u val="none"/>
        <vertAlign val="baseline"/>
        <sz val="11"/>
        <color theme="1"/>
        <name val="Calibri"/>
        <scheme val="minor"/>
      </font>
      <fill>
        <patternFill patternType="none">
          <fgColor indexed="64"/>
          <bgColor auto="1"/>
        </patternFill>
      </fill>
    </dxf>
    <dxf>
      <border outline="0">
        <bottom style="medium">
          <color theme="1"/>
        </bottom>
      </border>
    </dxf>
    <dxf>
      <font>
        <b/>
        <i val="0"/>
        <strike val="0"/>
        <condense val="0"/>
        <extend val="0"/>
        <outline val="0"/>
        <shadow val="0"/>
        <u val="none"/>
        <vertAlign val="baseline"/>
        <sz val="11"/>
        <color theme="0"/>
        <name val="Calibri"/>
        <scheme val="minor"/>
      </font>
      <fill>
        <patternFill patternType="solid">
          <fgColor theme="9"/>
          <bgColor theme="9"/>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alignment horizontal="center" vertical="center" textRotation="0" wrapText="0" indent="0" justifyLastLine="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alignment horizontal="center" vertical="center" textRotation="0" wrapText="0" indent="0" justifyLastLine="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alignment horizontal="center" vertical="center" textRotation="0" wrapText="0" indent="0" justifyLastLine="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alignment horizontal="center" vertical="center" textRotation="0" wrapText="0" indent="0" justifyLastLine="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alignment horizontal="center" vertical="center" textRotation="0" wrapText="0" indent="0" justifyLastLine="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alignment horizontal="center" vertical="center" textRotation="0" wrapText="0" indent="0" justifyLastLine="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alignment horizontal="center" vertical="center" textRotation="0" wrapText="0" indent="0" justifyLastLine="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alignment horizontal="center" vertical="center" textRotation="0" wrapText="0" indent="0" justifyLastLine="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alignment horizontal="center" vertical="center" textRotation="0" wrapText="0" indent="0" justifyLastLine="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center" vertical="center" textRotation="0" wrapText="0" indent="0" justifyLastLine="0" shrinkToFit="0" readingOrder="0"/>
    </dxf>
    <dxf>
      <numFmt numFmtId="0" formatCode="General"/>
    </dxf>
    <dxf>
      <numFmt numFmtId="0" formatCode="General"/>
    </dxf>
    <dxf>
      <fill>
        <patternFill patternType="none">
          <fgColor indexed="64"/>
          <bgColor auto="1"/>
        </patternFill>
      </fill>
    </dxf>
    <dxf>
      <numFmt numFmtId="2" formatCode="0.00"/>
      <alignment horizontal="center" vertical="center"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fill>
        <patternFill>
          <fgColor indexed="64"/>
          <bgColor rgb="FFFF9999"/>
        </patternFill>
      </fill>
    </dxf>
    <dxf>
      <fill>
        <patternFill>
          <bgColor rgb="FFFFCCCC"/>
        </patternFill>
      </fill>
    </dxf>
    <dxf>
      <fill>
        <patternFill>
          <bgColor rgb="FFFFCCCC"/>
        </patternFill>
      </fill>
    </dxf>
    <dxf>
      <fill>
        <patternFill>
          <bgColor rgb="FFFFCCCC"/>
        </patternFill>
      </fill>
    </dxf>
    <dxf>
      <fill>
        <patternFill>
          <bgColor theme="1"/>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theme="1"/>
        </patternFill>
      </fill>
    </dxf>
    <dxf>
      <fill>
        <patternFill>
          <fgColor indexed="64"/>
          <bgColor rgb="FFFF9999"/>
        </patternFill>
      </fill>
    </dxf>
    <dxf>
      <fill>
        <patternFill>
          <fgColor indexed="64"/>
          <bgColor rgb="FFFF9999"/>
        </patternFill>
      </fill>
    </dxf>
    <dxf>
      <fill>
        <patternFill>
          <fgColor indexed="64"/>
          <bgColor rgb="FFFF9999"/>
        </patternFill>
      </fill>
    </dxf>
    <dxf>
      <fill>
        <patternFill>
          <fgColor indexed="64"/>
          <bgColor rgb="FFFF9999"/>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theme="1"/>
        </patternFill>
      </fill>
    </dxf>
    <dxf>
      <font>
        <b/>
        <i val="0"/>
      </font>
      <fill>
        <patternFill>
          <bgColor rgb="FFFFCCCC"/>
        </patternFill>
      </fill>
      <border>
        <left style="medium">
          <color auto="1"/>
        </left>
        <right style="medium">
          <color auto="1"/>
        </right>
        <top style="medium">
          <color auto="1"/>
        </top>
        <bottom style="medium">
          <color auto="1"/>
        </bottom>
      </border>
    </dxf>
    <dxf>
      <font>
        <b/>
        <i val="0"/>
      </font>
      <fill>
        <patternFill>
          <bgColor theme="9" tint="0.79998168889431442"/>
        </patternFill>
      </fill>
      <border>
        <left style="medium">
          <color auto="1"/>
        </left>
        <right style="medium">
          <color auto="1"/>
        </right>
        <top style="medium">
          <color auto="1"/>
        </top>
        <bottom style="medium">
          <color auto="1"/>
        </bottom>
        <horizontal style="medium">
          <color auto="1"/>
        </horizontal>
      </border>
    </dxf>
    <dxf>
      <border>
        <left style="medium">
          <color auto="1"/>
        </left>
        <right style="medium">
          <color auto="1"/>
        </right>
        <top style="medium">
          <color auto="1"/>
        </top>
        <bottom style="medium">
          <color auto="1"/>
        </bottom>
        <vertical style="dotted">
          <color auto="1"/>
        </vertical>
        <horizontal style="dotted">
          <color auto="1"/>
        </horizontal>
      </border>
    </dxf>
    <dxf>
      <font>
        <b/>
        <i val="0"/>
      </font>
      <fill>
        <patternFill>
          <bgColor rgb="FFD7D7D7"/>
        </patternFill>
      </fill>
    </dxf>
    <dxf>
      <font>
        <b val="0"/>
        <i val="0"/>
      </font>
      <fill>
        <patternFill patternType="none">
          <bgColor indexed="65"/>
        </patternFill>
      </fill>
    </dxf>
  </dxfs>
  <tableStyles count="2" defaultTableStyle="TableStyleMedium2" defaultPivotStyle="PivotStyleLight16">
    <tableStyle name="MySqlDefault" pivot="0" table="0" count="2" xr9:uid="{00000000-0011-0000-FFFF-FFFF00000000}">
      <tableStyleElement type="wholeTable" dxfId="1804"/>
      <tableStyleElement type="headerRow" dxfId="1803"/>
    </tableStyle>
    <tableStyle name="Моя таблица" pivot="0" count="3" xr9:uid="{00000000-0011-0000-FFFF-FFFF01000000}">
      <tableStyleElement type="wholeTable" dxfId="1802"/>
      <tableStyleElement type="headerRow" dxfId="1801"/>
      <tableStyleElement type="totalRow" dxfId="1800"/>
    </tableStyle>
  </tableStyles>
  <colors>
    <mruColors>
      <color rgb="FFFFCCCC"/>
      <color rgb="FFFF9999"/>
      <color rgb="FF99FF99"/>
      <color rgb="FF00D66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manualLayout>
          <c:layoutTarget val="inner"/>
          <c:xMode val="edge"/>
          <c:yMode val="edge"/>
          <c:x val="4.5557693564571504E-2"/>
          <c:y val="0.1101917408812074"/>
          <c:w val="0.94664359282910493"/>
          <c:h val="0.83510972730304889"/>
        </c:manualLayout>
      </c:layout>
      <c:lineChart>
        <c:grouping val="standard"/>
        <c:varyColors val="0"/>
        <c:ser>
          <c:idx val="0"/>
          <c:order val="0"/>
          <c:spPr>
            <a:ln w="28575" cap="rnd">
              <a:solidFill>
                <a:schemeClr val="accent1"/>
              </a:solidFill>
              <a:round/>
            </a:ln>
            <a:effectLst/>
          </c:spPr>
          <c:marker>
            <c:symbol val="none"/>
          </c:marker>
          <c:val>
            <c:numRef>
              <c:f>Множество_202207112140401240!$AC$2:$AC$350</c:f>
              <c:numCache>
                <c:formatCode>General</c:formatCode>
                <c:ptCount val="349"/>
                <c:pt idx="0">
                  <c:v>2.8666666666666298</c:v>
                </c:pt>
                <c:pt idx="1">
                  <c:v>2.9749999999999703</c:v>
                </c:pt>
                <c:pt idx="2">
                  <c:v>3.0833333333333011</c:v>
                </c:pt>
                <c:pt idx="3">
                  <c:v>3.17500000000003</c:v>
                </c:pt>
                <c:pt idx="4">
                  <c:v>3.2833333333333705</c:v>
                </c:pt>
                <c:pt idx="5">
                  <c:v>3.375</c:v>
                </c:pt>
                <c:pt idx="6">
                  <c:v>3.4833333333333307</c:v>
                </c:pt>
                <c:pt idx="7">
                  <c:v>3.5916666666666694</c:v>
                </c:pt>
                <c:pt idx="8">
                  <c:v>4.1333333333333</c:v>
                </c:pt>
                <c:pt idx="9">
                  <c:v>4.1333333333333</c:v>
                </c:pt>
                <c:pt idx="10">
                  <c:v>4.2083333333333295</c:v>
                </c:pt>
                <c:pt idx="11">
                  <c:v>4.3416666666666988</c:v>
                </c:pt>
                <c:pt idx="12">
                  <c:v>4.4166666666666305</c:v>
                </c:pt>
                <c:pt idx="13">
                  <c:v>4.4666666666666313</c:v>
                </c:pt>
                <c:pt idx="14">
                  <c:v>4.4416666666667002</c:v>
                </c:pt>
                <c:pt idx="15">
                  <c:v>4.4833333333332996</c:v>
                </c:pt>
                <c:pt idx="16">
                  <c:v>4.5666666666667002</c:v>
                </c:pt>
                <c:pt idx="17">
                  <c:v>4.55833333333337</c:v>
                </c:pt>
                <c:pt idx="18">
                  <c:v>4.5416666666666998</c:v>
                </c:pt>
                <c:pt idx="19">
                  <c:v>4.4916666666666707</c:v>
                </c:pt>
                <c:pt idx="20">
                  <c:v>4.4749999999999703</c:v>
                </c:pt>
                <c:pt idx="21">
                  <c:v>4.5166666666666693</c:v>
                </c:pt>
                <c:pt idx="22">
                  <c:v>4.5500000000000291</c:v>
                </c:pt>
                <c:pt idx="23">
                  <c:v>4.5083333333333302</c:v>
                </c:pt>
                <c:pt idx="24">
                  <c:v>4.69999999999997</c:v>
                </c:pt>
                <c:pt idx="25">
                  <c:v>4.7749999999999995</c:v>
                </c:pt>
                <c:pt idx="26">
                  <c:v>4.8500000000000307</c:v>
                </c:pt>
                <c:pt idx="27">
                  <c:v>4.9833333333333005</c:v>
                </c:pt>
                <c:pt idx="28">
                  <c:v>4.9249999999999705</c:v>
                </c:pt>
                <c:pt idx="29">
                  <c:v>5.05833333333333</c:v>
                </c:pt>
                <c:pt idx="30">
                  <c:v>5.1333333333333693</c:v>
                </c:pt>
                <c:pt idx="31">
                  <c:v>5.2083333333332993</c:v>
                </c:pt>
                <c:pt idx="32">
                  <c:v>5.3416666666666703</c:v>
                </c:pt>
                <c:pt idx="33">
                  <c:v>5.4166666666666998</c:v>
                </c:pt>
                <c:pt idx="34">
                  <c:v>5.4916666666666298</c:v>
                </c:pt>
                <c:pt idx="35">
                  <c:v>5.56666666666667</c:v>
                </c:pt>
                <c:pt idx="36">
                  <c:v>5.7000000000000295</c:v>
                </c:pt>
                <c:pt idx="37">
                  <c:v>5.625</c:v>
                </c:pt>
                <c:pt idx="38">
                  <c:v>5.774999999999971</c:v>
                </c:pt>
                <c:pt idx="39">
                  <c:v>5.8500000000000005</c:v>
                </c:pt>
                <c:pt idx="40">
                  <c:v>5.9833333333333698</c:v>
                </c:pt>
                <c:pt idx="41">
                  <c:v>6.0583333333332998</c:v>
                </c:pt>
                <c:pt idx="42">
                  <c:v>6.1333333333333293</c:v>
                </c:pt>
                <c:pt idx="43">
                  <c:v>6.2083333333333703</c:v>
                </c:pt>
                <c:pt idx="44">
                  <c:v>6.2666666666667004</c:v>
                </c:pt>
                <c:pt idx="45">
                  <c:v>6.3416666666666304</c:v>
                </c:pt>
                <c:pt idx="46">
                  <c:v>6.4166666666666696</c:v>
                </c:pt>
                <c:pt idx="47">
                  <c:v>6.4916666666666991</c:v>
                </c:pt>
                <c:pt idx="48">
                  <c:v>6.6249999999999698</c:v>
                </c:pt>
                <c:pt idx="49">
                  <c:v>6.5666666666666291</c:v>
                </c:pt>
                <c:pt idx="50">
                  <c:v>6.7750000000000306</c:v>
                </c:pt>
                <c:pt idx="51">
                  <c:v>6.7000000000000011</c:v>
                </c:pt>
                <c:pt idx="52">
                  <c:v>6.8499999999999703</c:v>
                </c:pt>
                <c:pt idx="53">
                  <c:v>6.9083333333333004</c:v>
                </c:pt>
                <c:pt idx="54">
                  <c:v>6.9833333333333298</c:v>
                </c:pt>
                <c:pt idx="55">
                  <c:v>7.0583333333333691</c:v>
                </c:pt>
                <c:pt idx="56">
                  <c:v>7.15</c:v>
                </c:pt>
                <c:pt idx="57">
                  <c:v>7.2250000000000298</c:v>
                </c:pt>
                <c:pt idx="58">
                  <c:v>7.2999999999999696</c:v>
                </c:pt>
                <c:pt idx="59">
                  <c:v>7.3916666666667004</c:v>
                </c:pt>
                <c:pt idx="60">
                  <c:v>7.5083333333333284</c:v>
                </c:pt>
                <c:pt idx="61">
                  <c:v>7.4666666666666996</c:v>
                </c:pt>
                <c:pt idx="62">
                  <c:v>7.5416666666666696</c:v>
                </c:pt>
                <c:pt idx="63">
                  <c:v>7.4666666666666304</c:v>
                </c:pt>
                <c:pt idx="64">
                  <c:v>7.6500000000000288</c:v>
                </c:pt>
                <c:pt idx="65">
                  <c:v>7.6083333333333005</c:v>
                </c:pt>
                <c:pt idx="66">
                  <c:v>7.6166666666666991</c:v>
                </c:pt>
                <c:pt idx="67">
                  <c:v>7.7333333333333005</c:v>
                </c:pt>
                <c:pt idx="68">
                  <c:v>7.6916666666666718</c:v>
                </c:pt>
                <c:pt idx="69">
                  <c:v>7.7083333333333304</c:v>
                </c:pt>
                <c:pt idx="70">
                  <c:v>7.8000000000000309</c:v>
                </c:pt>
                <c:pt idx="71">
                  <c:v>7.8166666666666993</c:v>
                </c:pt>
                <c:pt idx="72">
                  <c:v>7.7750000000000004</c:v>
                </c:pt>
                <c:pt idx="73">
                  <c:v>7.8333333333333686</c:v>
                </c:pt>
                <c:pt idx="74">
                  <c:v>7.875</c:v>
                </c:pt>
                <c:pt idx="75">
                  <c:v>7.7833333333333705</c:v>
                </c:pt>
                <c:pt idx="76">
                  <c:v>7.8916666666666684</c:v>
                </c:pt>
                <c:pt idx="77">
                  <c:v>7.8499999999999694</c:v>
                </c:pt>
                <c:pt idx="78">
                  <c:v>7.93333333333333</c:v>
                </c:pt>
                <c:pt idx="79">
                  <c:v>7.8583333333333005</c:v>
                </c:pt>
                <c:pt idx="80">
                  <c:v>7.80833333333337</c:v>
                </c:pt>
                <c:pt idx="81">
                  <c:v>7.8833333333333293</c:v>
                </c:pt>
                <c:pt idx="82">
                  <c:v>7.8416666666666304</c:v>
                </c:pt>
                <c:pt idx="83">
                  <c:v>7.9166666666666297</c:v>
                </c:pt>
                <c:pt idx="84">
                  <c:v>7.8750000000000009</c:v>
                </c:pt>
                <c:pt idx="85">
                  <c:v>8.05833333333333</c:v>
                </c:pt>
                <c:pt idx="86">
                  <c:v>8.0166666666667012</c:v>
                </c:pt>
                <c:pt idx="87">
                  <c:v>7.9583333333333712</c:v>
                </c:pt>
                <c:pt idx="88">
                  <c:v>8.0249999999999702</c:v>
                </c:pt>
                <c:pt idx="89">
                  <c:v>8.1000000000000014</c:v>
                </c:pt>
                <c:pt idx="90">
                  <c:v>8.1416666666667012</c:v>
                </c:pt>
                <c:pt idx="91">
                  <c:v>8.0999999999999694</c:v>
                </c:pt>
                <c:pt idx="92">
                  <c:v>8.2416666666666689</c:v>
                </c:pt>
                <c:pt idx="93">
                  <c:v>8.1750000000000291</c:v>
                </c:pt>
                <c:pt idx="94">
                  <c:v>8.2666666666666693</c:v>
                </c:pt>
                <c:pt idx="95">
                  <c:v>8.3666666666666689</c:v>
                </c:pt>
                <c:pt idx="96">
                  <c:v>8.3250000000000295</c:v>
                </c:pt>
                <c:pt idx="97">
                  <c:v>8.2833333333333012</c:v>
                </c:pt>
                <c:pt idx="98">
                  <c:v>8.3416666666667005</c:v>
                </c:pt>
                <c:pt idx="99">
                  <c:v>8.4666666666666313</c:v>
                </c:pt>
                <c:pt idx="100">
                  <c:v>8.4166666666666305</c:v>
                </c:pt>
                <c:pt idx="101">
                  <c:v>8.4249999999999989</c:v>
                </c:pt>
                <c:pt idx="102">
                  <c:v>8.5500000000000007</c:v>
                </c:pt>
                <c:pt idx="103">
                  <c:v>8.5083333333333684</c:v>
                </c:pt>
                <c:pt idx="104">
                  <c:v>8.4916666666666707</c:v>
                </c:pt>
                <c:pt idx="105">
                  <c:v>8.5833333333333002</c:v>
                </c:pt>
                <c:pt idx="106">
                  <c:v>8.6583333333333314</c:v>
                </c:pt>
                <c:pt idx="107">
                  <c:v>8.6499999999999702</c:v>
                </c:pt>
                <c:pt idx="108">
                  <c:v>8.7749999999999702</c:v>
                </c:pt>
                <c:pt idx="109">
                  <c:v>8.7333333333333307</c:v>
                </c:pt>
                <c:pt idx="110">
                  <c:v>8.6916666666666984</c:v>
                </c:pt>
                <c:pt idx="111">
                  <c:v>8.7333333333333698</c:v>
                </c:pt>
                <c:pt idx="112">
                  <c:v>8.8249999999999993</c:v>
                </c:pt>
                <c:pt idx="113">
                  <c:v>8.8333333333333002</c:v>
                </c:pt>
                <c:pt idx="114">
                  <c:v>8.875000000000032</c:v>
                </c:pt>
                <c:pt idx="115">
                  <c:v>8.9749999999999712</c:v>
                </c:pt>
                <c:pt idx="116">
                  <c:v>8.9000000000000288</c:v>
                </c:pt>
                <c:pt idx="117">
                  <c:v>8.9583333333332984</c:v>
                </c:pt>
                <c:pt idx="118">
                  <c:v>8.9166666666666696</c:v>
                </c:pt>
                <c:pt idx="119">
                  <c:v>9.0000000000000302</c:v>
                </c:pt>
                <c:pt idx="120">
                  <c:v>9.0583333333333709</c:v>
                </c:pt>
                <c:pt idx="121">
                  <c:v>9.0500000000000007</c:v>
                </c:pt>
                <c:pt idx="122">
                  <c:v>9.1833333333333691</c:v>
                </c:pt>
                <c:pt idx="123">
                  <c:v>9.1416666666666302</c:v>
                </c:pt>
                <c:pt idx="124">
                  <c:v>9.1</c:v>
                </c:pt>
                <c:pt idx="125">
                  <c:v>9.141666666666632</c:v>
                </c:pt>
                <c:pt idx="126">
                  <c:v>9.1333333333333009</c:v>
                </c:pt>
                <c:pt idx="127">
                  <c:v>9.2833333333333279</c:v>
                </c:pt>
                <c:pt idx="128">
                  <c:v>9.2416666666666991</c:v>
                </c:pt>
                <c:pt idx="129">
                  <c:v>9.2166666666666686</c:v>
                </c:pt>
                <c:pt idx="130">
                  <c:v>9.2916666666666998</c:v>
                </c:pt>
                <c:pt idx="131">
                  <c:v>9.3666666666666316</c:v>
                </c:pt>
                <c:pt idx="132">
                  <c:v>9.3500000000000014</c:v>
                </c:pt>
                <c:pt idx="133">
                  <c:v>9.3249999999999709</c:v>
                </c:pt>
                <c:pt idx="134">
                  <c:v>9.4583333333333002</c:v>
                </c:pt>
                <c:pt idx="135">
                  <c:v>9.3916666666666302</c:v>
                </c:pt>
                <c:pt idx="136">
                  <c:v>9.4333333333333691</c:v>
                </c:pt>
                <c:pt idx="137">
                  <c:v>9.4666666666666313</c:v>
                </c:pt>
                <c:pt idx="138">
                  <c:v>9.4583333333333695</c:v>
                </c:pt>
                <c:pt idx="139">
                  <c:v>9.4416666666667002</c:v>
                </c:pt>
                <c:pt idx="140">
                  <c:v>9.4833333333332988</c:v>
                </c:pt>
                <c:pt idx="141">
                  <c:v>9.5583333333333691</c:v>
                </c:pt>
                <c:pt idx="142">
                  <c:v>9.5416666666666998</c:v>
                </c:pt>
                <c:pt idx="143">
                  <c:v>9.500000000000032</c:v>
                </c:pt>
                <c:pt idx="144">
                  <c:v>9.5166666666666693</c:v>
                </c:pt>
                <c:pt idx="145">
                  <c:v>9.5416666666666696</c:v>
                </c:pt>
                <c:pt idx="146">
                  <c:v>9.5333333333332995</c:v>
                </c:pt>
                <c:pt idx="147">
                  <c:v>9.5333333333332995</c:v>
                </c:pt>
                <c:pt idx="148">
                  <c:v>9.4749999999999694</c:v>
                </c:pt>
                <c:pt idx="149">
                  <c:v>9.5083333333333293</c:v>
                </c:pt>
                <c:pt idx="150">
                  <c:v>9.5500000000000291</c:v>
                </c:pt>
                <c:pt idx="151">
                  <c:v>9.608333333333329</c:v>
                </c:pt>
                <c:pt idx="152">
                  <c:v>9.6333333333333009</c:v>
                </c:pt>
                <c:pt idx="153">
                  <c:v>9.5833333333333002</c:v>
                </c:pt>
                <c:pt idx="154">
                  <c:v>9.5916666666667005</c:v>
                </c:pt>
                <c:pt idx="155">
                  <c:v>9.7333333333333307</c:v>
                </c:pt>
                <c:pt idx="156">
                  <c:v>9.6916666666667002</c:v>
                </c:pt>
                <c:pt idx="157">
                  <c:v>9.6499999999999702</c:v>
                </c:pt>
                <c:pt idx="158">
                  <c:v>9.6916666666667002</c:v>
                </c:pt>
                <c:pt idx="159">
                  <c:v>9.8000000000000007</c:v>
                </c:pt>
                <c:pt idx="160">
                  <c:v>9.7583333333333684</c:v>
                </c:pt>
                <c:pt idx="161">
                  <c:v>9.8083333333332998</c:v>
                </c:pt>
                <c:pt idx="162">
                  <c:v>9.75</c:v>
                </c:pt>
                <c:pt idx="163">
                  <c:v>9.8666666666666707</c:v>
                </c:pt>
                <c:pt idx="164">
                  <c:v>9.9083333333333012</c:v>
                </c:pt>
                <c:pt idx="165">
                  <c:v>9.8416666666666295</c:v>
                </c:pt>
                <c:pt idx="166">
                  <c:v>9.8500000000000014</c:v>
                </c:pt>
                <c:pt idx="167">
                  <c:v>9.9500000000000295</c:v>
                </c:pt>
                <c:pt idx="168">
                  <c:v>9.9083333333332995</c:v>
                </c:pt>
                <c:pt idx="169">
                  <c:v>10.025</c:v>
                </c:pt>
                <c:pt idx="170">
                  <c:v>10.05833333333333</c:v>
                </c:pt>
                <c:pt idx="171">
                  <c:v>9.9666666666666988</c:v>
                </c:pt>
                <c:pt idx="172">
                  <c:v>9.9916666666666707</c:v>
                </c:pt>
                <c:pt idx="173">
                  <c:v>10.016666666666701</c:v>
                </c:pt>
                <c:pt idx="174">
                  <c:v>10.125</c:v>
                </c:pt>
                <c:pt idx="175">
                  <c:v>10.0666666666667</c:v>
                </c:pt>
                <c:pt idx="176">
                  <c:v>10.099999999999969</c:v>
                </c:pt>
                <c:pt idx="177">
                  <c:v>10.125</c:v>
                </c:pt>
                <c:pt idx="178">
                  <c:v>10.208333333333369</c:v>
                </c:pt>
                <c:pt idx="179">
                  <c:v>10.166666666666631</c:v>
                </c:pt>
                <c:pt idx="180">
                  <c:v>10.1833333333333</c:v>
                </c:pt>
                <c:pt idx="181">
                  <c:v>10.275000000000031</c:v>
                </c:pt>
                <c:pt idx="182">
                  <c:v>10.283333333333301</c:v>
                </c:pt>
                <c:pt idx="183">
                  <c:v>10.225</c:v>
                </c:pt>
                <c:pt idx="184">
                  <c:v>10.25</c:v>
                </c:pt>
                <c:pt idx="185">
                  <c:v>10.341666666666701</c:v>
                </c:pt>
                <c:pt idx="186">
                  <c:v>10.399999999999999</c:v>
                </c:pt>
                <c:pt idx="187">
                  <c:v>10.400000000000031</c:v>
                </c:pt>
                <c:pt idx="188">
                  <c:v>10.358333333333299</c:v>
                </c:pt>
                <c:pt idx="189">
                  <c:v>10.31666666666667</c:v>
                </c:pt>
                <c:pt idx="190">
                  <c:v>10.466666666666701</c:v>
                </c:pt>
                <c:pt idx="191">
                  <c:v>10.5</c:v>
                </c:pt>
                <c:pt idx="192">
                  <c:v>10.424999999999971</c:v>
                </c:pt>
                <c:pt idx="193">
                  <c:v>10.4416666666667</c:v>
                </c:pt>
                <c:pt idx="194">
                  <c:v>10.558333333333302</c:v>
                </c:pt>
                <c:pt idx="195">
                  <c:v>10.558333333333302</c:v>
                </c:pt>
                <c:pt idx="196">
                  <c:v>10.6666666666667</c:v>
                </c:pt>
                <c:pt idx="197">
                  <c:v>10.600000000000003</c:v>
                </c:pt>
                <c:pt idx="198">
                  <c:v>10.658333333333299</c:v>
                </c:pt>
                <c:pt idx="199">
                  <c:v>10.716666666666702</c:v>
                </c:pt>
                <c:pt idx="200">
                  <c:v>10.775000000000002</c:v>
                </c:pt>
                <c:pt idx="201">
                  <c:v>10.758333333333299</c:v>
                </c:pt>
                <c:pt idx="202">
                  <c:v>10.875</c:v>
                </c:pt>
                <c:pt idx="203">
                  <c:v>10.8166666666667</c:v>
                </c:pt>
                <c:pt idx="204">
                  <c:v>10.850000000000001</c:v>
                </c:pt>
                <c:pt idx="205">
                  <c:v>10.9416666666667</c:v>
                </c:pt>
                <c:pt idx="206">
                  <c:v>10.991666666666699</c:v>
                </c:pt>
                <c:pt idx="207">
                  <c:v>10.9333333333333</c:v>
                </c:pt>
                <c:pt idx="208">
                  <c:v>11.033333333333298</c:v>
                </c:pt>
                <c:pt idx="209">
                  <c:v>11.141666666666699</c:v>
                </c:pt>
                <c:pt idx="210">
                  <c:v>11.05</c:v>
                </c:pt>
                <c:pt idx="211">
                  <c:v>11.091666666666701</c:v>
                </c:pt>
                <c:pt idx="212">
                  <c:v>11.15</c:v>
                </c:pt>
                <c:pt idx="213">
                  <c:v>11.191666666666702</c:v>
                </c:pt>
                <c:pt idx="214">
                  <c:v>11.249999999999998</c:v>
                </c:pt>
                <c:pt idx="215">
                  <c:v>11.233333333333301</c:v>
                </c:pt>
                <c:pt idx="216">
                  <c:v>11.325000000000001</c:v>
                </c:pt>
                <c:pt idx="217">
                  <c:v>11.383333333333297</c:v>
                </c:pt>
                <c:pt idx="218">
                  <c:v>11.308333333333302</c:v>
                </c:pt>
                <c:pt idx="219">
                  <c:v>11.4333333333333</c:v>
                </c:pt>
                <c:pt idx="220">
                  <c:v>11.4416666666667</c:v>
                </c:pt>
                <c:pt idx="221">
                  <c:v>11.524999999999999</c:v>
                </c:pt>
                <c:pt idx="222">
                  <c:v>11.558333333333302</c:v>
                </c:pt>
                <c:pt idx="223">
                  <c:v>11.5</c:v>
                </c:pt>
                <c:pt idx="224">
                  <c:v>11.616666666666701</c:v>
                </c:pt>
                <c:pt idx="225">
                  <c:v>11.6916666666667</c:v>
                </c:pt>
                <c:pt idx="226">
                  <c:v>11.633333333333297</c:v>
                </c:pt>
                <c:pt idx="227">
                  <c:v>11.75</c:v>
                </c:pt>
                <c:pt idx="228">
                  <c:v>11.725</c:v>
                </c:pt>
                <c:pt idx="229">
                  <c:v>11.808333333333303</c:v>
                </c:pt>
                <c:pt idx="230">
                  <c:v>11.8166666666667</c:v>
                </c:pt>
                <c:pt idx="231">
                  <c:v>11.941666666666702</c:v>
                </c:pt>
                <c:pt idx="232">
                  <c:v>11.866666666666699</c:v>
                </c:pt>
                <c:pt idx="233">
                  <c:v>12</c:v>
                </c:pt>
                <c:pt idx="234">
                  <c:v>11.908333333333299</c:v>
                </c:pt>
                <c:pt idx="235">
                  <c:v>11.999999999999996</c:v>
                </c:pt>
                <c:pt idx="236">
                  <c:v>12.0583333333333</c:v>
                </c:pt>
                <c:pt idx="237">
                  <c:v>12.116666666666699</c:v>
                </c:pt>
                <c:pt idx="238">
                  <c:v>12.2</c:v>
                </c:pt>
                <c:pt idx="239">
                  <c:v>12.108333333333301</c:v>
                </c:pt>
                <c:pt idx="240">
                  <c:v>12.25</c:v>
                </c:pt>
                <c:pt idx="241">
                  <c:v>12.366666666666699</c:v>
                </c:pt>
                <c:pt idx="242">
                  <c:v>12.2916666666667</c:v>
                </c:pt>
                <c:pt idx="243">
                  <c:v>12.308333333333302</c:v>
                </c:pt>
                <c:pt idx="244">
                  <c:v>12.5</c:v>
                </c:pt>
                <c:pt idx="245">
                  <c:v>12.424999999999999</c:v>
                </c:pt>
                <c:pt idx="246">
                  <c:v>12.400000000000004</c:v>
                </c:pt>
                <c:pt idx="247">
                  <c:v>12.491666666666699</c:v>
                </c:pt>
                <c:pt idx="248">
                  <c:v>12.5583333333333</c:v>
                </c:pt>
                <c:pt idx="249">
                  <c:v>12.583333333333302</c:v>
                </c:pt>
                <c:pt idx="250">
                  <c:v>12.675000000000001</c:v>
                </c:pt>
                <c:pt idx="251">
                  <c:v>12.616666666666701</c:v>
                </c:pt>
                <c:pt idx="252">
                  <c:v>12.675000000000001</c:v>
                </c:pt>
                <c:pt idx="253">
                  <c:v>12.8083333333333</c:v>
                </c:pt>
                <c:pt idx="254">
                  <c:v>12.783333333333301</c:v>
                </c:pt>
                <c:pt idx="255">
                  <c:v>12.875</c:v>
                </c:pt>
                <c:pt idx="256">
                  <c:v>12.925000000000001</c:v>
                </c:pt>
                <c:pt idx="257">
                  <c:v>12.866666666666699</c:v>
                </c:pt>
                <c:pt idx="258">
                  <c:v>12.966666666666701</c:v>
                </c:pt>
                <c:pt idx="259">
                  <c:v>12.983333333333301</c:v>
                </c:pt>
                <c:pt idx="260">
                  <c:v>13.058333333333298</c:v>
                </c:pt>
                <c:pt idx="261">
                  <c:v>13.116666666666701</c:v>
                </c:pt>
                <c:pt idx="262">
                  <c:v>13.0583333333333</c:v>
                </c:pt>
                <c:pt idx="263">
                  <c:v>13.166666666666696</c:v>
                </c:pt>
                <c:pt idx="264">
                  <c:v>13.174999999999999</c:v>
                </c:pt>
                <c:pt idx="265">
                  <c:v>13.233333333333301</c:v>
                </c:pt>
                <c:pt idx="266">
                  <c:v>13.375</c:v>
                </c:pt>
                <c:pt idx="267">
                  <c:v>13.366666666666699</c:v>
                </c:pt>
                <c:pt idx="268">
                  <c:v>13.324999999999999</c:v>
                </c:pt>
                <c:pt idx="269">
                  <c:v>13.258333333333301</c:v>
                </c:pt>
                <c:pt idx="270">
                  <c:v>13.350000000000001</c:v>
                </c:pt>
                <c:pt idx="271">
                  <c:v>13.350000000000001</c:v>
                </c:pt>
                <c:pt idx="272">
                  <c:v>13.425000000000001</c:v>
                </c:pt>
                <c:pt idx="273">
                  <c:v>13.4166666666667</c:v>
                </c:pt>
                <c:pt idx="274">
                  <c:v>13.483333333333301</c:v>
                </c:pt>
                <c:pt idx="275">
                  <c:v>13.533333333333299</c:v>
                </c:pt>
                <c:pt idx="276">
                  <c:v>13.549999999999997</c:v>
                </c:pt>
                <c:pt idx="277">
                  <c:v>13.4416666666667</c:v>
                </c:pt>
                <c:pt idx="278">
                  <c:v>13.458333333333304</c:v>
                </c:pt>
                <c:pt idx="279">
                  <c:v>13.5416666666667</c:v>
                </c:pt>
                <c:pt idx="280">
                  <c:v>13.483333333333301</c:v>
                </c:pt>
                <c:pt idx="281">
                  <c:v>13.508333333333301</c:v>
                </c:pt>
                <c:pt idx="282">
                  <c:v>13.574999999999999</c:v>
                </c:pt>
                <c:pt idx="283">
                  <c:v>13.674999999999999</c:v>
                </c:pt>
                <c:pt idx="284">
                  <c:v>13.641666666666701</c:v>
                </c:pt>
                <c:pt idx="285">
                  <c:v>13.716666666666697</c:v>
                </c:pt>
                <c:pt idx="286">
                  <c:v>13.733333333333301</c:v>
                </c:pt>
                <c:pt idx="287">
                  <c:v>13.733333333333301</c:v>
                </c:pt>
                <c:pt idx="288">
                  <c:v>13.808333333333302</c:v>
                </c:pt>
                <c:pt idx="289">
                  <c:v>13.991666666666703</c:v>
                </c:pt>
                <c:pt idx="290">
                  <c:v>13.899999999999999</c:v>
                </c:pt>
                <c:pt idx="291">
                  <c:v>14.066666666666698</c:v>
                </c:pt>
                <c:pt idx="292">
                  <c:v>14.158333333333299</c:v>
                </c:pt>
                <c:pt idx="293">
                  <c:v>14.2916666666667</c:v>
                </c:pt>
                <c:pt idx="294">
                  <c:v>14.25</c:v>
                </c:pt>
                <c:pt idx="295">
                  <c:v>14.341666666666704</c:v>
                </c:pt>
                <c:pt idx="296">
                  <c:v>14.4166666666667</c:v>
                </c:pt>
                <c:pt idx="297">
                  <c:v>14.433333333333298</c:v>
                </c:pt>
                <c:pt idx="298">
                  <c:v>14.508333333333301</c:v>
                </c:pt>
                <c:pt idx="299">
                  <c:v>14.5416666666667</c:v>
                </c:pt>
                <c:pt idx="300">
                  <c:v>14.599999999999998</c:v>
                </c:pt>
                <c:pt idx="301">
                  <c:v>14.649999999999999</c:v>
                </c:pt>
                <c:pt idx="302">
                  <c:v>14.691666666666698</c:v>
                </c:pt>
                <c:pt idx="303">
                  <c:v>14.783333333333299</c:v>
                </c:pt>
                <c:pt idx="304">
                  <c:v>14.775</c:v>
                </c:pt>
                <c:pt idx="305">
                  <c:v>14.883333333333299</c:v>
                </c:pt>
                <c:pt idx="306">
                  <c:v>14.950000000000001</c:v>
                </c:pt>
                <c:pt idx="307">
                  <c:v>15.008333333333301</c:v>
                </c:pt>
                <c:pt idx="308">
                  <c:v>15.133333333333301</c:v>
                </c:pt>
                <c:pt idx="309">
                  <c:v>15.0416666666667</c:v>
                </c:pt>
                <c:pt idx="310">
                  <c:v>15.133333333333301</c:v>
                </c:pt>
                <c:pt idx="311">
                  <c:v>15.224999999999998</c:v>
                </c:pt>
                <c:pt idx="312">
                  <c:v>15.299999999999999</c:v>
                </c:pt>
                <c:pt idx="313">
                  <c:v>15.241666666666699</c:v>
                </c:pt>
                <c:pt idx="314">
                  <c:v>15.391666666666699</c:v>
                </c:pt>
                <c:pt idx="315">
                  <c:v>15.574999999999999</c:v>
                </c:pt>
                <c:pt idx="316">
                  <c:v>15.483333333333302</c:v>
                </c:pt>
                <c:pt idx="317">
                  <c:v>15.741666666666701</c:v>
                </c:pt>
                <c:pt idx="318">
                  <c:v>15.833333333333298</c:v>
                </c:pt>
                <c:pt idx="319">
                  <c:v>15.925000000000001</c:v>
                </c:pt>
                <c:pt idx="320">
                  <c:v>16.016666666666701</c:v>
                </c:pt>
                <c:pt idx="321">
                  <c:v>16.091666666666701</c:v>
                </c:pt>
                <c:pt idx="322">
                  <c:v>16.183333333333302</c:v>
                </c:pt>
                <c:pt idx="323">
                  <c:v>16.366666666666699</c:v>
                </c:pt>
                <c:pt idx="324">
                  <c:v>16.274999999999999</c:v>
                </c:pt>
                <c:pt idx="325">
                  <c:v>16.533333333333299</c:v>
                </c:pt>
                <c:pt idx="326">
                  <c:v>16.625</c:v>
                </c:pt>
                <c:pt idx="327">
                  <c:v>16.808333333333302</c:v>
                </c:pt>
                <c:pt idx="328">
                  <c:v>16.716666666666697</c:v>
                </c:pt>
                <c:pt idx="329">
                  <c:v>16.974999999999998</c:v>
                </c:pt>
                <c:pt idx="330">
                  <c:v>17.066666666666698</c:v>
                </c:pt>
                <c:pt idx="331">
                  <c:v>17.625</c:v>
                </c:pt>
                <c:pt idx="332">
                  <c:v>17.75</c:v>
                </c:pt>
                <c:pt idx="333">
                  <c:v>17.875</c:v>
                </c:pt>
                <c:pt idx="334">
                  <c:v>17.983333333333299</c:v>
                </c:pt>
                <c:pt idx="335">
                  <c:v>18.108333333333299</c:v>
                </c:pt>
                <c:pt idx="336">
                  <c:v>18.216666666666697</c:v>
                </c:pt>
                <c:pt idx="337">
                  <c:v>18.341666666666701</c:v>
                </c:pt>
                <c:pt idx="338">
                  <c:v>18.466666666666701</c:v>
                </c:pt>
                <c:pt idx="339">
                  <c:v>18.574999999999999</c:v>
                </c:pt>
                <c:pt idx="340">
                  <c:v>18.733333333333299</c:v>
                </c:pt>
                <c:pt idx="341">
                  <c:v>19.2916666666667</c:v>
                </c:pt>
                <c:pt idx="342">
                  <c:v>19.4166666666667</c:v>
                </c:pt>
                <c:pt idx="343">
                  <c:v>19.5416666666667</c:v>
                </c:pt>
                <c:pt idx="344">
                  <c:v>19.649999999999999</c:v>
                </c:pt>
                <c:pt idx="345">
                  <c:v>19.774999999999999</c:v>
                </c:pt>
                <c:pt idx="346">
                  <c:v>19.883333333333297</c:v>
                </c:pt>
                <c:pt idx="347">
                  <c:v>20.008333333333301</c:v>
                </c:pt>
                <c:pt idx="348">
                  <c:v>20.133333333333301</c:v>
                </c:pt>
              </c:numCache>
            </c:numRef>
          </c:val>
          <c:smooth val="0"/>
          <c:extLst>
            <c:ext xmlns:c16="http://schemas.microsoft.com/office/drawing/2014/chart" uri="{C3380CC4-5D6E-409C-BE32-E72D297353CC}">
              <c16:uniqueId val="{00000000-8189-40D7-B55B-E38002BA371C}"/>
            </c:ext>
          </c:extLst>
        </c:ser>
        <c:dLbls>
          <c:showLegendKey val="0"/>
          <c:showVal val="0"/>
          <c:showCatName val="0"/>
          <c:showSerName val="0"/>
          <c:showPercent val="0"/>
          <c:showBubbleSize val="0"/>
        </c:dLbls>
        <c:smooth val="0"/>
        <c:axId val="1025031264"/>
        <c:axId val="1025016288"/>
      </c:lineChart>
      <c:catAx>
        <c:axId val="1025031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025016288"/>
        <c:crosses val="autoZero"/>
        <c:auto val="1"/>
        <c:lblAlgn val="ctr"/>
        <c:lblOffset val="100"/>
        <c:noMultiLvlLbl val="0"/>
      </c:catAx>
      <c:valAx>
        <c:axId val="1025016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025031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val>
            <c:numRef>
              <c:f>Множество_202207112140401240!$W$2:$W$350</c:f>
              <c:numCache>
                <c:formatCode>General</c:formatCode>
                <c:ptCount val="349"/>
                <c:pt idx="0">
                  <c:v>2.8666666666666298</c:v>
                </c:pt>
                <c:pt idx="1">
                  <c:v>2.9749999999999703</c:v>
                </c:pt>
                <c:pt idx="2">
                  <c:v>3.0833333333333011</c:v>
                </c:pt>
                <c:pt idx="3">
                  <c:v>3.17500000000003</c:v>
                </c:pt>
                <c:pt idx="4">
                  <c:v>3.2833333333333705</c:v>
                </c:pt>
                <c:pt idx="5">
                  <c:v>3.375</c:v>
                </c:pt>
                <c:pt idx="6">
                  <c:v>3.4833333333333307</c:v>
                </c:pt>
                <c:pt idx="7">
                  <c:v>3.5916666666666694</c:v>
                </c:pt>
                <c:pt idx="8">
                  <c:v>4.1333333333333</c:v>
                </c:pt>
                <c:pt idx="9">
                  <c:v>4.1333333333333</c:v>
                </c:pt>
                <c:pt idx="10">
                  <c:v>4.2083333333333295</c:v>
                </c:pt>
                <c:pt idx="11">
                  <c:v>4.3416666666666988</c:v>
                </c:pt>
                <c:pt idx="12">
                  <c:v>4.4166666666666305</c:v>
                </c:pt>
                <c:pt idx="13">
                  <c:v>4.4666666666666313</c:v>
                </c:pt>
                <c:pt idx="14">
                  <c:v>4.4833333333332996</c:v>
                </c:pt>
                <c:pt idx="15">
                  <c:v>4.4416666666667002</c:v>
                </c:pt>
                <c:pt idx="16">
                  <c:v>4.5666666666667002</c:v>
                </c:pt>
                <c:pt idx="17">
                  <c:v>4.5416666666666998</c:v>
                </c:pt>
                <c:pt idx="18">
                  <c:v>4.55833333333337</c:v>
                </c:pt>
                <c:pt idx="19">
                  <c:v>4.4916666666666707</c:v>
                </c:pt>
                <c:pt idx="20">
                  <c:v>4.4749999999999703</c:v>
                </c:pt>
                <c:pt idx="21">
                  <c:v>4.5166666666666693</c:v>
                </c:pt>
                <c:pt idx="22">
                  <c:v>4.5500000000000291</c:v>
                </c:pt>
                <c:pt idx="23">
                  <c:v>4.5083333333333302</c:v>
                </c:pt>
                <c:pt idx="24">
                  <c:v>4.69999999999997</c:v>
                </c:pt>
                <c:pt idx="25">
                  <c:v>4.7749999999999995</c:v>
                </c:pt>
                <c:pt idx="26">
                  <c:v>4.8500000000000307</c:v>
                </c:pt>
                <c:pt idx="27">
                  <c:v>4.9833333333333005</c:v>
                </c:pt>
                <c:pt idx="28">
                  <c:v>4.9249999999999705</c:v>
                </c:pt>
                <c:pt idx="29">
                  <c:v>5.05833333333333</c:v>
                </c:pt>
                <c:pt idx="30">
                  <c:v>5.1333333333333693</c:v>
                </c:pt>
                <c:pt idx="31">
                  <c:v>5.2083333333332993</c:v>
                </c:pt>
                <c:pt idx="32">
                  <c:v>5.3416666666666703</c:v>
                </c:pt>
                <c:pt idx="33">
                  <c:v>5.4166666666666998</c:v>
                </c:pt>
                <c:pt idx="34">
                  <c:v>5.4916666666666298</c:v>
                </c:pt>
                <c:pt idx="35">
                  <c:v>5.56666666666667</c:v>
                </c:pt>
                <c:pt idx="36">
                  <c:v>5.7000000000000295</c:v>
                </c:pt>
                <c:pt idx="37">
                  <c:v>5.625</c:v>
                </c:pt>
                <c:pt idx="38">
                  <c:v>5.774999999999971</c:v>
                </c:pt>
                <c:pt idx="39">
                  <c:v>5.8500000000000005</c:v>
                </c:pt>
                <c:pt idx="40">
                  <c:v>5.9833333333333698</c:v>
                </c:pt>
                <c:pt idx="41">
                  <c:v>6.0583333333332998</c:v>
                </c:pt>
                <c:pt idx="42">
                  <c:v>6.1333333333333293</c:v>
                </c:pt>
                <c:pt idx="43">
                  <c:v>6.2083333333333703</c:v>
                </c:pt>
                <c:pt idx="44">
                  <c:v>6.2666666666667004</c:v>
                </c:pt>
                <c:pt idx="45">
                  <c:v>6.3416666666666304</c:v>
                </c:pt>
                <c:pt idx="46">
                  <c:v>6.4166666666666696</c:v>
                </c:pt>
                <c:pt idx="47">
                  <c:v>6.4916666666666991</c:v>
                </c:pt>
                <c:pt idx="48">
                  <c:v>6.6249999999999698</c:v>
                </c:pt>
                <c:pt idx="49">
                  <c:v>6.5666666666666291</c:v>
                </c:pt>
                <c:pt idx="50">
                  <c:v>6.7750000000000306</c:v>
                </c:pt>
                <c:pt idx="51">
                  <c:v>6.7000000000000011</c:v>
                </c:pt>
                <c:pt idx="52">
                  <c:v>6.8499999999999703</c:v>
                </c:pt>
                <c:pt idx="53">
                  <c:v>6.9083333333333004</c:v>
                </c:pt>
                <c:pt idx="54">
                  <c:v>6.9833333333333298</c:v>
                </c:pt>
                <c:pt idx="55">
                  <c:v>7.0583333333333691</c:v>
                </c:pt>
                <c:pt idx="56">
                  <c:v>7.15</c:v>
                </c:pt>
                <c:pt idx="57">
                  <c:v>7.2250000000000298</c:v>
                </c:pt>
                <c:pt idx="58">
                  <c:v>7.2999999999999696</c:v>
                </c:pt>
                <c:pt idx="59">
                  <c:v>7.3916666666667004</c:v>
                </c:pt>
                <c:pt idx="60">
                  <c:v>7.5083333333333284</c:v>
                </c:pt>
                <c:pt idx="61">
                  <c:v>7.4666666666666996</c:v>
                </c:pt>
                <c:pt idx="62">
                  <c:v>7.5416666666666696</c:v>
                </c:pt>
                <c:pt idx="63">
                  <c:v>7.4666666666666304</c:v>
                </c:pt>
                <c:pt idx="64">
                  <c:v>7.6500000000000288</c:v>
                </c:pt>
                <c:pt idx="65">
                  <c:v>7.6083333333333005</c:v>
                </c:pt>
                <c:pt idx="66">
                  <c:v>7.6166666666666991</c:v>
                </c:pt>
                <c:pt idx="67">
                  <c:v>7.7333333333333005</c:v>
                </c:pt>
                <c:pt idx="68">
                  <c:v>7.6916666666666718</c:v>
                </c:pt>
                <c:pt idx="69">
                  <c:v>7.7083333333333304</c:v>
                </c:pt>
                <c:pt idx="70">
                  <c:v>7.8000000000000309</c:v>
                </c:pt>
                <c:pt idx="71">
                  <c:v>7.8166666666666993</c:v>
                </c:pt>
                <c:pt idx="72">
                  <c:v>7.7750000000000004</c:v>
                </c:pt>
                <c:pt idx="73">
                  <c:v>7.8333333333333686</c:v>
                </c:pt>
                <c:pt idx="74">
                  <c:v>7.8916666666666684</c:v>
                </c:pt>
                <c:pt idx="75">
                  <c:v>7.875</c:v>
                </c:pt>
                <c:pt idx="76">
                  <c:v>7.7833333333333705</c:v>
                </c:pt>
                <c:pt idx="77">
                  <c:v>7.80833333333337</c:v>
                </c:pt>
                <c:pt idx="78">
                  <c:v>7.8583333333333005</c:v>
                </c:pt>
                <c:pt idx="79">
                  <c:v>7.93333333333333</c:v>
                </c:pt>
                <c:pt idx="80">
                  <c:v>7.8499999999999694</c:v>
                </c:pt>
                <c:pt idx="81">
                  <c:v>7.8833333333333293</c:v>
                </c:pt>
                <c:pt idx="82">
                  <c:v>7.8416666666666304</c:v>
                </c:pt>
                <c:pt idx="83">
                  <c:v>7.9166666666666297</c:v>
                </c:pt>
                <c:pt idx="84">
                  <c:v>7.8750000000000009</c:v>
                </c:pt>
                <c:pt idx="85">
                  <c:v>8.05833333333333</c:v>
                </c:pt>
                <c:pt idx="86">
                  <c:v>8.0166666666667012</c:v>
                </c:pt>
                <c:pt idx="87">
                  <c:v>7.9583333333333712</c:v>
                </c:pt>
                <c:pt idx="88">
                  <c:v>8.0249999999999702</c:v>
                </c:pt>
                <c:pt idx="89">
                  <c:v>8.1000000000000014</c:v>
                </c:pt>
                <c:pt idx="90">
                  <c:v>8.1416666666667012</c:v>
                </c:pt>
                <c:pt idx="91">
                  <c:v>8.0999999999999694</c:v>
                </c:pt>
                <c:pt idx="92">
                  <c:v>8.2416666666666689</c:v>
                </c:pt>
                <c:pt idx="93">
                  <c:v>8.1750000000000291</c:v>
                </c:pt>
                <c:pt idx="94">
                  <c:v>8.2666666666666693</c:v>
                </c:pt>
                <c:pt idx="95">
                  <c:v>8.3666666666666689</c:v>
                </c:pt>
                <c:pt idx="96">
                  <c:v>8.3250000000000295</c:v>
                </c:pt>
                <c:pt idx="97">
                  <c:v>8.2833333333333012</c:v>
                </c:pt>
                <c:pt idx="98">
                  <c:v>8.3416666666667005</c:v>
                </c:pt>
                <c:pt idx="99">
                  <c:v>8.4166666666666305</c:v>
                </c:pt>
                <c:pt idx="100">
                  <c:v>8.4666666666666313</c:v>
                </c:pt>
                <c:pt idx="101">
                  <c:v>8.4249999999999989</c:v>
                </c:pt>
                <c:pt idx="102">
                  <c:v>8.5083333333333684</c:v>
                </c:pt>
                <c:pt idx="103">
                  <c:v>8.5500000000000007</c:v>
                </c:pt>
                <c:pt idx="104">
                  <c:v>8.4916666666666707</c:v>
                </c:pt>
                <c:pt idx="105">
                  <c:v>8.5833333333333002</c:v>
                </c:pt>
                <c:pt idx="106">
                  <c:v>8.6583333333333314</c:v>
                </c:pt>
                <c:pt idx="107">
                  <c:v>8.6499999999999702</c:v>
                </c:pt>
                <c:pt idx="108">
                  <c:v>8.7749999999999702</c:v>
                </c:pt>
                <c:pt idx="109">
                  <c:v>8.7333333333333307</c:v>
                </c:pt>
                <c:pt idx="110">
                  <c:v>8.6916666666666984</c:v>
                </c:pt>
                <c:pt idx="111">
                  <c:v>8.7333333333333698</c:v>
                </c:pt>
                <c:pt idx="112">
                  <c:v>8.8249999999999993</c:v>
                </c:pt>
                <c:pt idx="113">
                  <c:v>8.8333333333333002</c:v>
                </c:pt>
                <c:pt idx="114">
                  <c:v>8.875000000000032</c:v>
                </c:pt>
                <c:pt idx="115">
                  <c:v>8.9583333333332984</c:v>
                </c:pt>
                <c:pt idx="116">
                  <c:v>8.9749999999999712</c:v>
                </c:pt>
                <c:pt idx="117">
                  <c:v>8.9000000000000288</c:v>
                </c:pt>
                <c:pt idx="118">
                  <c:v>8.9166666666666696</c:v>
                </c:pt>
                <c:pt idx="119">
                  <c:v>9.0000000000000302</c:v>
                </c:pt>
                <c:pt idx="120">
                  <c:v>9.0583333333333709</c:v>
                </c:pt>
                <c:pt idx="121">
                  <c:v>9.0500000000000007</c:v>
                </c:pt>
                <c:pt idx="122">
                  <c:v>9.1416666666666302</c:v>
                </c:pt>
                <c:pt idx="123">
                  <c:v>9.1833333333333691</c:v>
                </c:pt>
                <c:pt idx="124">
                  <c:v>9.1333333333333009</c:v>
                </c:pt>
                <c:pt idx="125">
                  <c:v>9.1</c:v>
                </c:pt>
                <c:pt idx="126">
                  <c:v>9.141666666666632</c:v>
                </c:pt>
                <c:pt idx="127">
                  <c:v>9.2833333333333279</c:v>
                </c:pt>
                <c:pt idx="128">
                  <c:v>9.2166666666666686</c:v>
                </c:pt>
                <c:pt idx="129">
                  <c:v>9.2416666666666991</c:v>
                </c:pt>
                <c:pt idx="130">
                  <c:v>9.2916666666666998</c:v>
                </c:pt>
                <c:pt idx="131">
                  <c:v>9.3500000000000014</c:v>
                </c:pt>
                <c:pt idx="132">
                  <c:v>9.3666666666666316</c:v>
                </c:pt>
                <c:pt idx="133">
                  <c:v>9.3249999999999709</c:v>
                </c:pt>
                <c:pt idx="134">
                  <c:v>9.4583333333333002</c:v>
                </c:pt>
                <c:pt idx="135">
                  <c:v>9.4666666666666313</c:v>
                </c:pt>
                <c:pt idx="136">
                  <c:v>9.3916666666666302</c:v>
                </c:pt>
                <c:pt idx="137">
                  <c:v>9.4333333333333691</c:v>
                </c:pt>
                <c:pt idx="138">
                  <c:v>9.4833333333332988</c:v>
                </c:pt>
                <c:pt idx="139">
                  <c:v>9.4583333333333695</c:v>
                </c:pt>
                <c:pt idx="140">
                  <c:v>9.4416666666667002</c:v>
                </c:pt>
                <c:pt idx="141">
                  <c:v>9.500000000000032</c:v>
                </c:pt>
                <c:pt idx="142">
                  <c:v>9.5583333333333691</c:v>
                </c:pt>
                <c:pt idx="143">
                  <c:v>9.5416666666666696</c:v>
                </c:pt>
                <c:pt idx="144">
                  <c:v>9.5333333333332995</c:v>
                </c:pt>
                <c:pt idx="145">
                  <c:v>9.5416666666666998</c:v>
                </c:pt>
                <c:pt idx="146">
                  <c:v>9.5166666666666693</c:v>
                </c:pt>
                <c:pt idx="147">
                  <c:v>9.5333333333332995</c:v>
                </c:pt>
                <c:pt idx="148">
                  <c:v>9.4749999999999694</c:v>
                </c:pt>
                <c:pt idx="149">
                  <c:v>9.608333333333329</c:v>
                </c:pt>
                <c:pt idx="150">
                  <c:v>9.5083333333333293</c:v>
                </c:pt>
                <c:pt idx="151">
                  <c:v>9.5500000000000291</c:v>
                </c:pt>
                <c:pt idx="152">
                  <c:v>9.5916666666667005</c:v>
                </c:pt>
                <c:pt idx="153">
                  <c:v>9.5833333333333002</c:v>
                </c:pt>
                <c:pt idx="154">
                  <c:v>9.6333333333333009</c:v>
                </c:pt>
                <c:pt idx="155">
                  <c:v>9.7333333333333307</c:v>
                </c:pt>
                <c:pt idx="156">
                  <c:v>9.6916666666667002</c:v>
                </c:pt>
                <c:pt idx="157">
                  <c:v>9.6499999999999702</c:v>
                </c:pt>
                <c:pt idx="158">
                  <c:v>9.6916666666667002</c:v>
                </c:pt>
                <c:pt idx="159">
                  <c:v>9.8000000000000007</c:v>
                </c:pt>
                <c:pt idx="160">
                  <c:v>9.7583333333333684</c:v>
                </c:pt>
                <c:pt idx="161">
                  <c:v>9.75</c:v>
                </c:pt>
                <c:pt idx="162">
                  <c:v>9.8083333333332998</c:v>
                </c:pt>
                <c:pt idx="163">
                  <c:v>9.8666666666666707</c:v>
                </c:pt>
                <c:pt idx="164">
                  <c:v>9.8416666666666295</c:v>
                </c:pt>
                <c:pt idx="165">
                  <c:v>9.9083333333333012</c:v>
                </c:pt>
                <c:pt idx="166">
                  <c:v>9.8500000000000014</c:v>
                </c:pt>
                <c:pt idx="167">
                  <c:v>9.9500000000000295</c:v>
                </c:pt>
                <c:pt idx="168">
                  <c:v>10.025</c:v>
                </c:pt>
                <c:pt idx="169">
                  <c:v>9.9083333333332995</c:v>
                </c:pt>
                <c:pt idx="170">
                  <c:v>10.05833333333333</c:v>
                </c:pt>
                <c:pt idx="171">
                  <c:v>9.9666666666666988</c:v>
                </c:pt>
                <c:pt idx="172">
                  <c:v>10.016666666666701</c:v>
                </c:pt>
                <c:pt idx="173">
                  <c:v>9.9916666666666707</c:v>
                </c:pt>
                <c:pt idx="174">
                  <c:v>10.125</c:v>
                </c:pt>
                <c:pt idx="175">
                  <c:v>10.0666666666667</c:v>
                </c:pt>
                <c:pt idx="176">
                  <c:v>10.099999999999969</c:v>
                </c:pt>
                <c:pt idx="177">
                  <c:v>10.125</c:v>
                </c:pt>
                <c:pt idx="178">
                  <c:v>10.208333333333369</c:v>
                </c:pt>
                <c:pt idx="179">
                  <c:v>10.1833333333333</c:v>
                </c:pt>
                <c:pt idx="180">
                  <c:v>10.166666666666631</c:v>
                </c:pt>
                <c:pt idx="181">
                  <c:v>10.283333333333301</c:v>
                </c:pt>
                <c:pt idx="182">
                  <c:v>10.275000000000031</c:v>
                </c:pt>
                <c:pt idx="183">
                  <c:v>10.225</c:v>
                </c:pt>
                <c:pt idx="184">
                  <c:v>10.25</c:v>
                </c:pt>
                <c:pt idx="185">
                  <c:v>10.358333333333299</c:v>
                </c:pt>
                <c:pt idx="186">
                  <c:v>10.400000000000031</c:v>
                </c:pt>
                <c:pt idx="187">
                  <c:v>10.399999999999999</c:v>
                </c:pt>
                <c:pt idx="188">
                  <c:v>10.341666666666701</c:v>
                </c:pt>
                <c:pt idx="189">
                  <c:v>10.31666666666667</c:v>
                </c:pt>
                <c:pt idx="190">
                  <c:v>10.5</c:v>
                </c:pt>
                <c:pt idx="191">
                  <c:v>10.466666666666701</c:v>
                </c:pt>
                <c:pt idx="192">
                  <c:v>10.4416666666667</c:v>
                </c:pt>
                <c:pt idx="193">
                  <c:v>10.424999999999971</c:v>
                </c:pt>
                <c:pt idx="194">
                  <c:v>10.558333333333302</c:v>
                </c:pt>
                <c:pt idx="195">
                  <c:v>10.558333333333302</c:v>
                </c:pt>
                <c:pt idx="196">
                  <c:v>10.6666666666667</c:v>
                </c:pt>
                <c:pt idx="197">
                  <c:v>10.600000000000003</c:v>
                </c:pt>
                <c:pt idx="198">
                  <c:v>10.658333333333299</c:v>
                </c:pt>
                <c:pt idx="199">
                  <c:v>10.758333333333299</c:v>
                </c:pt>
                <c:pt idx="200">
                  <c:v>10.775000000000002</c:v>
                </c:pt>
                <c:pt idx="201">
                  <c:v>10.716666666666702</c:v>
                </c:pt>
                <c:pt idx="202">
                  <c:v>10.875</c:v>
                </c:pt>
                <c:pt idx="203">
                  <c:v>10.8166666666667</c:v>
                </c:pt>
                <c:pt idx="204">
                  <c:v>10.850000000000001</c:v>
                </c:pt>
                <c:pt idx="205">
                  <c:v>10.9416666666667</c:v>
                </c:pt>
                <c:pt idx="206">
                  <c:v>10.991666666666699</c:v>
                </c:pt>
                <c:pt idx="207">
                  <c:v>10.9333333333333</c:v>
                </c:pt>
                <c:pt idx="208">
                  <c:v>11.033333333333298</c:v>
                </c:pt>
                <c:pt idx="209">
                  <c:v>11.141666666666699</c:v>
                </c:pt>
                <c:pt idx="210">
                  <c:v>11.05</c:v>
                </c:pt>
                <c:pt idx="211">
                  <c:v>11.091666666666701</c:v>
                </c:pt>
                <c:pt idx="212">
                  <c:v>11.15</c:v>
                </c:pt>
                <c:pt idx="213">
                  <c:v>11.191666666666702</c:v>
                </c:pt>
                <c:pt idx="214">
                  <c:v>11.249999999999998</c:v>
                </c:pt>
                <c:pt idx="215">
                  <c:v>11.233333333333301</c:v>
                </c:pt>
                <c:pt idx="216">
                  <c:v>11.325000000000001</c:v>
                </c:pt>
                <c:pt idx="217">
                  <c:v>11.383333333333297</c:v>
                </c:pt>
                <c:pt idx="218">
                  <c:v>11.308333333333302</c:v>
                </c:pt>
                <c:pt idx="219">
                  <c:v>11.4416666666667</c:v>
                </c:pt>
                <c:pt idx="220">
                  <c:v>11.4333333333333</c:v>
                </c:pt>
                <c:pt idx="221">
                  <c:v>11.524999999999999</c:v>
                </c:pt>
                <c:pt idx="222">
                  <c:v>11.558333333333302</c:v>
                </c:pt>
                <c:pt idx="223">
                  <c:v>11.5</c:v>
                </c:pt>
                <c:pt idx="224">
                  <c:v>11.616666666666701</c:v>
                </c:pt>
                <c:pt idx="225">
                  <c:v>11.6916666666667</c:v>
                </c:pt>
                <c:pt idx="226">
                  <c:v>11.633333333333297</c:v>
                </c:pt>
                <c:pt idx="227">
                  <c:v>11.75</c:v>
                </c:pt>
                <c:pt idx="228">
                  <c:v>11.725</c:v>
                </c:pt>
                <c:pt idx="229">
                  <c:v>11.808333333333303</c:v>
                </c:pt>
                <c:pt idx="230">
                  <c:v>11.8166666666667</c:v>
                </c:pt>
                <c:pt idx="231">
                  <c:v>11.941666666666702</c:v>
                </c:pt>
                <c:pt idx="232">
                  <c:v>11.866666666666699</c:v>
                </c:pt>
                <c:pt idx="233">
                  <c:v>12</c:v>
                </c:pt>
                <c:pt idx="234">
                  <c:v>11.908333333333299</c:v>
                </c:pt>
                <c:pt idx="235">
                  <c:v>11.999999999999996</c:v>
                </c:pt>
                <c:pt idx="236">
                  <c:v>12.0583333333333</c:v>
                </c:pt>
                <c:pt idx="237">
                  <c:v>12.116666666666699</c:v>
                </c:pt>
                <c:pt idx="238">
                  <c:v>12.2</c:v>
                </c:pt>
                <c:pt idx="239">
                  <c:v>12.108333333333301</c:v>
                </c:pt>
                <c:pt idx="240">
                  <c:v>12.25</c:v>
                </c:pt>
                <c:pt idx="241">
                  <c:v>12.366666666666699</c:v>
                </c:pt>
                <c:pt idx="242">
                  <c:v>12.2916666666667</c:v>
                </c:pt>
                <c:pt idx="243">
                  <c:v>12.308333333333302</c:v>
                </c:pt>
                <c:pt idx="244">
                  <c:v>12.5</c:v>
                </c:pt>
                <c:pt idx="245">
                  <c:v>12.424999999999999</c:v>
                </c:pt>
                <c:pt idx="246">
                  <c:v>12.400000000000004</c:v>
                </c:pt>
                <c:pt idx="247">
                  <c:v>12.491666666666699</c:v>
                </c:pt>
                <c:pt idx="248">
                  <c:v>12.5583333333333</c:v>
                </c:pt>
                <c:pt idx="249">
                  <c:v>12.583333333333302</c:v>
                </c:pt>
                <c:pt idx="250">
                  <c:v>12.675000000000001</c:v>
                </c:pt>
                <c:pt idx="251">
                  <c:v>12.616666666666701</c:v>
                </c:pt>
                <c:pt idx="252">
                  <c:v>12.675000000000001</c:v>
                </c:pt>
                <c:pt idx="253">
                  <c:v>12.8083333333333</c:v>
                </c:pt>
                <c:pt idx="254">
                  <c:v>12.783333333333301</c:v>
                </c:pt>
                <c:pt idx="255">
                  <c:v>12.875</c:v>
                </c:pt>
                <c:pt idx="256">
                  <c:v>12.925000000000001</c:v>
                </c:pt>
                <c:pt idx="257">
                  <c:v>12.866666666666699</c:v>
                </c:pt>
                <c:pt idx="258">
                  <c:v>12.966666666666701</c:v>
                </c:pt>
                <c:pt idx="259">
                  <c:v>12.983333333333301</c:v>
                </c:pt>
                <c:pt idx="260">
                  <c:v>13.058333333333298</c:v>
                </c:pt>
                <c:pt idx="261">
                  <c:v>13.116666666666701</c:v>
                </c:pt>
                <c:pt idx="262">
                  <c:v>13.0583333333333</c:v>
                </c:pt>
                <c:pt idx="263">
                  <c:v>13.166666666666696</c:v>
                </c:pt>
                <c:pt idx="264">
                  <c:v>13.174999999999999</c:v>
                </c:pt>
                <c:pt idx="265">
                  <c:v>13.233333333333301</c:v>
                </c:pt>
                <c:pt idx="266">
                  <c:v>13.375</c:v>
                </c:pt>
                <c:pt idx="267">
                  <c:v>13.366666666666699</c:v>
                </c:pt>
                <c:pt idx="268">
                  <c:v>13.324999999999999</c:v>
                </c:pt>
                <c:pt idx="269">
                  <c:v>13.258333333333301</c:v>
                </c:pt>
                <c:pt idx="270">
                  <c:v>13.350000000000001</c:v>
                </c:pt>
                <c:pt idx="271">
                  <c:v>13.350000000000001</c:v>
                </c:pt>
                <c:pt idx="272">
                  <c:v>13.425000000000001</c:v>
                </c:pt>
                <c:pt idx="273">
                  <c:v>13.4166666666667</c:v>
                </c:pt>
                <c:pt idx="274">
                  <c:v>13.483333333333301</c:v>
                </c:pt>
                <c:pt idx="275">
                  <c:v>13.533333333333299</c:v>
                </c:pt>
                <c:pt idx="276">
                  <c:v>13.549999999999997</c:v>
                </c:pt>
                <c:pt idx="277">
                  <c:v>13.4416666666667</c:v>
                </c:pt>
                <c:pt idx="278">
                  <c:v>13.458333333333304</c:v>
                </c:pt>
                <c:pt idx="279">
                  <c:v>13.5416666666667</c:v>
                </c:pt>
                <c:pt idx="280">
                  <c:v>13.483333333333301</c:v>
                </c:pt>
                <c:pt idx="281">
                  <c:v>13.508333333333301</c:v>
                </c:pt>
                <c:pt idx="282">
                  <c:v>13.574999999999999</c:v>
                </c:pt>
                <c:pt idx="283">
                  <c:v>13.674999999999999</c:v>
                </c:pt>
                <c:pt idx="284">
                  <c:v>13.641666666666701</c:v>
                </c:pt>
                <c:pt idx="285">
                  <c:v>13.716666666666697</c:v>
                </c:pt>
                <c:pt idx="286">
                  <c:v>13.733333333333301</c:v>
                </c:pt>
                <c:pt idx="287">
                  <c:v>13.733333333333301</c:v>
                </c:pt>
                <c:pt idx="288">
                  <c:v>13.808333333333302</c:v>
                </c:pt>
                <c:pt idx="289">
                  <c:v>13.991666666666703</c:v>
                </c:pt>
                <c:pt idx="290">
                  <c:v>13.899999999999999</c:v>
                </c:pt>
                <c:pt idx="291">
                  <c:v>14.066666666666698</c:v>
                </c:pt>
                <c:pt idx="292">
                  <c:v>14.158333333333299</c:v>
                </c:pt>
                <c:pt idx="293">
                  <c:v>14.2916666666667</c:v>
                </c:pt>
                <c:pt idx="294">
                  <c:v>14.25</c:v>
                </c:pt>
                <c:pt idx="295">
                  <c:v>14.341666666666704</c:v>
                </c:pt>
                <c:pt idx="296">
                  <c:v>14.4166666666667</c:v>
                </c:pt>
                <c:pt idx="297">
                  <c:v>14.433333333333298</c:v>
                </c:pt>
                <c:pt idx="298">
                  <c:v>14.508333333333301</c:v>
                </c:pt>
                <c:pt idx="299">
                  <c:v>14.5416666666667</c:v>
                </c:pt>
                <c:pt idx="300">
                  <c:v>14.599999999999998</c:v>
                </c:pt>
                <c:pt idx="301">
                  <c:v>14.649999999999999</c:v>
                </c:pt>
                <c:pt idx="302">
                  <c:v>14.691666666666698</c:v>
                </c:pt>
                <c:pt idx="303">
                  <c:v>14.783333333333299</c:v>
                </c:pt>
                <c:pt idx="304">
                  <c:v>14.775</c:v>
                </c:pt>
                <c:pt idx="305">
                  <c:v>14.883333333333299</c:v>
                </c:pt>
                <c:pt idx="306">
                  <c:v>14.950000000000001</c:v>
                </c:pt>
                <c:pt idx="307">
                  <c:v>15.008333333333301</c:v>
                </c:pt>
                <c:pt idx="308">
                  <c:v>15.133333333333301</c:v>
                </c:pt>
                <c:pt idx="309">
                  <c:v>15.0416666666667</c:v>
                </c:pt>
                <c:pt idx="310">
                  <c:v>15.133333333333301</c:v>
                </c:pt>
                <c:pt idx="311">
                  <c:v>15.224999999999998</c:v>
                </c:pt>
                <c:pt idx="312">
                  <c:v>15.299999999999999</c:v>
                </c:pt>
                <c:pt idx="313">
                  <c:v>15.241666666666699</c:v>
                </c:pt>
                <c:pt idx="314">
                  <c:v>15.391666666666699</c:v>
                </c:pt>
                <c:pt idx="315">
                  <c:v>15.574999999999999</c:v>
                </c:pt>
                <c:pt idx="316">
                  <c:v>15.483333333333302</c:v>
                </c:pt>
                <c:pt idx="317">
                  <c:v>15.741666666666701</c:v>
                </c:pt>
                <c:pt idx="318">
                  <c:v>15.833333333333298</c:v>
                </c:pt>
                <c:pt idx="319">
                  <c:v>15.925000000000001</c:v>
                </c:pt>
                <c:pt idx="320">
                  <c:v>16.016666666666701</c:v>
                </c:pt>
                <c:pt idx="321">
                  <c:v>16.091666666666701</c:v>
                </c:pt>
                <c:pt idx="322">
                  <c:v>16.183333333333302</c:v>
                </c:pt>
                <c:pt idx="323">
                  <c:v>16.366666666666699</c:v>
                </c:pt>
                <c:pt idx="324">
                  <c:v>16.274999999999999</c:v>
                </c:pt>
                <c:pt idx="325">
                  <c:v>16.533333333333299</c:v>
                </c:pt>
                <c:pt idx="326">
                  <c:v>16.625</c:v>
                </c:pt>
                <c:pt idx="327">
                  <c:v>16.808333333333302</c:v>
                </c:pt>
                <c:pt idx="328">
                  <c:v>16.716666666666697</c:v>
                </c:pt>
                <c:pt idx="329">
                  <c:v>16.974999999999998</c:v>
                </c:pt>
                <c:pt idx="330">
                  <c:v>17.066666666666698</c:v>
                </c:pt>
                <c:pt idx="331">
                  <c:v>17.625</c:v>
                </c:pt>
                <c:pt idx="332">
                  <c:v>17.75</c:v>
                </c:pt>
                <c:pt idx="333">
                  <c:v>17.875</c:v>
                </c:pt>
                <c:pt idx="334">
                  <c:v>17.983333333333299</c:v>
                </c:pt>
                <c:pt idx="335">
                  <c:v>18.108333333333299</c:v>
                </c:pt>
                <c:pt idx="336">
                  <c:v>18.216666666666697</c:v>
                </c:pt>
                <c:pt idx="337">
                  <c:v>18.341666666666701</c:v>
                </c:pt>
                <c:pt idx="338">
                  <c:v>18.466666666666701</c:v>
                </c:pt>
                <c:pt idx="339">
                  <c:v>18.574999999999999</c:v>
                </c:pt>
                <c:pt idx="340">
                  <c:v>18.733333333333299</c:v>
                </c:pt>
                <c:pt idx="341">
                  <c:v>19.2916666666667</c:v>
                </c:pt>
                <c:pt idx="342">
                  <c:v>19.4166666666667</c:v>
                </c:pt>
                <c:pt idx="343">
                  <c:v>19.5416666666667</c:v>
                </c:pt>
                <c:pt idx="344">
                  <c:v>19.649999999999999</c:v>
                </c:pt>
                <c:pt idx="345">
                  <c:v>19.774999999999999</c:v>
                </c:pt>
                <c:pt idx="346">
                  <c:v>19.883333333333297</c:v>
                </c:pt>
                <c:pt idx="347">
                  <c:v>20.008333333333301</c:v>
                </c:pt>
                <c:pt idx="348">
                  <c:v>20.133333333333301</c:v>
                </c:pt>
              </c:numCache>
            </c:numRef>
          </c:val>
          <c:smooth val="0"/>
          <c:extLst>
            <c:ext xmlns:c16="http://schemas.microsoft.com/office/drawing/2014/chart" uri="{C3380CC4-5D6E-409C-BE32-E72D297353CC}">
              <c16:uniqueId val="{00000000-2667-415B-95C0-DFE8558C69E7}"/>
            </c:ext>
          </c:extLst>
        </c:ser>
        <c:dLbls>
          <c:showLegendKey val="0"/>
          <c:showVal val="0"/>
          <c:showCatName val="0"/>
          <c:showSerName val="0"/>
          <c:showPercent val="0"/>
          <c:showBubbleSize val="0"/>
        </c:dLbls>
        <c:smooth val="0"/>
        <c:axId val="1025023360"/>
        <c:axId val="1025020032"/>
      </c:lineChart>
      <c:catAx>
        <c:axId val="1025023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025020032"/>
        <c:crosses val="autoZero"/>
        <c:auto val="1"/>
        <c:lblAlgn val="ctr"/>
        <c:lblOffset val="100"/>
        <c:noMultiLvlLbl val="0"/>
      </c:catAx>
      <c:valAx>
        <c:axId val="1025020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0250233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5.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51</xdr:col>
      <xdr:colOff>129540</xdr:colOff>
      <xdr:row>8</xdr:row>
      <xdr:rowOff>38100</xdr:rowOff>
    </xdr:from>
    <xdr:to>
      <xdr:col>53</xdr:col>
      <xdr:colOff>525780</xdr:colOff>
      <xdr:row>10</xdr:row>
      <xdr:rowOff>144780</xdr:rowOff>
    </xdr:to>
    <xdr:sp macro="[0]!sensitivity2" textlink="">
      <xdr:nvSpPr>
        <xdr:cNvPr id="2" name="Скругленный прямоугольник 1">
          <a:extLst>
            <a:ext uri="{FF2B5EF4-FFF2-40B4-BE49-F238E27FC236}">
              <a16:creationId xmlns:a16="http://schemas.microsoft.com/office/drawing/2014/main" id="{00000000-0008-0000-0200-000002000000}"/>
            </a:ext>
          </a:extLst>
        </xdr:cNvPr>
        <xdr:cNvSpPr/>
      </xdr:nvSpPr>
      <xdr:spPr>
        <a:xfrm>
          <a:off x="8397240" y="38100"/>
          <a:ext cx="2034540" cy="497205"/>
        </a:xfrm>
        <a:prstGeom prst="roundRect">
          <a:avLst/>
        </a:prstGeom>
        <a:effectLst>
          <a:outerShdw blurRad="50800" dist="38100" dir="2700000" algn="tl" rotWithShape="0">
            <a:prstClr val="black">
              <a:alpha val="40000"/>
            </a:prstClr>
          </a:outerShdw>
        </a:effectLst>
        <a:scene3d>
          <a:camera prst="orthographicFront"/>
          <a:lightRig rig="threePt" dir="t"/>
        </a:scene3d>
        <a:sp3d prstMaterial="flat">
          <a:bevelT/>
        </a:sp3d>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ctr"/>
          <a:r>
            <a:rPr lang="ru-RU" sz="1100" b="1">
              <a:latin typeface="Cambria" panose="02040503050406030204" pitchFamily="18" charset="0"/>
            </a:rPr>
            <a:t>Начать</a:t>
          </a:r>
          <a:r>
            <a:rPr lang="ru-RU" sz="1100" b="1" baseline="0">
              <a:latin typeface="Cambria" panose="02040503050406030204" pitchFamily="18" charset="0"/>
            </a:rPr>
            <a:t> анализ и построение</a:t>
          </a:r>
          <a:endParaRPr lang="ru-RU" sz="1100" b="1">
            <a:latin typeface="Cambria" panose="020405030504060302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20</xdr:col>
      <xdr:colOff>99646</xdr:colOff>
      <xdr:row>7</xdr:row>
      <xdr:rowOff>29308</xdr:rowOff>
    </xdr:from>
    <xdr:to>
      <xdr:col>22</xdr:col>
      <xdr:colOff>568569</xdr:colOff>
      <xdr:row>8</xdr:row>
      <xdr:rowOff>158261</xdr:rowOff>
    </xdr:to>
    <xdr:sp macro="[0]!sensitivity" textlink="">
      <xdr:nvSpPr>
        <xdr:cNvPr id="2" name="Скругленный прямоугольник 1">
          <a:extLst>
            <a:ext uri="{FF2B5EF4-FFF2-40B4-BE49-F238E27FC236}">
              <a16:creationId xmlns:a16="http://schemas.microsoft.com/office/drawing/2014/main" id="{00000000-0008-0000-0300-000002000000}"/>
            </a:ext>
          </a:extLst>
        </xdr:cNvPr>
        <xdr:cNvSpPr/>
      </xdr:nvSpPr>
      <xdr:spPr>
        <a:xfrm>
          <a:off x="6183923" y="29308"/>
          <a:ext cx="1688123" cy="310661"/>
        </a:xfrm>
        <a:prstGeom prst="roundRect">
          <a:avLst/>
        </a:prstGeom>
        <a:effectLst>
          <a:outerShdw blurRad="50800" dist="38100" dir="2700000" algn="tl" rotWithShape="0">
            <a:prstClr val="black">
              <a:alpha val="40000"/>
            </a:prstClr>
          </a:outerShdw>
        </a:effectLst>
        <a:scene3d>
          <a:camera prst="orthographicFront"/>
          <a:lightRig rig="threePt" dir="t"/>
        </a:scene3d>
        <a:sp3d prstMaterial="flat">
          <a:bevelT/>
        </a:sp3d>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ctr"/>
          <a:r>
            <a:rPr lang="ru-RU" sz="1100" b="1">
              <a:latin typeface="Cambria" panose="02040503050406030204" pitchFamily="18" charset="0"/>
            </a:rPr>
            <a:t>Провести анализ</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51</xdr:col>
      <xdr:colOff>129540</xdr:colOff>
      <xdr:row>8</xdr:row>
      <xdr:rowOff>38100</xdr:rowOff>
    </xdr:from>
    <xdr:to>
      <xdr:col>53</xdr:col>
      <xdr:colOff>525780</xdr:colOff>
      <xdr:row>10</xdr:row>
      <xdr:rowOff>144780</xdr:rowOff>
    </xdr:to>
    <xdr:sp macro="[0]!sensitivity2" textlink="">
      <xdr:nvSpPr>
        <xdr:cNvPr id="2" name="Скругленный прямоугольник 1">
          <a:extLst>
            <a:ext uri="{FF2B5EF4-FFF2-40B4-BE49-F238E27FC236}">
              <a16:creationId xmlns:a16="http://schemas.microsoft.com/office/drawing/2014/main" id="{00000000-0008-0000-0800-000002000000}"/>
            </a:ext>
          </a:extLst>
        </xdr:cNvPr>
        <xdr:cNvSpPr/>
      </xdr:nvSpPr>
      <xdr:spPr>
        <a:xfrm>
          <a:off x="6949440" y="38100"/>
          <a:ext cx="2072640" cy="480060"/>
        </a:xfrm>
        <a:prstGeom prst="roundRect">
          <a:avLst/>
        </a:prstGeom>
        <a:effectLst>
          <a:outerShdw blurRad="50800" dist="38100" dir="2700000" algn="tl" rotWithShape="0">
            <a:prstClr val="black">
              <a:alpha val="40000"/>
            </a:prstClr>
          </a:outerShdw>
        </a:effectLst>
        <a:scene3d>
          <a:camera prst="orthographicFront"/>
          <a:lightRig rig="threePt" dir="t"/>
        </a:scene3d>
        <a:sp3d prstMaterial="flat">
          <a:bevelT/>
        </a:sp3d>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ctr"/>
          <a:r>
            <a:rPr lang="ru-RU" sz="1100" b="1">
              <a:latin typeface="Cambria" panose="02040503050406030204" pitchFamily="18" charset="0"/>
            </a:rPr>
            <a:t>Начать</a:t>
          </a:r>
          <a:r>
            <a:rPr lang="ru-RU" sz="1100" b="1" baseline="0">
              <a:latin typeface="Cambria" panose="02040503050406030204" pitchFamily="18" charset="0"/>
            </a:rPr>
            <a:t> анализ и построение</a:t>
          </a:r>
          <a:endParaRPr lang="ru-RU" sz="1100" b="1">
            <a:latin typeface="Cambria" panose="020405030504060302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28</xdr:col>
      <xdr:colOff>175261</xdr:colOff>
      <xdr:row>8</xdr:row>
      <xdr:rowOff>68580</xdr:rowOff>
    </xdr:from>
    <xdr:to>
      <xdr:col>31</xdr:col>
      <xdr:colOff>419101</xdr:colOff>
      <xdr:row>10</xdr:row>
      <xdr:rowOff>7033</xdr:rowOff>
    </xdr:to>
    <xdr:sp macro="[0]!setcalculation" textlink="">
      <xdr:nvSpPr>
        <xdr:cNvPr id="2" name="Скругленный прямоугольник 1">
          <a:extLst>
            <a:ext uri="{FF2B5EF4-FFF2-40B4-BE49-F238E27FC236}">
              <a16:creationId xmlns:a16="http://schemas.microsoft.com/office/drawing/2014/main" id="{00000000-0008-0000-0400-000002000000}"/>
            </a:ext>
          </a:extLst>
        </xdr:cNvPr>
        <xdr:cNvSpPr/>
      </xdr:nvSpPr>
      <xdr:spPr>
        <a:xfrm>
          <a:off x="3825241" y="1539240"/>
          <a:ext cx="2072640" cy="311833"/>
        </a:xfrm>
        <a:prstGeom prst="roundRect">
          <a:avLst/>
        </a:prstGeom>
        <a:effectLst>
          <a:outerShdw blurRad="50800" dist="38100" dir="2700000" algn="tl" rotWithShape="0">
            <a:prstClr val="black">
              <a:alpha val="40000"/>
            </a:prstClr>
          </a:outerShdw>
        </a:effectLst>
        <a:scene3d>
          <a:camera prst="orthographicFront"/>
          <a:lightRig rig="threePt" dir="t"/>
        </a:scene3d>
        <a:sp3d prstMaterial="flat">
          <a:bevelT/>
        </a:sp3d>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ctr"/>
          <a:r>
            <a:rPr lang="ru-RU" sz="1100" b="1">
              <a:latin typeface="Cambria" panose="02040503050406030204" pitchFamily="18" charset="0"/>
            </a:rPr>
            <a:t>Прочсчитать</a:t>
          </a:r>
          <a:r>
            <a:rPr lang="ru-RU" sz="1100" b="1" baseline="0">
              <a:latin typeface="Cambria" panose="02040503050406030204" pitchFamily="18" charset="0"/>
            </a:rPr>
            <a:t> множество</a:t>
          </a:r>
          <a:endParaRPr lang="ru-RU" sz="1100" b="1">
            <a:latin typeface="Cambria" panose="020405030504060302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30</xdr:col>
      <xdr:colOff>51445</xdr:colOff>
      <xdr:row>5</xdr:row>
      <xdr:rowOff>184388</xdr:rowOff>
    </xdr:from>
    <xdr:to>
      <xdr:col>43</xdr:col>
      <xdr:colOff>495096</xdr:colOff>
      <xdr:row>31</xdr:row>
      <xdr:rowOff>82414</xdr:rowOff>
    </xdr:to>
    <xdr:graphicFrame macro="">
      <xdr:nvGraphicFramePr>
        <xdr:cNvPr id="2" name="Диаграмма 1">
          <a:extLst>
            <a:ext uri="{FF2B5EF4-FFF2-40B4-BE49-F238E27FC236}">
              <a16:creationId xmlns:a16="http://schemas.microsoft.com/office/drawing/2014/main" id="{E57EE0E6-3661-CAB7-1008-61E065A994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29</xdr:col>
      <xdr:colOff>562999</xdr:colOff>
      <xdr:row>334</xdr:row>
      <xdr:rowOff>93472</xdr:rowOff>
    </xdr:from>
    <xdr:to>
      <xdr:col>37</xdr:col>
      <xdr:colOff>270873</xdr:colOff>
      <xdr:row>348</xdr:row>
      <xdr:rowOff>169672</xdr:rowOff>
    </xdr:to>
    <xdr:graphicFrame macro="">
      <xdr:nvGraphicFramePr>
        <xdr:cNvPr id="3" name="Диаграмма 2">
          <a:extLst>
            <a:ext uri="{FF2B5EF4-FFF2-40B4-BE49-F238E27FC236}">
              <a16:creationId xmlns:a16="http://schemas.microsoft.com/office/drawing/2014/main" id="{8C3C7955-AD42-55EA-1A95-D180E337EDA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14</xdr:col>
      <xdr:colOff>76706</xdr:colOff>
      <xdr:row>24</xdr:row>
      <xdr:rowOff>241813</xdr:rowOff>
    </xdr:from>
    <xdr:to>
      <xdr:col>14</xdr:col>
      <xdr:colOff>82073</xdr:colOff>
      <xdr:row>28</xdr:row>
      <xdr:rowOff>83510</xdr:rowOff>
    </xdr:to>
    <xdr:cxnSp macro="">
      <xdr:nvCxnSpPr>
        <xdr:cNvPr id="2" name="Прямая со стрелкой 1">
          <a:extLst>
            <a:ext uri="{FF2B5EF4-FFF2-40B4-BE49-F238E27FC236}">
              <a16:creationId xmlns:a16="http://schemas.microsoft.com/office/drawing/2014/main" id="{00000000-0008-0000-0100-000002000000}"/>
            </a:ext>
          </a:extLst>
        </xdr:cNvPr>
        <xdr:cNvCxnSpPr/>
      </xdr:nvCxnSpPr>
      <xdr:spPr>
        <a:xfrm flipV="1">
          <a:off x="4458206" y="7099813"/>
          <a:ext cx="5367" cy="984697"/>
        </a:xfrm>
        <a:prstGeom prst="straightConnector1">
          <a:avLst/>
        </a:prstGeom>
        <a:ln>
          <a:tailEnd type="arrow"/>
        </a:ln>
      </xdr:spPr>
      <xdr:style>
        <a:lnRef idx="3">
          <a:schemeClr val="dk1"/>
        </a:lnRef>
        <a:fillRef idx="0">
          <a:schemeClr val="dk1"/>
        </a:fillRef>
        <a:effectRef idx="2">
          <a:schemeClr val="dk1"/>
        </a:effectRef>
        <a:fontRef idx="minor">
          <a:schemeClr val="tx1"/>
        </a:fontRef>
      </xdr:style>
    </xdr:cxnSp>
    <xdr:clientData/>
  </xdr:twoCellAnchor>
  <xdr:twoCellAnchor>
    <xdr:from>
      <xdr:col>10</xdr:col>
      <xdr:colOff>304004</xdr:colOff>
      <xdr:row>28</xdr:row>
      <xdr:rowOff>73304</xdr:rowOff>
    </xdr:from>
    <xdr:to>
      <xdr:col>14</xdr:col>
      <xdr:colOff>82265</xdr:colOff>
      <xdr:row>28</xdr:row>
      <xdr:rowOff>78672</xdr:rowOff>
    </xdr:to>
    <xdr:cxnSp macro="">
      <xdr:nvCxnSpPr>
        <xdr:cNvPr id="3" name="Прямая со стрелкой 2">
          <a:extLst>
            <a:ext uri="{FF2B5EF4-FFF2-40B4-BE49-F238E27FC236}">
              <a16:creationId xmlns:a16="http://schemas.microsoft.com/office/drawing/2014/main" id="{00000000-0008-0000-0100-000003000000}"/>
            </a:ext>
          </a:extLst>
        </xdr:cNvPr>
        <xdr:cNvCxnSpPr/>
      </xdr:nvCxnSpPr>
      <xdr:spPr>
        <a:xfrm flipH="1">
          <a:off x="3433647" y="8074304"/>
          <a:ext cx="1030118" cy="5368"/>
        </a:xfrm>
        <a:prstGeom prst="straightConnector1">
          <a:avLst/>
        </a:prstGeom>
        <a:ln>
          <a:tailEnd type="arrow"/>
        </a:ln>
      </xdr:spPr>
      <xdr:style>
        <a:lnRef idx="3">
          <a:schemeClr val="dk1"/>
        </a:lnRef>
        <a:fillRef idx="0">
          <a:schemeClr val="dk1"/>
        </a:fillRef>
        <a:effectRef idx="2">
          <a:schemeClr val="dk1"/>
        </a:effectRef>
        <a:fontRef idx="minor">
          <a:schemeClr val="tx1"/>
        </a:fontRef>
      </xdr:style>
    </xdr:cxnSp>
    <xdr:clientData/>
  </xdr:twoCellAnchor>
  <xdr:twoCellAnchor>
    <xdr:from>
      <xdr:col>14</xdr:col>
      <xdr:colOff>193185</xdr:colOff>
      <xdr:row>25</xdr:row>
      <xdr:rowOff>45615</xdr:rowOff>
    </xdr:from>
    <xdr:to>
      <xdr:col>15</xdr:col>
      <xdr:colOff>265628</xdr:colOff>
      <xdr:row>28</xdr:row>
      <xdr:rowOff>75129</xdr:rowOff>
    </xdr:to>
    <xdr:sp macro="" textlink="">
      <xdr:nvSpPr>
        <xdr:cNvPr id="4" name="Прямоугольник 3">
          <a:extLst>
            <a:ext uri="{FF2B5EF4-FFF2-40B4-BE49-F238E27FC236}">
              <a16:creationId xmlns:a16="http://schemas.microsoft.com/office/drawing/2014/main" id="{00000000-0008-0000-0100-000004000000}"/>
            </a:ext>
          </a:extLst>
        </xdr:cNvPr>
        <xdr:cNvSpPr/>
      </xdr:nvSpPr>
      <xdr:spPr>
        <a:xfrm rot="16200000">
          <a:off x="4343737" y="2581613"/>
          <a:ext cx="886764" cy="38676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ru-RU" sz="900" b="1">
              <a:solidFill>
                <a:schemeClr val="tx1"/>
              </a:solidFill>
            </a:rPr>
            <a:t>Верхний критерий</a:t>
          </a:r>
        </a:p>
      </xdr:txBody>
    </xdr:sp>
    <xdr:clientData/>
  </xdr:twoCellAnchor>
  <xdr:twoCellAnchor>
    <xdr:from>
      <xdr:col>11</xdr:col>
      <xdr:colOff>125572</xdr:colOff>
      <xdr:row>28</xdr:row>
      <xdr:rowOff>157768</xdr:rowOff>
    </xdr:from>
    <xdr:to>
      <xdr:col>14</xdr:col>
      <xdr:colOff>74594</xdr:colOff>
      <xdr:row>29</xdr:row>
      <xdr:rowOff>257042</xdr:rowOff>
    </xdr:to>
    <xdr:sp macro="" textlink="">
      <xdr:nvSpPr>
        <xdr:cNvPr id="5" name="Прямоугольник 4">
          <a:extLst>
            <a:ext uri="{FF2B5EF4-FFF2-40B4-BE49-F238E27FC236}">
              <a16:creationId xmlns:a16="http://schemas.microsoft.com/office/drawing/2014/main" id="{00000000-0008-0000-0100-000005000000}"/>
            </a:ext>
          </a:extLst>
        </xdr:cNvPr>
        <xdr:cNvSpPr/>
      </xdr:nvSpPr>
      <xdr:spPr>
        <a:xfrm>
          <a:off x="3583147" y="3301018"/>
          <a:ext cx="891997" cy="3850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ru-RU" sz="900" b="1">
              <a:solidFill>
                <a:schemeClr val="tx1"/>
              </a:solidFill>
            </a:rPr>
            <a:t>Нижний критерий</a:t>
          </a:r>
        </a:p>
      </xdr:txBody>
    </xdr:sp>
    <xdr:clientData/>
  </xdr:twoCellAnchor>
  <xdr:twoCellAnchor>
    <xdr:from>
      <xdr:col>17</xdr:col>
      <xdr:colOff>38102</xdr:colOff>
      <xdr:row>28</xdr:row>
      <xdr:rowOff>21772</xdr:rowOff>
    </xdr:from>
    <xdr:to>
      <xdr:col>17</xdr:col>
      <xdr:colOff>239490</xdr:colOff>
      <xdr:row>29</xdr:row>
      <xdr:rowOff>266700</xdr:rowOff>
    </xdr:to>
    <xdr:cxnSp macro="">
      <xdr:nvCxnSpPr>
        <xdr:cNvPr id="6" name="Скругленная соединительная линия 5">
          <a:extLst>
            <a:ext uri="{FF2B5EF4-FFF2-40B4-BE49-F238E27FC236}">
              <a16:creationId xmlns:a16="http://schemas.microsoft.com/office/drawing/2014/main" id="{00000000-0008-0000-0100-000006000000}"/>
            </a:ext>
          </a:extLst>
        </xdr:cNvPr>
        <xdr:cNvCxnSpPr/>
      </xdr:nvCxnSpPr>
      <xdr:spPr>
        <a:xfrm rot="16200000" flipV="1">
          <a:off x="5378907" y="3329667"/>
          <a:ext cx="530678" cy="201388"/>
        </a:xfrm>
        <a:prstGeom prst="curvedConnector3">
          <a:avLst>
            <a:gd name="adj1" fmla="val 50000"/>
          </a:avLst>
        </a:prstGeom>
        <a:ln>
          <a:tailEnd type="arrow"/>
        </a:ln>
      </xdr:spPr>
      <xdr:style>
        <a:lnRef idx="3">
          <a:schemeClr val="dk1"/>
        </a:lnRef>
        <a:fillRef idx="0">
          <a:schemeClr val="dk1"/>
        </a:fillRef>
        <a:effectRef idx="2">
          <a:schemeClr val="dk1"/>
        </a:effectRef>
        <a:fontRef idx="minor">
          <a:schemeClr val="tx1"/>
        </a:fontRef>
      </xdr:style>
    </xdr:cxnSp>
    <xdr:clientData/>
  </xdr:twoCellAnchor>
  <xdr:twoCellAnchor>
    <xdr:from>
      <xdr:col>19</xdr:col>
      <xdr:colOff>70756</xdr:colOff>
      <xdr:row>28</xdr:row>
      <xdr:rowOff>10888</xdr:rowOff>
    </xdr:from>
    <xdr:to>
      <xdr:col>19</xdr:col>
      <xdr:colOff>152399</xdr:colOff>
      <xdr:row>29</xdr:row>
      <xdr:rowOff>277587</xdr:rowOff>
    </xdr:to>
    <xdr:cxnSp macro="">
      <xdr:nvCxnSpPr>
        <xdr:cNvPr id="7" name="Скругленная соединительная линия 6">
          <a:extLst>
            <a:ext uri="{FF2B5EF4-FFF2-40B4-BE49-F238E27FC236}">
              <a16:creationId xmlns:a16="http://schemas.microsoft.com/office/drawing/2014/main" id="{00000000-0008-0000-0100-000007000000}"/>
            </a:ext>
          </a:extLst>
        </xdr:cNvPr>
        <xdr:cNvCxnSpPr/>
      </xdr:nvCxnSpPr>
      <xdr:spPr>
        <a:xfrm rot="5400000" flipH="1" flipV="1">
          <a:off x="5969453" y="3389541"/>
          <a:ext cx="552449" cy="81643"/>
        </a:xfrm>
        <a:prstGeom prst="curvedConnector3">
          <a:avLst>
            <a:gd name="adj1" fmla="val 50000"/>
          </a:avLst>
        </a:prstGeom>
        <a:ln>
          <a:tailEnd type="arrow"/>
        </a:ln>
      </xdr:spPr>
      <xdr:style>
        <a:lnRef idx="3">
          <a:schemeClr val="dk1"/>
        </a:lnRef>
        <a:fillRef idx="0">
          <a:schemeClr val="dk1"/>
        </a:fillRef>
        <a:effectRef idx="2">
          <a:schemeClr val="dk1"/>
        </a:effectRef>
        <a:fontRef idx="minor">
          <a:schemeClr val="tx1"/>
        </a:fontRef>
      </xdr:style>
    </xdr:cxnSp>
    <xdr:clientData/>
  </xdr:twoCellAnchor>
  <xdr:twoCellAnchor>
    <xdr:from>
      <xdr:col>20</xdr:col>
      <xdr:colOff>16328</xdr:colOff>
      <xdr:row>28</xdr:row>
      <xdr:rowOff>5448</xdr:rowOff>
    </xdr:from>
    <xdr:to>
      <xdr:col>20</xdr:col>
      <xdr:colOff>223155</xdr:colOff>
      <xdr:row>37</xdr:row>
      <xdr:rowOff>168729</xdr:rowOff>
    </xdr:to>
    <xdr:cxnSp macro="">
      <xdr:nvCxnSpPr>
        <xdr:cNvPr id="8" name="Скругленная соединительная линия 7">
          <a:extLst>
            <a:ext uri="{FF2B5EF4-FFF2-40B4-BE49-F238E27FC236}">
              <a16:creationId xmlns:a16="http://schemas.microsoft.com/office/drawing/2014/main" id="{00000000-0008-0000-0100-000008000000}"/>
            </a:ext>
          </a:extLst>
        </xdr:cNvPr>
        <xdr:cNvCxnSpPr/>
      </xdr:nvCxnSpPr>
      <xdr:spPr>
        <a:xfrm rot="5400000" flipH="1" flipV="1">
          <a:off x="5200651" y="4412800"/>
          <a:ext cx="2735031" cy="206827"/>
        </a:xfrm>
        <a:prstGeom prst="curvedConnector3">
          <a:avLst>
            <a:gd name="adj1" fmla="val -99"/>
          </a:avLst>
        </a:prstGeom>
        <a:ln>
          <a:tailEnd type="arrow"/>
        </a:ln>
      </xdr:spPr>
      <xdr:style>
        <a:lnRef idx="3">
          <a:schemeClr val="dk1"/>
        </a:lnRef>
        <a:fillRef idx="0">
          <a:schemeClr val="dk1"/>
        </a:fillRef>
        <a:effectRef idx="2">
          <a:schemeClr val="dk1"/>
        </a:effectRef>
        <a:fontRef idx="minor">
          <a:schemeClr val="tx1"/>
        </a:fontRef>
      </xdr:style>
    </xdr:cxnSp>
    <xdr:clientData/>
  </xdr:twoCellAnchor>
  <xdr:twoCellAnchor>
    <xdr:from>
      <xdr:col>8</xdr:col>
      <xdr:colOff>8285</xdr:colOff>
      <xdr:row>21</xdr:row>
      <xdr:rowOff>173935</xdr:rowOff>
    </xdr:from>
    <xdr:to>
      <xdr:col>16</xdr:col>
      <xdr:colOff>0</xdr:colOff>
      <xdr:row>26</xdr:row>
      <xdr:rowOff>140806</xdr:rowOff>
    </xdr:to>
    <xdr:cxnSp macro="">
      <xdr:nvCxnSpPr>
        <xdr:cNvPr id="9" name="Скругленная соединительная линия 8">
          <a:extLst>
            <a:ext uri="{FF2B5EF4-FFF2-40B4-BE49-F238E27FC236}">
              <a16:creationId xmlns:a16="http://schemas.microsoft.com/office/drawing/2014/main" id="{00000000-0008-0000-0100-000009000000}"/>
            </a:ext>
          </a:extLst>
        </xdr:cNvPr>
        <xdr:cNvCxnSpPr/>
      </xdr:nvCxnSpPr>
      <xdr:spPr>
        <a:xfrm rot="10800000" flipV="1">
          <a:off x="2522885" y="1316935"/>
          <a:ext cx="2668240" cy="1395621"/>
        </a:xfrm>
        <a:prstGeom prst="curvedConnector3">
          <a:avLst>
            <a:gd name="adj1" fmla="val 50000"/>
          </a:avLst>
        </a:prstGeom>
        <a:ln>
          <a:tailEnd type="arrow"/>
        </a:ln>
      </xdr:spPr>
      <xdr:style>
        <a:lnRef idx="3">
          <a:schemeClr val="dk1"/>
        </a:lnRef>
        <a:fillRef idx="0">
          <a:schemeClr val="dk1"/>
        </a:fillRef>
        <a:effectRef idx="2">
          <a:schemeClr val="dk1"/>
        </a:effectRef>
        <a:fontRef idx="minor">
          <a:schemeClr val="tx1"/>
        </a:fontRef>
      </xdr:style>
    </xdr:cxnSp>
    <xdr:clientData/>
  </xdr:twoCellAnchor>
  <xdr:twoCellAnchor>
    <xdr:from>
      <xdr:col>6</xdr:col>
      <xdr:colOff>281609</xdr:colOff>
      <xdr:row>21</xdr:row>
      <xdr:rowOff>289890</xdr:rowOff>
    </xdr:from>
    <xdr:to>
      <xdr:col>7</xdr:col>
      <xdr:colOff>182217</xdr:colOff>
      <xdr:row>25</xdr:row>
      <xdr:rowOff>33130</xdr:rowOff>
    </xdr:to>
    <xdr:cxnSp macro="">
      <xdr:nvCxnSpPr>
        <xdr:cNvPr id="10" name="Скругленная соединительная линия 9">
          <a:extLst>
            <a:ext uri="{FF2B5EF4-FFF2-40B4-BE49-F238E27FC236}">
              <a16:creationId xmlns:a16="http://schemas.microsoft.com/office/drawing/2014/main" id="{00000000-0008-0000-0100-00000A000000}"/>
            </a:ext>
          </a:extLst>
        </xdr:cNvPr>
        <xdr:cNvCxnSpPr/>
      </xdr:nvCxnSpPr>
      <xdr:spPr>
        <a:xfrm rot="16200000" flipH="1">
          <a:off x="1831906" y="1768543"/>
          <a:ext cx="886240" cy="214933"/>
        </a:xfrm>
        <a:prstGeom prst="curvedConnector3">
          <a:avLst>
            <a:gd name="adj1" fmla="val 50000"/>
          </a:avLst>
        </a:prstGeom>
        <a:ln>
          <a:tailEnd type="arrow"/>
        </a:ln>
      </xdr:spPr>
      <xdr:style>
        <a:lnRef idx="3">
          <a:schemeClr val="dk1"/>
        </a:lnRef>
        <a:fillRef idx="0">
          <a:schemeClr val="dk1"/>
        </a:fillRef>
        <a:effectRef idx="2">
          <a:schemeClr val="dk1"/>
        </a:effectRef>
        <a:fontRef idx="minor">
          <a:schemeClr val="tx1"/>
        </a:fontRef>
      </xdr:style>
    </xdr:cxnSp>
    <xdr:clientData/>
  </xdr:twoCellAnchor>
  <xdr:twoCellAnchor>
    <xdr:from>
      <xdr:col>7</xdr:col>
      <xdr:colOff>151542</xdr:colOff>
      <xdr:row>28</xdr:row>
      <xdr:rowOff>2170</xdr:rowOff>
    </xdr:from>
    <xdr:to>
      <xdr:col>7</xdr:col>
      <xdr:colOff>157655</xdr:colOff>
      <xdr:row>30</xdr:row>
      <xdr:rowOff>275897</xdr:rowOff>
    </xdr:to>
    <xdr:cxnSp macro="">
      <xdr:nvCxnSpPr>
        <xdr:cNvPr id="11" name="Скругленная соединительная линия 10">
          <a:extLst>
            <a:ext uri="{FF2B5EF4-FFF2-40B4-BE49-F238E27FC236}">
              <a16:creationId xmlns:a16="http://schemas.microsoft.com/office/drawing/2014/main" id="{00000000-0008-0000-0100-00000B000000}"/>
            </a:ext>
          </a:extLst>
        </xdr:cNvPr>
        <xdr:cNvCxnSpPr/>
      </xdr:nvCxnSpPr>
      <xdr:spPr>
        <a:xfrm rot="16200000" flipH="1">
          <a:off x="1932260" y="3564977"/>
          <a:ext cx="845227" cy="6113"/>
        </a:xfrm>
        <a:prstGeom prst="curvedConnector3">
          <a:avLst>
            <a:gd name="adj1" fmla="val 50000"/>
          </a:avLst>
        </a:prstGeom>
        <a:ln>
          <a:tailEnd type="arrow"/>
        </a:ln>
      </xdr:spPr>
      <xdr:style>
        <a:lnRef idx="3">
          <a:schemeClr val="dk1"/>
        </a:lnRef>
        <a:fillRef idx="0">
          <a:schemeClr val="dk1"/>
        </a:fillRef>
        <a:effectRef idx="2">
          <a:schemeClr val="dk1"/>
        </a:effectRef>
        <a:fontRef idx="minor">
          <a:schemeClr val="tx1"/>
        </a:fontRef>
      </xdr:style>
    </xdr:cxnSp>
    <xdr:clientData/>
  </xdr:twoCellAnchor>
  <xdr:twoCellAnchor>
    <xdr:from>
      <xdr:col>8</xdr:col>
      <xdr:colOff>26276</xdr:colOff>
      <xdr:row>26</xdr:row>
      <xdr:rowOff>175248</xdr:rowOff>
    </xdr:from>
    <xdr:to>
      <xdr:col>20</xdr:col>
      <xdr:colOff>14454</xdr:colOff>
      <xdr:row>32</xdr:row>
      <xdr:rowOff>170793</xdr:rowOff>
    </xdr:to>
    <xdr:cxnSp macro="">
      <xdr:nvCxnSpPr>
        <xdr:cNvPr id="12" name="Скругленная соединительная линия 11">
          <a:extLst>
            <a:ext uri="{FF2B5EF4-FFF2-40B4-BE49-F238E27FC236}">
              <a16:creationId xmlns:a16="http://schemas.microsoft.com/office/drawing/2014/main" id="{00000000-0008-0000-0100-00000C000000}"/>
            </a:ext>
          </a:extLst>
        </xdr:cNvPr>
        <xdr:cNvCxnSpPr/>
      </xdr:nvCxnSpPr>
      <xdr:spPr>
        <a:xfrm rot="10800000" flipV="1">
          <a:off x="2540876" y="2746998"/>
          <a:ext cx="3922003" cy="1710045"/>
        </a:xfrm>
        <a:prstGeom prst="curvedConnector3">
          <a:avLst>
            <a:gd name="adj1" fmla="val 50000"/>
          </a:avLst>
        </a:prstGeom>
        <a:ln>
          <a:tailEnd type="arrow"/>
        </a:ln>
      </xdr:spPr>
      <xdr:style>
        <a:lnRef idx="3">
          <a:schemeClr val="dk1"/>
        </a:lnRef>
        <a:fillRef idx="0">
          <a:schemeClr val="dk1"/>
        </a:fillRef>
        <a:effectRef idx="2">
          <a:schemeClr val="dk1"/>
        </a:effectRef>
        <a:fontRef idx="minor">
          <a:schemeClr val="tx1"/>
        </a:fontRef>
      </xdr:style>
    </xdr:cxnSp>
    <xdr:clientData/>
  </xdr:twoCellAnchor>
  <xdr:twoCellAnchor>
    <xdr:from>
      <xdr:col>14</xdr:col>
      <xdr:colOff>121776</xdr:colOff>
      <xdr:row>30</xdr:row>
      <xdr:rowOff>260371</xdr:rowOff>
    </xdr:from>
    <xdr:to>
      <xdr:col>14</xdr:col>
      <xdr:colOff>127143</xdr:colOff>
      <xdr:row>34</xdr:row>
      <xdr:rowOff>102068</xdr:rowOff>
    </xdr:to>
    <xdr:cxnSp macro="">
      <xdr:nvCxnSpPr>
        <xdr:cNvPr id="13" name="Прямая со стрелкой 12">
          <a:extLst>
            <a:ext uri="{FF2B5EF4-FFF2-40B4-BE49-F238E27FC236}">
              <a16:creationId xmlns:a16="http://schemas.microsoft.com/office/drawing/2014/main" id="{00000000-0008-0000-0100-00000D000000}"/>
            </a:ext>
          </a:extLst>
        </xdr:cNvPr>
        <xdr:cNvCxnSpPr/>
      </xdr:nvCxnSpPr>
      <xdr:spPr>
        <a:xfrm flipV="1">
          <a:off x="4522326" y="3975121"/>
          <a:ext cx="5367" cy="984697"/>
        </a:xfrm>
        <a:prstGeom prst="straightConnector1">
          <a:avLst/>
        </a:prstGeom>
        <a:ln>
          <a:tailEnd type="arrow"/>
        </a:ln>
      </xdr:spPr>
      <xdr:style>
        <a:lnRef idx="3">
          <a:schemeClr val="dk1"/>
        </a:lnRef>
        <a:fillRef idx="0">
          <a:schemeClr val="dk1"/>
        </a:fillRef>
        <a:effectRef idx="2">
          <a:schemeClr val="dk1"/>
        </a:effectRef>
        <a:fontRef idx="minor">
          <a:schemeClr val="tx1"/>
        </a:fontRef>
      </xdr:style>
    </xdr:cxnSp>
    <xdr:clientData/>
  </xdr:twoCellAnchor>
  <xdr:twoCellAnchor>
    <xdr:from>
      <xdr:col>11</xdr:col>
      <xdr:colOff>22502</xdr:colOff>
      <xdr:row>34</xdr:row>
      <xdr:rowOff>102068</xdr:rowOff>
    </xdr:from>
    <xdr:to>
      <xdr:col>14</xdr:col>
      <xdr:colOff>113727</xdr:colOff>
      <xdr:row>34</xdr:row>
      <xdr:rowOff>107436</xdr:rowOff>
    </xdr:to>
    <xdr:cxnSp macro="">
      <xdr:nvCxnSpPr>
        <xdr:cNvPr id="14" name="Прямая со стрелкой 13">
          <a:extLst>
            <a:ext uri="{FF2B5EF4-FFF2-40B4-BE49-F238E27FC236}">
              <a16:creationId xmlns:a16="http://schemas.microsoft.com/office/drawing/2014/main" id="{00000000-0008-0000-0100-00000E000000}"/>
            </a:ext>
          </a:extLst>
        </xdr:cNvPr>
        <xdr:cNvCxnSpPr/>
      </xdr:nvCxnSpPr>
      <xdr:spPr>
        <a:xfrm flipH="1">
          <a:off x="3480077" y="4959818"/>
          <a:ext cx="1034200" cy="5368"/>
        </a:xfrm>
        <a:prstGeom prst="straightConnector1">
          <a:avLst/>
        </a:prstGeom>
        <a:ln>
          <a:tailEnd type="arrow"/>
        </a:ln>
      </xdr:spPr>
      <xdr:style>
        <a:lnRef idx="3">
          <a:schemeClr val="dk1"/>
        </a:lnRef>
        <a:fillRef idx="0">
          <a:schemeClr val="dk1"/>
        </a:fillRef>
        <a:effectRef idx="2">
          <a:schemeClr val="dk1"/>
        </a:effectRef>
        <a:fontRef idx="minor">
          <a:schemeClr val="tx1"/>
        </a:fontRef>
      </xdr:style>
    </xdr:cxnSp>
    <xdr:clientData/>
  </xdr:twoCellAnchor>
  <xdr:twoCellAnchor>
    <xdr:from>
      <xdr:col>14</xdr:col>
      <xdr:colOff>207637</xdr:colOff>
      <xdr:row>31</xdr:row>
      <xdr:rowOff>40359</xdr:rowOff>
    </xdr:from>
    <xdr:to>
      <xdr:col>15</xdr:col>
      <xdr:colOff>280080</xdr:colOff>
      <xdr:row>34</xdr:row>
      <xdr:rowOff>69873</xdr:rowOff>
    </xdr:to>
    <xdr:sp macro="" textlink="">
      <xdr:nvSpPr>
        <xdr:cNvPr id="15" name="Прямоугольник 14">
          <a:extLst>
            <a:ext uri="{FF2B5EF4-FFF2-40B4-BE49-F238E27FC236}">
              <a16:creationId xmlns:a16="http://schemas.microsoft.com/office/drawing/2014/main" id="{00000000-0008-0000-0100-00000F000000}"/>
            </a:ext>
          </a:extLst>
        </xdr:cNvPr>
        <xdr:cNvSpPr/>
      </xdr:nvSpPr>
      <xdr:spPr>
        <a:xfrm rot="16200000">
          <a:off x="4358189" y="4290857"/>
          <a:ext cx="886764" cy="38676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ru-RU" sz="900" b="1">
              <a:solidFill>
                <a:schemeClr val="tx1"/>
              </a:solidFill>
            </a:rPr>
            <a:t>Верхний критерий</a:t>
          </a:r>
        </a:p>
      </xdr:txBody>
    </xdr:sp>
    <xdr:clientData/>
  </xdr:twoCellAnchor>
  <xdr:twoCellAnchor>
    <xdr:from>
      <xdr:col>11</xdr:col>
      <xdr:colOff>140024</xdr:colOff>
      <xdr:row>34</xdr:row>
      <xdr:rowOff>152512</xdr:rowOff>
    </xdr:from>
    <xdr:to>
      <xdr:col>14</xdr:col>
      <xdr:colOff>89046</xdr:colOff>
      <xdr:row>35</xdr:row>
      <xdr:rowOff>251786</xdr:rowOff>
    </xdr:to>
    <xdr:sp macro="" textlink="">
      <xdr:nvSpPr>
        <xdr:cNvPr id="16" name="Прямоугольник 15">
          <a:extLst>
            <a:ext uri="{FF2B5EF4-FFF2-40B4-BE49-F238E27FC236}">
              <a16:creationId xmlns:a16="http://schemas.microsoft.com/office/drawing/2014/main" id="{00000000-0008-0000-0100-000010000000}"/>
            </a:ext>
          </a:extLst>
        </xdr:cNvPr>
        <xdr:cNvSpPr/>
      </xdr:nvSpPr>
      <xdr:spPr>
        <a:xfrm>
          <a:off x="3597599" y="5010262"/>
          <a:ext cx="891997" cy="3850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ru-RU" sz="900" b="1">
              <a:solidFill>
                <a:schemeClr val="tx1"/>
              </a:solidFill>
            </a:rPr>
            <a:t>Нижний критерий</a:t>
          </a:r>
        </a:p>
      </xdr:txBody>
    </xdr:sp>
    <xdr:clientData/>
  </xdr:twoCellAnchor>
  <xdr:twoCellAnchor>
    <xdr:from>
      <xdr:col>14</xdr:col>
      <xdr:colOff>205154</xdr:colOff>
      <xdr:row>59</xdr:row>
      <xdr:rowOff>271095</xdr:rowOff>
    </xdr:from>
    <xdr:to>
      <xdr:col>19</xdr:col>
      <xdr:colOff>58616</xdr:colOff>
      <xdr:row>64</xdr:row>
      <xdr:rowOff>278422</xdr:rowOff>
    </xdr:to>
    <xdr:cxnSp macro="">
      <xdr:nvCxnSpPr>
        <xdr:cNvPr id="18" name="Скругленная соединительная линия 17">
          <a:extLst>
            <a:ext uri="{FF2B5EF4-FFF2-40B4-BE49-F238E27FC236}">
              <a16:creationId xmlns:a16="http://schemas.microsoft.com/office/drawing/2014/main" id="{00000000-0008-0000-0100-000012000000}"/>
            </a:ext>
          </a:extLst>
        </xdr:cNvPr>
        <xdr:cNvCxnSpPr/>
      </xdr:nvCxnSpPr>
      <xdr:spPr>
        <a:xfrm rot="16200000" flipH="1">
          <a:off x="4608635" y="17137672"/>
          <a:ext cx="1436077" cy="1421423"/>
        </a:xfrm>
        <a:prstGeom prst="curved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199712</xdr:colOff>
      <xdr:row>59</xdr:row>
      <xdr:rowOff>271096</xdr:rowOff>
    </xdr:from>
    <xdr:to>
      <xdr:col>19</xdr:col>
      <xdr:colOff>53174</xdr:colOff>
      <xdr:row>64</xdr:row>
      <xdr:rowOff>278423</xdr:rowOff>
    </xdr:to>
    <xdr:cxnSp macro="">
      <xdr:nvCxnSpPr>
        <xdr:cNvPr id="19" name="Скругленная соединительная линия 18">
          <a:extLst>
            <a:ext uri="{FF2B5EF4-FFF2-40B4-BE49-F238E27FC236}">
              <a16:creationId xmlns:a16="http://schemas.microsoft.com/office/drawing/2014/main" id="{00000000-0008-0000-0100-000013000000}"/>
            </a:ext>
          </a:extLst>
        </xdr:cNvPr>
        <xdr:cNvCxnSpPr/>
      </xdr:nvCxnSpPr>
      <xdr:spPr>
        <a:xfrm rot="16200000" flipH="1">
          <a:off x="4624023" y="17286199"/>
          <a:ext cx="1449684" cy="1459105"/>
        </a:xfrm>
        <a:prstGeom prst="curved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10</xdr:col>
      <xdr:colOff>86061</xdr:colOff>
      <xdr:row>9</xdr:row>
      <xdr:rowOff>58681</xdr:rowOff>
    </xdr:from>
    <xdr:to>
      <xdr:col>12</xdr:col>
      <xdr:colOff>705318</xdr:colOff>
      <xdr:row>10</xdr:row>
      <xdr:rowOff>152663</xdr:rowOff>
    </xdr:to>
    <xdr:sp macro="[0]!ReadCriteriumsAndMatrix" textlink="">
      <xdr:nvSpPr>
        <xdr:cNvPr id="2" name="Скругленный прямоугольник 1">
          <a:extLst>
            <a:ext uri="{FF2B5EF4-FFF2-40B4-BE49-F238E27FC236}">
              <a16:creationId xmlns:a16="http://schemas.microsoft.com/office/drawing/2014/main" id="{00000000-0008-0000-0500-000002000000}"/>
            </a:ext>
          </a:extLst>
        </xdr:cNvPr>
        <xdr:cNvSpPr/>
      </xdr:nvSpPr>
      <xdr:spPr>
        <a:xfrm>
          <a:off x="3279737" y="58681"/>
          <a:ext cx="2120846" cy="295688"/>
        </a:xfrm>
        <a:prstGeom prst="roundRect">
          <a:avLst/>
        </a:prstGeom>
        <a:effectLst>
          <a:outerShdw blurRad="50800" dist="38100" dir="2700000" algn="tl" rotWithShape="0">
            <a:prstClr val="black">
              <a:alpha val="40000"/>
            </a:prstClr>
          </a:outerShdw>
        </a:effectLst>
        <a:scene3d>
          <a:camera prst="orthographicFront"/>
          <a:lightRig rig="threePt" dir="t"/>
        </a:scene3d>
        <a:sp3d prstMaterial="flat">
          <a:bevelT/>
        </a:sp3d>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ctr"/>
          <a:r>
            <a:rPr lang="ru-RU" sz="1100" b="1">
              <a:latin typeface="Cambria" panose="02040503050406030204" pitchFamily="18" charset="0"/>
            </a:rPr>
            <a:t>Подбор вариантов</a:t>
          </a:r>
        </a:p>
      </xdr:txBody>
    </xdr:sp>
    <xdr:clientData/>
  </xdr:twoCellAnchor>
  <xdr:twoCellAnchor>
    <xdr:from>
      <xdr:col>10</xdr:col>
      <xdr:colOff>86061</xdr:colOff>
      <xdr:row>11</xdr:row>
      <xdr:rowOff>45793</xdr:rowOff>
    </xdr:from>
    <xdr:to>
      <xdr:col>12</xdr:col>
      <xdr:colOff>710901</xdr:colOff>
      <xdr:row>12</xdr:row>
      <xdr:rowOff>149076</xdr:rowOff>
    </xdr:to>
    <xdr:sp macro="[0]!SetUpdatingTrue" textlink="">
      <xdr:nvSpPr>
        <xdr:cNvPr id="3" name="Скругленный прямоугольник 1">
          <a:extLst>
            <a:ext uri="{FF2B5EF4-FFF2-40B4-BE49-F238E27FC236}">
              <a16:creationId xmlns:a16="http://schemas.microsoft.com/office/drawing/2014/main" id="{8D605D83-B4C8-493B-864B-59361F8017DA}"/>
            </a:ext>
          </a:extLst>
        </xdr:cNvPr>
        <xdr:cNvSpPr/>
      </xdr:nvSpPr>
      <xdr:spPr>
        <a:xfrm>
          <a:off x="3279737" y="437999"/>
          <a:ext cx="2126429" cy="293783"/>
        </a:xfrm>
        <a:prstGeom prst="roundRect">
          <a:avLst/>
        </a:prstGeom>
        <a:solidFill>
          <a:srgbClr val="00B0F0"/>
        </a:solidFill>
        <a:ln>
          <a:solidFill>
            <a:schemeClr val="accent5">
              <a:lumMod val="40000"/>
              <a:lumOff val="60000"/>
            </a:schemeClr>
          </a:solidFill>
        </a:ln>
        <a:effectLst>
          <a:outerShdw blurRad="50800" dist="38100" dir="2700000" algn="tl" rotWithShape="0">
            <a:prstClr val="black">
              <a:alpha val="40000"/>
            </a:prstClr>
          </a:outerShdw>
        </a:effectLst>
        <a:scene3d>
          <a:camera prst="orthographicFront"/>
          <a:lightRig rig="threePt" dir="t"/>
        </a:scene3d>
        <a:sp3d prstMaterial="flat">
          <a:bevelT/>
        </a:sp3d>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ctr"/>
          <a:r>
            <a:rPr lang="ru-RU" sz="1100" b="1">
              <a:latin typeface="Cambria" panose="02040503050406030204" pitchFamily="18" charset="0"/>
            </a:rPr>
            <a:t>Перезапуск</a:t>
          </a:r>
          <a:r>
            <a:rPr lang="ru-RU" sz="1100" b="1" baseline="0">
              <a:latin typeface="Cambria" panose="02040503050406030204" pitchFamily="18" charset="0"/>
            </a:rPr>
            <a:t> отрисовки</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215153</xdr:colOff>
      <xdr:row>2</xdr:row>
      <xdr:rowOff>17930</xdr:rowOff>
    </xdr:from>
    <xdr:to>
      <xdr:col>21</xdr:col>
      <xdr:colOff>282458</xdr:colOff>
      <xdr:row>3</xdr:row>
      <xdr:rowOff>42892</xdr:rowOff>
    </xdr:to>
    <xdr:sp macro="[0]!Findareaofnumberibmatrix_1" textlink="">
      <xdr:nvSpPr>
        <xdr:cNvPr id="10" name="Скругленный прямоугольник 9">
          <a:extLst>
            <a:ext uri="{FF2B5EF4-FFF2-40B4-BE49-F238E27FC236}">
              <a16:creationId xmlns:a16="http://schemas.microsoft.com/office/drawing/2014/main" id="{00000000-0008-0000-0900-00000A000000}"/>
            </a:ext>
          </a:extLst>
        </xdr:cNvPr>
        <xdr:cNvSpPr/>
      </xdr:nvSpPr>
      <xdr:spPr>
        <a:xfrm>
          <a:off x="4802393" y="597050"/>
          <a:ext cx="2360925" cy="314522"/>
        </a:xfrm>
        <a:prstGeom prst="roundRect">
          <a:avLst/>
        </a:prstGeom>
        <a:effectLst>
          <a:outerShdw blurRad="50800" dist="38100" dir="2700000" algn="tl" rotWithShape="0">
            <a:prstClr val="black">
              <a:alpha val="40000"/>
            </a:prstClr>
          </a:outerShdw>
        </a:effectLst>
        <a:scene3d>
          <a:camera prst="orthographicFront"/>
          <a:lightRig rig="threePt" dir="t"/>
        </a:scene3d>
        <a:sp3d prstMaterial="flat">
          <a:bevelT/>
        </a:sp3d>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ctr"/>
          <a:r>
            <a:rPr lang="ru-RU" sz="1100" b="1">
              <a:latin typeface="Cambria" panose="02040503050406030204" pitchFamily="18" charset="0"/>
            </a:rPr>
            <a:t>Область по искомому значению</a:t>
          </a:r>
        </a:p>
      </xdr:txBody>
    </xdr:sp>
    <xdr:clientData/>
  </xdr:twoCellAnchor>
  <xdr:twoCellAnchor>
    <xdr:from>
      <xdr:col>14</xdr:col>
      <xdr:colOff>233083</xdr:colOff>
      <xdr:row>3</xdr:row>
      <xdr:rowOff>188259</xdr:rowOff>
    </xdr:from>
    <xdr:to>
      <xdr:col>21</xdr:col>
      <xdr:colOff>300388</xdr:colOff>
      <xdr:row>4</xdr:row>
      <xdr:rowOff>213222</xdr:rowOff>
    </xdr:to>
    <xdr:sp macro="[0]!RangeSelectByCellsAddress" textlink="">
      <xdr:nvSpPr>
        <xdr:cNvPr id="11" name="Скругленный прямоугольник 10">
          <a:extLst>
            <a:ext uri="{FF2B5EF4-FFF2-40B4-BE49-F238E27FC236}">
              <a16:creationId xmlns:a16="http://schemas.microsoft.com/office/drawing/2014/main" id="{00000000-0008-0000-0900-00000B000000}"/>
            </a:ext>
          </a:extLst>
        </xdr:cNvPr>
        <xdr:cNvSpPr/>
      </xdr:nvSpPr>
      <xdr:spPr>
        <a:xfrm>
          <a:off x="4820323" y="1056939"/>
          <a:ext cx="2360925" cy="314523"/>
        </a:xfrm>
        <a:prstGeom prst="roundRect">
          <a:avLst/>
        </a:prstGeom>
        <a:effectLst>
          <a:outerShdw blurRad="50800" dist="38100" dir="2700000" algn="tl" rotWithShape="0">
            <a:prstClr val="black">
              <a:alpha val="40000"/>
            </a:prstClr>
          </a:outerShdw>
        </a:effectLst>
        <a:scene3d>
          <a:camera prst="orthographicFront"/>
          <a:lightRig rig="threePt" dir="t"/>
        </a:scene3d>
        <a:sp3d prstMaterial="flat">
          <a:bevelT/>
        </a:sp3d>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ctr"/>
          <a:r>
            <a:rPr lang="ru-RU" sz="1100" b="1">
              <a:latin typeface="Cambria" panose="02040503050406030204" pitchFamily="18" charset="0"/>
            </a:rPr>
            <a:t>Выделение</a:t>
          </a:r>
          <a:r>
            <a:rPr lang="ru-RU" sz="1100" b="1" baseline="0">
              <a:latin typeface="Cambria" panose="02040503050406030204" pitchFamily="18" charset="0"/>
            </a:rPr>
            <a:t> области</a:t>
          </a:r>
          <a:endParaRPr lang="ru-RU" sz="1100" b="1">
            <a:latin typeface="Cambria" panose="020405030504060302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1056;&#1072;&#1073;&#1086;&#1095;&#1080;&#1081;%20&#1089;&#1090;&#1086;&#1083;\Excel_Dekon_v_4_4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одержание"/>
      <sheetName val="Модель"/>
      <sheetName val="Чувствительность (Мини)"/>
      <sheetName val="Множество"/>
      <sheetName val="Чувствительность"/>
      <sheetName val="Модель - Формы"/>
      <sheetName val="Подбор 2"/>
      <sheetName val="Перебор_2_20170709140117"/>
      <sheetName val="123"/>
      <sheetName val="ну_тест20171011122046"/>
      <sheetName val="Перебор"/>
      <sheetName val="Лист9"/>
      <sheetName val="F0"/>
      <sheetName val="F1"/>
      <sheetName val="F2"/>
      <sheetName val="F3"/>
      <sheetName val="F4"/>
      <sheetName val="F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7" xr:uid="{00000000-000C-0000-FFFF-FFFF01000000}" name="Критерий_Чувствительность" displayName="Критерий_Чувствительность" ref="A9:R15" totalsRowShown="0" headerRowDxfId="1780">
  <autoFilter ref="A9:R15" xr:uid="{00000000-0009-0000-0100-00000B01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00000000-0010-0000-0100-000001000000}" name="№" dataDxfId="1779">
      <calculatedColumnFormula>IF(AND(Критерий_Чувствительность[[#This Row],[Критерий]]&lt;&gt;"",Критерий_Чувствительность[[#This Row],[O.K.Критерий]]=1),ROW()-ROW(Критерий_Чувствительность[[#Headers],[№]]),"")</calculatedColumnFormula>
    </tableColumn>
    <tableColumn id="2" xr3:uid="{00000000-0010-0000-0100-000002000000}" name="Критерий" dataDxfId="1778"/>
    <tableColumn id="3" xr3:uid="{00000000-0010-0000-0100-000003000000}" name="Скритерий" dataDxfId="1777">
      <calculatedColumnFormula>IFERROR(IF(AND(Критерий_Чувствительность[[#This Row],[Критерий]]&gt;=1,Критерий_Чувствительность[[#This Row],[Критерий]]&lt;=4),IF(IFERROR(FIND("!",_xlfn.FORMULATEXT(Критерий_Чувствительность[[#This Row],[Критерий]])),"на странице")="на странице",CONCATENATE("R",ROW((INDIRECT(RIGHT(_xlfn.FORMULATEXT(Критерий_Чувствительность[[#This Row],[Критерий]]), LEN(_xlfn.FORMULATEXT(Критерий_Чувствительность[[#This Row],[Критерий]]))-1),FALSE))),"C",COLUMN((INDIRECT(RIGHT(_xlfn.FORMULATEXT(Критерий_Чувствительность[[#This Row],[Критерий]]), LEN(_xlfn.FORMULATEXT(Критерий_Чувствительность[[#This Row],[Критерий]]))-1),FALSE)))-C$8),CONCATENATE(RIGHT(LEFT(_xlfn.FORMULATEXT(Критерий_Чувствительность[[#This Row],[Критерий]]),FIND("!",_xlfn.FORMULATEXT(Критерий_Чувствительность[[#This Row],[Критерий]]))),LEN(LEFT(_xlfn.FORMULATEXT(Критерий_Чувствительность[[#This Row],[Критерий]]),FIND("!",_xlfn.FORMULATEXT(Критерий_Чувствительность[[#This Row],[Критерий]]))))-1),"R",ROW((INDIRECT(RIGHT(_xlfn.FORMULATEXT(Критерий_Чувствительность[[#This Row],[Критерий]]), LEN(_xlfn.FORMULATEXT(Критерий_Чувствительность[[#This Row],[Критерий]]))-1),FALSE))),"C",COLUMN((INDIRECT(RIGHT(_xlfn.FORMULATEXT(Критерий_Чувствительность[[#This Row],[Критерий]]), LEN(_xlfn.FORMULATEXT(Критерий_Чувствительность[[#This Row],[Критерий]]))-1),FALSE)))-C$8)),"ошибка"),"ошибка")</calculatedColumnFormula>
    </tableColumn>
    <tableColumn id="4" xr3:uid="{00000000-0010-0000-0100-000004000000}" name="ВидКритерий">
      <calculatedColumnFormula>IFERROR(IF(LEFT(Критерий_Чувствительность[[#This Row],[Фкритерий]],5)="=Прив","Критерий",IF(LEFT(Критерий_Чувствительность[[#This Row],[Фкритерий]],5)="=Матр","ошибка","ошибка")),"ошибка")</calculatedColumnFormula>
    </tableColumn>
    <tableColumn id="5" xr3:uid="{00000000-0010-0000-0100-000005000000}" name="Наименование">
      <calculatedColumnFormula>IFERROR(IF(LEN((INDIRECT(Критерий_Чувствительность[[#This Row],[СНаименование]],FALSE)))=0,"ошибка",IFERROR(INDIRECT(Критерий_Чувствительность[[#This Row],[СНаименование]],FALSE),"ошибка")),"ошибка")</calculatedColumnFormula>
    </tableColumn>
    <tableColumn id="6" xr3:uid="{00000000-0010-0000-0100-000006000000}" name="СНаименование">
      <calculatedColumnFormula>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Row],[Скритерий]])))+F$7),FIND("R",Критерий_Чувствительность[[#This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Row],[Скритерий]])))+F$6),"ошибка")</calculatedColumnFormula>
    </tableColumn>
    <tableColumn id="7" xr3:uid="{00000000-0010-0000-0100-000007000000}" name="ФизКритерий">
      <calculatedColumnFormula>IFERROR(IF(N(INDIRECT(Критерий_Чувствительность[[#This Row],[СФизКритерий]],FALSE))=0,"ошибка",IFERROR(INDIRECT(Критерий_Чувствительность[[#This Row],[СФизКритерий]],FALSE),"ошибка")),"ошибка")</calculatedColumnFormula>
    </tableColumn>
    <tableColumn id="8" xr3:uid="{00000000-0010-0000-0100-000008000000}" name="СФизКритерий">
      <calculatedColumnFormula>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Row],[Скритерий]])))+H$7),FIND("R",Критерий_Чувствительность[[#This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Row],[Скритерий]])))+H$6),"ошибка")</calculatedColumnFormula>
    </tableColumn>
    <tableColumn id="9" xr3:uid="{00000000-0010-0000-0100-000009000000}" name="ТипКритерий"/>
    <tableColumn id="10" xr3:uid="{00000000-0010-0000-0100-00000A000000}" name="СТипКритерий">
      <calculatedColumnFormula>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Row],[Скритерий]])))+J$7),FIND("R",Критерий_Чувствительность[[#This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Row],[Скритерий]])))+J$6),"ошибка")</calculatedColumnFormula>
    </tableColumn>
    <tableColumn id="11" xr3:uid="{00000000-0010-0000-0100-00000B000000}" name="Фкритерий">
      <calculatedColumnFormula>IFERROR(_xlfn.FORMULATEXT(INDIRECT(Критерий_Чувствительность[[#This Row],[Скритерий]],FALSE)),"ошибка")</calculatedColumnFormula>
    </tableColumn>
    <tableColumn id="12" xr3:uid="{00000000-0010-0000-0100-00000C000000}" name="МинФизКритерий" dataDxfId="1776">
      <calculatedColumnFormula>IFERROR(IF(N(INDIRECT(Критерий_Чувствительность[[#This Row],[СМинФизКритерий]],FALSE))="","ошибка",IFERROR(INDIRECT(Критерий_Чувствительность[[#This Row],[СМинФизКритерий]],FALSE),"ошибка")),"ошибка")</calculatedColumnFormula>
    </tableColumn>
    <tableColumn id="13" xr3:uid="{00000000-0010-0000-0100-00000D000000}" name="СМинФизКритерий">
      <calculatedColumnFormula>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Row],[Скритерий]])))+M$7),FIND("R",Критерий_Чувствительность[[#This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Row],[Скритерий]])))+M$6),"ошибка")</calculatedColumnFormula>
    </tableColumn>
    <tableColumn id="14" xr3:uid="{00000000-0010-0000-0100-00000E000000}" name="МаксФизКритерий" dataDxfId="1775">
      <calculatedColumnFormula>IFERROR(IF(N(INDIRECT(Критерий_Чувствительность[[#This Row],[СМаксФизКритерий]],FALSE))="","ошибка",IFERROR(INDIRECT(Критерий_Чувствительность[[#This Row],[СМаксФизКритерий]],FALSE),"ошибка")),"ошибка")</calculatedColumnFormula>
    </tableColumn>
    <tableColumn id="15" xr3:uid="{00000000-0010-0000-0100-00000F000000}" name="СМаксФизКритерий">
      <calculatedColumnFormula>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Row],[Скритерий]])))+O$7),FIND("R",Критерий_Чувствительность[[#This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Row],[Скритерий]])))+O$6),"ошибка")</calculatedColumnFormula>
    </tableColumn>
    <tableColumn id="16" xr3:uid="{00000000-0010-0000-0100-000010000000}" name="СрФизКритерий">
      <calculatedColumnFormula>IFERROR(IF(N(INDIRECT(Критерий_Чувствительность[[#This Row],[ССрФизКритерий]],FALSE))=0,"ошибка",IFERROR(INDIRECT(Критерий_Чувствительность[[#This Row],[ССрФизКритерий]],FALSE),"ошибка")),"")</calculatedColumnFormula>
    </tableColumn>
    <tableColumn id="17" xr3:uid="{00000000-0010-0000-0100-000011000000}" name="ССрФизКритерий"/>
    <tableColumn id="18" xr3:uid="{00000000-0010-0000-0100-000012000000}" name="O.K.Критерий" dataDxfId="1774">
      <calculatedColumnFormula>IFERROR(IF(AND(Критерий_Чувствительность[[#This Row],[ВидКритерий]]="Критерий",Критерий_Чувствительность[[#This Row],[Фкритерий]]="=Приведение"),1,-1),-1)</calculatedColumnFormula>
    </tableColumn>
  </tableColumns>
  <tableStyleInfo name="TableStyleMedium2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8" xr:uid="{00000000-000C-0000-FFFF-FFFF02000000}" name="Свёртка_Чувствительность" displayName="Свёртка_Чувствительность" ref="T9:AY13" totalsRowShown="0" headerRowDxfId="1773">
  <autoFilter ref="T9:AY13" xr:uid="{00000000-0009-0000-0100-00000C01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autoFilter>
  <tableColumns count="32">
    <tableColumn id="1" xr3:uid="{00000000-0010-0000-0200-000001000000}" name="№" dataDxfId="1772" totalsRowDxfId="1771">
      <calculatedColumnFormula>IF(AND(Свёртка_Чувствительность[[#This Row],[Свёртка]]&lt;&gt;"",Свёртка_Чувствительность[[#This Row],[O.K.Свёртка]]=1),ROW()-ROW(Свёртка_Чувствительность[[#Headers],[№]]),"")</calculatedColumnFormula>
    </tableColumn>
    <tableColumn id="2" xr3:uid="{00000000-0010-0000-0200-000002000000}" name="Свёртка" dataDxfId="1770" totalsRowDxfId="1769">
      <calculatedColumnFormula>Модель!H34</calculatedColumnFormula>
    </tableColumn>
    <tableColumn id="3" xr3:uid="{00000000-0010-0000-0200-000003000000}" name="ССвёртка" totalsRowDxfId="1768">
      <calculatedColumnFormula>IFERROR(IF(AND(Свёртка_Чувствительность[[#This Row],[Свёртка]]&gt;=1,Свёртка_Чувствительность[[#This Row],[Свёртка]]&lt;=4),IF(IFERROR(FIND("!",_xlfn.FORMULATEXT(Свёртка_Чувствительность[[#This Row],[Свёртка]])),"на странице")="на странице",CONCATENATE("R",ROW((INDIRECT(RIGHT(_xlfn.FORMULATEXT(Свёртка_Чувствительность[[#This Row],[Свёртка]]), LEN(_xlfn.FORMULATEXT(Свёртка_Чувствительность[[#This Row],[Свёртка]]))-1),FALSE))),"C",COLUMN((INDIRECT(RIGHT(_xlfn.FORMULATEXT(Свёртка_Чувствительность[[#This Row],[Свёртка]]), LEN(_xlfn.FORMULATEXT(Свёртка_Чувствительность[[#This Row],[Свёртка]]))-1),FALSE)))-V$6),CONCATENATE(RIGHT(LEFT(_xlfn.FORMULATEXT(Свёртка_Чувствительность[[#This Row],[Свёртка]]),FIND("!",_xlfn.FORMULATEXT(Свёртка_Чувствительность[[#This Row],[Свёртка]]))),LEN(LEFT(_xlfn.FORMULATEXT(Свёртка_Чувствительность[[#This Row],[Свёртка]]),FIND("!",_xlfn.FORMULATEXT(Свёртка_Чувствительность[[#This Row],[Свёртка]]))))-1),"R",ROW((INDIRECT(RIGHT(_xlfn.FORMULATEXT(Свёртка_Чувствительность[[#This Row],[Свёртка]]), LEN(_xlfn.FORMULATEXT(Свёртка_Чувствительность[[#This Row],[Свёртка]]))-1),FALSE))),"C",COLUMN((INDIRECT(RIGHT(_xlfn.FORMULATEXT(Свёртка_Чувствительность[[#This Row],[Свёртка]]), LEN(_xlfn.FORMULATEXT(Свёртка_Чувствительность[[#This Row],[Свёртка]]))-1),FALSE)))-V$6)),"ошибка"),"ошибка")</calculatedColumnFormula>
    </tableColumn>
    <tableColumn id="4" xr3:uid="{00000000-0010-0000-0200-000004000000}" name="ФСвёртка" totalsRowDxfId="1767">
      <calculatedColumnFormula>IFERROR(_xlfn.FORMULATEXT(INDIRECT(Свёртка_Чувствительность[[#This Row],[ССвёртка]],FALSE)),"ошибка")</calculatedColumnFormula>
    </tableColumn>
    <tableColumn id="5" xr3:uid="{00000000-0010-0000-0200-000005000000}" name="ВидСвёртка" totalsRowDxfId="1766">
      <calculatedColumnFormula>IFERROR(IF(LEFT(Свёртка_Чувствительность[[#This Row],[ФСвёртка]],5)="=Прив","ошибка",IF(LEFT(Свёртка_Чувствительность[[#This Row],[ФСвёртка]],5)="=Матр","Свёртка","ошибка")),"ошибка")</calculatedColumnFormula>
    </tableColumn>
    <tableColumn id="6" xr3:uid="{00000000-0010-0000-0200-000006000000}" name="Наименование" totalsRowDxfId="1765">
      <calculatedColumnFormula>IFERROR(IF(LEN((INDIRECT(Свёртка_Чувствительность[[#This Row],[СНаименование]],FALSE)))=0,"ошибка",IFERROR(INDIRECT(Свёртка_Чувствительность[[#This Row],[СНаименование]],FALSE),"ошибка")),"ошибка")</calculatedColumnFormula>
    </tableColumn>
    <tableColumn id="7" xr3:uid="{00000000-0010-0000-0200-000007000000}" name="СНаименование" totalsRowDxfId="1764">
      <calculatedColumnFormula>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Row],[ССвёртка]])))+Z$7),FIND("R",Свёртка_Чувствительность[[#This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Row],[ССвёртка]])))+Z$6),"ошибка")</calculatedColumnFormula>
    </tableColumn>
    <tableColumn id="8" xr3:uid="{00000000-0010-0000-0200-000008000000}" name="СВ_1_1" dataDxfId="1763" totalsRowDxfId="1762">
      <calculatedColumnFormula>IFERROR(IF(LEN((INDIRECT(Свёртка_Чувствительность[[#This Row],[ССВ_1_1]],FALSE)))=0,"ошибка",IFERROR(INDIRECT(Свёртка_Чувствительность[[#This Row],[ССВ_1_1]],FALSE),"ошибка")),"ошибка")</calculatedColumnFormula>
    </tableColumn>
    <tableColumn id="9" xr3:uid="{00000000-0010-0000-0200-000009000000}" name="ССВ_1_1" totalsRowDxfId="1761">
      <calculatedColumnFormula>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Row],[ССвёртка]])))+AB$7),FIND("R",Свёртка_Чувствительность[[#This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Row],[ССвёртка]])))+AB$6),"ошибка")</calculatedColumnFormula>
    </tableColumn>
    <tableColumn id="13" xr3:uid="{00000000-0010-0000-0200-00000D000000}" name="СВ_2_1" dataDxfId="1760" totalsRowDxfId="1759">
      <calculatedColumnFormula>IFERROR(IF(LEN((INDIRECT(Свёртка_Чувствительность[[#This Row],[ССВ_2_1]],FALSE)))=0,"ошибка",IFERROR(INDIRECT(Свёртка_Чувствительность[[#This Row],[ССВ_2_1]],FALSE),"ошибка")),"ошибка")</calculatedColumnFormula>
    </tableColumn>
    <tableColumn id="14" xr3:uid="{00000000-0010-0000-0200-00000E000000}" name="ССВ_2_1" totalsRowDxfId="1758">
      <calculatedColumnFormula>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Row],[ССвёртка]])))+AD$7),FIND("R",Свёртка_Чувствительность[[#This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Row],[ССвёртка]])))+AD$6),"ошибка")</calculatedColumnFormula>
    </tableColumn>
    <tableColumn id="18" xr3:uid="{00000000-0010-0000-0200-000012000000}" name="СВ_1_2" dataDxfId="1757" totalsRowDxfId="1756">
      <calculatedColumnFormula>IFERROR(IF(LEN((INDIRECT(Свёртка_Чувствительность[[#This Row],[ССВ_1_2]],FALSE)))=0,"ошибка",IFERROR(INDIRECT(Свёртка_Чувствительность[[#This Row],[ССВ_1_2]],FALSE),"ошибка")),"ошибка")</calculatedColumnFormula>
    </tableColumn>
    <tableColumn id="19" xr3:uid="{00000000-0010-0000-0200-000013000000}" name="ССВ_1_2" totalsRowDxfId="1755">
      <calculatedColumnFormula>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Row],[ССвёртка]])))+AF$7),FIND("R",Свёртка_Чувствительность[[#This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Row],[ССвёртка]])))+AF$6),"ошибка")</calculatedColumnFormula>
    </tableColumn>
    <tableColumn id="23" xr3:uid="{00000000-0010-0000-0200-000017000000}" name="СВ_2_2" dataDxfId="1754" totalsRowDxfId="1753">
      <calculatedColumnFormula>IFERROR(IF(LEN((INDIRECT(Свёртка_Чувствительность[[#This Row],[ССВ_2_2]],FALSE)))=0,"ошибка",IFERROR(INDIRECT(Свёртка_Чувствительность[[#This Row],[ССВ_2_2]],FALSE),"ошибка")),"ошибка")</calculatedColumnFormula>
    </tableColumn>
    <tableColumn id="24" xr3:uid="{00000000-0010-0000-0200-000018000000}" name="ССВ_2_2" totalsRowDxfId="1752">
      <calculatedColumnFormula>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Row],[ССвёртка]])))+AH$7),FIND("R",Свёртка_Чувствительность[[#This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Row],[ССвёртка]])))+AH$6),"ошибка")</calculatedColumnFormula>
    </tableColumn>
    <tableColumn id="28" xr3:uid="{00000000-0010-0000-0200-00001C000000}" name="СВ_3_1" dataDxfId="1751" totalsRowDxfId="1750">
      <calculatedColumnFormula>IFERROR(IF(LEN((INDIRECT(Свёртка_Чувствительность[[#This Row],[ССВ_3_1]],FALSE)))=0,"ошибка",IFERROR(INDIRECT(Свёртка_Чувствительность[[#This Row],[ССВ_3_1]],FALSE),"ошибка")),"ошибка")</calculatedColumnFormula>
    </tableColumn>
    <tableColumn id="29" xr3:uid="{00000000-0010-0000-0200-00001D000000}" name="ССВ_3_1" totalsRowDxfId="1749">
      <calculatedColumnFormula>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Row],[ССвёртка]])))+AJ$7),FIND("R",Свёртка_Чувствительность[[#This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Row],[ССвёртка]])))+AJ$6),"ошибка")</calculatedColumnFormula>
    </tableColumn>
    <tableColumn id="33" xr3:uid="{00000000-0010-0000-0200-000021000000}" name="СВ_1_3" dataDxfId="1748" totalsRowDxfId="1747">
      <calculatedColumnFormula>IFERROR(IF(LEN((INDIRECT(Свёртка_Чувствительность[[#This Row],[ССВ_1_3]],FALSE)))=0,"ошибка",IFERROR(INDIRECT(Свёртка_Чувствительность[[#This Row],[ССВ_1_3]],FALSE),"ошибка")),"ошибка")</calculatedColumnFormula>
    </tableColumn>
    <tableColumn id="34" xr3:uid="{00000000-0010-0000-0200-000022000000}" name="ССВ_1_3" totalsRowDxfId="1746">
      <calculatedColumnFormula>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Row],[ССвёртка]])))+AL$7),FIND("R",Свёртка_Чувствительность[[#This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Row],[ССвёртка]])))+AL$6),"ошибка")</calculatedColumnFormula>
    </tableColumn>
    <tableColumn id="38" xr3:uid="{00000000-0010-0000-0200-000026000000}" name="СВ_3_2" dataDxfId="1745" totalsRowDxfId="1744">
      <calculatedColumnFormula>IFERROR(IF(LEN((INDIRECT(Свёртка_Чувствительность[[#This Row],[ССВ_3_2]],FALSE)))=0,"ошибка",IFERROR(INDIRECT(Свёртка_Чувствительность[[#This Row],[ССВ_3_2]],FALSE),"ошибка")),"ошибка")</calculatedColumnFormula>
    </tableColumn>
    <tableColumn id="39" xr3:uid="{00000000-0010-0000-0200-000027000000}" name="ССВ_3_2" totalsRowDxfId="1743">
      <calculatedColumnFormula>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Row],[ССвёртка]])))+AN$7),FIND("R",Свёртка_Чувствительность[[#This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Row],[ССвёртка]])))+AN$6),"ошибка")</calculatedColumnFormula>
    </tableColumn>
    <tableColumn id="43" xr3:uid="{00000000-0010-0000-0200-00002B000000}" name="СВ_2_3" dataDxfId="1742" totalsRowDxfId="1741">
      <calculatedColumnFormula>IFERROR(IF(LEN((INDIRECT(Свёртка_Чувствительность[[#This Row],[ССВ_2_3]],FALSE)))=0,"ошибка",IFERROR(INDIRECT(Свёртка_Чувствительность[[#This Row],[ССВ_2_3]],FALSE),"ошибка")),"ошибка")</calculatedColumnFormula>
    </tableColumn>
    <tableColumn id="44" xr3:uid="{00000000-0010-0000-0200-00002C000000}" name="ССВ_2_3" totalsRowDxfId="1740">
      <calculatedColumnFormula>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Row],[ССвёртка]])))+AP$7),FIND("R",Свёртка_Чувствительность[[#This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Row],[ССвёртка]])))+AP$6),"ошибка")</calculatedColumnFormula>
    </tableColumn>
    <tableColumn id="48" xr3:uid="{00000000-0010-0000-0200-000030000000}" name="СВ_3_3" dataDxfId="1739" totalsRowDxfId="1738">
      <calculatedColumnFormula>IFERROR(IF(LEN((INDIRECT(Свёртка_Чувствительность[[#This Row],[ССВ_3_3]],FALSE)))=0,"ошибка",IFERROR(INDIRECT(Свёртка_Чувствительность[[#This Row],[ССВ_3_3]],FALSE),"ошибка")),"ошибка")</calculatedColumnFormula>
    </tableColumn>
    <tableColumn id="49" xr3:uid="{00000000-0010-0000-0200-000031000000}" name="ССВ_3_3" totalsRowDxfId="1737">
      <calculatedColumnFormula>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Row],[ССвёртка]])))+AR$7),FIND("R",Свёртка_Чувствительность[[#This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Row],[ССвёртка]])))+AR$6),"ошибка")</calculatedColumnFormula>
    </tableColumn>
    <tableColumn id="54" xr3:uid="{00000000-0010-0000-0200-000036000000}" name="Л" totalsRowDxfId="1736">
      <calculatedColumnFormula>IFERROR(IF(LEN((INDIRECT(Свёртка_Чувствительность[[#This Row],[СЛ]],FALSE)))=0,"ошибка",IFERROR(INDIRECT(Свёртка_Чувствительность[[#This Row],[СЛ]],FALSE),"ошибка")),"ошибка")</calculatedColumnFormula>
    </tableColumn>
    <tableColumn id="55" xr3:uid="{00000000-0010-0000-0200-000037000000}" name="СЛ" totalsRowDxfId="1735">
      <calculatedColumnFormula>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Row],[ССвёртка]])))+AT$7),FIND("R",Свёртка_Чувствительность[[#This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Row],[ССвёртка]])))+AT$6),"ошибка")</calculatedColumnFormula>
    </tableColumn>
    <tableColumn id="56" xr3:uid="{00000000-0010-0000-0200-000038000000}" name="ФСЛ" totalsRowDxfId="1734">
      <calculatedColumnFormula>IFERROR(_xlfn.FORMULATEXT(INDIRECT(Свёртка_Чувствительность[[#This Row],[СЛ]],FALSE)),"ошибка")</calculatedColumnFormula>
    </tableColumn>
    <tableColumn id="57" xr3:uid="{00000000-0010-0000-0200-000039000000}" name="П" totalsRowDxfId="1733">
      <calculatedColumnFormula>IFERROR(IF(LEN((INDIRECT(Свёртка_Чувствительность[[#This Row],[СП]],FALSE)))=0,"ошибка",IFERROR(INDIRECT(Свёртка_Чувствительность[[#This Row],[СП]],FALSE),"ошибка")),"ошибка")</calculatedColumnFormula>
    </tableColumn>
    <tableColumn id="58" xr3:uid="{00000000-0010-0000-0200-00003A000000}" name="СП" totalsRowDxfId="1732">
      <calculatedColumnFormula>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Row],[ССвёртка]])))+AW$7),FIND("R",Свёртка_Чувствительность[[#This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Row],[ССвёртка]])))+AW$6),"ошибка")</calculatedColumnFormula>
    </tableColumn>
    <tableColumn id="59" xr3:uid="{00000000-0010-0000-0200-00003B000000}" name="ФСП" totalsRowDxfId="1731">
      <calculatedColumnFormula>IFERROR(_xlfn.FORMULATEXT(INDIRECT(Свёртка_Чувствительность[[#This Row],[СП]],FALSE)),"ошибка")</calculatedColumnFormula>
    </tableColumn>
    <tableColumn id="60" xr3:uid="{00000000-0010-0000-0200-00003C000000}" name="O.K.Свёртка" dataDxfId="1730" totalsRowDxfId="1729">
      <calculatedColumnFormula>IF(AND(Свёртка_Чувствительность[[#This Row],[ВидСвёртка]]="Свёртка",CONCATENATE(LEFT(Свёртка_Чувствительность[[#This Row],[СВ_1_1]],1),LEFT(Свёртка_Чувствительность[[#This Row],[СВ_2_1]],1),LEFT(Свёртка_Чувствительность[[#This Row],[СВ_1_2]],1),LEFT(Свёртка_Чувствительность[[#This Row],[СВ_2_2]],1),LEFT(Свёртка_Чувствительность[[#This Row],[СВ_3_1]],1),LEFT(Свёртка_Чувствительность[[#This Row],[СВ_1_3]],1),LEFT(Свёртка_Чувствительность[[#This Row],[СВ_3_2]],1),LEFT(Свёртка_Чувствительность[[#This Row],[СВ_2_3]],1),LEFT(Свёртка_Чувствительность[[#This Row],[СВ_3_3]],1))="FFFFFFFFF",AND(Свёртка_Чувствительность[[#This Row],[Л]]&gt;=1,Свёртка_Чувствительность[[#This Row],[Л]]&lt;=4),AND(Свёртка_Чувствительность[[#This Row],[П]]&gt;=1,Свёртка_Чувствительность[[#This Row],[П]]&lt;=4)),1,-1)</calculatedColumnFormula>
    </tableColumn>
  </tableColumns>
  <tableStyleInfo name="TableStyleMedium1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9" xr:uid="{00000000-000C-0000-FFFF-FFFF03000000}" name="Анализ_Чувствительность" displayName="Анализ_Чувствительность" ref="BC9:CO17" totalsRowShown="0" headerRowDxfId="1728" dataDxfId="1726" headerRowBorderDxfId="1727" tableBorderDxfId="1725">
  <autoFilter ref="BC9:CO17" xr:uid="{00000000-0009-0000-0100-00000D01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autoFilter>
  <tableColumns count="39">
    <tableColumn id="1" xr3:uid="{00000000-0010-0000-0300-000001000000}" name="№" dataDxfId="1724">
      <calculatedColumnFormula>IF(AND(Анализ_Чувствительность[[#This Row],[Y]]=1),ROW()-ROW(Анализ_Чувствительность[[#Headers],[№]]),"")</calculatedColumnFormula>
    </tableColumn>
    <tableColumn id="2" xr3:uid="{00000000-0010-0000-0300-000002000000}" name="Оценки" dataDxfId="1723"/>
    <tableColumn id="37" xr3:uid="{00000000-0010-0000-0300-000025000000}" name="Шаг" dataDxfId="1722"/>
    <tableColumn id="35" xr3:uid="{00000000-0010-0000-0300-000023000000}" name="Представление" dataDxfId="1721"/>
    <tableColumn id="36" xr3:uid="{00000000-0010-0000-0300-000024000000}" name="Размещение" dataDxfId="1720"/>
    <tableColumn id="3" xr3:uid="{00000000-0010-0000-0300-000003000000}" name="Свёртка" dataDxfId="1719"/>
    <tableColumn id="4" xr3:uid="{00000000-0010-0000-0300-000004000000}" name="_" dataDxfId="1718">
      <calculatedColumnFormula>IF(LEN(Анализ_Чувствительность[[#This Row],[Свёртка]])&gt;0,1,-1)</calculatedColumnFormula>
    </tableColumn>
    <tableColumn id="33" xr3:uid="{00000000-0010-0000-0300-000021000000}" name="Критерий" dataDxfId="1717"/>
    <tableColumn id="34" xr3:uid="{00000000-0010-0000-0300-000022000000}" name="___" dataDxfId="1716">
      <calculatedColumnFormula>IF(LEN(Анализ_Чувствительность[[#This Row],[Критерий]])&gt;0,1,-1)</calculatedColumnFormula>
    </tableColumn>
    <tableColumn id="5" xr3:uid="{00000000-0010-0000-0300-000005000000}" name="Критерии" dataDxfId="1715"/>
    <tableColumn id="6" xr3:uid="{00000000-0010-0000-0300-000006000000}" name="__" dataDxfId="1714">
      <calculatedColumnFormula>IF(LEN(Анализ_Чувствительность[[#This Row],[Критерии]])&gt;0,1,-1)</calculatedColumnFormula>
    </tableColumn>
    <tableColumn id="7" xr3:uid="{00000000-0010-0000-0300-000007000000}" name="Y" dataDxfId="1713">
      <calculatedColumnFormula>IF(AND(LEN(Анализ_Чувствительность[[#This Row],[Свёртка]])&gt;0,LEN(Анализ_Чувствительность[[#This Row],[Критерии]])&gt;0,LEN(Анализ_Чувствительность[[#This Row],[Оценки]])&gt;0,LEN(Анализ_Чувствительность[[#This Row],[Представление]])&gt;0,LEN(Анализ_Чувствительность[[#This Row],[Критерий]])&gt;0,LEN(Анализ_Чувствительность[[#This Row],[Размещение]])&gt;0,LEN(Анализ_Чувствительность[[#This Row],[Шаг]])&gt;0,LEN(Анализ_Чувствительность[[#This Row],[min]])&gt;0,LEN(Анализ_Чувствительность[[#This Row],[max]])&gt;0,(Анализ_Чувствительность[[#This Row],[min]]&lt;&gt;Анализ_Чувствительность[[#This Row],[max]])),1,-1)</calculatedColumnFormula>
    </tableColumn>
    <tableColumn id="39" xr3:uid="{00000000-0010-0000-0300-000027000000}" name="min" dataDxfId="1712"/>
    <tableColumn id="38" xr3:uid="{00000000-0010-0000-0300-000026000000}" name="max" dataDxfId="1711"/>
    <tableColumn id="8" xr3:uid="{00000000-0010-0000-0300-000008000000}" name="1" dataDxfId="1710"/>
    <tableColumn id="9" xr3:uid="{00000000-0010-0000-0300-000009000000}" name="2" dataDxfId="1709"/>
    <tableColumn id="10" xr3:uid="{00000000-0010-0000-0300-00000A000000}" name="3" dataDxfId="1708"/>
    <tableColumn id="11" xr3:uid="{00000000-0010-0000-0300-00000B000000}" name="4" dataDxfId="1707"/>
    <tableColumn id="12" xr3:uid="{00000000-0010-0000-0300-00000C000000}" name="5" dataDxfId="1706"/>
    <tableColumn id="13" xr3:uid="{00000000-0010-0000-0300-00000D000000}" name="6" dataDxfId="1705"/>
    <tableColumn id="14" xr3:uid="{00000000-0010-0000-0300-00000E000000}" name="7" dataDxfId="1704"/>
    <tableColumn id="15" xr3:uid="{00000000-0010-0000-0300-00000F000000}" name="8" dataDxfId="1703"/>
    <tableColumn id="16" xr3:uid="{00000000-0010-0000-0300-000010000000}" name="9" dataDxfId="1702"/>
    <tableColumn id="17" xr3:uid="{00000000-0010-0000-0300-000011000000}" name="10" dataDxfId="1701"/>
    <tableColumn id="18" xr3:uid="{00000000-0010-0000-0300-000012000000}" name="11" dataDxfId="1700"/>
    <tableColumn id="19" xr3:uid="{00000000-0010-0000-0300-000013000000}" name="12" dataDxfId="1699"/>
    <tableColumn id="20" xr3:uid="{00000000-0010-0000-0300-000014000000}" name="13" dataDxfId="1698"/>
    <tableColumn id="21" xr3:uid="{00000000-0010-0000-0300-000015000000}" name="14" dataDxfId="1697"/>
    <tableColumn id="22" xr3:uid="{00000000-0010-0000-0300-000016000000}" name="15" dataDxfId="1696"/>
    <tableColumn id="23" xr3:uid="{00000000-0010-0000-0300-000017000000}" name="16" dataDxfId="1695"/>
    <tableColumn id="24" xr3:uid="{00000000-0010-0000-0300-000018000000}" name="17" dataDxfId="1694"/>
    <tableColumn id="25" xr3:uid="{00000000-0010-0000-0300-000019000000}" name="18" dataDxfId="1693"/>
    <tableColumn id="26" xr3:uid="{00000000-0010-0000-0300-00001A000000}" name="19" dataDxfId="1692"/>
    <tableColumn id="27" xr3:uid="{00000000-0010-0000-0300-00001B000000}" name="20" dataDxfId="1691"/>
    <tableColumn id="28" xr3:uid="{00000000-0010-0000-0300-00001C000000}" name="21" dataDxfId="1690"/>
    <tableColumn id="29" xr3:uid="{00000000-0010-0000-0300-00001D000000}" name="22" dataDxfId="1689"/>
    <tableColumn id="30" xr3:uid="{00000000-0010-0000-0300-00001E000000}" name="23" dataDxfId="1688"/>
    <tableColumn id="31" xr3:uid="{00000000-0010-0000-0300-00001F000000}" name="24" dataDxfId="1687"/>
    <tableColumn id="32" xr3:uid="{00000000-0010-0000-0300-000020000000}" name="25" dataDxfId="1686"/>
  </tableColumns>
  <tableStyleInfo name="TableStyleMedium2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3" xr:uid="{00000000-000C-0000-FFFF-FFFF04000000}" name="Измен_Отслеж" displayName="Измен_Отслеж" ref="A8:T19" totalsRowShown="0" headerRowDxfId="1681">
  <autoFilter ref="A8:T19" xr:uid="{00000000-0009-0000-0100-0000FD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autoFilter>
  <tableColumns count="20">
    <tableColumn id="1" xr3:uid="{00000000-0010-0000-0400-000001000000}" name="Изменяем" dataDxfId="1680"/>
    <tableColumn id="2" xr3:uid="{00000000-0010-0000-0400-000002000000}" name="СИзменяем" dataDxfId="1679">
      <calculatedColumnFormula>IFERROR(IF(AND(Измен_Отслеж[[#This Row],[Изменяем]]&gt;=1,Измен_Отслеж[[#This Row],[Изменяем]]&lt;=4),IF(IFERROR(FIND("!",_xlfn.FORMULATEXT(Измен_Отслеж[[#This Row],[Изменяем]])),"на странице")="на странице",CONCATENATE("R",ROW((INDIRECT(RIGHT(_xlfn.FORMULATEXT(Измен_Отслеж[[#This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Row],[Изменяем]]))-1),FALSE)))-B$6),CONCATENATE(RIGHT(LEFT(_xlfn.FORMULATEXT(Измен_Отслеж[[#This Row],[Изменяем]]),FIND("!",_xlfn.FORMULATEXT(Измен_Отслеж[[#This Row],[Изменяем]]))),LEN(LEFT(_xlfn.FORMULATEXT(Измен_Отслеж[[#This Row],[Изменяем]]),FIND("!",_xlfn.FORMULATEXT(Измен_Отслеж[[#This Row],[Изменяем]]))))-1),"R",ROW((INDIRECT(RIGHT(_xlfn.FORMULATEXT(Измен_Отслеж[[#This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Row],[Изменяем]]))-1),FALSE)))-B$6)),"ошибка"),"ошибка")</calculatedColumnFormula>
    </tableColumn>
    <tableColumn id="13" xr3:uid="{00000000-0010-0000-0400-00000D000000}" name="ВидИзменяем" dataDxfId="1678">
      <calculatedColumnFormula>IFERROR(IF(LEFT(Измен_Отслеж[[#This Row],[ФИзменяем]],5)="=Прив","Критерий",IF(LEFT(Измен_Отслеж[[#This Row],[ФИзменяем]],5)="=Матр","Матрица","ошибка")),"ошибка")</calculatedColumnFormula>
    </tableColumn>
    <tableColumn id="7" xr3:uid="{00000000-0010-0000-0400-000007000000}" name="ФизИзменяем" dataDxfId="1677">
      <calculatedColumnFormula>IFERROR(IF(N(INDIRECT(Измен_Отслеж[[#This Row],[СФизИзменяем]],FALSE))=0,"ошибка",IFERROR(INDIRECT(Измен_Отслеж[[#This Row],[СФизИзменяем]],FALSE),"ошибка")),"ошибка")</calculatedColumnFormula>
    </tableColumn>
    <tableColumn id="3" xr3:uid="{00000000-0010-0000-0400-000003000000}" name="СФизИзменяем" dataDxfId="1676">
      <calculatedColumnFormula>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Row],[СИзменяем]])))+E$5),FIND("R",Измен_Отслеж[[#This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Row],[СИзменяем]])))+E$4),"ошибка")</calculatedColumnFormula>
    </tableColumn>
    <tableColumn id="4" xr3:uid="{00000000-0010-0000-0400-000004000000}" name="ТипИзменяем" dataDxfId="1675">
      <calculatedColumnFormula>IFERROR(IF(
                OR(
                    INDIRECT(Измен_Отслеж[[#This Row],[СТипИзменяем]],FALSE)=Перебор!$N$58,
                    INDIRECT(Измен_Отслеж[[#This Row],[СТипИзменяем]],FALSE)=Перебор!$N$59,
                    INDIRECT(Измен_Отслеж[[#This Row],[СТипИзменяем]],FALSE)=Перебор!$N$60,
                    INDIRECT(Измен_Отслеж[[#This Row],[СТипИзменяем]],FALSE)=Перебор!$N$61),
                    INDIRECT(Измен_Отслеж[[#This Row],[СТипИзменяем]],FALSE),
                "ошибка"),"ошибка")</calculatedColumnFormula>
    </tableColumn>
    <tableColumn id="5" xr3:uid="{00000000-0010-0000-0400-000005000000}" name="СТипИзменяем" dataDxfId="1674">
      <calculatedColumnFormula>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Row],[СИзменяем]])))+G$5),FIND("R",Измен_Отслеж[[#This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Row],[СИзменяем]])))+G$4),"ошибка")</calculatedColumnFormula>
    </tableColumn>
    <tableColumn id="12" xr3:uid="{00000000-0010-0000-0400-00000C000000}" name="ФИзменяем" dataDxfId="1673">
      <calculatedColumnFormula>IFERROR(_xlfn.FORMULATEXT(INDIRECT(Измен_Отслеж[[#This Row],[СИзменяем]],FALSE)),"ошибка")</calculatedColumnFormula>
    </tableColumn>
    <tableColumn id="9" xr3:uid="{00000000-0010-0000-0400-000009000000}" name="МинФизИзменяем" dataDxfId="1672">
      <calculatedColumnFormula>IFERROR(IF(N(INDIRECT(Измен_Отслеж[[#This Row],[СМинФизИзменяем]],FALSE))=0,"ошибка",IFERROR(INDIRECT(Измен_Отслеж[[#This Row],[СМинФизИзменяем]],FALSE),"ошибка")),"ошибка")</calculatedColumnFormula>
    </tableColumn>
    <tableColumn id="10" xr3:uid="{00000000-0010-0000-0400-00000A000000}" name="СМинФизИзменяем" dataDxfId="1671">
      <calculatedColumnFormula>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Row],[СИзменяем]])))+J$5),FIND("R",Измен_Отслеж[[#This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Row],[СИзменяем]])))+J$4),"ошибка")</calculatedColumnFormula>
    </tableColumn>
    <tableColumn id="6" xr3:uid="{00000000-0010-0000-0400-000006000000}" name="МаксФизИзменяем" dataDxfId="1670">
      <calculatedColumnFormula>IFERROR(IF(N(INDIRECT(Измен_Отслеж[[#This Row],[СМаксФизИзменяем]],FALSE))=0,"ошибка",IFERROR(INDIRECT(Измен_Отслеж[[#This Row],[СМаксФизИзменяем]],FALSE),"ошибка")),"ошибка")</calculatedColumnFormula>
    </tableColumn>
    <tableColumn id="8" xr3:uid="{00000000-0010-0000-0400-000008000000}" name="СМаксФизИзменяем" dataDxfId="1669">
      <calculatedColumnFormula>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Row],[СИзменяем]])))+L$5),FIND("R",Измен_Отслеж[[#This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Row],[СИзменяем]])))+L$4),"ошибка")</calculatedColumnFormula>
    </tableColumn>
    <tableColumn id="14" xr3:uid="{00000000-0010-0000-0400-00000E000000}" name="СрФизИзменяем" dataDxfId="1668">
      <calculatedColumnFormula>IFERROR(IF(N(INDIRECT(Измен_Отслеж[[#This Row],[ССрФизИзменяем]],FALSE))=0,"ошибка",IFERROR(INDIRECT(Измен_Отслеж[[#This Row],[ССрФизИзменяем]],FALSE),"ошибка")),"ошибка")</calculatedColumnFormula>
    </tableColumn>
    <tableColumn id="15" xr3:uid="{00000000-0010-0000-0400-00000F000000}" name="ССрФизИзменяем" dataDxfId="1667">
      <calculatedColumnFormula>IF(OR(Измен_Отслеж[[#This Row],[ТипИзменяем]]=Перебор!$N$60,Измен_Отслеж[[#This Row],[ТипИзменяем]]=Перебор!$N$61),IFERROR(REPLACE(REPLACE(Измен_Отслеж[[#This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Row],[СИзменяем]])))+N$5),FIND("R",Измен_Отслеж[[#This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Row],[СИзменяем]])))+N$4),"ошибка"),"ошибка")</calculatedColumnFormula>
    </tableColumn>
    <tableColumn id="16" xr3:uid="{00000000-0010-0000-0400-000010000000}" name="Отслеживаем" dataDxfId="1666"/>
    <tableColumn id="17" xr3:uid="{00000000-0010-0000-0400-000011000000}" name="СОтслеживаем" dataDxfId="1665">
      <calculatedColumnFormula>IFERROR(IF(AND(Измен_Отслеж[[#This Row],[Отслеживаем]]&gt;=1,Измен_Отслеж[[#This Row],[Отслеживаем]]&lt;=4),IF(IFERROR(FIND("!",_xlfn.FORMULATEXT(Измен_Отслеж[[#This Row],[Отслеживаем]])),"на странице")="на странице",CONCATENATE("R",ROW((INDIRECT(RIGHT(_xlfn.FORMULATEXT(Измен_Отслеж[[#This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Row],[Отслеживаем]]))-1),FALSE)))-P$6),CONCATENATE(RIGHT(LEFT(_xlfn.FORMULATEXT(Измен_Отслеж[[#This Row],[Отслеживаем]]),FIND("!",_xlfn.FORMULATEXT(Измен_Отслеж[[#This Row],[Отслеживаем]]))),LEN(LEFT(_xlfn.FORMULATEXT(Измен_Отслеж[[#This Row],[Отслеживаем]]),FIND("!",_xlfn.FORMULATEXT(Измен_Отслеж[[#This Row],[Отслеживаем]]))))-1),"R",ROW((INDIRECT(RIGHT(_xlfn.FORMULATEXT(Измен_Отслеж[[#This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Row],[Отслеживаем]]))-1),FALSE)))-P$6)),"ошибка"),"ошибка")</calculatedColumnFormula>
    </tableColumn>
    <tableColumn id="18" xr3:uid="{00000000-0010-0000-0400-000012000000}" name="ФОтслеживаем" dataDxfId="1664">
      <calculatedColumnFormula>IFERROR(_xlfn.FORMULATEXT(INDIRECT(Измен_Отслеж[[#This Row],[СОтслеживаем]],FALSE)),"ошибка")</calculatedColumnFormula>
    </tableColumn>
    <tableColumn id="19" xr3:uid="{00000000-0010-0000-0400-000013000000}" name="ВидОтслеживаем" dataDxfId="1663">
      <calculatedColumnFormula>IFERROR(IF(LEFT(Измен_Отслеж[[#This Row],[ФОтслеживаем]],5)="=Прив","Критерий",IF(LEFT(Измен_Отслеж[[#This Row],[ФОтслеживаем]],5)="=Матр","Матрица","ошибка")),"ошибка")</calculatedColumnFormula>
    </tableColumn>
    <tableColumn id="20" xr3:uid="{00000000-0010-0000-0400-000014000000}" name="Сопоставление" dataDxfId="1662">
      <calculatedColumnFormula>IF(OR(AND(Измен_Отслеж[[#This Row],[ВидИзменяем]]="Критерий",Измен_Отслеж[[#This Row],[ВидОтслеживаем]]="Матрица"),AND(Измен_Отслеж[[#This Row],[ВидИзменяем]]="Матрица",Измен_Отслеж[[#This Row],[ВидОтслеживаем]]="Матрица")),"Отслеживаем","ошибка")</calculatedColumnFormula>
    </tableColumn>
    <tableColumn id="11" xr3:uid="{00000000-0010-0000-0400-00000B000000}" name="O.K." dataDxfId="1661">
      <calculatedColumnFormula>IF(Измен_Отслеж[[#This Row],[Сопоставление]]="Отслеживаем",1,-1)</calculatedColumnFormula>
    </tableColumn>
  </tableColumns>
  <tableStyleInfo name="TableStyleMedium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7" xr:uid="{00000000-000C-0000-FFFF-FFFF05000000}" name="Критерий_Чувствительность_2" displayName="Критерий_Чувствительность_2" ref="A9:R21" totalsRowShown="0" headerRowDxfId="1653">
  <autoFilter ref="A9:R21" xr:uid="{00000000-0009-0000-0100-00000101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00000000-0010-0000-0500-000001000000}" name="№" dataDxfId="1652">
      <calculatedColumnFormula>IF(AND(Критерий_Чувствительность_2[[#This Row],[Критерий]]&lt;&gt;"",Критерий_Чувствительность_2[[#This Row],[O.K.Критерий]]=1),ROW()-ROW(Критерий_Чувствительность_2[[#Headers],[№]]),"")</calculatedColumnFormula>
    </tableColumn>
    <tableColumn id="2" xr3:uid="{00000000-0010-0000-0500-000002000000}" name="Критерий" dataDxfId="1651">
      <calculatedColumnFormula>Модель!#REF!</calculatedColumnFormula>
    </tableColumn>
    <tableColumn id="3" xr3:uid="{00000000-0010-0000-0500-000003000000}" name="Скритерий" dataDxfId="1650">
      <calculatedColumnFormula>IFERROR(IF(AND(Критерий_Чувствительность_2[[#This Row],[Критерий]]&gt;=1,Критерий_Чувствительность_2[[#This Row],[Критерий]]&lt;=4),IF(IFERROR(FIND("!",_xlfn.FORMULATEXT(Критерий_Чувствительность_2[[#This Row],[Критерий]])),"на странице")="на странице",CONCATENATE("R",ROW((INDIRECT(RIGHT(_xlfn.FORMULATEXT(Критерий_Чувствительность_2[[#This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Row],[Критерий]]))-1),FALSE)))-C$8),CONCATENATE(RIGHT(LEFT(_xlfn.FORMULATEXT(Критерий_Чувствительность_2[[#This Row],[Критерий]]),FIND("!",_xlfn.FORMULATEXT(Критерий_Чувствительность_2[[#This Row],[Критерий]]))),LEN(LEFT(_xlfn.FORMULATEXT(Критерий_Чувствительность_2[[#This Row],[Критерий]]),FIND("!",_xlfn.FORMULATEXT(Критерий_Чувствительность_2[[#This Row],[Критерий]]))))-1),"R",ROW((INDIRECT(RIGHT(_xlfn.FORMULATEXT(Критерий_Чувствительность_2[[#This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Row],[Критерий]]))-1),FALSE)))-C$8)),"ошибка"),"ошибка")</calculatedColumnFormula>
    </tableColumn>
    <tableColumn id="4" xr3:uid="{00000000-0010-0000-0500-000004000000}" name="ВидКритерий">
      <calculatedColumnFormula>IFERROR(IF(LEFT(Критерий_Чувствительность_2[[#This Row],[Фкритерий]],5)="=Прив","Критерий",IF(LEFT(Критерий_Чувствительность_2[[#This Row],[Фкритерий]],5)="=Матр","ошибка","ошибка")),"ошибка")</calculatedColumnFormula>
    </tableColumn>
    <tableColumn id="5" xr3:uid="{00000000-0010-0000-0500-000005000000}" name="Наименование">
      <calculatedColumnFormula>IFERROR(IF(LEN((INDIRECT(Критерий_Чувствительность_2[[#This Row],[СНаименование]],FALSE)))=0,"ошибка",IFERROR(INDIRECT(Критерий_Чувствительность_2[[#This Row],[СНаименование]],FALSE),"ошибка")),"ошибка")</calculatedColumnFormula>
    </tableColumn>
    <tableColumn id="6" xr3:uid="{00000000-0010-0000-0500-000006000000}" name="СНаименование">
      <calculatedColumnFormula>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Row],[Скритерий]])))+F$7),FIND("R",Критерий_Чувствительность_2[[#This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Row],[Скритерий]])))+F$6),"ошибка")</calculatedColumnFormula>
    </tableColumn>
    <tableColumn id="7" xr3:uid="{00000000-0010-0000-0500-000007000000}" name="ФизКритерий">
      <calculatedColumnFormula>IFERROR(IF(N(INDIRECT(Критерий_Чувствительность_2[[#This Row],[СФизКритерий]],FALSE))=0,"ошибка",IFERROR(INDIRECT(Критерий_Чувствительность_2[[#This Row],[СФизКритерий]],FALSE),"ошибка")),"ошибка")</calculatedColumnFormula>
    </tableColumn>
    <tableColumn id="8" xr3:uid="{00000000-0010-0000-0500-000008000000}" name="СФизКритерий">
      <calculatedColumnFormula>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Row],[Скритерий]])))+H$7),FIND("R",Критерий_Чувствительность_2[[#This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Row],[Скритерий]])))+H$6),"ошибка")</calculatedColumnFormula>
    </tableColumn>
    <tableColumn id="9" xr3:uid="{00000000-0010-0000-0500-000009000000}" name="ТипКритерий">
      <calculatedColumnFormula>IFERROR(IF(OR(INDIRECT(Критерий_Чувствительность_2[[#This Row],[СТипКритерий]],FALSE)=Перебор!$N$58,INDIRECT(Критерий_Чувствительность_2[[#This Row],[СТипКритерий]],FALSE)=Перебор!$N$59,INDIRECT(Критерий_Чувствительность_2[[#This Row],[СТипКритерий]],FALSE)=Перебор!$N$60,INDIRECT(Критерий_Чувствительность_2[[#This Row],[СТипКритерий]],FALSE)=Перебор!$N$61),INDIRECT(Критерий_Чувствительность_2[[#This Row],[СТипКритерий]],FALSE),"ошибка"),"ошибка")</calculatedColumnFormula>
    </tableColumn>
    <tableColumn id="10" xr3:uid="{00000000-0010-0000-0500-00000A000000}" name="СТипКритерий">
      <calculatedColumnFormula>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Row],[Скритерий]])))+J$7),FIND("R",Критерий_Чувствительность_2[[#This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Row],[Скритерий]])))+J$6),"ошибка")</calculatedColumnFormula>
    </tableColumn>
    <tableColumn id="11" xr3:uid="{00000000-0010-0000-0500-00000B000000}" name="Фкритерий">
      <calculatedColumnFormula>IFERROR(_xlfn.FORMULATEXT(INDIRECT(Критерий_Чувствительность_2[[#This Row],[Скритерий]],FALSE)),"ошибка")</calculatedColumnFormula>
    </tableColumn>
    <tableColumn id="12" xr3:uid="{00000000-0010-0000-0500-00000C000000}" name="МинФизКритерий" dataDxfId="1649">
      <calculatedColumnFormula>IFERROR(IF(N(INDIRECT(Критерий_Чувствительность_2[[#This Row],[СМинФизКритерий]],FALSE))="","ошибка",IFERROR(INDIRECT(Критерий_Чувствительность_2[[#This Row],[СМинФизКритерий]],FALSE),"ошибка")),"ошибка")</calculatedColumnFormula>
    </tableColumn>
    <tableColumn id="13" xr3:uid="{00000000-0010-0000-0500-00000D000000}" name="СМинФизКритерий">
      <calculatedColumnFormula>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Row],[Скритерий]])))+M$7),FIND("R",Критерий_Чувствительность_2[[#This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Row],[Скритерий]])))+M$6),"ошибка")</calculatedColumnFormula>
    </tableColumn>
    <tableColumn id="14" xr3:uid="{00000000-0010-0000-0500-00000E000000}" name="МаксФизКритерий" dataDxfId="1648">
      <calculatedColumnFormula>IFERROR(IF(N(INDIRECT(Критерий_Чувствительность_2[[#This Row],[СМаксФизКритерий]],FALSE))="","ошибка",IFERROR(INDIRECT(Критерий_Чувствительность_2[[#This Row],[СМаксФизКритерий]],FALSE),"ошибка")),"ошибка")</calculatedColumnFormula>
    </tableColumn>
    <tableColumn id="15" xr3:uid="{00000000-0010-0000-0500-00000F000000}" name="СМаксФизКритерий">
      <calculatedColumnFormula>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Row],[Скритерий]])))+O$7),FIND("R",Критерий_Чувствительность_2[[#This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Row],[Скритерий]])))+O$6),"ошибка")</calculatedColumnFormula>
    </tableColumn>
    <tableColumn id="16" xr3:uid="{00000000-0010-0000-0500-000010000000}" name="СрФизКритерий">
      <calculatedColumnFormula>IFERROR(IF(N(INDIRECT(Критерий_Чувствительность_2[[#This Row],[ССрФизКритерий]],FALSE))=0,"ошибка",IFERROR(INDIRECT(Критерий_Чувствительность_2[[#This Row],[ССрФизКритерий]],FALSE),"ошибка")),"")</calculatedColumnFormula>
    </tableColumn>
    <tableColumn id="17" xr3:uid="{00000000-0010-0000-0500-000011000000}" name="ССрФизКритерий">
      <calculatedColumnFormula>IF(OR(Критерий_Чувствительность_2[[#This Row],[ТипКритерий]]=Перебор!$N$60,Критерий_Чувствительность_2[[#This Row],[ТипКритерий]]=Перебор!$N$61),IFERROR(REPLACE(REPLACE(Критерий_Чувствительность_2[[#This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Row],[Скритерий]])))+Q$7),FIND("R",Критерий_Чувствительность_2[[#This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Row],[Скритерий]])))+Q$6),"ошибка"),"")</calculatedColumnFormula>
    </tableColumn>
    <tableColumn id="18" xr3:uid="{00000000-0010-0000-0500-000012000000}" name="O.K.Критерий" dataDxfId="1647">
      <calculatedColumnFormula>IFERROR(IF(AND(Критерий_Чувствительность_2[[#This Row],[ВидКритерий]]="Критерий",Критерий_Чувствительность_2[[#This Row],[Фкритерий]]="=Приведение"),1,-1),-1)</calculatedColumnFormula>
    </tableColumn>
  </tableColumns>
  <tableStyleInfo name="TableStyleMedium2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1" xr:uid="{00000000-000C-0000-FFFF-FFFF06000000}" name="Свёртка_Чувствительность_2" displayName="Свёртка_Чувствительность_2" ref="T9:AY18" totalsRowShown="0" headerRowDxfId="1646">
  <autoFilter ref="T9:AY18" xr:uid="{00000000-0009-0000-0100-00000501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autoFilter>
  <tableColumns count="32">
    <tableColumn id="1" xr3:uid="{00000000-0010-0000-0600-000001000000}" name="№" dataDxfId="1645">
      <calculatedColumnFormula>IF(AND(Свёртка_Чувствительность_2[[#This Row],[Свёртка]]&lt;&gt;"",Свёртка_Чувствительность_2[[#This Row],[O.K.Свёртка]]=1),ROW()-ROW(Свёртка_Чувствительность_2[[#Headers],[№]]),"")</calculatedColumnFormula>
    </tableColumn>
    <tableColumn id="2" xr3:uid="{00000000-0010-0000-0600-000002000000}" name="Свёртка" dataDxfId="1644">
      <calculatedColumnFormula>Модель!#REF!</calculatedColumnFormula>
    </tableColumn>
    <tableColumn id="3" xr3:uid="{00000000-0010-0000-0600-000003000000}" name="ССвёртка">
      <calculatedColumnFormula>IFERROR(IF(AND(Свёртка_Чувствительность_2[[#This Row],[Свёртка]]&gt;=1,Свёртка_Чувствительность_2[[#This Row],[Свёртка]]&lt;=4),IF(IFERROR(FIND("!",_xlfn.FORMULATEXT(Свёртка_Чувствительность_2[[#This Row],[Свёртка]])),"на странице")="на странице",CONCATENATE("R",ROW((INDIRECT(RIGHT(_xlfn.FORMULATEXT(Свёртка_Чувствительность_2[[#This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Row],[Свёртка]]))-1),FALSE)))-V$6),CONCATENATE(RIGHT(LEFT(_xlfn.FORMULATEXT(Свёртка_Чувствительность_2[[#This Row],[Свёртка]]),FIND("!",_xlfn.FORMULATEXT(Свёртка_Чувствительность_2[[#This Row],[Свёртка]]))),LEN(LEFT(_xlfn.FORMULATEXT(Свёртка_Чувствительность_2[[#This Row],[Свёртка]]),FIND("!",_xlfn.FORMULATEXT(Свёртка_Чувствительность_2[[#This Row],[Свёртка]]))))-1),"R",ROW((INDIRECT(RIGHT(_xlfn.FORMULATEXT(Свёртка_Чувствительность_2[[#This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Row],[Свёртка]]))-1),FALSE)))-V$6)),"ошибка"),"ошибка")</calculatedColumnFormula>
    </tableColumn>
    <tableColumn id="4" xr3:uid="{00000000-0010-0000-0600-000004000000}" name="ФСвёртка">
      <calculatedColumnFormula>IFERROR(_xlfn.FORMULATEXT(INDIRECT(Свёртка_Чувствительность_2[[#This Row],[ССвёртка]],FALSE)),"ошибка")</calculatedColumnFormula>
    </tableColumn>
    <tableColumn id="5" xr3:uid="{00000000-0010-0000-0600-000005000000}" name="ВидСвёртка">
      <calculatedColumnFormula>IFERROR(IF(LEFT(Свёртка_Чувствительность_2[[#This Row],[ФСвёртка]],5)="=Прив","ошибка",IF(LEFT(Свёртка_Чувствительность_2[[#This Row],[ФСвёртка]],5)="=Матр","Свёртка","ошибка")),"ошибка")</calculatedColumnFormula>
    </tableColumn>
    <tableColumn id="6" xr3:uid="{00000000-0010-0000-0600-000006000000}" name="Наименование">
      <calculatedColumnFormula>IFERROR(IF(LEN((INDIRECT(Свёртка_Чувствительность_2[[#This Row],[СНаименование]],FALSE)))=0,"ошибка",IFERROR(INDIRECT(Свёртка_Чувствительность_2[[#This Row],[СНаименование]],FALSE),"ошибка")),"ошибка")</calculatedColumnFormula>
    </tableColumn>
    <tableColumn id="7" xr3:uid="{00000000-0010-0000-0600-000007000000}" name="СНаименование">
      <calculatedColumnFormula>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Row],[ССвёртка]])))+Z$7),FIND("R",Свёртка_Чувствительность_2[[#This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Row],[ССвёртка]])))+Z$6),"ошибка")</calculatedColumnFormula>
    </tableColumn>
    <tableColumn id="8" xr3:uid="{00000000-0010-0000-0600-000008000000}" name="СВ_1_1" dataDxfId="1643">
      <calculatedColumnFormula>IFERROR(IF(LEN((INDIRECT(Свёртка_Чувствительность_2[[#This Row],[ССВ_1_1]],FALSE)))=0,"ошибка",IFERROR(INDIRECT(Свёртка_Чувствительность_2[[#This Row],[ССВ_1_1]],FALSE),"ошибка")),"ошибка")</calculatedColumnFormula>
    </tableColumn>
    <tableColumn id="9" xr3:uid="{00000000-0010-0000-0600-000009000000}" name="ССВ_1_1">
      <calculatedColumnFormula>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Row],[ССвёртка]])))+AB$7),FIND("R",Свёртка_Чувствительность_2[[#This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Row],[ССвёртка]])))+AB$6),"ошибка")</calculatedColumnFormula>
    </tableColumn>
    <tableColumn id="13" xr3:uid="{00000000-0010-0000-0600-00000D000000}" name="СВ_2_1" dataDxfId="1642">
      <calculatedColumnFormula>IFERROR(IF(LEN((INDIRECT(Свёртка_Чувствительность_2[[#This Row],[ССВ_2_1]],FALSE)))=0,"ошибка",IFERROR(INDIRECT(Свёртка_Чувствительность_2[[#This Row],[ССВ_2_1]],FALSE),"ошибка")),"ошибка")</calculatedColumnFormula>
    </tableColumn>
    <tableColumn id="14" xr3:uid="{00000000-0010-0000-0600-00000E000000}" name="ССВ_2_1">
      <calculatedColumnFormula>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Row],[ССвёртка]])))+AD$7),FIND("R",Свёртка_Чувствительность_2[[#This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Row],[ССвёртка]])))+AD$6),"ошибка")</calculatedColumnFormula>
    </tableColumn>
    <tableColumn id="18" xr3:uid="{00000000-0010-0000-0600-000012000000}" name="СВ_1_2" dataDxfId="1641">
      <calculatedColumnFormula>IFERROR(IF(LEN((INDIRECT(Свёртка_Чувствительность_2[[#This Row],[ССВ_1_2]],FALSE)))=0,"ошибка",IFERROR(INDIRECT(Свёртка_Чувствительность_2[[#This Row],[ССВ_1_2]],FALSE),"ошибка")),"ошибка")</calculatedColumnFormula>
    </tableColumn>
    <tableColumn id="19" xr3:uid="{00000000-0010-0000-0600-000013000000}" name="ССВ_1_2">
      <calculatedColumnFormula>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Row],[ССвёртка]])))+AF$7),FIND("R",Свёртка_Чувствительность_2[[#This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Row],[ССвёртка]])))+AF$6),"ошибка")</calculatedColumnFormula>
    </tableColumn>
    <tableColumn id="23" xr3:uid="{00000000-0010-0000-0600-000017000000}" name="СВ_2_2" dataDxfId="1640">
      <calculatedColumnFormula>IFERROR(IF(LEN((INDIRECT(Свёртка_Чувствительность_2[[#This Row],[ССВ_2_2]],FALSE)))=0,"ошибка",IFERROR(INDIRECT(Свёртка_Чувствительность_2[[#This Row],[ССВ_2_2]],FALSE),"ошибка")),"ошибка")</calculatedColumnFormula>
    </tableColumn>
    <tableColumn id="24" xr3:uid="{00000000-0010-0000-0600-000018000000}" name="ССВ_2_2">
      <calculatedColumnFormula>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Row],[ССвёртка]])))+AH$7),FIND("R",Свёртка_Чувствительность_2[[#This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Row],[ССвёртка]])))+AH$6),"ошибка")</calculatedColumnFormula>
    </tableColumn>
    <tableColumn id="28" xr3:uid="{00000000-0010-0000-0600-00001C000000}" name="СВ_3_1" dataDxfId="1639">
      <calculatedColumnFormula>IFERROR(IF(LEN((INDIRECT(Свёртка_Чувствительность_2[[#This Row],[ССВ_3_1]],FALSE)))=0,"ошибка",IFERROR(INDIRECT(Свёртка_Чувствительность_2[[#This Row],[ССВ_3_1]],FALSE),"ошибка")),"ошибка")</calculatedColumnFormula>
    </tableColumn>
    <tableColumn id="29" xr3:uid="{00000000-0010-0000-0600-00001D000000}" name="ССВ_3_1">
      <calculatedColumnFormula>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Row],[ССвёртка]])))+AJ$7),FIND("R",Свёртка_Чувствительность_2[[#This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Row],[ССвёртка]])))+AJ$6),"ошибка")</calculatedColumnFormula>
    </tableColumn>
    <tableColumn id="33" xr3:uid="{00000000-0010-0000-0600-000021000000}" name="СВ_1_3" dataDxfId="1638">
      <calculatedColumnFormula>IFERROR(IF(LEN((INDIRECT(Свёртка_Чувствительность_2[[#This Row],[ССВ_1_3]],FALSE)))=0,"ошибка",IFERROR(INDIRECT(Свёртка_Чувствительность_2[[#This Row],[ССВ_1_3]],FALSE),"ошибка")),"ошибка")</calculatedColumnFormula>
    </tableColumn>
    <tableColumn id="34" xr3:uid="{00000000-0010-0000-0600-000022000000}" name="ССВ_1_3">
      <calculatedColumnFormula>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Row],[ССвёртка]])))+AL$7),FIND("R",Свёртка_Чувствительность_2[[#This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Row],[ССвёртка]])))+AL$6),"ошибка")</calculatedColumnFormula>
    </tableColumn>
    <tableColumn id="38" xr3:uid="{00000000-0010-0000-0600-000026000000}" name="СВ_3_2" dataDxfId="1637">
      <calculatedColumnFormula>IFERROR(IF(LEN((INDIRECT(Свёртка_Чувствительность_2[[#This Row],[ССВ_3_2]],FALSE)))=0,"ошибка",IFERROR(INDIRECT(Свёртка_Чувствительность_2[[#This Row],[ССВ_3_2]],FALSE),"ошибка")),"ошибка")</calculatedColumnFormula>
    </tableColumn>
    <tableColumn id="39" xr3:uid="{00000000-0010-0000-0600-000027000000}" name="ССВ_3_2">
      <calculatedColumnFormula>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Row],[ССвёртка]])))+AN$7),FIND("R",Свёртка_Чувствительность_2[[#This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Row],[ССвёртка]])))+AN$6),"ошибка")</calculatedColumnFormula>
    </tableColumn>
    <tableColumn id="43" xr3:uid="{00000000-0010-0000-0600-00002B000000}" name="СВ_2_3" dataDxfId="1636">
      <calculatedColumnFormula>IFERROR(IF(LEN((INDIRECT(Свёртка_Чувствительность_2[[#This Row],[ССВ_2_3]],FALSE)))=0,"ошибка",IFERROR(INDIRECT(Свёртка_Чувствительность_2[[#This Row],[ССВ_2_3]],FALSE),"ошибка")),"ошибка")</calculatedColumnFormula>
    </tableColumn>
    <tableColumn id="44" xr3:uid="{00000000-0010-0000-0600-00002C000000}" name="ССВ_2_3">
      <calculatedColumnFormula>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Row],[ССвёртка]])))+AP$7),FIND("R",Свёртка_Чувствительность_2[[#This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Row],[ССвёртка]])))+AP$6),"ошибка")</calculatedColumnFormula>
    </tableColumn>
    <tableColumn id="48" xr3:uid="{00000000-0010-0000-0600-000030000000}" name="СВ_3_3" dataDxfId="1635">
      <calculatedColumnFormula>IFERROR(IF(LEN((INDIRECT(Свёртка_Чувствительность_2[[#This Row],[ССВ_3_3]],FALSE)))=0,"ошибка",IFERROR(INDIRECT(Свёртка_Чувствительность_2[[#This Row],[ССВ_3_3]],FALSE),"ошибка")),"ошибка")</calculatedColumnFormula>
    </tableColumn>
    <tableColumn id="49" xr3:uid="{00000000-0010-0000-0600-000031000000}" name="ССВ_3_3">
      <calculatedColumnFormula>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Row],[ССвёртка]])))+AR$7),FIND("R",Свёртка_Чувствительность_2[[#This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Row],[ССвёртка]])))+AR$6),"ошибка")</calculatedColumnFormula>
    </tableColumn>
    <tableColumn id="54" xr3:uid="{00000000-0010-0000-0600-000036000000}" name="Л">
      <calculatedColumnFormula>IFERROR(IF(LEN((INDIRECT(Свёртка_Чувствительность_2[[#This Row],[СЛ]],FALSE)))=0,"ошибка",IFERROR(INDIRECT(Свёртка_Чувствительность_2[[#This Row],[СЛ]],FALSE),"ошибка")),"ошибка")</calculatedColumnFormula>
    </tableColumn>
    <tableColumn id="55" xr3:uid="{00000000-0010-0000-0600-000037000000}" name="СЛ">
      <calculatedColumnFormula>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Row],[ССвёртка]])))+AT$7),FIND("R",Свёртка_Чувствительность_2[[#This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Row],[ССвёртка]])))+AT$6),"ошибка")</calculatedColumnFormula>
    </tableColumn>
    <tableColumn id="56" xr3:uid="{00000000-0010-0000-0600-000038000000}" name="ФСЛ">
      <calculatedColumnFormula>IFERROR(_xlfn.FORMULATEXT(INDIRECT(Свёртка_Чувствительность_2[[#This Row],[СЛ]],FALSE)),"ошибка")</calculatedColumnFormula>
    </tableColumn>
    <tableColumn id="57" xr3:uid="{00000000-0010-0000-0600-000039000000}" name="П">
      <calculatedColumnFormula>IFERROR(IF(LEN((INDIRECT(Свёртка_Чувствительность_2[[#This Row],[СП]],FALSE)))=0,"ошибка",IFERROR(INDIRECT(Свёртка_Чувствительность_2[[#This Row],[СП]],FALSE),"ошибка")),"ошибка")</calculatedColumnFormula>
    </tableColumn>
    <tableColumn id="58" xr3:uid="{00000000-0010-0000-0600-00003A000000}" name="СП">
      <calculatedColumnFormula>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Row],[ССвёртка]])))+AW$7),FIND("R",Свёртка_Чувствительность_2[[#This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Row],[ССвёртка]])))+AW$6),"ошибка")</calculatedColumnFormula>
    </tableColumn>
    <tableColumn id="59" xr3:uid="{00000000-0010-0000-0600-00003B000000}" name="ФСП">
      <calculatedColumnFormula>IFERROR(_xlfn.FORMULATEXT(INDIRECT(Свёртка_Чувствительность_2[[#This Row],[СП]],FALSE)),"ошибка")</calculatedColumnFormula>
    </tableColumn>
    <tableColumn id="60" xr3:uid="{00000000-0010-0000-0600-00003C000000}" name="O.K.Свёртка" dataDxfId="1634">
      <calculatedColumnFormula>IF(AND(Свёртка_Чувствительность_2[[#This Row],[ВидСвёртка]]="Свёртка",CONCATENATE(LEFT(Свёртка_Чувствительность_2[[#This Row],[СВ_1_1]],1),LEFT(Свёртка_Чувствительность_2[[#This Row],[СВ_2_1]],1),LEFT(Свёртка_Чувствительность_2[[#This Row],[СВ_1_2]],1),LEFT(Свёртка_Чувствительность_2[[#This Row],[СВ_2_2]],1),LEFT(Свёртка_Чувствительность_2[[#This Row],[СВ_3_1]],1),LEFT(Свёртка_Чувствительность_2[[#This Row],[СВ_1_3]],1),LEFT(Свёртка_Чувствительность_2[[#This Row],[СВ_3_2]],1),LEFT(Свёртка_Чувствительность_2[[#This Row],[СВ_2_3]],1),LEFT(Свёртка_Чувствительность_2[[#This Row],[СВ_3_3]],1))="FFFFFFFFF",AND(Свёртка_Чувствительность_2[[#This Row],[Л]]&gt;=1,Свёртка_Чувствительность_2[[#This Row],[Л]]&lt;=4),AND(Свёртка_Чувствительность_2[[#This Row],[П]]&gt;=1,Свёртка_Чувствительность_2[[#This Row],[П]]&lt;=4)),1,-1)</calculatedColumnFormula>
    </tableColumn>
  </tableColumns>
  <tableStyleInfo name="TableStyleMedium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3" xr:uid="{00000000-000C-0000-FFFF-FFFF07000000}" name="Анализ_Чувствительность_2" displayName="Анализ_Чувствительность_2" ref="BC9:CO11" totalsRowShown="0" headerRowDxfId="1633" dataDxfId="1631" headerRowBorderDxfId="1632" tableBorderDxfId="1630">
  <autoFilter ref="BC9:CO11" xr:uid="{00000000-0009-0000-0100-00000701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autoFilter>
  <tableColumns count="39">
    <tableColumn id="1" xr3:uid="{00000000-0010-0000-0700-000001000000}" name="№" dataDxfId="1629">
      <calculatedColumnFormula>IF(AND(Множество[[#This Row],[Y]]=1),ROW()-ROW(Множество[[#Headers],[№]]),"")</calculatedColumnFormula>
    </tableColumn>
    <tableColumn id="2" xr3:uid="{00000000-0010-0000-0700-000002000000}" name="Оценки" dataDxfId="1628"/>
    <tableColumn id="37" xr3:uid="{00000000-0010-0000-0700-000025000000}" name="Шаг" dataDxfId="1627"/>
    <tableColumn id="35" xr3:uid="{00000000-0010-0000-0700-000023000000}" name="Представление" dataDxfId="1626"/>
    <tableColumn id="36" xr3:uid="{00000000-0010-0000-0700-000024000000}" name="Размещение" dataDxfId="1625"/>
    <tableColumn id="3" xr3:uid="{00000000-0010-0000-0700-000003000000}" name="Свёртка" dataDxfId="1624"/>
    <tableColumn id="4" xr3:uid="{00000000-0010-0000-0700-000004000000}" name="_" dataDxfId="1623">
      <calculatedColumnFormula>IF(LEN(Анализ_Чувствительность_2[[#This Row],[Свёртка]])&gt;0,1,-1)</calculatedColumnFormula>
    </tableColumn>
    <tableColumn id="33" xr3:uid="{00000000-0010-0000-0700-000021000000}" name="Критерий" dataDxfId="1622"/>
    <tableColumn id="34" xr3:uid="{00000000-0010-0000-0700-000022000000}" name="___" dataDxfId="1621">
      <calculatedColumnFormula>IF(LEN(Анализ_Чувствительность_2[[#This Row],[Критерий]])&gt;0,1,-1)</calculatedColumnFormula>
    </tableColumn>
    <tableColumn id="5" xr3:uid="{00000000-0010-0000-0700-000005000000}" name="Критерии" dataDxfId="1620"/>
    <tableColumn id="6" xr3:uid="{00000000-0010-0000-0700-000006000000}" name="__" dataDxfId="1619">
      <calculatedColumnFormula>IF(LEN(Анализ_Чувствительность_2[[#This Row],[Критерии]])&gt;0,1,-1)</calculatedColumnFormula>
    </tableColumn>
    <tableColumn id="7" xr3:uid="{00000000-0010-0000-0700-000007000000}" name="Y" dataDxfId="1618">
      <calculatedColumnFormula>IF(AND(LEN(Анализ_Чувствительность_2[[#This Row],[Свёртка]])&gt;0,LEN(Анализ_Чувствительность_2[[#This Row],[Критерии]])&gt;0,LEN(Анализ_Чувствительность_2[[#This Row],[Оценки]])&gt;0,LEN(Анализ_Чувствительность_2[[#This Row],[Представление]])&gt;0,LEN(Анализ_Чувствительность_2[[#This Row],[Критерий]])&gt;0,LEN(Анализ_Чувствительность_2[[#This Row],[Размещение]])&gt;0,LEN(Анализ_Чувствительность_2[[#This Row],[Шаг]])&gt;0,LEN(Анализ_Чувствительность_2[[#This Row],[min]])&gt;0,LEN(Анализ_Чувствительность_2[[#This Row],[max]])&gt;0,(Анализ_Чувствительность_2[[#This Row],[min]]&lt;&gt;Анализ_Чувствительность_2[[#This Row],[max]])),1,-1)</calculatedColumnFormula>
    </tableColumn>
    <tableColumn id="39" xr3:uid="{00000000-0010-0000-0700-000027000000}" name="min" dataDxfId="1617"/>
    <tableColumn id="38" xr3:uid="{00000000-0010-0000-0700-000026000000}" name="max" dataDxfId="1616"/>
    <tableColumn id="8" xr3:uid="{00000000-0010-0000-0700-000008000000}" name="1" dataDxfId="1615"/>
    <tableColumn id="9" xr3:uid="{00000000-0010-0000-0700-000009000000}" name="2" dataDxfId="1614"/>
    <tableColumn id="10" xr3:uid="{00000000-0010-0000-0700-00000A000000}" name="3" dataDxfId="1613"/>
    <tableColumn id="11" xr3:uid="{00000000-0010-0000-0700-00000B000000}" name="4" dataDxfId="1612"/>
    <tableColumn id="12" xr3:uid="{00000000-0010-0000-0700-00000C000000}" name="5" dataDxfId="1611"/>
    <tableColumn id="13" xr3:uid="{00000000-0010-0000-0700-00000D000000}" name="6" dataDxfId="1610"/>
    <tableColumn id="14" xr3:uid="{00000000-0010-0000-0700-00000E000000}" name="7" dataDxfId="1609"/>
    <tableColumn id="15" xr3:uid="{00000000-0010-0000-0700-00000F000000}" name="8" dataDxfId="1608"/>
    <tableColumn id="16" xr3:uid="{00000000-0010-0000-0700-000010000000}" name="9" dataDxfId="1607"/>
    <tableColumn id="17" xr3:uid="{00000000-0010-0000-0700-000011000000}" name="10" dataDxfId="1606"/>
    <tableColumn id="18" xr3:uid="{00000000-0010-0000-0700-000012000000}" name="11" dataDxfId="1605"/>
    <tableColumn id="19" xr3:uid="{00000000-0010-0000-0700-000013000000}" name="12" dataDxfId="1604"/>
    <tableColumn id="20" xr3:uid="{00000000-0010-0000-0700-000014000000}" name="13" dataDxfId="1603"/>
    <tableColumn id="21" xr3:uid="{00000000-0010-0000-0700-000015000000}" name="14" dataDxfId="1602"/>
    <tableColumn id="22" xr3:uid="{00000000-0010-0000-0700-000016000000}" name="15" dataDxfId="1601"/>
    <tableColumn id="23" xr3:uid="{00000000-0010-0000-0700-000017000000}" name="16" dataDxfId="1600"/>
    <tableColumn id="24" xr3:uid="{00000000-0010-0000-0700-000018000000}" name="17" dataDxfId="1599"/>
    <tableColumn id="25" xr3:uid="{00000000-0010-0000-0700-000019000000}" name="18" dataDxfId="1598"/>
    <tableColumn id="26" xr3:uid="{00000000-0010-0000-0700-00001A000000}" name="19" dataDxfId="1597"/>
    <tableColumn id="27" xr3:uid="{00000000-0010-0000-0700-00001B000000}" name="20" dataDxfId="1596"/>
    <tableColumn id="28" xr3:uid="{00000000-0010-0000-0700-00001C000000}" name="21" dataDxfId="1595"/>
    <tableColumn id="29" xr3:uid="{00000000-0010-0000-0700-00001D000000}" name="22" dataDxfId="1594"/>
    <tableColumn id="30" xr3:uid="{00000000-0010-0000-0700-00001E000000}" name="23" dataDxfId="1593"/>
    <tableColumn id="31" xr3:uid="{00000000-0010-0000-0700-00001F000000}" name="24" dataDxfId="1592"/>
    <tableColumn id="32" xr3:uid="{00000000-0010-0000-0700-000020000000}" name="25" dataDxfId="1591"/>
  </tableColumns>
  <tableStyleInfo name="TableStyleMedium2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1" xr:uid="{00000000-000C-0000-FFFF-FFFF08000000}" name="Свёртка" displayName="Свёртка" ref="U9:AB66" totalsRowShown="0" headerRowDxfId="1579">
  <autoFilter ref="U9:AB66" xr:uid="{00000000-0009-0000-0100-0000FB000000}">
    <filterColumn colId="0" hiddenButton="1"/>
    <filterColumn colId="1" hiddenButton="1"/>
    <filterColumn colId="2" hiddenButton="1"/>
    <filterColumn colId="3" hiddenButton="1"/>
    <filterColumn colId="4" hiddenButton="1"/>
    <filterColumn colId="7" hiddenButton="1"/>
  </autoFilter>
  <tableColumns count="8">
    <tableColumn id="1" xr3:uid="{00000000-0010-0000-0800-000001000000}" name="№" dataDxfId="1578">
      <calculatedColumnFormula>IF(AND(Свёртка[[#This Row],[Свёртка]]&lt;&gt;"",Свёртка[[#This Row],[O.K.Свёртка]]=1),ROW()-ROW(Свёртка[[#Headers],[№]]),"")</calculatedColumnFormula>
    </tableColumn>
    <tableColumn id="2" xr3:uid="{00000000-0010-0000-0800-000002000000}" name="Свёртка" dataDxfId="1577">
      <calculatedColumnFormula>Модель!CF5</calculatedColumnFormula>
    </tableColumn>
    <tableColumn id="3" xr3:uid="{00000000-0010-0000-0800-000003000000}" name="ССвёртка" dataDxfId="1576">
      <calculatedColumnFormula>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calculatedColumnFormula>
    </tableColumn>
    <tableColumn id="4" xr3:uid="{00000000-0010-0000-0800-000004000000}" name="ФСвёртка" dataDxfId="1575">
      <calculatedColumnFormula>IFERROR(_xlfn.FORMULATEXT(INDIRECT(Свёртка[[#This Row],[ССвёртка]],FALSE)),"ошибка")</calculatedColumnFormula>
    </tableColumn>
    <tableColumn id="5" xr3:uid="{00000000-0010-0000-0800-000005000000}" name="ВидСвёртка" dataDxfId="1574">
      <calculatedColumnFormula>IFERROR(IF(IFERROR(SEARCH("Прив",Свёртка[[#This Row],[ФСвёртка]]),0)&gt;0,"ошибка",IF(IFERROR(SEARCH("Матр",Свёртка[[#This Row],[ФСвёртка]]),0)&gt;0,"Свёртка","ошибка")),"ошибка")</calculatedColumnFormula>
    </tableColumn>
    <tableColumn id="8" xr3:uid="{00000000-0010-0000-0800-000008000000}" name="Наименование" dataDxfId="1573">
      <calculatedColumnFormula>IFERROR(IF(LEN((INDIRECT(Свёртка[[#This Row],[СНаименование]],FALSE)))=0,"ошибка",IFERROR(INDIRECT(Свёртка[[#This Row],[СНаименование]],FALSE),"ошибка")),"ошибка")</calculatedColumnFormula>
    </tableColumn>
    <tableColumn id="7" xr3:uid="{00000000-0010-0000-0800-000007000000}" name="СНаименование" dataDxfId="1572">
      <calculatedColumnFormula>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calculatedColumnFormula>
    </tableColumn>
    <tableColumn id="6" xr3:uid="{00000000-0010-0000-0800-000006000000}" name="O.K.Свёртка" dataDxfId="1571">
      <calculatedColumnFormula>IF(Свёртка[[#This Row],[ВидСвёртка]]="Свёртка",1,-1)</calculatedColumnFormula>
    </tableColumn>
  </tableColumns>
  <tableStyleInfo name="TableStyleMedium1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4" xr:uid="{00000000-000C-0000-FFFF-FFFF09000000}" name="Критерий" displayName="Критерий" ref="B9:S123" totalsRowShown="0" headerRowDxfId="1570">
  <autoFilter ref="B9:S123" xr:uid="{00000000-0009-0000-0100-0000FE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00000000-0010-0000-0900-000001000000}" name="№" dataDxfId="1569">
      <calculatedColumnFormula>IF(AND(Критерий[[#This Row],[Критерий]]&lt;&gt;"",Критерий[[#This Row],[O.K.Критерий]]=1),ROW()-ROW(Критерий[[#Headers],[№]]),"")</calculatedColumnFormula>
    </tableColumn>
    <tableColumn id="2" xr3:uid="{00000000-0010-0000-0900-000002000000}" name="Критерий" dataDxfId="1568">
      <calculatedColumnFormula>Модель!BL41</calculatedColumnFormula>
    </tableColumn>
    <tableColumn id="3" xr3:uid="{00000000-0010-0000-0900-000003000000}" name="Скритерий" dataDxfId="1567">
      <calculatedColumnFormula>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calculatedColumnFormula>
    </tableColumn>
    <tableColumn id="4" xr3:uid="{00000000-0010-0000-0900-000004000000}" name="ВидКритерий" dataDxfId="1566">
      <calculatedColumnFormula>IFERROR(IF(IFERROR(SEARCH("Прив",Критерий[[#This Row],[Фкритерий]]),0)&gt;0,"Критерий",IF(IFERROR(SEARCH("Матр",Критерий[[#This Row],[Фкритерий]]),0)&gt;0,"ошибка","ошибка")),"ошибка")</calculatedColumnFormula>
    </tableColumn>
    <tableColumn id="18" xr3:uid="{00000000-0010-0000-0900-000012000000}" name="Наименование" dataDxfId="1565">
      <calculatedColumnFormula>IFERROR(IF(LEN((INDIRECT(Критерий[[#This Row],[СНаименование]],FALSE)))=0,"ошибка",IFERROR(INDIRECT(Критерий[[#This Row],[СНаименование]],FALSE),"ошибка")),"ошибка")</calculatedColumnFormula>
    </tableColumn>
    <tableColumn id="17" xr3:uid="{00000000-0010-0000-0900-000011000000}" name="СНаименование" dataDxfId="1564">
      <calculatedColumnFormula>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calculatedColumnFormula>
    </tableColumn>
    <tableColumn id="5" xr3:uid="{00000000-0010-0000-0900-000005000000}" name="ФизКритерий" dataDxfId="1563">
      <calculatedColumnFormula>IFERROR(IF(N(INDIRECT(Критерий[[#This Row],[СФизКритерий]],FALSE))=0,"ошибка",IFERROR(INDIRECT(Критерий[[#This Row],[СФизКритерий]],FALSE),"ошибка")),"ошибка")</calculatedColumnFormula>
    </tableColumn>
    <tableColumn id="6" xr3:uid="{00000000-0010-0000-0900-000006000000}" name="СФизКритерий" dataDxfId="1562">
      <calculatedColumnFormula>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calculatedColumnFormula>
    </tableColumn>
    <tableColumn id="7" xr3:uid="{00000000-0010-0000-0900-000007000000}" name="ТипКритерий" dataDxfId="1561">
      <calculatedColumnFormula>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calculatedColumnFormula>
    </tableColumn>
    <tableColumn id="8" xr3:uid="{00000000-0010-0000-0900-000008000000}" name="СТипКритерий" dataDxfId="1560">
      <calculatedColumnFormula>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calculatedColumnFormula>
    </tableColumn>
    <tableColumn id="9" xr3:uid="{00000000-0010-0000-0900-000009000000}" name="Фкритерий" dataDxfId="1559">
      <calculatedColumnFormula>IFERROR(_xlfn.FORMULATEXT(INDIRECT(Критерий[[#This Row],[Скритерий]],FALSE)),"ошибка")</calculatedColumnFormula>
    </tableColumn>
    <tableColumn id="10" xr3:uid="{00000000-0010-0000-0900-00000A000000}" name="МинФизКритерий" dataDxfId="1558">
      <calculatedColumnFormula>IFERROR(IF(N(INDIRECT(Критерий[[#This Row],[СМинФизКритерий]],FALSE))=0,"ошибка",IFERROR(INDIRECT(Критерий[[#This Row],[СМинФизКритерий]],FALSE),"ошибка")),"ошибка")</calculatedColumnFormula>
    </tableColumn>
    <tableColumn id="11" xr3:uid="{00000000-0010-0000-0900-00000B000000}" name="СМинФизКритерий" dataDxfId="1557">
      <calculatedColumnFormula>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calculatedColumnFormula>
    </tableColumn>
    <tableColumn id="12" xr3:uid="{00000000-0010-0000-0900-00000C000000}" name="МаксФизКритерий" dataDxfId="1556">
      <calculatedColumnFormula>IFERROR(IF(N(INDIRECT(Критерий[[#This Row],[СМаксФизКритерий]],FALSE))=0,"ошибка",IFERROR(INDIRECT(Критерий[[#This Row],[СМаксФизКритерий]],FALSE),"ошибка")),"ошибка")</calculatedColumnFormula>
    </tableColumn>
    <tableColumn id="13" xr3:uid="{00000000-0010-0000-0900-00000D000000}" name="СМаксФизКритерий" dataDxfId="1555">
      <calculatedColumnFormula>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calculatedColumnFormula>
    </tableColumn>
    <tableColumn id="14" xr3:uid="{00000000-0010-0000-0900-00000E000000}" name="СрФизКритерий" dataDxfId="1554">
      <calculatedColumnFormula>IFERROR(IF(N(INDIRECT(Критерий[[#This Row],[ССрФизКритерий]],FALSE))=0,"ошибка",IFERROR(INDIRECT(Критерий[[#This Row],[ССрФизКритерий]],FALSE),"ошибка")),"")</calculatedColumnFormula>
    </tableColumn>
    <tableColumn id="15" xr3:uid="{00000000-0010-0000-0900-00000F000000}" name="ССрФизКритерий" dataDxfId="1553">
      <calculatedColumnFormula>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calculatedColumnFormula>
    </tableColumn>
    <tableColumn id="16" xr3:uid="{00000000-0010-0000-0900-000010000000}" name="O.K.Критерий" dataDxfId="1552">
      <calculatedColumnFormula>IFERROR(IF(AND(Критерий[[#This Row],[ВидКритерий]]="Критерий",IFERROR(SEARCH("Приведение",Критерий[[#This Row],[Фкритерий]]),0)&gt;0),1,-1),-1)</calculatedColumnFormula>
    </tableColumn>
  </tableColumns>
  <tableStyleInfo name="TableStyleMedium2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2" xr:uid="{00000000-000C-0000-FFFF-FFFF0A000000}" name="Множество" displayName="Множество" ref="AG9:BL1009" totalsRowShown="0">
  <autoFilter ref="AG9:BL1009" xr:uid="{00000000-0009-0000-0100-0000FC000000}"/>
  <tableColumns count="32">
    <tableColumn id="32" xr3:uid="{00000000-0010-0000-0A00-000020000000}" name="№" dataDxfId="1551">
      <calculatedColumnFormula>IF(AND(Множество[[#This Row],[Y]]=1),ROW()-ROW(Множество[[#Headers],[№]]),"")</calculatedColumnFormula>
    </tableColumn>
    <tableColumn id="1" xr3:uid="{00000000-0010-0000-0A00-000001000000}" name="Оценки"/>
    <tableColumn id="2" xr3:uid="{00000000-0010-0000-0A00-000002000000}" name="Свёртка" dataDxfId="1550"/>
    <tableColumn id="29" xr3:uid="{00000000-0010-0000-0A00-00001D000000}" name="_" dataDxfId="1549">
      <calculatedColumnFormula>IF(LEN(Множество[[#This Row],[Свёртка]])&gt;0,1,-1)</calculatedColumnFormula>
    </tableColumn>
    <tableColumn id="3" xr3:uid="{00000000-0010-0000-0A00-000003000000}" name="Критерии" dataDxfId="1548"/>
    <tableColumn id="30" xr3:uid="{00000000-0010-0000-0A00-00001E000000}" name="__" dataDxfId="1547">
      <calculatedColumnFormula>IF(LEN(Множество[[#This Row],[Критерии]])&gt;0,1,-1)</calculatedColumnFormula>
    </tableColumn>
    <tableColumn id="31" xr3:uid="{00000000-0010-0000-0A00-00001F000000}" name="Y" dataDxfId="1546">
      <calculatedColumnFormula>IF(AND(LEN(Множество[[#This Row],[Свёртка]])&gt;0,LEN(Множество[[#This Row],[Критерии]])&gt;0,LEN(Множество[[#This Row],[Оценки]])&gt;0),1,-1)</calculatedColumnFormula>
    </tableColumn>
    <tableColumn id="4" xr3:uid="{00000000-0010-0000-0A00-000004000000}" name="1" dataDxfId="1545"/>
    <tableColumn id="5" xr3:uid="{00000000-0010-0000-0A00-000005000000}" name="2" dataDxfId="1544"/>
    <tableColumn id="6" xr3:uid="{00000000-0010-0000-0A00-000006000000}" name="3" dataDxfId="1543"/>
    <tableColumn id="7" xr3:uid="{00000000-0010-0000-0A00-000007000000}" name="4" dataDxfId="1542"/>
    <tableColumn id="8" xr3:uid="{00000000-0010-0000-0A00-000008000000}" name="5" dataDxfId="1541"/>
    <tableColumn id="9" xr3:uid="{00000000-0010-0000-0A00-000009000000}" name="6" dataDxfId="1540"/>
    <tableColumn id="10" xr3:uid="{00000000-0010-0000-0A00-00000A000000}" name="7" dataDxfId="1539"/>
    <tableColumn id="11" xr3:uid="{00000000-0010-0000-0A00-00000B000000}" name="8" dataDxfId="1538"/>
    <tableColumn id="12" xr3:uid="{00000000-0010-0000-0A00-00000C000000}" name="9" dataDxfId="1537"/>
    <tableColumn id="13" xr3:uid="{00000000-0010-0000-0A00-00000D000000}" name="10" dataDxfId="1536"/>
    <tableColumn id="14" xr3:uid="{00000000-0010-0000-0A00-00000E000000}" name="11" dataDxfId="1535"/>
    <tableColumn id="15" xr3:uid="{00000000-0010-0000-0A00-00000F000000}" name="12" dataDxfId="1534"/>
    <tableColumn id="16" xr3:uid="{00000000-0010-0000-0A00-000010000000}" name="13"/>
    <tableColumn id="17" xr3:uid="{00000000-0010-0000-0A00-000011000000}" name="14"/>
    <tableColumn id="18" xr3:uid="{00000000-0010-0000-0A00-000012000000}" name="15"/>
    <tableColumn id="19" xr3:uid="{00000000-0010-0000-0A00-000013000000}" name="16"/>
    <tableColumn id="20" xr3:uid="{00000000-0010-0000-0A00-000014000000}" name="17"/>
    <tableColumn id="21" xr3:uid="{00000000-0010-0000-0A00-000015000000}" name="18"/>
    <tableColumn id="22" xr3:uid="{00000000-0010-0000-0A00-000016000000}" name="19"/>
    <tableColumn id="23" xr3:uid="{00000000-0010-0000-0A00-000017000000}" name="20"/>
    <tableColumn id="24" xr3:uid="{00000000-0010-0000-0A00-000018000000}" name="21"/>
    <tableColumn id="25" xr3:uid="{00000000-0010-0000-0A00-000019000000}" name="22"/>
    <tableColumn id="26" xr3:uid="{00000000-0010-0000-0A00-00001A000000}" name="23"/>
    <tableColumn id="27" xr3:uid="{00000000-0010-0000-0A00-00001B000000}" name="24"/>
    <tableColumn id="28" xr3:uid="{00000000-0010-0000-0A00-00001C000000}" name="25"/>
  </tableColumns>
  <tableStyleInfo name="TableStyleMedium2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2" xr:uid="{09A9F3B6-6588-4FDB-B001-B11284EC0BA0}" name="Множество_202207112140401240" displayName="Множество_202207112140401240" ref="A1:AC350" totalsRowShown="0">
  <tableColumns count="29">
    <tableColumn id="1" xr3:uid="{06212CC3-8D99-4E55-B21D-4FB1517B43F6}" name="№"/>
    <tableColumn id="2" xr3:uid="{58803833-A83E-4682-8EFD-A36E55C35904}" name="Свёртка"/>
    <tableColumn id="3" xr3:uid="{DDC4762C-3E3A-41A3-BB4A-0978059ACC3B}" name="Наимен_Св"/>
    <tableColumn id="4" xr3:uid="{BEDC5BED-866B-4E4B-9954-2C08E3967790}" name="Критерии"/>
    <tableColumn id="5" xr3:uid="{5D078A4A-57E9-41B5-ACE5-3B70B17523CA}" name="Наимен_Кр"/>
    <tableColumn id="6" xr3:uid="{069EDE6A-4912-4435-AF15-91382029596D}" name="1" dataDxfId="1532"/>
    <tableColumn id="7" xr3:uid="{A646C2BD-C5A1-4774-9956-AB102C503DCB}" name="2"/>
    <tableColumn id="8" xr3:uid="{216DBFD0-D318-4F0E-BB94-351EEE35D091}" name="3"/>
    <tableColumn id="9" xr3:uid="{511D447B-1223-470E-8A68-97F6192FECB0}" name="4"/>
    <tableColumn id="10" xr3:uid="{ADE252A0-97F7-4A61-A160-69BAAC9C904B}" name="5"/>
    <tableColumn id="11" xr3:uid="{643F3B71-DEA4-43D3-8A68-99FE46371B73}" name="6" dataDxfId="1531">
      <calculatedColumnFormula>Множество_202207112140401240[[#This Row],[2]]-Множество_202207112140401240[[#This Row],[4]]</calculatedColumnFormula>
    </tableColumn>
    <tableColumn id="12" xr3:uid="{25AE5F56-27CC-4500-8976-8CEACA1D0B5D}" name="7" dataDxfId="1530">
      <calculatedColumnFormula>Множество_202207112140401240[[#This Row],[3]]-Множество_202207112140401240[[#This Row],[5]]</calculatedColumnFormula>
    </tableColumn>
    <tableColumn id="13" xr3:uid="{1F2CF093-74EA-4A64-80F3-498E587472A4}" name="8" dataDxfId="1529">
      <calculatedColumnFormula>Множество_202207112140401240[[#This Row],[7]]+Множество_202207112140401240[[#This Row],[6]]</calculatedColumnFormula>
    </tableColumn>
    <tableColumn id="14" xr3:uid="{28328E01-7F79-4C49-A894-4AE743D2C5BB}" name="9" dataDxfId="1528">
      <calculatedColumnFormula>CONCATENATE(Множество_202207112140401240[[#This Row],[2]],Множество_202207112140401240[[#This Row],[3]])</calculatedColumnFormula>
    </tableColumn>
    <tableColumn id="23" xr3:uid="{81F659A1-89D2-45E1-AFC8-86527972CA78}" name="93" dataDxfId="1527"/>
    <tableColumn id="22" xr3:uid="{73D7CCCF-D9A3-45AD-AA06-8230BA3E7609}" name="92" dataDxfId="1526"/>
    <tableColumn id="15" xr3:uid="{E506CA14-1B96-4140-86E7-E3308A2004E0}" name="10" dataDxfId="1525"/>
    <tableColumn id="16" xr3:uid="{67F4F3A4-B58E-49E4-A748-D616A32CC495}" name="11" dataDxfId="1524"/>
    <tableColumn id="17" xr3:uid="{6EE5907C-6E61-4E15-83D0-082C86646412}" name="12" dataDxfId="1523"/>
    <tableColumn id="18" xr3:uid="{CE15FCB0-6664-4229-AD13-D6DE385798B8}" name="13" dataDxfId="1522"/>
    <tableColumn id="19" xr3:uid="{48DD02C1-A59E-46B1-A41F-09099F31141C}" name="14" dataDxfId="1521">
      <calculatedColumnFormula>ABS(Множество_202207112140401240[[#This Row],[10]]-Множество_202207112140401240[[#This Row],[12]])</calculatedColumnFormula>
    </tableColumn>
    <tableColumn id="20" xr3:uid="{2E53DAFD-9B5D-4CD8-A78B-5A9AE2741F69}" name="15" dataDxfId="1520">
      <calculatedColumnFormula>ABS(Множество_202207112140401240[[#This Row],[11]]-Множество_202207112140401240[[#This Row],[13]])</calculatedColumnFormula>
    </tableColumn>
    <tableColumn id="21" xr3:uid="{9E4CF234-518E-426F-BC3B-B270367F5FAA}" name="16" dataDxfId="1519">
      <calculatedColumnFormula>Множество_202207112140401240[[#This Row],[15]]+Множество_202207112140401240[[#This Row],[14]]</calculatedColumnFormula>
    </tableColumn>
    <tableColumn id="24" xr3:uid="{B7232E20-627E-4A50-BC36-58EC92D75C18}" name="17" dataDxfId="1518">
      <calculatedColumnFormula>IF(ROW()-ROW(Множество_202207112140401240[[#Headers],[17]])&gt;1,Множество_202207112140401240[[#This Row],[16]]-OFFSET(Множество_202207112140401240[[#This Row],[16]],-1,0),0)</calculatedColumnFormula>
    </tableColumn>
    <tableColumn id="25" xr3:uid="{6714C3DB-63BF-43AA-8C01-BB3F63734946}" name="18" dataDxfId="1517"/>
    <tableColumn id="26" xr3:uid="{D0CCCAA8-D28E-4538-82E5-7850D562E4AC}" name="19" dataDxfId="1516"/>
    <tableColumn id="27" xr3:uid="{D7F561EB-8604-45DA-8652-4D064239875A}" name="20" dataDxfId="1515">
      <calculatedColumnFormula>ABS(Множество_202207112140401240[[#This Row],[18]]-Множество_202207112140401240[[#This Row],[12]])</calculatedColumnFormula>
    </tableColumn>
    <tableColumn id="28" xr3:uid="{3465A9AE-3AE9-4BED-8628-67255BCB8EEF}" name="21" dataDxfId="1514">
      <calculatedColumnFormula>ABS(Множество_202207112140401240[[#This Row],[19]]-Множество_202207112140401240[[#This Row],[13]])</calculatedColumnFormula>
    </tableColumn>
    <tableColumn id="29" xr3:uid="{E219D95C-29E0-4466-9511-CCA5DB391403}" name="22" dataDxfId="1513">
      <calculatedColumnFormula>Множество_202207112140401240[[#This Row],[20]]+Множество_202207112140401240[[#This Row],[21]]</calculatedColumnFormula>
    </tableColumn>
  </tableColumns>
  <tableStyleInfo name="TableStyleMedium2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0" xr:uid="{7B554926-C43F-4EEB-B064-93DE98488297}" name="Множество_202110192249441244" displayName="Множество_202110192249441244" ref="A1:O1001" totalsRowShown="0">
  <autoFilter ref="A1:O1001" xr:uid="{7B554926-C43F-4EEB-B064-93DE98488297}"/>
  <tableColumns count="15">
    <tableColumn id="1" xr3:uid="{15FAD782-54C7-4A25-BAE1-EE49E14AE643}" name="№"/>
    <tableColumn id="2" xr3:uid="{A79F6844-A5DB-46C4-907D-367AE64A2812}" name="Свёртка"/>
    <tableColumn id="3" xr3:uid="{9CB2619F-F617-44C8-AB3F-E02C8A38E47C}" name="Наимен_Св"/>
    <tableColumn id="4" xr3:uid="{6FCAD69D-13DD-4CAC-BF1C-E0319EAE664E}" name="Критерии"/>
    <tableColumn id="5" xr3:uid="{0E6E58C4-43EC-4F8E-A261-8AEEED04D212}" name="Наимен_Кр"/>
    <tableColumn id="6" xr3:uid="{7FFF4A11-FD51-495B-86D9-F5C753986BF7}" name="1" dataDxfId="1512"/>
    <tableColumn id="7" xr3:uid="{0C29E531-75CA-44A9-B17C-B2C2BC48EA13}" name="2"/>
    <tableColumn id="8" xr3:uid="{C4A1AC79-40EE-402E-AA65-93AB86EE36DC}" name="3"/>
    <tableColumn id="9" xr3:uid="{35E991D4-015E-4B5C-910A-11C13B17167C}" name="4"/>
    <tableColumn id="10" xr3:uid="{828048E4-AB1C-43EB-9272-F3FF5350F26E}" name="5"/>
    <tableColumn id="11" xr3:uid="{288B1414-5DAC-480C-9B3B-F538B28A0EB8}" name="6"/>
    <tableColumn id="12" xr3:uid="{FEAE6FEB-D0F4-469D-927F-59AB72995EA2}" name="7"/>
    <tableColumn id="13" xr3:uid="{BBD75AD2-00DA-4EC5-B4F2-2AFBED378604}" name="8"/>
    <tableColumn id="14" xr3:uid="{68ABC44D-BA39-45B1-8EB5-B603B960E96A}" name="9"/>
    <tableColumn id="15" xr3:uid="{CFDA32BD-9B71-4062-A556-F22832D8F75E}" name="10"/>
  </tableColumns>
  <tableStyleInfo name="TableStyleMedium2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6" xr:uid="{00000000-000C-0000-FFFF-FFFF00000000}" name="Таблица1372257259" displayName="Таблица1372257259" ref="R32:T38" totalsRowCount="1" headerRowDxfId="751" dataDxfId="750" totalsRowDxfId="749">
  <autoFilter ref="R32:T37" xr:uid="{00000000-0009-0000-0100-000014010000}"/>
  <tableColumns count="3">
    <tableColumn id="1" xr3:uid="{00000000-0010-0000-0000-000001000000}" name="№_Э" totalsRowLabel="Итог" dataDxfId="748" totalsRowDxfId="747">
      <calculatedColumnFormula>ROW()-ROW(Таблица1372257259[#Headers])</calculatedColumnFormula>
    </tableColumn>
    <tableColumn id="3" xr3:uid="{00000000-0010-0000-0000-000003000000}" name="_" totalsRowFunction="custom" dataDxfId="746" totalsRowDxfId="745">
      <calculatedColumnFormula>Фантом</calculatedColumnFormula>
      <totalsRowFormula>MAX(Таблица1372257259[№_Э])</totalsRowFormula>
    </tableColumn>
    <tableColumn id="2" xr3:uid="{00000000-0010-0000-0000-000002000000}" name="О" totalsRowFunction="custom" dataDxfId="744" totalsRowDxfId="743">
      <totalsRowFormula>MEDIAN(Таблица1372257259[_]:Таблица1372257259[О])</totalsRowFormula>
    </tableColumn>
  </tableColumns>
  <tableStyleInfo name="Моя таблица"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8" xr:uid="{18F1151C-FB34-4C09-981C-4C10A54C5E22}" name="Таблица258" displayName="Таблица258" ref="A1:C1001" totalsRowShown="0">
  <autoFilter ref="A1:C1001" xr:uid="{AE1FDDD5-11CE-4320-9DC6-A33F330789C2}"/>
  <sortState xmlns:xlrd2="http://schemas.microsoft.com/office/spreadsheetml/2017/richdata2" ref="A2:C1001">
    <sortCondition ref="B1:B1001"/>
  </sortState>
  <tableColumns count="3">
    <tableColumn id="1" xr3:uid="{D88A851F-CCC7-44E7-A788-469FAF950F53}" name="Столбец1"/>
    <tableColumn id="2" xr3:uid="{9CDB4478-689D-415A-923E-D98812A54289}" name="Столбец2"/>
    <tableColumn id="3" xr3:uid="{CF828117-0E36-40E9-863E-3745067D0448}" name="Столбец3" dataDxfId="741">
      <calculatedColumnFormula>CONCATENATE(Таблица258[[#This Row],[Столбец1]],Таблица258[[#This Row],[Столбец2]])</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1" xr:uid="{CD38F3B6-A1FF-414A-8AD9-35A90A9ABDA8}" name="Таблица271" displayName="Таблица271" ref="E1:G1001" totalsRowShown="0">
  <autoFilter ref="E1:G1001" xr:uid="{294CE420-7ACB-4200-AADE-5C19BC25D672}"/>
  <sortState xmlns:xlrd2="http://schemas.microsoft.com/office/spreadsheetml/2017/richdata2" ref="E2:G1001">
    <sortCondition ref="F1:F1001"/>
  </sortState>
  <tableColumns count="3">
    <tableColumn id="1" xr3:uid="{17AC7BA5-3D1E-4D02-A3FB-9393A3B6119B}" name="Столбец1"/>
    <tableColumn id="2" xr3:uid="{143663D6-D263-4213-BC5E-4DE78F19AA9E}" name="Столбец2"/>
    <tableColumn id="3" xr3:uid="{12338914-827F-4F4D-8F64-3A80B34F299A}" name="Столбец3" dataDxfId="740">
      <calculatedColumnFormula>CONCATENATE(Таблица271[[#This Row],[Столбец1]],Таблица271[[#This Row],[Столбец2]])</calculatedColumnFormula>
    </tableColumn>
  </tableColumns>
  <tableStyleInfo name="TableStyleMedium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5" xr:uid="{00000000-000C-0000-FFFF-FFFF0B000000}" name="Свёртка_Подбор_2" displayName="Свёртка_Подбор_2" ref="B10:J16" totalsRowShown="0" headerRowDxfId="737">
  <autoFilter ref="B10:J16" xr:uid="{00000000-0009-0000-0100-0000FF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B00-000001000000}" name="№" dataDxfId="736">
      <calculatedColumnFormula>IF(AND(Свёртка_Подбор_2[[#This Row],[Свёртка]]&lt;&gt;"",Свёртка_Подбор_2[[#This Row],[O.K.Свёртка]]=1),ROW()-ROW(Свёртка_Подбор_2[[#Headers],[№]]),"")</calculatedColumnFormula>
    </tableColumn>
    <tableColumn id="2" xr3:uid="{00000000-0010-0000-0B00-000002000000}" name="Свёртка" dataDxfId="735">
      <calculatedColumnFormula>Модель!CF5</calculatedColumnFormula>
    </tableColumn>
    <tableColumn id="3" xr3:uid="{00000000-0010-0000-0B00-000003000000}" name="ССвёртка" dataDxfId="734">
      <calculatedColumnFormula>IFERROR(IF(AND(Свёртка_Подбор_2[[#This Row],[Свёртка]]&gt;=1,Свёртка_Подбор_2[[#This Row],[Свёртка]]&lt;=4),IF(IFERROR(FIND("!",_xlfn.FORMULATEXT(Свёртка_Подбор_2[[#This Row],[Свёртка]])),"на странице")="на странице",CONCATENATE("R",ROW((INDIRECT(RIGHT(_xlfn.FORMULATEXT(Свёртка_Подбор_2[[#This Row],[Свёртка]]), LEN(_xlfn.FORMULATEXT(Свёртка_Подбор_2[[#This Row],[Свёртка]]))-1),FALSE))),"C",COLUMN((INDIRECT(RIGHT(_xlfn.FORMULATEXT(Свёртка_Подбор_2[[#This Row],[Свёртка]]), LEN(_xlfn.FORMULATEXT(Свёртка_Подбор_2[[#This Row],[Свёртка]]))-1),FALSE)))-D$6),CONCATENATE(RIGHT(LEFT(_xlfn.FORMULATEXT(Свёртка_Подбор_2[[#This Row],[Свёртка]]),FIND("!",_xlfn.FORMULATEXT(Свёртка_Подбор_2[[#This Row],[Свёртка]]))),LEN(LEFT(_xlfn.FORMULATEXT(Свёртка_Подбор_2[[#This Row],[Свёртка]]),FIND("!",_xlfn.FORMULATEXT(Свёртка_Подбор_2[[#This Row],[Свёртка]]))))-1),"R",ROW((INDIRECT(RIGHT(_xlfn.FORMULATEXT(Свёртка_Подбор_2[[#This Row],[Свёртка]]), LEN(_xlfn.FORMULATEXT(Свёртка_Подбор_2[[#This Row],[Свёртка]]))-1),FALSE))),"C",COLUMN((INDIRECT(RIGHT(_xlfn.FORMULATEXT(Свёртка_Подбор_2[[#This Row],[Свёртка]]), LEN(_xlfn.FORMULATEXT(Свёртка_Подбор_2[[#This Row],[Свёртка]]))-1),FALSE)))-D$6)),"ошибка"),"ошибка")</calculatedColumnFormula>
    </tableColumn>
    <tableColumn id="4" xr3:uid="{00000000-0010-0000-0B00-000004000000}" name="ФСвёртка" dataDxfId="733">
      <calculatedColumnFormula>IFERROR(_xlfn.FORMULATEXT(INDIRECT(Свёртка_Подбор_2[[#This Row],[ССвёртка]],FALSE)),"ошибка")</calculatedColumnFormula>
    </tableColumn>
    <tableColumn id="5" xr3:uid="{00000000-0010-0000-0B00-000005000000}" name="ВидСвёртка" dataDxfId="732">
      <calculatedColumnFormula>IFERROR(IF(LEFT(Свёртка_Подбор_2[[#This Row],[ФСвёртка]],5)="=Прив","ошибка",IF(LEFT(Свёртка_Подбор_2[[#This Row],[ФСвёртка]],5)="=Матр","Свёртка","ошибка")),"ошибка")</calculatedColumnFormula>
    </tableColumn>
    <tableColumn id="7" xr3:uid="{00000000-0010-0000-0B00-000007000000}" name="Наименование" dataDxfId="731">
      <calculatedColumnFormula>IFERROR(IF(LEN((INDIRECT(Свёртка_Подбор_2[[#This Row],[СНаименование]],FALSE)))=0,"ошибка",IFERROR(INDIRECT(Свёртка_Подбор_2[[#This Row],[СНаименование]],FALSE),"ошибка")),"ошибка")</calculatedColumnFormula>
    </tableColumn>
    <tableColumn id="8" xr3:uid="{00000000-0010-0000-0B00-000008000000}" name="СНаименование" dataDxfId="730">
      <calculatedColumnFormula>IFERROR(REPLACE(REPLACE(Свёртка_Подбор_2[[#This Row],[ССвёртка]],FIND("C",Свёртка_Подбор_2[[#This Row],[ССвёртка]])+1,LEN(Свёртка_Подбор_2[[#This Row],[ССвёртка]])-FIND("C",Свёртка_Подбор_2[[#This Row],[ССвёртка]]),eval(RIGHT(Свёртка_Подбор_2[[#This Row],[ССвёртка]],LEN(Свёртка_Подбор_2[[#This Row],[ССвёртка]])-FIND("C",Свёртка_Подбор_2[[#This Row],[ССвёртка]])))+H$7),FIND("R",Свёртка_Подбор_2[[#This Row],[ССвёртка]])+1,FIND("C",Свёртка_Подбор_2[[#This Row],[ССвёртка]])-FIND("R",Свёртка_Подбор_2[[#This Row],[ССвёртка]])-1,eval(MID(Свёртка_Подбор_2[[#This Row],[ССвёртка]],FIND("R",Свёртка_Подбор_2[[#This Row],[ССвёртка]])+1,FIND("C",Свёртка_Подбор_2[[#This Row],[ССвёртка]])-1-FIND("R",Свёртка_Подбор_2[[#This Row],[ССвёртка]])))+H$6),"ошибка")</calculatedColumnFormula>
    </tableColumn>
    <tableColumn id="10" xr3:uid="{00000000-0010-0000-0B00-00000A000000}" name="Искомое" dataDxfId="729"/>
    <tableColumn id="6" xr3:uid="{00000000-0010-0000-0B00-000006000000}" name="O.K.Свёртка" dataDxfId="728">
      <calculatedColumnFormula>IF(AND(Свёртка_Подбор_2[[#This Row],[ВидСвёртка]]="Свёртка",LEN(Свёртка_Подбор_2[[#This Row],[Искомое]])&lt;&gt;0,AND(Свёртка_Подбор_2[[#This Row],[Искомое]]&gt;=1,Свёртка_Подбор_2[[#This Row],[Искомое]]&lt;=4)),1,-1)</calculatedColumnFormula>
    </tableColumn>
  </tableColumns>
  <tableStyleInfo name="TableStyleMedium1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0" xr:uid="{00000000-000C-0000-FFFF-FFFF0C000000}" name="Критерий_Перебор_2_20170709140117" displayName="Критерий_Перебор_2_20170709140117" ref="B9:S12" totalsRowShown="0">
  <autoFilter ref="B9:S12" xr:uid="{00000000-0009-0000-0100-00000401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00000000-0010-0000-0C00-000001000000}" name="№">
      <calculatedColumnFormula>IF(AND(Критерий_Перебор_2_20170709140117[[#This Row],[Критерий]]&lt;&gt;"",Критерий_Перебор_2_20170709140117[[#This Row],[O.K.Критерий]]=1),ROW()-ROW(Критерий_Перебор_2_20170709140117[[#Headers],[№]]),"")</calculatedColumnFormula>
    </tableColumn>
    <tableColumn id="2" xr3:uid="{00000000-0010-0000-0C00-000002000000}" name="Критерий">
      <calculatedColumnFormula>Модель!#REF!</calculatedColumnFormula>
    </tableColumn>
    <tableColumn id="3" xr3:uid="{00000000-0010-0000-0C00-000003000000}" name="Скритерий">
      <calculatedColumnFormula>IFERROR(IF(AND(Критерий_Перебор_2_20170709140117[[#This Row],[Критерий]]&gt;=1,Критерий_Перебор_2_20170709140117[[#This Row],[Критерий]]&lt;=4),IF(IFERROR(FIND("!",_xlfn.FORMULATEXT(Критерий_Перебор_2_20170709140117[[#This Row],[Критерий]])),"на странице")="на странице",CONCATENATE("R",ROW((INDIRECT(RIGHT(_xlfn.FORMULATEXT(Критерий_Перебор_2_20170709140117[[#This Row],[Критерий]]), LEN(_xlfn.FORMULATEXT(Критерий_Перебор_2_20170709140117[[#This Row],[Критерий]]))-1),FALSE))),"C",COLUMN((INDIRECT(RIGHT(_xlfn.FORMULATEXT(Критерий_Перебор_2_20170709140117[[#This Row],[Критерий]]), LEN(_xlfn.FORMULATEXT(Критерий_Перебор_2_20170709140117[[#This Row],[Критерий]]))-1),FALSE)))-D$8),CONCATENATE(RIGHT(LEFT(_xlfn.FORMULATEXT(Критерий_Перебор_2_20170709140117[[#This Row],[Критерий]]),FIND("!",_xlfn.FORMULATEXT(Критерий_Перебор_2_20170709140117[[#This Row],[Критерий]]))),LEN(LEFT(_xlfn.FORMULATEXT(Критерий_Перебор_2_20170709140117[[#This Row],[Критерий]]),FIND("!",_xlfn.FORMULATEXT(Критерий_Перебор_2_20170709140117[[#This Row],[Критерий]]))))-1),"R",ROW((INDIRECT(RIGHT(_xlfn.FORMULATEXT(Критерий_Перебор_2_20170709140117[[#This Row],[Критерий]]), LEN(_xlfn.FORMULATEXT(Критерий_Перебор_2_20170709140117[[#This Row],[Критерий]]))-1),FALSE))),"C",COLUMN((INDIRECT(RIGHT(_xlfn.FORMULATEXT(Критерий_Перебор_2_20170709140117[[#This Row],[Критерий]]), LEN(_xlfn.FORMULATEXT(Критерий_Перебор_2_20170709140117[[#This Row],[Критерий]]))-1),FALSE)))-D$8)),"ошибка"),"ошибка")</calculatedColumnFormula>
    </tableColumn>
    <tableColumn id="4" xr3:uid="{00000000-0010-0000-0C00-000004000000}" name="ВидКритерий">
      <calculatedColumnFormula>IFERROR(IF(LEFT(Критерий_Перебор_2_20170709140117[[#This Row],[Фкритерий]],5)="=Прив","Критерий",IF(LEFT(Критерий_Перебор_2_20170709140117[[#This Row],[Фкритерий]],5)="=Матр","ошибка","ошибка")),"ошибка")</calculatedColumnFormula>
    </tableColumn>
    <tableColumn id="5" xr3:uid="{00000000-0010-0000-0C00-000005000000}" name="Наименование">
      <calculatedColumnFormula>IFERROR(IF(LEN((INDIRECT(Критерий_Перебор_2_20170709140117[[#This Row],[СНаименование]],FALSE)))=0,"ошибка",IFERROR(INDIRECT(Критерий_Перебор_2_20170709140117[[#This Row],[СНаименование]],FALSE),"ошибка")),"ошибка")</calculatedColumnFormula>
    </tableColumn>
    <tableColumn id="6" xr3:uid="{00000000-0010-0000-0C00-000006000000}" name="СНаименование">
      <calculatedColumnFormula>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Row],[Скритерий]])))+G$7),FIND("R",Критерий_Перебор_2_20170709140117[[#This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Row],[Скритерий]])))+G$6),"ошибка")</calculatedColumnFormula>
    </tableColumn>
    <tableColumn id="7" xr3:uid="{00000000-0010-0000-0C00-000007000000}" name="ФизКритерий">
      <calculatedColumnFormula>IFERROR(IF(N(INDIRECT(Критерий_Перебор_2_20170709140117[[#This Row],[СФизКритерий]],FALSE))=0,"ошибка",IFERROR(INDIRECT(Критерий_Перебор_2_20170709140117[[#This Row],[СФизКритерий]],FALSE),"ошибка")),"ошибка")</calculatedColumnFormula>
    </tableColumn>
    <tableColumn id="8" xr3:uid="{00000000-0010-0000-0C00-000008000000}" name="СФизКритерий">
      <calculatedColumnFormula>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Row],[Скритерий]])))+I$7),FIND("R",Критерий_Перебор_2_20170709140117[[#This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Row],[Скритерий]])))+I$6),"ошибка")</calculatedColumnFormula>
    </tableColumn>
    <tableColumn id="9" xr3:uid="{00000000-0010-0000-0C00-000009000000}" name="ТипКритерий">
      <calculatedColumnFormula>IFERROR(IF(OR(INDIRECT(Критерий_Перебор_2_20170709140117[[#This Row],[СТипКритерий]],FALSE)=Перебор!$N$58,INDIRECT(Критерий_Перебор_2_20170709140117[[#This Row],[СТипКритерий]],FALSE)=Перебор!$N$59,INDIRECT(Критерий_Перебор_2_20170709140117[[#This Row],[СТипКритерий]],FALSE)=Перебор!$N$60,INDIRECT(Критерий_Перебор_2_20170709140117[[#This Row],[СТипКритерий]],FALSE)=Перебор!$N$61),INDIRECT(Критерий_Перебор_2_20170709140117[[#This Row],[СТипКритерий]],FALSE),"ошибка"),"ошибка")</calculatedColumnFormula>
    </tableColumn>
    <tableColumn id="10" xr3:uid="{00000000-0010-0000-0C00-00000A000000}" name="СТипКритерий">
      <calculatedColumnFormula>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Row],[Скритерий]])))+K$7),FIND("R",Критерий_Перебор_2_20170709140117[[#This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Row],[Скритерий]])))+K$6),"ошибка")</calculatedColumnFormula>
    </tableColumn>
    <tableColumn id="11" xr3:uid="{00000000-0010-0000-0C00-00000B000000}" name="Фкритерий">
      <calculatedColumnFormula>IFERROR(_xlfn.FORMULATEXT(INDIRECT(Критерий_Перебор_2_20170709140117[[#This Row],[Скритерий]],FALSE)),"ошибка")</calculatedColumnFormula>
    </tableColumn>
    <tableColumn id="12" xr3:uid="{00000000-0010-0000-0C00-00000C000000}" name="МинФизКритерий">
      <calculatedColumnFormula>IFERROR(IF(N(INDIRECT(Критерий_Перебор_2_20170709140117[[#This Row],[СМинФизКритерий]],FALSE))=0,"ошибка",IFERROR(INDIRECT(Критерий_Перебор_2_20170709140117[[#This Row],[СМинФизКритерий]],FALSE),"ошибка")),"ошибка")</calculatedColumnFormula>
    </tableColumn>
    <tableColumn id="13" xr3:uid="{00000000-0010-0000-0C00-00000D000000}" name="СМинФизКритерий">
      <calculatedColumnFormula>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Row],[Скритерий]])))+N$7),FIND("R",Критерий_Перебор_2_20170709140117[[#This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Row],[Скритерий]])))+N$6),"ошибка")</calculatedColumnFormula>
    </tableColumn>
    <tableColumn id="14" xr3:uid="{00000000-0010-0000-0C00-00000E000000}" name="МаксФизКритерий">
      <calculatedColumnFormula>IFERROR(IF(N(INDIRECT(Критерий_Перебор_2_20170709140117[[#This Row],[СМаксФизКритерий]],FALSE))=0,"ошибка",IFERROR(INDIRECT(Критерий_Перебор_2_20170709140117[[#This Row],[СМаксФизКритерий]],FALSE),"ошибка")),"ошибка")</calculatedColumnFormula>
    </tableColumn>
    <tableColumn id="15" xr3:uid="{00000000-0010-0000-0C00-00000F000000}" name="СМаксФизКритерий">
      <calculatedColumnFormula>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Row],[Скритерий]])))+P$7),FIND("R",Критерий_Перебор_2_20170709140117[[#This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Row],[Скритерий]])))+P$6),"ошибка")</calculatedColumnFormula>
    </tableColumn>
    <tableColumn id="16" xr3:uid="{00000000-0010-0000-0C00-000010000000}" name="СрФизКритерий">
      <calculatedColumnFormula>IFERROR(IF(N(INDIRECT(Критерий_Перебор_2_20170709140117[[#This Row],[ССрФизКритерий]],FALSE))=0,"ошибка",IFERROR(INDIRECT(Критерий_Перебор_2_20170709140117[[#This Row],[ССрФизКритерий]],FALSE),"ошибка")),"")</calculatedColumnFormula>
    </tableColumn>
    <tableColumn id="17" xr3:uid="{00000000-0010-0000-0C00-000011000000}" name="ССрФизКритерий">
      <calculatedColumnFormula>IF(OR(Критерий_Перебор_2_20170709140117[[#This Row],[ТипКритерий]]=Перебор!$N$60,Критерий_Перебор_2_20170709140117[[#This Row],[ТипКритерий]]=Перебор!$N$61),IFERROR(REPLACE(REPLACE(Критерий_Перебор_2_20170709140117[[#This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Row],[Скритерий]])))+R$7),FIND("R",Критерий_Перебор_2_20170709140117[[#This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Row],[Скритерий]])))+R$6),"ошибка"),"")</calculatedColumnFormula>
    </tableColumn>
    <tableColumn id="18" xr3:uid="{00000000-0010-0000-0C00-000012000000}" name="O.K.Критерий" dataDxfId="725">
      <calculatedColumnFormula>IFERROR(IF(AND(Критерий_Перебор_2_20170709140117[[#This Row],[ВидКритерий]]="Критерий",Критерий_Перебор_2_20170709140117[[#This Row],[Фкритерий]]="=Приведение"),1,-1),-1)</calculatedColumnFormula>
    </tableColumn>
  </tableColumns>
  <tableStyleInfo name="TableStyleMedium20"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4" xr:uid="{00000000-000C-0000-FFFF-FFFF0D000000}" name="Свёртка_Перебор_2_20170709140117" displayName="Свёртка_Перебор_2_20170709140117" ref="V9:CJ11" totalsRowShown="0">
  <autoFilter ref="V9:CJ11" xr:uid="{00000000-0009-0000-0100-00000801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autoFilter>
  <tableColumns count="67">
    <tableColumn id="1" xr3:uid="{00000000-0010-0000-0D00-000001000000}" name="№">
      <calculatedColumnFormula>IF(AND(Свёртка_Перебор_2_20170709140117[[#This Row],[Свёртка]]&lt;&gt;"",Свёртка_Перебор_2_20170709140117[[#This Row],[O.K.Свёртка]]=1),ROW()-ROW(Свёртка_Перебор_2_20170709140117[[#Headers],[№]]),"")</calculatedColumnFormula>
    </tableColumn>
    <tableColumn id="2" xr3:uid="{00000000-0010-0000-0D00-000002000000}" name="Свёртка">
      <calculatedColumnFormula>Модель!#REF!</calculatedColumnFormula>
    </tableColumn>
    <tableColumn id="3" xr3:uid="{00000000-0010-0000-0D00-000003000000}" name="ССвёртка">
      <calculatedColumnFormula>IFERROR(IF(AND(Свёртка_Перебор_2_20170709140117[[#This Row],[Свёртка]]&gt;=1,Свёртка_Перебор_2_20170709140117[[#This Row],[Свёртка]]&lt;=4),IF(IFERROR(FIND("!",_xlfn.FORMULATEXT(Свёртка_Перебор_2_20170709140117[[#This Row],[Свёртка]])),"на странице")="на странице",CONCATENATE("R",ROW((INDIRECT(RIGHT(_xlfn.FORMULATEXT(Свёртка_Перебор_2_20170709140117[[#This Row],[Свёртка]]), LEN(_xlfn.FORMULATEXT(Свёртка_Перебор_2_20170709140117[[#This Row],[Свёртка]]))-1),FALSE))),"C",COLUMN((INDIRECT(RIGHT(_xlfn.FORMULATEXT(Свёртка_Перебор_2_20170709140117[[#This Row],[Свёртка]]), LEN(_xlfn.FORMULATEXT(Свёртка_Перебор_2_20170709140117[[#This Row],[Свёртка]]))-1),FALSE)))-X$6),CONCATENATE(RIGHT(LEFT(_xlfn.FORMULATEXT(Свёртка_Перебор_2_20170709140117[[#This Row],[Свёртка]]),FIND("!",_xlfn.FORMULATEXT(Свёртка_Перебор_2_20170709140117[[#This Row],[Свёртка]]))),LEN(LEFT(_xlfn.FORMULATEXT(Свёртка_Перебор_2_20170709140117[[#This Row],[Свёртка]]),FIND("!",_xlfn.FORMULATEXT(Свёртка_Перебор_2_20170709140117[[#This Row],[Свёртка]]))))-1),"R",ROW((INDIRECT(RIGHT(_xlfn.FORMULATEXT(Свёртка_Перебор_2_20170709140117[[#This Row],[Свёртка]]), LEN(_xlfn.FORMULATEXT(Свёртка_Перебор_2_20170709140117[[#This Row],[Свёртка]]))-1),FALSE))),"C",COLUMN((INDIRECT(RIGHT(_xlfn.FORMULATEXT(Свёртка_Перебор_2_20170709140117[[#This Row],[Свёртка]]), LEN(_xlfn.FORMULATEXT(Свёртка_Перебор_2_20170709140117[[#This Row],[Свёртка]]))-1),FALSE)))-X$6)),"ошибка"),"ошибка")</calculatedColumnFormula>
    </tableColumn>
    <tableColumn id="4" xr3:uid="{00000000-0010-0000-0D00-000004000000}" name="ФСвёртка">
      <calculatedColumnFormula>IFERROR(_xlfn.FORMULATEXT(INDIRECT(Свёртка_Перебор_2_20170709140117[[#This Row],[ССвёртка]],FALSE)),"ошибка")</calculatedColumnFormula>
    </tableColumn>
    <tableColumn id="5" xr3:uid="{00000000-0010-0000-0D00-000005000000}" name="ВидСвёртка">
      <calculatedColumnFormula>IFERROR(IF(LEFT(Свёртка_Перебор_2_20170709140117[[#This Row],[ФСвёртка]],5)="=Прив","ошибка",IF(LEFT(Свёртка_Перебор_2_20170709140117[[#This Row],[ФСвёртка]],5)="=Матр","Свёртка","ошибка")),"ошибка")</calculatedColumnFormula>
    </tableColumn>
    <tableColumn id="6" xr3:uid="{00000000-0010-0000-0D00-000006000000}" name="Наименование">
      <calculatedColumnFormula>IFERROR(IF(LEN((INDIRECT(Свёртка_Перебор_2_20170709140117[[#This Row],[СНаименование]],FALSE)))=0,"ошибка",IFERROR(INDIRECT(Свёртка_Перебор_2_20170709140117[[#This Row],[СНаименование]],FALSE),"ошибка")),"ошибка")</calculatedColumnFormula>
    </tableColumn>
    <tableColumn id="7" xr3:uid="{00000000-0010-0000-0D00-000007000000}" name="СНаименование">
      <calculatedColumnFormula>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Row],[ССвёртка]])))+AB$7),FIND("R",Свёртка_Перебор_2_20170709140117[[#This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Row],[ССвёртка]])))+AB$6),"ошибка")</calculatedColumnFormula>
    </tableColumn>
    <tableColumn id="8" xr3:uid="{00000000-0010-0000-0D00-000008000000}" name="СВ_1_1">
      <calculatedColumnFormula>IFERROR(IF(LEN((INDIRECT(Свёртка_Перебор_2_20170709140117[[#This Row],[ССВ_1_1]],FALSE)))=0,"ошибка",IFERROR(INDIRECT(Свёртка_Перебор_2_20170709140117[[#This Row],[ССВ_1_1]],FALSE),"ошибка")),"ошибка")</calculatedColumnFormula>
    </tableColumn>
    <tableColumn id="9" xr3:uid="{00000000-0010-0000-0D00-000009000000}" name="ССВ_1_1">
      <calculatedColumnFormula>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Row],[ССвёртка]])))+AD$7),FIND("R",Свёртка_Перебор_2_20170709140117[[#This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Row],[ССвёртка]])))+AD$6),"ошибка")</calculatedColumnFormula>
    </tableColumn>
    <tableColumn id="10" xr3:uid="{00000000-0010-0000-0D00-00000A000000}" name="СВ_1_1_OK"/>
    <tableColumn id="11" xr3:uid="{00000000-0010-0000-0D00-00000B000000}" name="СВ_1_1_№"/>
    <tableColumn id="12" xr3:uid="{00000000-0010-0000-0D00-00000C000000}" name="ССВ_1_1_kolvo"/>
    <tableColumn id="13" xr3:uid="{00000000-0010-0000-0D00-00000D000000}" name="СВ_2_1">
      <calculatedColumnFormula>IFERROR(IF(LEN((INDIRECT(Свёртка_Перебор_2_20170709140117[[#This Row],[ССВ_2_1]],FALSE)))=0,"ошибка",IFERROR(INDIRECT(Свёртка_Перебор_2_20170709140117[[#This Row],[ССВ_2_1]],FALSE),"ошибка")),"ошибка")</calculatedColumnFormula>
    </tableColumn>
    <tableColumn id="14" xr3:uid="{00000000-0010-0000-0D00-00000E000000}" name="ССВ_2_1">
      <calculatedColumnFormula>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Row],[ССвёртка]])))+AI$7),FIND("R",Свёртка_Перебор_2_20170709140117[[#This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Row],[ССвёртка]])))+AI$6),"ошибка")</calculatedColumnFormula>
    </tableColumn>
    <tableColumn id="15" xr3:uid="{00000000-0010-0000-0D00-00000F000000}" name="СВ_2_1_OK"/>
    <tableColumn id="16" xr3:uid="{00000000-0010-0000-0D00-000010000000}" name="СВ_2_1_№"/>
    <tableColumn id="17" xr3:uid="{00000000-0010-0000-0D00-000011000000}" name="ССВ_2_1_kolvo"/>
    <tableColumn id="18" xr3:uid="{00000000-0010-0000-0D00-000012000000}" name="СВ_1_2">
      <calculatedColumnFormula>IFERROR(IF(LEN((INDIRECT(Свёртка_Перебор_2_20170709140117[[#This Row],[ССВ_1_2]],FALSE)))=0,"ошибка",IFERROR(INDIRECT(Свёртка_Перебор_2_20170709140117[[#This Row],[ССВ_1_2]],FALSE),"ошибка")),"ошибка")</calculatedColumnFormula>
    </tableColumn>
    <tableColumn id="19" xr3:uid="{00000000-0010-0000-0D00-000013000000}" name="ССВ_1_2">
      <calculatedColumnFormula>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Row],[ССвёртка]])))+AN$7),FIND("R",Свёртка_Перебор_2_20170709140117[[#This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Row],[ССвёртка]])))+AN$6),"ошибка")</calculatedColumnFormula>
    </tableColumn>
    <tableColumn id="20" xr3:uid="{00000000-0010-0000-0D00-000014000000}" name="СВ_1_2_OK"/>
    <tableColumn id="21" xr3:uid="{00000000-0010-0000-0D00-000015000000}" name="СВ_1_2_№"/>
    <tableColumn id="22" xr3:uid="{00000000-0010-0000-0D00-000016000000}" name="ССВ_1_2_kolvo"/>
    <tableColumn id="23" xr3:uid="{00000000-0010-0000-0D00-000017000000}" name="СВ_2_2">
      <calculatedColumnFormula>IFERROR(IF(LEN((INDIRECT(Свёртка_Перебор_2_20170709140117[[#This Row],[ССВ_2_2]],FALSE)))=0,"ошибка",IFERROR(INDIRECT(Свёртка_Перебор_2_20170709140117[[#This Row],[ССВ_2_2]],FALSE),"ошибка")),"ошибка")</calculatedColumnFormula>
    </tableColumn>
    <tableColumn id="24" xr3:uid="{00000000-0010-0000-0D00-000018000000}" name="ССВ_2_2">
      <calculatedColumnFormula>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Row],[ССвёртка]])))+AS$7),FIND("R",Свёртка_Перебор_2_20170709140117[[#This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Row],[ССвёртка]])))+AS$6),"ошибка")</calculatedColumnFormula>
    </tableColumn>
    <tableColumn id="25" xr3:uid="{00000000-0010-0000-0D00-000019000000}" name="СВ_2_2_OK"/>
    <tableColumn id="26" xr3:uid="{00000000-0010-0000-0D00-00001A000000}" name="СВ_2_2_№"/>
    <tableColumn id="27" xr3:uid="{00000000-0010-0000-0D00-00001B000000}" name="ССВ_2_2_kolvo"/>
    <tableColumn id="28" xr3:uid="{00000000-0010-0000-0D00-00001C000000}" name="СВ_3_1">
      <calculatedColumnFormula>IFERROR(IF(LEN((INDIRECT(Свёртка_Перебор_2_20170709140117[[#This Row],[ССВ_3_1]],FALSE)))=0,"ошибка",IFERROR(INDIRECT(Свёртка_Перебор_2_20170709140117[[#This Row],[ССВ_3_1]],FALSE),"ошибка")),"ошибка")</calculatedColumnFormula>
    </tableColumn>
    <tableColumn id="29" xr3:uid="{00000000-0010-0000-0D00-00001D000000}" name="ССВ_3_1">
      <calculatedColumnFormula>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Row],[ССвёртка]])))+AX$7),FIND("R",Свёртка_Перебор_2_20170709140117[[#This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Row],[ССвёртка]])))+AX$6),"ошибка")</calculatedColumnFormula>
    </tableColumn>
    <tableColumn id="30" xr3:uid="{00000000-0010-0000-0D00-00001E000000}" name="СВ_3_1_OK"/>
    <tableColumn id="31" xr3:uid="{00000000-0010-0000-0D00-00001F000000}" name="СВ_3_1_№"/>
    <tableColumn id="32" xr3:uid="{00000000-0010-0000-0D00-000020000000}" name="ССВ_3_1_kolvo"/>
    <tableColumn id="33" xr3:uid="{00000000-0010-0000-0D00-000021000000}" name="СВ_1_3">
      <calculatedColumnFormula>IFERROR(IF(LEN((INDIRECT(Свёртка_Перебор_2_20170709140117[[#This Row],[ССВ_1_3]],FALSE)))=0,"ошибка",IFERROR(INDIRECT(Свёртка_Перебор_2_20170709140117[[#This Row],[ССВ_1_3]],FALSE),"ошибка")),"ошибка")</calculatedColumnFormula>
    </tableColumn>
    <tableColumn id="34" xr3:uid="{00000000-0010-0000-0D00-000022000000}" name="ССВ_1_3">
      <calculatedColumnFormula>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Row],[ССвёртка]])))+BC$7),FIND("R",Свёртка_Перебор_2_20170709140117[[#This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Row],[ССвёртка]])))+BC$6),"ошибка")</calculatedColumnFormula>
    </tableColumn>
    <tableColumn id="35" xr3:uid="{00000000-0010-0000-0D00-000023000000}" name="СВ_1_3_OK"/>
    <tableColumn id="36" xr3:uid="{00000000-0010-0000-0D00-000024000000}" name="СВ_1_3_№"/>
    <tableColumn id="37" xr3:uid="{00000000-0010-0000-0D00-000025000000}" name="ССВ_1_3_kolvo"/>
    <tableColumn id="38" xr3:uid="{00000000-0010-0000-0D00-000026000000}" name="СВ_3_2">
      <calculatedColumnFormula>IFERROR(IF(LEN((INDIRECT(Свёртка_Перебор_2_20170709140117[[#This Row],[ССВ_3_2]],FALSE)))=0,"ошибка",IFERROR(INDIRECT(Свёртка_Перебор_2_20170709140117[[#This Row],[ССВ_3_2]],FALSE),"ошибка")),"ошибка")</calculatedColumnFormula>
    </tableColumn>
    <tableColumn id="39" xr3:uid="{00000000-0010-0000-0D00-000027000000}" name="ССВ_3_2">
      <calculatedColumnFormula>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Row],[ССвёртка]])))+BH$7),FIND("R",Свёртка_Перебор_2_20170709140117[[#This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Row],[ССвёртка]])))+BH$6),"ошибка")</calculatedColumnFormula>
    </tableColumn>
    <tableColumn id="40" xr3:uid="{00000000-0010-0000-0D00-000028000000}" name="СВ_3_2_OK"/>
    <tableColumn id="41" xr3:uid="{00000000-0010-0000-0D00-000029000000}" name="СВ_3_2_№"/>
    <tableColumn id="42" xr3:uid="{00000000-0010-0000-0D00-00002A000000}" name="ССВ_3_2_kolvo"/>
    <tableColumn id="43" xr3:uid="{00000000-0010-0000-0D00-00002B000000}" name="СВ_2_3">
      <calculatedColumnFormula>IFERROR(IF(LEN((INDIRECT(Свёртка_Перебор_2_20170709140117[[#This Row],[ССВ_2_3]],FALSE)))=0,"ошибка",IFERROR(INDIRECT(Свёртка_Перебор_2_20170709140117[[#This Row],[ССВ_2_3]],FALSE),"ошибка")),"ошибка")</calculatedColumnFormula>
    </tableColumn>
    <tableColumn id="44" xr3:uid="{00000000-0010-0000-0D00-00002C000000}" name="ССВ_2_3">
      <calculatedColumnFormula>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Row],[ССвёртка]])))+BM$7),FIND("R",Свёртка_Перебор_2_20170709140117[[#This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Row],[ССвёртка]])))+BM$6),"ошибка")</calculatedColumnFormula>
    </tableColumn>
    <tableColumn id="45" xr3:uid="{00000000-0010-0000-0D00-00002D000000}" name="СВ_2_3_OK"/>
    <tableColumn id="46" xr3:uid="{00000000-0010-0000-0D00-00002E000000}" name="СВ_2_3_№"/>
    <tableColumn id="47" xr3:uid="{00000000-0010-0000-0D00-00002F000000}" name="ССВ_2_3_kolvo"/>
    <tableColumn id="48" xr3:uid="{00000000-0010-0000-0D00-000030000000}" name="СВ_3_3">
      <calculatedColumnFormula>IFERROR(IF(LEN((INDIRECT(Свёртка_Перебор_2_20170709140117[[#This Row],[ССВ_3_3]],FALSE)))=0,"ошибка",IFERROR(INDIRECT(Свёртка_Перебор_2_20170709140117[[#This Row],[ССВ_3_3]],FALSE),"ошибка")),"ошибка")</calculatedColumnFormula>
    </tableColumn>
    <tableColumn id="49" xr3:uid="{00000000-0010-0000-0D00-000031000000}" name="ССВ_3_3">
      <calculatedColumnFormula>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Row],[ССвёртка]])))+BR$7),FIND("R",Свёртка_Перебор_2_20170709140117[[#This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Row],[ССвёртка]])))+BR$6),"ошибка")</calculatedColumnFormula>
    </tableColumn>
    <tableColumn id="50" xr3:uid="{00000000-0010-0000-0D00-000032000000}" name="СВ_3_3_OK"/>
    <tableColumn id="51" xr3:uid="{00000000-0010-0000-0D00-000033000000}" name="СВ_3_3_№"/>
    <tableColumn id="52" xr3:uid="{00000000-0010-0000-0D00-000034000000}" name="ССВ_3_3_kolvo"/>
    <tableColumn id="53" xr3:uid="{00000000-0010-0000-0D00-000035000000}" name="ИТОГО_СВ">
      <calculatedColumnFormula>Свёртка_Перебор_2_20170709140117[[#This Row],[ССВ_1_1_kolvo]]+Свёртка_Перебор_2_20170709140117[[#This Row],[ССВ_2_1_kolvo]]+Свёртка_Перебор_2_20170709140117[[#This Row],[ССВ_1_2_kolvo]]+Свёртка_Перебор_2_20170709140117[[#This Row],[ССВ_2_2_kolvo]]+Свёртка_Перебор_2_20170709140117[[#This Row],[ССВ_3_1_kolvo]]+Свёртка_Перебор_2_20170709140117[[#This Row],[ССВ_1_3_kolvo]]+Свёртка_Перебор_2_20170709140117[[#This Row],[ССВ_3_2_kolvo]]+Свёртка_Перебор_2_20170709140117[[#This Row],[ССВ_2_3_kolvo]]+Свёртка_Перебор_2_20170709140117[[#This Row],[ССВ_3_3_kolvo]]</calculatedColumnFormula>
    </tableColumn>
    <tableColumn id="54" xr3:uid="{00000000-0010-0000-0D00-000036000000}" name="Л">
      <calculatedColumnFormula>IFERROR(IF(LEN((INDIRECT(Свёртка_Перебор_2_20170709140117[[#This Row],[СЛ]],FALSE)))=0,"ошибка",IFERROR(INDIRECT(Свёртка_Перебор_2_20170709140117[[#This Row],[СЛ]],FALSE),"ошибка")),"ошибка")</calculatedColumnFormula>
    </tableColumn>
    <tableColumn id="55" xr3:uid="{00000000-0010-0000-0D00-000037000000}" name="СЛ">
      <calculatedColumnFormula>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Row],[ССвёртка]])))+BX$7),FIND("R",Свёртка_Перебор_2_20170709140117[[#This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Row],[ССвёртка]])))+BX$6),"ошибка")</calculatedColumnFormula>
    </tableColumn>
    <tableColumn id="56" xr3:uid="{00000000-0010-0000-0D00-000038000000}" name="ФСЛ">
      <calculatedColumnFormula>IFERROR(_xlfn.FORMULATEXT(INDIRECT(Свёртка_Перебор_2_20170709140117[[#This Row],[СЛ]],FALSE)),"ошибка")</calculatedColumnFormula>
    </tableColumn>
    <tableColumn id="57" xr3:uid="{00000000-0010-0000-0D00-000039000000}" name="П">
      <calculatedColumnFormula>IFERROR(IF(LEN((INDIRECT(Свёртка_Перебор_2_20170709140117[[#This Row],[СП]],FALSE)))=0,"ошибка",IFERROR(INDIRECT(Свёртка_Перебор_2_20170709140117[[#This Row],[СП]],FALSE),"ошибка")),"ошибка")</calculatedColumnFormula>
    </tableColumn>
    <tableColumn id="58" xr3:uid="{00000000-0010-0000-0D00-00003A000000}" name="СП">
      <calculatedColumnFormula>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Row],[ССвёртка]])))+CA$7),FIND("R",Свёртка_Перебор_2_20170709140117[[#This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Row],[ССвёртка]])))+CA$6),"ошибка")</calculatedColumnFormula>
    </tableColumn>
    <tableColumn id="59" xr3:uid="{00000000-0010-0000-0D00-00003B000000}" name="ФСП">
      <calculatedColumnFormula>IFERROR(_xlfn.FORMULATEXT(INDIRECT(Свёртка_Перебор_2_20170709140117[[#This Row],[СП]],FALSE)),"ошибка")</calculatedColumnFormula>
    </tableColumn>
    <tableColumn id="60" xr3:uid="{00000000-0010-0000-0D00-00003C000000}" name="O.K.Свёртка">
      <calculatedColumnFormula>IF(AND(Свёртка_Перебор_2_20170709140117[[#This Row],[ВидСвёртка]]="Свёртка",CONCATENATE(LEFT(Свёртка_Перебор_2_20170709140117[[#This Row],[СВ_1_1]],1),LEFT(Свёртка_Перебор_2_20170709140117[[#This Row],[СВ_2_1]],1),LEFT(Свёртка_Перебор_2_20170709140117[[#This Row],[СВ_1_2]],1),LEFT(Свёртка_Перебор_2_20170709140117[[#This Row],[СВ_2_2]],1),LEFT(Свёртка_Перебор_2_20170709140117[[#This Row],[СВ_3_1]],1),LEFT(Свёртка_Перебор_2_20170709140117[[#This Row],[СВ_1_3]],1),LEFT(Свёртка_Перебор_2_20170709140117[[#This Row],[СВ_3_2]],1),LEFT(Свёртка_Перебор_2_20170709140117[[#This Row],[СВ_2_3]],1),LEFT(Свёртка_Перебор_2_20170709140117[[#This Row],[СВ_3_3]],1))="FFFFFFFFF",AND(Свёртка_Перебор_2_20170709140117[[#This Row],[Л]]&gt;=1,Свёртка_Перебор_2_20170709140117[[#This Row],[Л]]&lt;=4),AND(Свёртка_Перебор_2_20170709140117[[#This Row],[П]]&gt;=1,Свёртка_Перебор_2_20170709140117[[#This Row],[П]]&lt;=4)),1,-1)</calculatedColumnFormula>
    </tableColumn>
    <tableColumn id="61" xr3:uid="{00000000-0010-0000-0D00-00003D000000}" name="F"/>
    <tableColumn id="62" xr3:uid="{00000000-0010-0000-0D00-00003E000000}" name="R!">
      <calculatedColumnFormula>_xlfn.NUMBERVALUE(MID(Свёртка_Перебор_2_20170709140117[[#This Row],[ССвёртка]],SEARCH("R",Свёртка_Перебор_2_20170709140117[[#This Row],[ССвёртка]])+1,SEARCH("C",Свёртка_Перебор_2_20170709140117[[#This Row],[ССвёртка]])-SEARCH("R",Свёртка_Перебор_2_20170709140117[[#This Row],[ССвёртка]])-1))</calculatedColumnFormula>
    </tableColumn>
    <tableColumn id="63" xr3:uid="{00000000-0010-0000-0D00-00003F000000}" name="C!">
      <calculatedColumnFormula>_xlfn.NUMBERVALUE(MID(Свёртка_Перебор_2_20170709140117[[#This Row],[ССвёртка]],SEARCH("C",Свёртка_Перебор_2_20170709140117[[#This Row],[ССвёртка]])+1,LEN(Свёртка_Перебор_2_20170709140117[[#This Row],[ССвёртка]])-SEARCH("C",Свёртка_Перебор_2_20170709140117[[#This Row],[ССвёртка]])))</calculatedColumnFormula>
    </tableColumn>
    <tableColumn id="64" xr3:uid="{00000000-0010-0000-0D00-000040000000}" name="Л!">
      <calculatedColumnFormula>IF(ISERR(SEARCH("!",Свёртка_Перебор_2_20170709140117[[#This Row],[ССвёртка]])),"",LEFT(Свёртка_Перебор_2_20170709140117[[#This Row],[ССвёртка]],SEARCH("!",Свёртка_Перебор_2_20170709140117[[#This Row],[ССвёртка]])))</calculatedColumnFormula>
    </tableColumn>
    <tableColumn id="65" xr3:uid="{00000000-0010-0000-0D00-000041000000}" name="С">
      <calculatedColumnFormula>Свёртка_Перебор_2_20170709140117[[#This Row],[ССвёртка]]</calculatedColumnFormula>
    </tableColumn>
    <tableColumn id="66" xr3:uid="{00000000-0010-0000-0D00-000042000000}" name="Цеол_матр">
      <calculatedColumnFormula>IF(SUM(IF(SUM(LOOKUP(--RIGHT(OFFSET(INDIRECT(Свёртка_Перебор_2_20170709140117[[#This Row],[ССвёртка]],FALSE),-2,1)),{0,1,2,3,4,5},{0,1,1,0,1,1.5}),LOOKUP(--RIGHT(OFFSET(INDIRECT(Свёртка_Перебор_2_20170709140117[[#This Row],[ССвёртка]],FALSE),-1,1)),{0,1,2,3,4,5},{0,1,1,0,1,1.5}),LOOKUP(--RIGHT(OFFSET(INDIRECT(Свёртка_Перебор_2_20170709140117[[#This Row],[ССвёртка]],FALSE),0,1)),{0,1,2,3,4,5},{0,1,1,0,1,1.5}))&gt;4,1,0),IF(SUM(LOOKUP(--RIGHT(OFFSET(INDIRECT(Свёртка_Перебор_2_20170709140117[[#This Row],[ССвёртка]],FALSE),-2,2)),{0,1,2,3,4,5},{0,1,1,0,1,1.5}),LOOKUP(--RIGHT(OFFSET(INDIRECT(Свёртка_Перебор_2_20170709140117[[#This Row],[ССвёртка]],FALSE),-1,2)),{0,1,2,3,4,5},{0,1,1,0,1,1.5}),LOOKUP(--RIGHT(OFFSET(INDIRECT(Свёртка_Перебор_2_20170709140117[[#This Row],[ССвёртка]],FALSE),0,2)),{0,1,2,3,4,5},{0,1,1,0,1,1.5}))&gt;4,1,0),IF(SUM(LOOKUP(--RIGHT(OFFSET(INDIRECT(Свёртка_Перебор_2_20170709140117[[#This Row],[ССвёртка]],FALSE),-2,3)),{0,1,2,3,4,5},{0,1,1,0,1,1.5}),LOOKUP(--RIGHT(OFFSET(INDIRECT(Свёртка_Перебор_2_20170709140117[[#This Row],[ССвёртка]],FALSE),-1,3)),{0,1,2,3,4,5},{0,1,1,0,1,1.5}),LOOKUP(--RIGHT(OFFSET(INDIRECT(Свёртка_Перебор_2_20170709140117[[#This Row],[ССвёртка]],FALSE),0,3)),{0,1,2,3,4,5},{0,1,1,0,1,1.5}))&gt;4,1,0),IF(SUM(LOOKUP(--RIGHT(OFFSET(INDIRECT(Свёртка_Перебор_2_20170709140117[[#This Row],[ССвёртка]],FALSE),-2,1)),{0,1,2,3,4,5},{0,1,1,1,1,2}),LOOKUP(--RIGHT(OFFSET(INDIRECT(Свёртка_Перебор_2_20170709140117[[#This Row],[ССвёртка]],FALSE),-1,2)),{0,1,2,3,4,5},{0,1,1,1,1,2}),LOOKUP(--RIGHT(OFFSET(INDIRECT(Свёртка_Перебор_2_20170709140117[[#This Row],[ССвёртка]],FALSE),0,3)),{0,1,2,3,4,5},{0,1,1,1,1,2}))&lt;&gt;3,1,0),IF(SUM(LOOKUP(--RIGHT(OFFSET(INDIRECT(Свёртка_Перебор_2_20170709140117[[#This Row],[ССвёртка]],FALSE),-2,1)),{0,1,2,3,4,5},{0,1,0,1,1,1.5}),LOOKUP(--RIGHT(OFFSET(INDIRECT(Свёртка_Перебор_2_20170709140117[[#This Row],[ССвёртка]],FALSE),-2,2)),{0,1,2,3,4,5},{0,1,0,1,1,1.5}),LOOKUP(--RIGHT(OFFSET(INDIRECT(Свёртка_Перебор_2_20170709140117[[#This Row],[ССвёртка]],FALSE),-2,3)),{0,1,2,3,4,5},{0,1,0,1,1,1.5}))&gt;4,1,0),IF(SUM(LOOKUP(--RIGHT(OFFSET(INDIRECT(Свёртка_Перебор_2_20170709140117[[#This Row],[ССвёртка]],FALSE),-1,1)),{0,1,2,3,4,5},{0,1,0,1,1,1.5}),LOOKUP(--RIGHT(OFFSET(INDIRECT(Свёртка_Перебор_2_20170709140117[[#This Row],[ССвёртка]],FALSE),-1,2)),{0,1,2,3,4,5},{0,1,0,1,1,1.5}),LOOKUP(--RIGHT(OFFSET(INDIRECT(Свёртка_Перебор_2_20170709140117[[#This Row],[ССвёртка]],FALSE),-1,3)),{0,1,2,3,4,5},{0,1,0,1,1,1.5}))&gt;4,1,0),IF(SUM(LOOKUP(--RIGHT(OFFSET(INDIRECT(Свёртка_Перебор_2_20170709140117[[#This Row],[ССвёртка]],FALSE),0,1)),{0,1,2,3,4,5},{0,1,0,1,1,1.5}),LOOKUP(--RIGHT(OFFSET(INDIRECT(Свёртка_Перебор_2_20170709140117[[#This Row],[ССвёртка]],FALSE),0,2)),{0,1,2,3,4,5},{0,1,0,1,1,1.5}),LOOKUP(--RIGHT(OFFSET(INDIRECT(Свёртка_Перебор_2_20170709140117[[#This Row],[ССвёртка]],FALSE),0,3)),{0,1,2,3,4,5},{0,1,0,1,1,1.5}))&gt;4,1,0))&lt;&gt;0,0,1)</calculatedColumnFormula>
    </tableColumn>
    <tableColumn id="67" xr3:uid="{00000000-0010-0000-0D00-000043000000}" name="Кол-во знач" dataDxfId="724">
      <calculatedColumnFormula>COUNTIFS(OFFSET(INDIRECT((OFFSET(INDIRECT(Свёртка_Перебор_2_20170709140117[[#This Row],[С]],FALSE),-2,1)&amp;"!R2C2"),FALSE),,,101,101),"="&amp;(Свёртка_Перебор_2_20170709140117[[#This Row],[F]]-(1+(CHOOSE(--RIGHTB(OFFSET(INDIRECT(Свёртка_Перебор_2_20170709140117[[#This Row],[С]],FALSE),,3))+1,0,1,1,1,1,2)+CHOOSE(--RIGHTB(OFFSET(INDIRECT(Свёртка_Перебор_2_20170709140117[[#This Row],[С]],FALSE),-1,2))+1,0,1,1,1,1,2)))+1))*IF(AND(Свёртка_Перебор_2_20170709140117[[#This Row],[F]]&gt;=(1+(CHOOSE(--RIGHTB(OFFSET(INDIRECT(Свёртка_Перебор_2_20170709140117[[#This Row],[С]],FALSE),,3))+1,0,1,1,1,1,2)+CHOOSE(--RIGHTB(OFFSET(INDIRECT(Свёртка_Перебор_2_20170709140117[[#This Row],[С]],FALSE),-1,2))+1,0,1,1,1,1,2))),Свёртка_Перебор_2_20170709140117[[#This Row],[F]]&lt;=(1+(CHOOSE(--RIGHTB(OFFSET(INDIRECT(Свёртка_Перебор_2_20170709140117[[#This Row],[С]],FALSE),,3))+1,0,1,1,1,1,2)+CHOOSE(--RIGHTB(OFFSET(INDIRECT(Свёртка_Перебор_2_20170709140117[[#This Row],[С]],FALSE),-1,2))+1,0,1,1,1,1,2)+CHOOSE(--RIGHTB(OFFSET(INDIRECT(Свёртка_Перебор_2_20170709140117[[#This Row],[С]],FALSE),-2,1))+1,0,1,1,1,1,2)))),1,0)+COUNTIFS(OFFSET(INDIRECT((OFFSET(INDIRECT(Свёртка_Перебор_2_20170709140117[[#This Row],[С]],FALSE),-2,2)&amp;"!R2C2"),FALSE),,,101,101),"="&amp;(Свёртка_Перебор_2_20170709140117[[#This Row],[F]]-(1+(CHOOSE(--RIGHTB(OFFSET(INDIRECT(Свёртка_Перебор_2_20170709140117[[#This Row],[С]],FALSE),,3))+1,0,1,0,1,1,1)+CHOOSE(--RIGHTB(OFFSET(INDIRECT(Свёртка_Перебор_2_20170709140117[[#This Row],[С]],FALSE),-1,3))+1,0,1,1,1,1,2)))+1))*IF(AND(Свёртка_Перебор_2_20170709140117[[#This Row],[F]]&gt;=(1+(CHOOSE(--RIGHTB(OFFSET(INDIRECT(Свёртка_Перебор_2_20170709140117[[#This Row],[С]],FALSE),,3))+1,0,0,0,1,1,1)+CHOOSE(--RIGHTB(OFFSET(INDIRECT(Свёртка_Перебор_2_20170709140117[[#This Row],[С]],FALSE),-1,3))+1,0,1,1,1,1,2))),Свёртка_Перебор_2_20170709140117[[#This Row],[F]]&lt;=(1+(CHOOSE(--RIGHTB(OFFSET(INDIRECT(Свёртка_Перебор_2_20170709140117[[#This Row],[С]],FALSE),,3))+1,0,0,0,1,1,1)+CHOOSE(--RIGHTB(OFFSET(INDIRECT(Свёртка_Перебор_2_20170709140117[[#This Row],[С]],FALSE),-1,3))+1,0,1,1,1,1,2)+CHOOSE(--RIGHTB(OFFSET(INDIRECT(Свёртка_Перебор_2_20170709140117[[#This Row],[С]],FALSE),-2,2))+1,0,1,1,1,1,2)))),1,0)+COUNTIFS(OFFSET(INDIRECT((OFFSET(INDIRECT(Свёртка_Перебор_2_20170709140117[[#This Row],[С]],FALSE),-2,3)&amp;"!R2C2"),FALSE),,,101,101),"="&amp;(Свёртка_Перебор_2_20170709140117[[#This Row],[F]]-(1+(CHOOSE(--RIGHTB(OFFSET(INDIRECT(Свёртка_Перебор_2_20170709140117[[#This Row],[С]],FALSE),,3))+1,0,0,0,1,1,1)+CHOOSE(--RIGHTB(OFFSET(INDIRECT(Свёртка_Перебор_2_20170709140117[[#This Row],[С]],FALSE),-1,3))+1,0,0,0,1,1,1)))+1))*IF(AND(Свёртка_Перебор_2_20170709140117[[#This Row],[F]]&gt;=(1+(CHOOSE(--RIGHTB(OFFSET(INDIRECT(Свёртка_Перебор_2_20170709140117[[#This Row],[С]],FALSE),,3))+1,0,0,0,1,1,1)+CHOOSE(--RIGHTB(OFFSET(INDIRECT(Свёртка_Перебор_2_20170709140117[[#This Row],[С]],FALSE),-1,3))+1,0,0,0,1,1,1))),Свёртка_Перебор_2_20170709140117[[#This Row],[F]]&lt;=(1+(CHOOSE(--RIGHTB(OFFSET(INDIRECT(Свёртка_Перебор_2_20170709140117[[#This Row],[С]],FALSE),,3))+1,0,0,0,1,1,1)+CHOOSE(--RIGHTB(OFFSET(INDIRECT(Свёртка_Перебор_2_20170709140117[[#This Row],[С]],FALSE),-1,3))+1,0,0,0,1,1,1)+CHOOSE(--RIGHTB(OFFSET(INDIRECT(Свёртка_Перебор_2_20170709140117[[#This Row],[С]],FALSE),-2,3))+1,0,1,1,1,1,2)))),1,0)+COUNTIFS(OFFSET(INDIRECT((OFFSET(INDIRECT(Свёртка_Перебор_2_20170709140117[[#This Row],[С]],FALSE),-1,1)&amp;"!R2C2"),FALSE),,,101,101),"="&amp;(Свёртка_Перебор_2_20170709140117[[#This Row],[F]]-(1+(CHOOSE(--RIGHTB(OFFSET(INDIRECT(Свёртка_Перебор_2_20170709140117[[#This Row],[С]],FALSE),,3))+1,0,0,1,0,1,1)+CHOOSE(--RIGHTB(OFFSET(INDIRECT(Свёртка_Перебор_2_20170709140117[[#This Row],[С]],FALSE),0,2))+1,0,1,1,1,1,2)))+1))*IF(AND(Свёртка_Перебор_2_20170709140117[[#This Row],[F]]&gt;=(1+(CHOOSE(--RIGHTB(OFFSET(INDIRECT(Свёртка_Перебор_2_20170709140117[[#This Row],[С]],FALSE),,3))+1,0,0,1,0,1,1)+CHOOSE(--RIGHTB(OFFSET(INDIRECT(Свёртка_Перебор_2_20170709140117[[#This Row],[С]],FALSE),,2))+1,0,1,1,1,1,2))),Свёртка_Перебор_2_20170709140117[[#This Row],[F]]&lt;=(1+(CHOOSE(--RIGHTB(OFFSET(INDIRECT(Свёртка_Перебор_2_20170709140117[[#This Row],[С]],FALSE),,3))+1,0,0,1,0,1,1)+CHOOSE(--RIGHTB(OFFSET(INDIRECT(Свёртка_Перебор_2_20170709140117[[#This Row],[С]],FALSE),,2))+1,0,1,1,1,1,2)+CHOOSE(--RIGHTB(OFFSET(INDIRECT(Свёртка_Перебор_2_20170709140117[[#This Row],[С]],FALSE),-1,1))+1,0,1,1,1,1,2)))),1,0)+COUNTIFS(OFFSET(INDIRECT((OFFSET(INDIRECT(Свёртка_Перебор_2_20170709140117[[#This Row],[С]],FALSE),-1,2)&amp;"!R2C2"),FALSE),,,101,101),"="&amp;(Свёртка_Перебор_2_20170709140117[[#This Row],[F]]-(1+(CHOOSE(--RIGHTB(OFFSET(INDIRECT(Свёртка_Перебор_2_20170709140117[[#This Row],[С]],FALSE),,3))+1,0,1,1,1,1,2)))+1))*IF(AND(Свёртка_Перебор_2_20170709140117[[#This Row],[F]]&gt;=(1+(CHOOSE(--RIGHTB(OFFSET(INDIRECT(Свёртка_Перебор_2_20170709140117[[#This Row],[С]],FALSE),,3))+1,0,1,1,1,1,2))),Свёртка_Перебор_2_20170709140117[[#This Row],[F]]&lt;=(1+(CHOOSE(--RIGHTB(OFFSET(INDIRECT(Свёртка_Перебор_2_20170709140117[[#This Row],[С]],FALSE),,3))+1,0,1,1,1,1,2)+CHOOSE(--RIGHTB(OFFSET(INDIRECT(Свёртка_Перебор_2_20170709140117[[#This Row],[С]],FALSE),-1,2))+1,0,1,1,1,1,2)))),1,0)+COUNTIFS(OFFSET(INDIRECT((OFFSET(INDIRECT(Свёртка_Перебор_2_20170709140117[[#This Row],[С]],FALSE),-1,3)&amp;"!R2C2"),FALSE),,,101,101),"="&amp;(Свёртка_Перебор_2_20170709140117[[#This Row],[F]]-(1+(CHOOSE(--RIGHTB(OFFSET(INDIRECT(Свёртка_Перебор_2_20170709140117[[#This Row],[С]],FALSE),,3))+1,0,0,0,1,1,1)))+1))*IF(AND(Свёртка_Перебор_2_20170709140117[[#This Row],[F]]&gt;=(1+(CHOOSE(--RIGHTB(OFFSET(INDIRECT(Свёртка_Перебор_2_20170709140117[[#This Row],[С]],FALSE),,3))+1,0,0,0,1,1,1))),Свёртка_Перебор_2_20170709140117[[#This Row],[F]]&lt;=(1+(CHOOSE(--RIGHTB(OFFSET(INDIRECT(Свёртка_Перебор_2_20170709140117[[#This Row],[С]],FALSE),,3))+1,0,0,0,1,1,1)+CHOOSE(--RIGHTB(OFFSET(INDIRECT(Свёртка_Перебор_2_20170709140117[[#This Row],[С]],FALSE),-1,3))+1,0,1,1,1,1,2)))),1,0)+COUNTIFS(OFFSET(INDIRECT((OFFSET(INDIRECT(Свёртка_Перебор_2_20170709140117[[#This Row],[С]],FALSE),,1)&amp;"!R2C2"),FALSE),,,101,101),"="&amp;(Свёртка_Перебор_2_20170709140117[[#This Row],[F]]-(1+(CHOOSE(--RIGHTB(OFFSET(INDIRECT(Свёртка_Перебор_2_20170709140117[[#This Row],[С]],FALSE),,3))+1,0,0,1,0,1,1)+CHOOSE(--RIGHTB(OFFSET(INDIRECT(Свёртка_Перебор_2_20170709140117[[#This Row],[С]],FALSE),,2))+1,0,0,1,0,1,1)))+1))*IF(AND(Свёртка_Перебор_2_20170709140117[[#This Row],[F]]&gt;=(1+(CHOOSE(--RIGHTB(OFFSET(INDIRECT(Свёртка_Перебор_2_20170709140117[[#This Row],[С]],FALSE),,3))+1,0,0,1,0,1,1)+CHOOSE(--RIGHTB(OFFSET(INDIRECT(Свёртка_Перебор_2_20170709140117[[#This Row],[С]],FALSE),,2))+1,0,0,1,0,1,1))),Свёртка_Перебор_2_20170709140117[[#This Row],[F]]&lt;=(1+(CHOOSE(--RIGHTB(OFFSET(INDIRECT(Свёртка_Перебор_2_20170709140117[[#This Row],[С]],FALSE),,3))+1,0,0,1,0,1,1)+CHOOSE(--RIGHTB(OFFSET(INDIRECT(Свёртка_Перебор_2_20170709140117[[#This Row],[С]],FALSE),,2))+1,0,0,1,0,1,1)+CHOOSE(--RIGHTB(OFFSET(INDIRECT(Свёртка_Перебор_2_20170709140117[[#This Row],[С]],FALSE),,3))+1,0,1,1,1,1,2)))),1,0)+COUNTIFS(OFFSET(INDIRECT((OFFSET(INDIRECT(Свёртка_Перебор_2_20170709140117[[#This Row],[С]],FALSE),,2)&amp;"!R2C2"),FALSE),,,101,101),"="&amp;(Свёртка_Перебор_2_20170709140117[[#This Row],[F]]-(1+(CHOOSE(--RIGHTB(OFFSET(INDIRECT(Свёртка_Перебор_2_20170709140117[[#This Row],[С]],FALSE),,3))+1,0,0,1,0,1,1)))+1))*IF(AND(Свёртка_Перебор_2_20170709140117[[#This Row],[F]]&gt;=(1+(CHOOSE(--RIGHTB(OFFSET(INDIRECT(Свёртка_Перебор_2_20170709140117[[#This Row],[С]],FALSE),0,3))+1,0,0,1,0,1,1))),Свёртка_Перебор_2_20170709140117[[#This Row],[F]]&lt;=(1+(CHOOSE(--RIGHTB(OFFSET(INDIRECT(Свёртка_Перебор_2_20170709140117[[#This Row],[С]],FALSE),,3))+1,0,1,0,0,1,1)+CHOOSE(--RIGHTB(OFFSET(INDIRECT(Свёртка_Перебор_2_20170709140117[[#This Row],[С]],FALSE),,2))+1,0,1,1,1,1,2)))),1,0)+COUNTIFS(OFFSET(INDIRECT((OFFSET(INDIRECT(Свёртка_Перебор_2_20170709140117[[#This Row],[С]],FALSE),,3)&amp;"!R2C2"),FALSE),,,101,101),"="&amp;(Свёртка_Перебор_2_20170709140117[[#This Row],[F]]-1+1))*IF(AND(Свёртка_Перебор_2_20170709140117[[#This Row],[F]]&gt;=1,Свёртка_Перебор_2_20170709140117[[#This Row],[F]]&lt;=1+(CHOOSE(--RIGHTB(OFFSET(INDIRECT(Свёртка_Перебор_2_20170709140117[[#This Row],[С]],FALSE),,3))+1,0,1,1,1,1,2))),1,0)</calculatedColumnFormula>
    </tableColumn>
  </tableColumns>
  <tableStyleInfo name="TableStyleMedium1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5" xr:uid="{00000000-000C-0000-FFFF-FFFF0E000000}" name="Критерий_Перебор_2_20170602154411" displayName="Критерий_Перебор_2_20170602154411" ref="B9:S19" totalsRowShown="0">
  <autoFilter ref="B9:S19" xr:uid="{00000000-0009-0000-0100-00000901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00000000-0010-0000-0E00-000001000000}" name="№">
      <calculatedColumnFormula>IF(AND(Критерий_Перебор_2_20170602154411[[#This Row],[Критерий]]&lt;&gt;"",Критерий_Перебор_2_20170602154411[[#This Row],[O.K.Критерий]]=1),ROW()-ROW(Критерий_Перебор_2_20170602154411[[#Headers],[№]]),"")</calculatedColumnFormula>
    </tableColumn>
    <tableColumn id="2" xr3:uid="{00000000-0010-0000-0E00-000002000000}" name="Критерий">
      <calculatedColumnFormula>Модель!#REF!</calculatedColumnFormula>
    </tableColumn>
    <tableColumn id="3" xr3:uid="{00000000-0010-0000-0E00-000003000000}" name="Скритерий">
      <calculatedColumnFormula>IFERROR(IF(AND(Критерий_Перебор_2_20170602154411[[#This Row],[Критерий]]&gt;=1,Критерий_Перебор_2_20170602154411[[#This Row],[Критерий]]&lt;=4),IF(IFERROR(FIND("!",_xlfn.FORMULATEXT(Критерий_Перебор_2_20170602154411[[#This Row],[Критерий]])),"на странице")="на странице",CONCATENATE("R",ROW((INDIRECT(RIGHT(_xlfn.FORMULATEXT(Критерий_Перебор_2_20170602154411[[#This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Row],[Критерий]]))-1),FALSE)))-D$8),CONCATENATE(RIGHT(LEFT(_xlfn.FORMULATEXT(Критерий_Перебор_2_20170602154411[[#This Row],[Критерий]]),FIND("!",_xlfn.FORMULATEXT(Критерий_Перебор_2_20170602154411[[#This Row],[Критерий]]))),LEN(LEFT(_xlfn.FORMULATEXT(Критерий_Перебор_2_20170602154411[[#This Row],[Критерий]]),FIND("!",_xlfn.FORMULATEXT(Критерий_Перебор_2_20170602154411[[#This Row],[Критерий]]))))-1),"R",ROW((INDIRECT(RIGHT(_xlfn.FORMULATEXT(Критерий_Перебор_2_20170602154411[[#This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Row],[Критерий]]))-1),FALSE)))-D$8)),"ошибка"),"ошибка")</calculatedColumnFormula>
    </tableColumn>
    <tableColumn id="4" xr3:uid="{00000000-0010-0000-0E00-000004000000}" name="ВидКритерий">
      <calculatedColumnFormula>IFERROR(IF(LEFT(Критерий_Перебор_2_20170602154411[[#This Row],[Фкритерий]],5)="=Прив","Критерий",IF(LEFT(Критерий_Перебор_2_20170602154411[[#This Row],[Фкритерий]],5)="=Матр","ошибка","ошибка")),"ошибка")</calculatedColumnFormula>
    </tableColumn>
    <tableColumn id="5" xr3:uid="{00000000-0010-0000-0E00-000005000000}" name="Наименование">
      <calculatedColumnFormula>IFERROR(IF(LEN((INDIRECT(Критерий_Перебор_2_20170602154411[[#This Row],[СНаименование]],FALSE)))=0,"ошибка",IFERROR(INDIRECT(Критерий_Перебор_2_20170602154411[[#This Row],[СНаименование]],FALSE),"ошибка")),"ошибка")</calculatedColumnFormula>
    </tableColumn>
    <tableColumn id="6" xr3:uid="{00000000-0010-0000-0E00-000006000000}" name="СНаименование">
      <calculatedColumnFormula>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Row],[Скритерий]])))+G$7),FIND("R",Критерий_Перебор_2_20170602154411[[#This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Row],[Скритерий]])))+G$6),"ошибка")</calculatedColumnFormula>
    </tableColumn>
    <tableColumn id="7" xr3:uid="{00000000-0010-0000-0E00-000007000000}" name="ФизКритерий">
      <calculatedColumnFormula>IFERROR(IF(N(INDIRECT(Критерий_Перебор_2_20170602154411[[#This Row],[СФизКритерий]],FALSE))=0,"ошибка",IFERROR(INDIRECT(Критерий_Перебор_2_20170602154411[[#This Row],[СФизКритерий]],FALSE),"ошибка")),"ошибка")</calculatedColumnFormula>
    </tableColumn>
    <tableColumn id="8" xr3:uid="{00000000-0010-0000-0E00-000008000000}" name="СФизКритерий">
      <calculatedColumnFormula>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Row],[Скритерий]])))+I$7),FIND("R",Критерий_Перебор_2_20170602154411[[#This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Row],[Скритерий]])))+I$6),"ошибка")</calculatedColumnFormula>
    </tableColumn>
    <tableColumn id="9" xr3:uid="{00000000-0010-0000-0E00-000009000000}" name="ТипКритерий">
      <calculatedColumnFormula>IFERROR(IF(OR(INDIRECT(Критерий_Перебор_2_20170602154411[[#This Row],[СТипКритерий]],FALSE)=Перебор!$N$58,INDIRECT(Критерий_Перебор_2_20170602154411[[#This Row],[СТипКритерий]],FALSE)=Перебор!$N$59,INDIRECT(Критерий_Перебор_2_20170602154411[[#This Row],[СТипКритерий]],FALSE)=Перебор!$N$60,INDIRECT(Критерий_Перебор_2_20170602154411[[#This Row],[СТипКритерий]],FALSE)=Перебор!$N$61),INDIRECT(Критерий_Перебор_2_20170602154411[[#This Row],[СТипКритерий]],FALSE),"ошибка"),"ошибка")</calculatedColumnFormula>
    </tableColumn>
    <tableColumn id="10" xr3:uid="{00000000-0010-0000-0E00-00000A000000}" name="СТипКритерий">
      <calculatedColumnFormula>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Row],[Скритерий]])))+K$7),FIND("R",Критерий_Перебор_2_20170602154411[[#This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Row],[Скритерий]])))+K$6),"ошибка")</calculatedColumnFormula>
    </tableColumn>
    <tableColumn id="11" xr3:uid="{00000000-0010-0000-0E00-00000B000000}" name="Фкритерий">
      <calculatedColumnFormula>IFERROR(_xlfn.FORMULATEXT(INDIRECT(Критерий_Перебор_2_20170602154411[[#This Row],[Скритерий]],FALSE)),"ошибка")</calculatedColumnFormula>
    </tableColumn>
    <tableColumn id="12" xr3:uid="{00000000-0010-0000-0E00-00000C000000}" name="МинФизКритерий">
      <calculatedColumnFormula>IFERROR(IF(N(INDIRECT(Критерий_Перебор_2_20170602154411[[#This Row],[СМинФизКритерий]],FALSE))=0,"ошибка",IFERROR(INDIRECT(Критерий_Перебор_2_20170602154411[[#This Row],[СМинФизКритерий]],FALSE),"ошибка")),"ошибка")</calculatedColumnFormula>
    </tableColumn>
    <tableColumn id="13" xr3:uid="{00000000-0010-0000-0E00-00000D000000}" name="СМинФизКритерий">
      <calculatedColumnFormula>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Row],[Скритерий]])))+N$7),FIND("R",Критерий_Перебор_2_20170602154411[[#This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Row],[Скритерий]])))+N$6),"ошибка")</calculatedColumnFormula>
    </tableColumn>
    <tableColumn id="14" xr3:uid="{00000000-0010-0000-0E00-00000E000000}" name="МаксФизКритерий">
      <calculatedColumnFormula>IFERROR(IF(N(INDIRECT(Критерий_Перебор_2_20170602154411[[#This Row],[СМаксФизКритерий]],FALSE))=0,"ошибка",IFERROR(INDIRECT(Критерий_Перебор_2_20170602154411[[#This Row],[СМаксФизКритерий]],FALSE),"ошибка")),"ошибка")</calculatedColumnFormula>
    </tableColumn>
    <tableColumn id="15" xr3:uid="{00000000-0010-0000-0E00-00000F000000}" name="СМаксФизКритерий">
      <calculatedColumnFormula>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Row],[Скритерий]])))+P$7),FIND("R",Критерий_Перебор_2_20170602154411[[#This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Row],[Скритерий]])))+P$6),"ошибка")</calculatedColumnFormula>
    </tableColumn>
    <tableColumn id="16" xr3:uid="{00000000-0010-0000-0E00-000010000000}" name="СрФизКритерий">
      <calculatedColumnFormula>IFERROR(IF(N(INDIRECT(Критерий_Перебор_2_20170602154411[[#This Row],[ССрФизКритерий]],FALSE))=0,"ошибка",IFERROR(INDIRECT(Критерий_Перебор_2_20170602154411[[#This Row],[ССрФизКритерий]],FALSE),"ошибка")),"")</calculatedColumnFormula>
    </tableColumn>
    <tableColumn id="17" xr3:uid="{00000000-0010-0000-0E00-000011000000}" name="ССрФизКритерий">
      <calculatedColumnFormula>IF(OR(Критерий_Перебор_2_20170602154411[[#This Row],[ТипКритерий]]=Перебор!$N$60,Критерий_Перебор_2_20170602154411[[#This Row],[ТипКритерий]]=Перебор!$N$61),IFERROR(REPLACE(REPLACE(Критерий_Перебор_2_20170602154411[[#This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Row],[Скритерий]])))+R$7),FIND("R",Критерий_Перебор_2_20170602154411[[#This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Row],[Скритерий]])))+R$6),"ошибка"),"")</calculatedColumnFormula>
    </tableColumn>
    <tableColumn id="18" xr3:uid="{00000000-0010-0000-0E00-000012000000}" name="O.K.Критерий" dataDxfId="721">
      <calculatedColumnFormula>IFERROR(IF(AND(Критерий_Перебор_2_20170602154411[[#This Row],[ВидКритерий]]="Критерий",Критерий_Перебор_2_20170602154411[[#This Row],[Фкритерий]]="=Приведение"),1,-1),-1)</calculatedColumnFormula>
    </tableColumn>
  </tableColumns>
  <tableStyleInfo name="TableStyleMedium20"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6" xr:uid="{00000000-000C-0000-FFFF-FFFF0F000000}" name="Свёртка_Перебор_2_20170602154411" displayName="Свёртка_Перебор_2_20170602154411" ref="V9:CK18" totalsRowShown="0">
  <autoFilter ref="V9:CK18" xr:uid="{00000000-0009-0000-0100-00000A01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autoFilter>
  <tableColumns count="68">
    <tableColumn id="1" xr3:uid="{00000000-0010-0000-0F00-000001000000}" name="№">
      <calculatedColumnFormula>IF(AND(Свёртка_Перебор_2_20170602154411[[#This Row],[Свёртка]]&lt;&gt;"",Свёртка_Перебор_2_20170602154411[[#This Row],[O.K.Свёртка]]=1),ROW()-ROW(Свёртка_Перебор_2_20170602154411[[#Headers],[№]]),"")</calculatedColumnFormula>
    </tableColumn>
    <tableColumn id="2" xr3:uid="{00000000-0010-0000-0F00-000002000000}" name="Свёртка">
      <calculatedColumnFormula>Модель!#REF!</calculatedColumnFormula>
    </tableColumn>
    <tableColumn id="3" xr3:uid="{00000000-0010-0000-0F00-000003000000}" name="ССвёртка">
      <calculatedColumnFormula>IFERROR(IF(AND(Свёртка_Перебор_2_20170602154411[[#This Row],[Свёртка]]&gt;=1,Свёртка_Перебор_2_20170602154411[[#This Row],[Свёртка]]&lt;=4),IF(IFERROR(FIND("!",_xlfn.FORMULATEXT(Свёртка_Перебор_2_20170602154411[[#This Row],[Свёртка]])),"на странице")="на странице",CONCATENATE("R",ROW((INDIRECT(RIGHT(_xlfn.FORMULATEXT(Свёртка_Перебор_2_20170602154411[[#This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Row],[Свёртка]]))-1),FALSE)))-X$6),CONCATENATE(RIGHT(LEFT(_xlfn.FORMULATEXT(Свёртка_Перебор_2_20170602154411[[#This Row],[Свёртка]]),FIND("!",_xlfn.FORMULATEXT(Свёртка_Перебор_2_20170602154411[[#This Row],[Свёртка]]))),LEN(LEFT(_xlfn.FORMULATEXT(Свёртка_Перебор_2_20170602154411[[#This Row],[Свёртка]]),FIND("!",_xlfn.FORMULATEXT(Свёртка_Перебор_2_20170602154411[[#This Row],[Свёртка]]))))-1),"R",ROW((INDIRECT(RIGHT(_xlfn.FORMULATEXT(Свёртка_Перебор_2_20170602154411[[#This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Row],[Свёртка]]))-1),FALSE)))-X$6)),"ошибка"),"ошибка")</calculatedColumnFormula>
    </tableColumn>
    <tableColumn id="4" xr3:uid="{00000000-0010-0000-0F00-000004000000}" name="ФСвёртка">
      <calculatedColumnFormula>IFERROR(_xlfn.FORMULATEXT(INDIRECT(Свёртка_Перебор_2_20170602154411[[#This Row],[ССвёртка]],FALSE)),"ошибка")</calculatedColumnFormula>
    </tableColumn>
    <tableColumn id="5" xr3:uid="{00000000-0010-0000-0F00-000005000000}" name="ВидСвёртка">
      <calculatedColumnFormula>IFERROR(IF(LEFT(Свёртка_Перебор_2_20170602154411[[#This Row],[ФСвёртка]],5)="=Прив","ошибка",IF(LEFT(Свёртка_Перебор_2_20170602154411[[#This Row],[ФСвёртка]],5)="=Матр","Свёртка","ошибка")),"ошибка")</calculatedColumnFormula>
    </tableColumn>
    <tableColumn id="6" xr3:uid="{00000000-0010-0000-0F00-000006000000}" name="Наименование">
      <calculatedColumnFormula>IFERROR(IF(LEN((INDIRECT(Свёртка_Перебор_2_20170602154411[[#This Row],[СНаименование]],FALSE)))=0,"ошибка",IFERROR(INDIRECT(Свёртка_Перебор_2_20170602154411[[#This Row],[СНаименование]],FALSE),"ошибка")),"ошибка")</calculatedColumnFormula>
    </tableColumn>
    <tableColumn id="7" xr3:uid="{00000000-0010-0000-0F00-000007000000}" name="СНаименование">
      <calculatedColumnFormula>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Row],[ССвёртка]])))+AB$6),"ошибка")</calculatedColumnFormula>
    </tableColumn>
    <tableColumn id="61" xr3:uid="{00000000-0010-0000-0F00-00003D000000}" name="F"/>
    <tableColumn id="8" xr3:uid="{00000000-0010-0000-0F00-000008000000}" name="СВ_1_1">
      <calculatedColumnFormula>IFERROR(IF(LEN((INDIRECT(Свёртка_Перебор_2_20170602154411[[#This Row],[ССВ_1_1]],FALSE)))=0,"ошибка",IFERROR(INDIRECT(Свёртка_Перебор_2_20170602154411[[#This Row],[ССВ_1_1]],FALSE),"ошибка")),"ошибка")</calculatedColumnFormula>
    </tableColumn>
    <tableColumn id="9" xr3:uid="{00000000-0010-0000-0F00-000009000000}" name="ССВ_1_1">
      <calculatedColumnFormula>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Row],[ССвёртка]])))+AE$7),FIND("R",Свёртка_Перебор_2_20170602154411[[#This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Row],[ССвёртка]])))+AE$6),"ошибка")</calculatedColumnFormula>
    </tableColumn>
    <tableColumn id="10" xr3:uid="{00000000-0010-0000-0F00-00000A000000}" name="СВ_1_1_OK"/>
    <tableColumn id="11" xr3:uid="{00000000-0010-0000-0F00-00000B000000}" name="СВ_1_1_№"/>
    <tableColumn id="12" xr3:uid="{00000000-0010-0000-0F00-00000C000000}" name="ССВ_1_1_kolvo"/>
    <tableColumn id="13" xr3:uid="{00000000-0010-0000-0F00-00000D000000}" name="СВ_2_1">
      <calculatedColumnFormula>IFERROR(IF(LEN((INDIRECT(Свёртка_Перебор_2_20170602154411[[#This Row],[ССВ_2_1]],FALSE)))=0,"ошибка",IFERROR(INDIRECT(Свёртка_Перебор_2_20170602154411[[#This Row],[ССВ_2_1]],FALSE),"ошибка")),"ошибка")</calculatedColumnFormula>
    </tableColumn>
    <tableColumn id="14" xr3:uid="{00000000-0010-0000-0F00-00000E000000}" name="ССВ_2_1">
      <calculatedColumnFormula>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Row],[ССвёртка]])))+AJ$7),FIND("R",Свёртка_Перебор_2_20170602154411[[#This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Row],[ССвёртка]])))+AJ$6),"ошибка")</calculatedColumnFormula>
    </tableColumn>
    <tableColumn id="15" xr3:uid="{00000000-0010-0000-0F00-00000F000000}" name="СВ_2_1_OK"/>
    <tableColumn id="16" xr3:uid="{00000000-0010-0000-0F00-000010000000}" name="СВ_2_1_№"/>
    <tableColumn id="17" xr3:uid="{00000000-0010-0000-0F00-000011000000}" name="ССВ_2_1_kolvo"/>
    <tableColumn id="18" xr3:uid="{00000000-0010-0000-0F00-000012000000}" name="СВ_1_2">
      <calculatedColumnFormula>IFERROR(IF(LEN((INDIRECT(Свёртка_Перебор_2_20170602154411[[#This Row],[ССВ_1_2]],FALSE)))=0,"ошибка",IFERROR(INDIRECT(Свёртка_Перебор_2_20170602154411[[#This Row],[ССВ_1_2]],FALSE),"ошибка")),"ошибка")</calculatedColumnFormula>
    </tableColumn>
    <tableColumn id="19" xr3:uid="{00000000-0010-0000-0F00-000013000000}" name="ССВ_1_2">
      <calculatedColumnFormula>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Row],[ССвёртка]])))+AO$7),FIND("R",Свёртка_Перебор_2_20170602154411[[#This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Row],[ССвёртка]])))+AO$6),"ошибка")</calculatedColumnFormula>
    </tableColumn>
    <tableColumn id="20" xr3:uid="{00000000-0010-0000-0F00-000014000000}" name="СВ_1_2_OK"/>
    <tableColumn id="21" xr3:uid="{00000000-0010-0000-0F00-000015000000}" name="СВ_1_2_№"/>
    <tableColumn id="22" xr3:uid="{00000000-0010-0000-0F00-000016000000}" name="ССВ_1_2_kolvo"/>
    <tableColumn id="23" xr3:uid="{00000000-0010-0000-0F00-000017000000}" name="СВ_2_2">
      <calculatedColumnFormula>IFERROR(IF(LEN((INDIRECT(Свёртка_Перебор_2_20170602154411[[#This Row],[ССВ_2_2]],FALSE)))=0,"ошибка",IFERROR(INDIRECT(Свёртка_Перебор_2_20170602154411[[#This Row],[ССВ_2_2]],FALSE),"ошибка")),"ошибка")</calculatedColumnFormula>
    </tableColumn>
    <tableColumn id="24" xr3:uid="{00000000-0010-0000-0F00-000018000000}" name="ССВ_2_2">
      <calculatedColumnFormula>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Row],[ССвёртка]])))+AT$7),FIND("R",Свёртка_Перебор_2_20170602154411[[#This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Row],[ССвёртка]])))+AT$6),"ошибка")</calculatedColumnFormula>
    </tableColumn>
    <tableColumn id="25" xr3:uid="{00000000-0010-0000-0F00-000019000000}" name="СВ_2_2_OK"/>
    <tableColumn id="26" xr3:uid="{00000000-0010-0000-0F00-00001A000000}" name="СВ_2_2_№"/>
    <tableColumn id="27" xr3:uid="{00000000-0010-0000-0F00-00001B000000}" name="ССВ_2_2_kolvo"/>
    <tableColumn id="28" xr3:uid="{00000000-0010-0000-0F00-00001C000000}" name="СВ_3_1">
      <calculatedColumnFormula>IFERROR(IF(LEN((INDIRECT(Свёртка_Перебор_2_20170602154411[[#This Row],[ССВ_3_1]],FALSE)))=0,"ошибка",IFERROR(INDIRECT(Свёртка_Перебор_2_20170602154411[[#This Row],[ССВ_3_1]],FALSE),"ошибка")),"ошибка")</calculatedColumnFormula>
    </tableColumn>
    <tableColumn id="29" xr3:uid="{00000000-0010-0000-0F00-00001D000000}" name="ССВ_3_1">
      <calculatedColumnFormula>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Row],[ССвёртка]])))+AY$6),"ошибка")</calculatedColumnFormula>
    </tableColumn>
    <tableColumn id="30" xr3:uid="{00000000-0010-0000-0F00-00001E000000}" name="СВ_3_1_OK"/>
    <tableColumn id="31" xr3:uid="{00000000-0010-0000-0F00-00001F000000}" name="СВ_3_1_№"/>
    <tableColumn id="32" xr3:uid="{00000000-0010-0000-0F00-000020000000}" name="ССВ_3_1_kolvo"/>
    <tableColumn id="33" xr3:uid="{00000000-0010-0000-0F00-000021000000}" name="СВ_1_3">
      <calculatedColumnFormula>IFERROR(IF(LEN((INDIRECT(Свёртка_Перебор_2_20170602154411[[#This Row],[ССВ_1_3]],FALSE)))=0,"ошибка",IFERROR(INDIRECT(Свёртка_Перебор_2_20170602154411[[#This Row],[ССВ_1_3]],FALSE),"ошибка")),"ошибка")</calculatedColumnFormula>
    </tableColumn>
    <tableColumn id="34" xr3:uid="{00000000-0010-0000-0F00-000022000000}" name="ССВ_1_3">
      <calculatedColumnFormula>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Row],[ССвёртка]])))+BD$7),FIND("R",Свёртка_Перебор_2_20170602154411[[#This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Row],[ССвёртка]])))+BD$6),"ошибка")</calculatedColumnFormula>
    </tableColumn>
    <tableColumn id="35" xr3:uid="{00000000-0010-0000-0F00-000023000000}" name="СВ_1_3_OK"/>
    <tableColumn id="36" xr3:uid="{00000000-0010-0000-0F00-000024000000}" name="СВ_1_3_№"/>
    <tableColumn id="37" xr3:uid="{00000000-0010-0000-0F00-000025000000}" name="ССВ_1_3_kolvo"/>
    <tableColumn id="38" xr3:uid="{00000000-0010-0000-0F00-000026000000}" name="СВ_3_2">
      <calculatedColumnFormula>IFERROR(IF(LEN((INDIRECT(Свёртка_Перебор_2_20170602154411[[#This Row],[ССВ_3_2]],FALSE)))=0,"ошибка",IFERROR(INDIRECT(Свёртка_Перебор_2_20170602154411[[#This Row],[ССВ_3_2]],FALSE),"ошибка")),"ошибка")</calculatedColumnFormula>
    </tableColumn>
    <tableColumn id="39" xr3:uid="{00000000-0010-0000-0F00-000027000000}" name="ССВ_3_2">
      <calculatedColumnFormula>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Row],[ССвёртка]])))+BI$7),FIND("R",Свёртка_Перебор_2_20170602154411[[#This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Row],[ССвёртка]])))+BI$6),"ошибка")</calculatedColumnFormula>
    </tableColumn>
    <tableColumn id="40" xr3:uid="{00000000-0010-0000-0F00-000028000000}" name="СВ_3_2_OK"/>
    <tableColumn id="41" xr3:uid="{00000000-0010-0000-0F00-000029000000}" name="СВ_3_2_№"/>
    <tableColumn id="42" xr3:uid="{00000000-0010-0000-0F00-00002A000000}" name="ССВ_3_2_kolvo"/>
    <tableColumn id="43" xr3:uid="{00000000-0010-0000-0F00-00002B000000}" name="СВ_2_3">
      <calculatedColumnFormula>IFERROR(IF(LEN((INDIRECT(Свёртка_Перебор_2_20170602154411[[#This Row],[ССВ_2_3]],FALSE)))=0,"ошибка",IFERROR(INDIRECT(Свёртка_Перебор_2_20170602154411[[#This Row],[ССВ_2_3]],FALSE),"ошибка")),"ошибка")</calculatedColumnFormula>
    </tableColumn>
    <tableColumn id="44" xr3:uid="{00000000-0010-0000-0F00-00002C000000}" name="ССВ_2_3">
      <calculatedColumnFormula>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Row],[ССвёртка]])))+BN$7),FIND("R",Свёртка_Перебор_2_20170602154411[[#This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Row],[ССвёртка]])))+BN$6),"ошибка")</calculatedColumnFormula>
    </tableColumn>
    <tableColumn id="45" xr3:uid="{00000000-0010-0000-0F00-00002D000000}" name="СВ_2_3_OK"/>
    <tableColumn id="46" xr3:uid="{00000000-0010-0000-0F00-00002E000000}" name="СВ_2_3_№"/>
    <tableColumn id="47" xr3:uid="{00000000-0010-0000-0F00-00002F000000}" name="ССВ_2_3_kolvo"/>
    <tableColumn id="48" xr3:uid="{00000000-0010-0000-0F00-000030000000}" name="СВ_3_3">
      <calculatedColumnFormula>IFERROR(IF(LEN((INDIRECT(Свёртка_Перебор_2_20170602154411[[#This Row],[ССВ_3_3]],FALSE)))=0,"ошибка",IFERROR(INDIRECT(Свёртка_Перебор_2_20170602154411[[#This Row],[ССВ_3_3]],FALSE),"ошибка")),"ошибка")</calculatedColumnFormula>
    </tableColumn>
    <tableColumn id="49" xr3:uid="{00000000-0010-0000-0F00-000031000000}" name="ССВ_3_3">
      <calculatedColumnFormula>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Row],[ССвёртка]])))+BS$7),FIND("R",Свёртка_Перебор_2_20170602154411[[#This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Row],[ССвёртка]])))+BS$6),"ошибка")</calculatedColumnFormula>
    </tableColumn>
    <tableColumn id="50" xr3:uid="{00000000-0010-0000-0F00-000032000000}" name="СВ_3_3_OK"/>
    <tableColumn id="51" xr3:uid="{00000000-0010-0000-0F00-000033000000}" name="СВ_3_3_№"/>
    <tableColumn id="52" xr3:uid="{00000000-0010-0000-0F00-000034000000}" name="ССВ_3_3_kolvo"/>
    <tableColumn id="53" xr3:uid="{00000000-0010-0000-0F00-000035000000}" name="ИТОГО_СВ">
      <calculatedColumnFormula>Свёртка_Перебор_2_20170602154411[[#This Row],[ССВ_1_1_kolvo]]+Свёртка_Перебор_2_20170602154411[[#This Row],[ССВ_2_1_kolvo]]+Свёртка_Перебор_2_20170602154411[[#This Row],[ССВ_1_2_kolvo]]+Свёртка_Перебор_2_20170602154411[[#This Row],[ССВ_2_2_kolvo]]+Свёртка_Перебор_2_20170602154411[[#This Row],[ССВ_3_1_kolvo]]+Свёртка_Перебор_2_20170602154411[[#This Row],[ССВ_1_3_kolvo]]+Свёртка_Перебор_2_20170602154411[[#This Row],[ССВ_3_2_kolvo]]+Свёртка_Перебор_2_20170602154411[[#This Row],[ССВ_2_3_kolvo]]+Свёртка_Перебор_2_20170602154411[[#This Row],[ССВ_3_3_kolvo]]</calculatedColumnFormula>
    </tableColumn>
    <tableColumn id="54" xr3:uid="{00000000-0010-0000-0F00-000036000000}" name="Л">
      <calculatedColumnFormula>IFERROR(IF(LEN((INDIRECT(Свёртка_Перебор_2_20170602154411[[#This Row],[СЛ]],FALSE)))=0,"ошибка",IFERROR(INDIRECT(Свёртка_Перебор_2_20170602154411[[#This Row],[СЛ]],FALSE),"ошибка")),"ошибка")</calculatedColumnFormula>
    </tableColumn>
    <tableColumn id="55" xr3:uid="{00000000-0010-0000-0F00-000037000000}" name="СЛ">
      <calculatedColumnFormula>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Row],[ССвёртка]])))+BY$6),"ошибка")</calculatedColumnFormula>
    </tableColumn>
    <tableColumn id="56" xr3:uid="{00000000-0010-0000-0F00-000038000000}" name="ФСЛ">
      <calculatedColumnFormula>IFERROR(_xlfn.FORMULATEXT(INDIRECT(Свёртка_Перебор_2_20170602154411[[#This Row],[СЛ]],FALSE)),"ошибка")</calculatedColumnFormula>
    </tableColumn>
    <tableColumn id="57" xr3:uid="{00000000-0010-0000-0F00-000039000000}" name="П">
      <calculatedColumnFormula>IFERROR(IF(LEN((INDIRECT(Свёртка_Перебор_2_20170602154411[[#This Row],[СП]],FALSE)))=0,"ошибка",IFERROR(INDIRECT(Свёртка_Перебор_2_20170602154411[[#This Row],[СП]],FALSE),"ошибка")),"ошибка")</calculatedColumnFormula>
    </tableColumn>
    <tableColumn id="58" xr3:uid="{00000000-0010-0000-0F00-00003A000000}" name="СП">
      <calculatedColumnFormula>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Row],[ССвёртка]])))+CB$7),FIND("R",Свёртка_Перебор_2_20170602154411[[#This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Row],[ССвёртка]])))+CB$6),"ошибка")</calculatedColumnFormula>
    </tableColumn>
    <tableColumn id="59" xr3:uid="{00000000-0010-0000-0F00-00003B000000}" name="ФСП">
      <calculatedColumnFormula>IFERROR(_xlfn.FORMULATEXT(INDIRECT(Свёртка_Перебор_2_20170602154411[[#This Row],[СП]],FALSE)),"ошибка")</calculatedColumnFormula>
    </tableColumn>
    <tableColumn id="60" xr3:uid="{00000000-0010-0000-0F00-00003C000000}" name="O.K.Свёртка" dataDxfId="720">
      <calculatedColumnFormula>IF(AND(Свёртка_Перебор_2_20170602154411[[#This Row],[ВидСвёртка]]="Свёртка",CONCATENATE(LEFT(Свёртка_Перебор_2_20170602154411[[#This Row],[СВ_1_1]],1),LEFT(Свёртка_Перебор_2_20170602154411[[#This Row],[СВ_2_1]],1),LEFT(Свёртка_Перебор_2_20170602154411[[#This Row],[СВ_1_2]],1),LEFT(Свёртка_Перебор_2_20170602154411[[#This Row],[СВ_2_2]],1),LEFT(Свёртка_Перебор_2_20170602154411[[#This Row],[СВ_3_1]],1),LEFT(Свёртка_Перебор_2_20170602154411[[#This Row],[СВ_1_3]],1),LEFT(Свёртка_Перебор_2_20170602154411[[#This Row],[СВ_3_2]],1),LEFT(Свёртка_Перебор_2_20170602154411[[#This Row],[СВ_2_3]],1),LEFT(Свёртка_Перебор_2_20170602154411[[#This Row],[СВ_3_3]],1))="FFFFFFFFF",AND(Свёртка_Перебор_2_20170602154411[[#This Row],[Л]]&gt;=1,Свёртка_Перебор_2_20170602154411[[#This Row],[Л]]&lt;=4),AND(Свёртка_Перебор_2_20170602154411[[#This Row],[П]]&gt;=1,Свёртка_Перебор_2_20170602154411[[#This Row],[П]]&lt;=4)),1,-1)</calculatedColumnFormula>
    </tableColumn>
    <tableColumn id="62" xr3:uid="{00000000-0010-0000-0F00-00003E000000}" name="R!" dataDxfId="719">
      <calculatedColumnFormula>_xlfn.NUMBERVALUE(MID(Свёртка_Перебор_2_20170602154411[[#This Row],[ССвёртка]],SEARCH("R",Свёртка_Перебор_2_20170602154411[[#This Row],[ССвёртка]])+1,SEARCH("C",Свёртка_Перебор_2_20170602154411[[#This Row],[ССвёртка]])-SEARCH("R",Свёртка_Перебор_2_20170602154411[[#This Row],[ССвёртка]])-1))</calculatedColumnFormula>
    </tableColumn>
    <tableColumn id="63" xr3:uid="{00000000-0010-0000-0F00-00003F000000}" name="C!" dataDxfId="718">
      <calculatedColumnFormula>_xlfn.NUMBERVALUE(MID(Свёртка_Перебор_2_20170602154411[[#This Row],[ССвёртка]],SEARCH("C",Свёртка_Перебор_2_20170602154411[[#This Row],[ССвёртка]])+1,LEN(Свёртка_Перебор_2_20170602154411[[#This Row],[ССвёртка]])-SEARCH("C",Свёртка_Перебор_2_20170602154411[[#This Row],[ССвёртка]])))</calculatedColumnFormula>
    </tableColumn>
    <tableColumn id="64" xr3:uid="{00000000-0010-0000-0F00-000040000000}" name="Л!" dataDxfId="717">
      <calculatedColumnFormula>IF(ISERR(SEARCH("!",Свёртка_Перебор_2_20170602154411[[#This Row],[ССвёртка]])),"",LEFT(Свёртка_Перебор_2_20170602154411[[#This Row],[ССвёртка]],SEARCH("!",Свёртка_Перебор_2_20170602154411[[#This Row],[ССвёртка]])))</calculatedColumnFormula>
    </tableColumn>
    <tableColumn id="67" xr3:uid="{00000000-0010-0000-0F00-000043000000}" name="С" dataDxfId="716">
      <calculatedColumnFormula>Свёртка_Перебор_2_20170602154411[[#This Row],[ССвёртка]]</calculatedColumnFormula>
    </tableColumn>
    <tableColumn id="68" xr3:uid="{00000000-0010-0000-0F00-000044000000}" name="Цел_матр_обычн" dataDxfId="715">
      <calculatedColumnFormula>IF(SUM(IF(SUM(LOOKUP(--RIGHT(OFFSET(INDIRECT(Свёртка_Перебор_2_20170602154411[[#This Row],[ССвёртка]],FALSE),-2,1)),{0,1,2,3,4,5},{0,1,1,0,1,1.5}),LOOKUP(--RIGHT(OFFSET(INDIRECT(Свёртка_Перебор_2_20170602154411[[#This Row],[ССвёртка]],FALSE),-1,1)),{0,1,2,3,4,5},{0,1,1,0,1,1.5}),LOOKUP(--RIGHT(OFFSET(INDIRECT(Свёртка_Перебор_2_20170602154411[[#This Row],[ССвёртка]],FALSE),0,1)),{0,1,2,3,4,5},{0,1,1,0,1,1.5}))&gt;4,1,0),IF(SUM(LOOKUP(--RIGHT(OFFSET(INDIRECT(Свёртка_Перебор_2_20170602154411[[#This Row],[ССвёртка]],FALSE),-2,2)),{0,1,2,3,4,5},{0,1,1,0,1,1.5}),LOOKUP(--RIGHT(OFFSET(INDIRECT(Свёртка_Перебор_2_20170602154411[[#This Row],[ССвёртка]],FALSE),-1,2)),{0,1,2,3,4,5},{0,1,1,0,1,1.5}),LOOKUP(--RIGHT(OFFSET(INDIRECT(Свёртка_Перебор_2_20170602154411[[#This Row],[ССвёртка]],FALSE),0,2)),{0,1,2,3,4,5},{0,1,1,0,1,1.5}))&gt;4,1,0),IF(SUM(LOOKUP(--RIGHT(OFFSET(INDIRECT(Свёртка_Перебор_2_20170602154411[[#This Row],[ССвёртка]],FALSE),-2,3)),{0,1,2,3,4,5},{0,1,1,0,1,1.5}),LOOKUP(--RIGHT(OFFSET(INDIRECT(Свёртка_Перебор_2_20170602154411[[#This Row],[ССвёртка]],FALSE),-1,3)),{0,1,2,3,4,5},{0,1,1,0,1,1.5}),LOOKUP(--RIGHT(OFFSET(INDIRECT(Свёртка_Перебор_2_20170602154411[[#This Row],[ССвёртка]],FALSE),0,3)),{0,1,2,3,4,5},{0,1,1,0,1,1.5}))&gt;4,1,0),IF(SUM(LOOKUP(--RIGHT(OFFSET(INDIRECT(Свёртка_Перебор_2_20170602154411[[#This Row],[ССвёртка]],FALSE),-2,1)),{0,1,2,3,4,5},{0,1,1,1,1,2}),LOOKUP(--RIGHT(OFFSET(INDIRECT(Свёртка_Перебор_2_20170602154411[[#This Row],[ССвёртка]],FALSE),-1,2)),{0,1,2,3,4,5},{0,1,1,1,1,2}),LOOKUP(--RIGHT(OFFSET(INDIRECT(Свёртка_Перебор_2_20170602154411[[#This Row],[ССвёртка]],FALSE),0,3)),{0,1,2,3,4,5},{0,1,1,1,1,2}))&lt;&gt;3,1,0),IF(SUM(LOOKUP(--RIGHT(OFFSET(INDIRECT(Свёртка_Перебор_2_20170602154411[[#This Row],[ССвёртка]],FALSE),-2,1)),{0,1,2,3,4,5},{0,1,0,1,1,1.5}),LOOKUP(--RIGHT(OFFSET(INDIRECT(Свёртка_Перебор_2_20170602154411[[#This Row],[ССвёртка]],FALSE),-2,2)),{0,1,2,3,4,5},{0,1,0,1,1,1.5}),LOOKUP(--RIGHT(OFFSET(INDIRECT(Свёртка_Перебор_2_20170602154411[[#This Row],[ССвёртка]],FALSE),-2,3)),{0,1,2,3,4,5},{0,1,0,1,1,1.5}))&gt;4,1,0),IF(SUM(LOOKUP(--RIGHT(OFFSET(INDIRECT(Свёртка_Перебор_2_20170602154411[[#This Row],[ССвёртка]],FALSE),-1,1)),{0,1,2,3,4,5},{0,1,0,1,1,1.5}),LOOKUP(--RIGHT(OFFSET(INDIRECT(Свёртка_Перебор_2_20170602154411[[#This Row],[ССвёртка]],FALSE),-1,2)),{0,1,2,3,4,5},{0,1,0,1,1,1.5}),LOOKUP(--RIGHT(OFFSET(INDIRECT(Свёртка_Перебор_2_20170602154411[[#This Row],[ССвёртка]],FALSE),-1,3)),{0,1,2,3,4,5},{0,1,0,1,1,1.5}))&gt;4,1,0),IF(SUM(LOOKUP(--RIGHT(OFFSET(INDIRECT(Свёртка_Перебор_2_20170602154411[[#This Row],[ССвёртка]],FALSE),0,1)),{0,1,2,3,4,5},{0,1,0,1,1,1.5}),LOOKUP(--RIGHT(OFFSET(INDIRECT(Свёртка_Перебор_2_20170602154411[[#This Row],[ССвёртка]],FALSE),0,2)),{0,1,2,3,4,5},{0,1,0,1,1,1.5}),LOOKUP(--RIGHT(OFFSET(INDIRECT(Свёртка_Перебор_2_20170602154411[[#This Row],[ССвёртка]],FALSE),0,3)),{0,1,2,3,4,5},{0,1,0,1,1,1.5}))&gt;4,1,0))&lt;&gt;0,0,1)</calculatedColumnFormula>
    </tableColumn>
    <tableColumn id="65" xr3:uid="{00000000-0010-0000-0F00-000041000000}" name="Цел_матр_мас" dataDxfId="714">
      <calculatedColumnFormula array="1">IFERROR(IF(SUM((MMULT(CHOOSE(RIGHT(OFFSET(INDIRECT(CONCATENATE(Свёртка_Перебор_2_20170602154411[[#This Row],[Л!]],"R",Свёртка_Перебор_2_20170602154411[[#This Row],[R!]],"C",Свёртка_Перебор_2_20170602154411[[#This Row],[C!]]),FALSE),-2,1,3,3))+1,0,1,0,1,1,1.5),{1;1;1})&gt;4)+(MMULT(TRANSPOSE(CHOOSE(RIGHT(OFFSET(INDIRECT(CONCATENATE(Свёртка_Перебор_2_20170602154411[[#This Row],[Л!]],"R",Свёртка_Перебор_2_20170602154411[[#This Row],[R!]],"C",Свёртка_Перебор_2_20170602154411[[#This Row],[C!]]),FALSE),-2,1,3,3))+1,0,1,1,0,1,1.5)),{1;1;1})&gt;4)+(SUM(CHOOSE(RIGHT(CHOOSE({1;2;3},OFFSET(INDIRECT(CONCATENATE(Свёртка_Перебор_2_20170602154411[[#This Row],[Л!]],"R",Свёртка_Перебор_2_20170602154411[[#This Row],[R!]],"C",Свёртка_Перебор_2_20170602154411[[#This Row],[C!]]),FALSE),-2,1),OFFSET(INDIRECT(CONCATENATE(Свёртка_Перебор_2_20170602154411[[#This Row],[Л!]],"R",Свёртка_Перебор_2_20170602154411[[#This Row],[R!]],"C",Свёртка_Перебор_2_20170602154411[[#This Row],[C!]]),FALSE),-1,2),OFFSET(INDIRECT(CONCATENATE(Свёртка_Перебор_2_20170602154411[[#This Row],[Л!]],"R",Свёртка_Перебор_2_20170602154411[[#This Row],[R!]],"C",Свёртка_Перебор_2_20170602154411[[#This Row],[C!]]),FALSE),0,3)))+1,0,1,1,1,1,2))&lt;&gt;3)),0,1),"!")</calculatedColumnFormula>
    </tableColumn>
    <tableColumn id="66" xr3:uid="{00000000-0010-0000-0F00-000042000000}" name="Кол-во знач" dataDxfId="713">
      <calculatedColumnFormula>COUNTIFS(OFFSET(INDIRECT((OFFSET(INDIRECT(Свёртка_Перебор_2_20170602154411[[#This Row],[С]],FALSE),-2,1)&amp;"!R2C2"),FALSE),,,101,101),"="&amp;(Свёртка_Перебор_2_20170602154411[[#This Row],[F]]-(1+(CHOOSE(--RIGHTB(OFFSET(INDIRECT(Свёртка_Перебор_2_20170602154411[[#This Row],[С]],FALSE),,3))+1,0,1,1,1,1,2)+CHOOSE(--RIGHTB(OFFSET(INDIRECT(Свёртка_Перебор_2_20170602154411[[#This Row],[С]],FALSE),-1,2))+1,0,1,1,1,1,2)))+1))*IF(AND(Свёртка_Перебор_2_20170602154411[[#This Row],[F]]&gt;=(1+(CHOOSE(--RIGHTB(OFFSET(INDIRECT(Свёртка_Перебор_2_20170602154411[[#This Row],[С]],FALSE),,3))+1,0,1,1,1,1,2)+CHOOSE(--RIGHTB(OFFSET(INDIRECT(Свёртка_Перебор_2_20170602154411[[#This Row],[С]],FALSE),-1,2))+1,0,1,1,1,1,2))),Свёртка_Перебор_2_20170602154411[[#This Row],[F]]&lt;=(1+(CHOOSE(--RIGHTB(OFFSET(INDIRECT(Свёртка_Перебор_2_20170602154411[[#This Row],[С]],FALSE),,3))+1,0,1,1,1,1,2)+CHOOSE(--RIGHTB(OFFSET(INDIRECT(Свёртка_Перебор_2_20170602154411[[#This Row],[С]],FALSE),-1,2))+1,0,1,1,1,1,2)+CHOOSE(--RIGHTB(OFFSET(INDIRECT(Свёртка_Перебор_2_20170602154411[[#This Row],[С]],FALSE),-2,1))+1,0,1,1,1,1,2)))),1,0)+COUNTIFS(OFFSET(INDIRECT((OFFSET(INDIRECT(Свёртка_Перебор_2_20170602154411[[#This Row],[С]],FALSE),-2,2)&amp;"!R2C2"),FALSE),,,101,101),"="&amp;(Свёртка_Перебор_2_20170602154411[[#This Row],[F]]-(1+(CHOOSE(--RIGHTB(OFFSET(INDIRECT(Свёртка_Перебор_2_20170602154411[[#This Row],[С]],FALSE),,3))+1,0,1,0,1,1,1)+CHOOSE(--RIGHTB(OFFSET(INDIRECT(Свёртка_Перебор_2_20170602154411[[#This Row],[С]],FALSE),-1,3))+1,0,1,1,1,1,2)))+1))*IF(AND(Свёртка_Перебор_2_20170602154411[[#This Row],[F]]&gt;=(1+(CHOOSE(--RIGHTB(OFFSET(INDIRECT(Свёртка_Перебор_2_20170602154411[[#This Row],[С]],FALSE),,3))+1,0,0,0,1,1,1)+CHOOSE(--RIGHTB(OFFSET(INDIRECT(Свёртка_Перебор_2_20170602154411[[#This Row],[С]],FALSE),-1,3))+1,0,1,1,1,1,2))),Свёртка_Перебор_2_20170602154411[[#This Row],[F]]&lt;=(1+(CHOOSE(--RIGHTB(OFFSET(INDIRECT(Свёртка_Перебор_2_20170602154411[[#This Row],[С]],FALSE),,3))+1,0,0,0,1,1,1)+CHOOSE(--RIGHTB(OFFSET(INDIRECT(Свёртка_Перебор_2_20170602154411[[#This Row],[С]],FALSE),-1,3))+1,0,1,1,1,1,2)+CHOOSE(--RIGHTB(OFFSET(INDIRECT(Свёртка_Перебор_2_20170602154411[[#This Row],[С]],FALSE),-2,2))+1,0,1,1,1,1,2)))),1,0)+COUNTIFS(OFFSET(INDIRECT((OFFSET(INDIRECT(Свёртка_Перебор_2_20170602154411[[#This Row],[С]],FALSE),-2,3)&amp;"!R2C2"),FALSE),,,101,101),"="&amp;(Свёртка_Перебор_2_20170602154411[[#This Row],[F]]-(1+(CHOOSE(--RIGHTB(OFFSET(INDIRECT(Свёртка_Перебор_2_20170602154411[[#This Row],[С]],FALSE),,3))+1,0,0,0,1,1,1)+CHOOSE(--RIGHTB(OFFSET(INDIRECT(Свёртка_Перебор_2_20170602154411[[#This Row],[С]],FALSE),-1,3))+1,0,0,0,1,1,1)))+1))*IF(AND(Свёртка_Перебор_2_20170602154411[[#This Row],[F]]&gt;=(1+(CHOOSE(--RIGHTB(OFFSET(INDIRECT(Свёртка_Перебор_2_20170602154411[[#This Row],[С]],FALSE),,3))+1,0,0,0,1,1,1)+CHOOSE(--RIGHTB(OFFSET(INDIRECT(Свёртка_Перебор_2_20170602154411[[#This Row],[С]],FALSE),-1,3))+1,0,0,0,1,1,1))),Свёртка_Перебор_2_20170602154411[[#This Row],[F]]&lt;=(1+(CHOOSE(--RIGHTB(OFFSET(INDIRECT(Свёртка_Перебор_2_20170602154411[[#This Row],[С]],FALSE),,3))+1,0,0,0,1,1,1)+CHOOSE(--RIGHTB(OFFSET(INDIRECT(Свёртка_Перебор_2_20170602154411[[#This Row],[С]],FALSE),-1,3))+1,0,0,0,1,1,1)+CHOOSE(--RIGHTB(OFFSET(INDIRECT(Свёртка_Перебор_2_20170602154411[[#This Row],[С]],FALSE),-2,3))+1,0,1,1,1,1,2)))),1,0)+COUNTIFS(OFFSET(INDIRECT((OFFSET(INDIRECT(Свёртка_Перебор_2_20170602154411[[#This Row],[С]],FALSE),-1,1)&amp;"!R2C2"),FALSE),,,101,101),"="&amp;(Свёртка_Перебор_2_20170602154411[[#This Row],[F]]-(1+(CHOOSE(--RIGHTB(OFFSET(INDIRECT(Свёртка_Перебор_2_20170602154411[[#This Row],[С]],FALSE),,3))+1,0,0,1,0,1,1)+CHOOSE(--RIGHTB(OFFSET(INDIRECT(Свёртка_Перебор_2_20170602154411[[#This Row],[С]],FALSE),0,2))+1,0,1,1,1,1,2)))+1))*IF(AND(Свёртка_Перебор_2_20170602154411[[#This Row],[F]]&gt;=(1+(CHOOSE(--RIGHTB(OFFSET(INDIRECT(Свёртка_Перебор_2_20170602154411[[#This Row],[С]],FALSE),,3))+1,0,0,1,0,1,1)+CHOOSE(--RIGHTB(OFFSET(INDIRECT(Свёртка_Перебор_2_20170602154411[[#This Row],[С]],FALSE),,2))+1,0,1,1,1,1,2))),Свёртка_Перебор_2_20170602154411[[#This Row],[F]]&lt;=(1+(CHOOSE(--RIGHTB(OFFSET(INDIRECT(Свёртка_Перебор_2_20170602154411[[#This Row],[С]],FALSE),,3))+1,0,0,1,0,1,1)+CHOOSE(--RIGHTB(OFFSET(INDIRECT(Свёртка_Перебор_2_20170602154411[[#This Row],[С]],FALSE),,2))+1,0,1,1,1,1,2)+CHOOSE(--RIGHTB(OFFSET(INDIRECT(Свёртка_Перебор_2_20170602154411[[#This Row],[С]],FALSE),-1,1))+1,0,1,1,1,1,2)))),1,0)+COUNTIFS(OFFSET(INDIRECT((OFFSET(INDIRECT(Свёртка_Перебор_2_20170602154411[[#This Row],[С]],FALSE),-1,2)&amp;"!R2C2"),FALSE),,,101,101),"="&amp;(Свёртка_Перебор_2_20170602154411[[#This Row],[F]]-(1+(CHOOSE(--RIGHTB(OFFSET(INDIRECT(Свёртка_Перебор_2_20170602154411[[#This Row],[С]],FALSE),,3))+1,0,1,1,1,1,2)))+1))*IF(AND(Свёртка_Перебор_2_20170602154411[[#This Row],[F]]&gt;=(1+(CHOOSE(--RIGHTB(OFFSET(INDIRECT(Свёртка_Перебор_2_20170602154411[[#This Row],[С]],FALSE),,3))+1,0,1,1,1,1,2))),Свёртка_Перебор_2_20170602154411[[#This Row],[F]]&lt;=(1+(CHOOSE(--RIGHTB(OFFSET(INDIRECT(Свёртка_Перебор_2_20170602154411[[#This Row],[С]],FALSE),,3))+1,0,1,1,1,1,2)+CHOOSE(--RIGHTB(OFFSET(INDIRECT(Свёртка_Перебор_2_20170602154411[[#This Row],[С]],FALSE),-1,2))+1,0,1,1,1,1,2)))),1,0)+COUNTIFS(OFFSET(INDIRECT((OFFSET(INDIRECT(Свёртка_Перебор_2_20170602154411[[#This Row],[С]],FALSE),-1,3)&amp;"!R2C2"),FALSE),,,101,101),"="&amp;(Свёртка_Перебор_2_20170602154411[[#This Row],[F]]-(1+(CHOOSE(--RIGHTB(OFFSET(INDIRECT(Свёртка_Перебор_2_20170602154411[[#This Row],[С]],FALSE),,3))+1,0,0,0,1,1,1)))+1))*IF(AND(Свёртка_Перебор_2_20170602154411[[#This Row],[F]]&gt;=(1+(CHOOSE(--RIGHTB(OFFSET(INDIRECT(Свёртка_Перебор_2_20170602154411[[#This Row],[С]],FALSE),,3))+1,0,0,0,1,1,1))),Свёртка_Перебор_2_20170602154411[[#This Row],[F]]&lt;=(1+(CHOOSE(--RIGHTB(OFFSET(INDIRECT(Свёртка_Перебор_2_20170602154411[[#This Row],[С]],FALSE),,3))+1,0,0,0,1,1,1)+CHOOSE(--RIGHTB(OFFSET(INDIRECT(Свёртка_Перебор_2_20170602154411[[#This Row],[С]],FALSE),-1,3))+1,0,1,1,1,1,2)))),1,0)+COUNTIFS(OFFSET(INDIRECT((OFFSET(INDIRECT(Свёртка_Перебор_2_20170602154411[[#This Row],[С]],FALSE),,1)&amp;"!R2C2"),FALSE),,,101,101),"="&amp;(Свёртка_Перебор_2_20170602154411[[#This Row],[F]]-(1+(CHOOSE(--RIGHTB(OFFSET(INDIRECT(Свёртка_Перебор_2_20170602154411[[#This Row],[С]],FALSE),,3))+1,0,0,1,0,1,1)+CHOOSE(--RIGHTB(OFFSET(INDIRECT(Свёртка_Перебор_2_20170602154411[[#This Row],[С]],FALSE),,2))+1,0,0,1,0,1,1)))+1))*IF(AND(Свёртка_Перебор_2_20170602154411[[#This Row],[F]]&gt;=(1+(CHOOSE(--RIGHTB(OFFSET(INDIRECT(Свёртка_Перебор_2_20170602154411[[#This Row],[С]],FALSE),,3))+1,0,0,1,0,1,1)+CHOOSE(--RIGHTB(OFFSET(INDIRECT(Свёртка_Перебор_2_20170602154411[[#This Row],[С]],FALSE),,2))+1,0,0,1,0,1,1))),Свёртка_Перебор_2_20170602154411[[#This Row],[F]]&lt;=(1+(CHOOSE(--RIGHTB(OFFSET(INDIRECT(Свёртка_Перебор_2_20170602154411[[#This Row],[С]],FALSE),,3))+1,0,0,1,0,1,1)+CHOOSE(--RIGHTB(OFFSET(INDIRECT(Свёртка_Перебор_2_20170602154411[[#This Row],[С]],FALSE),,2))+1,0,0,1,0,1,1)+CHOOSE(--RIGHTB(OFFSET(INDIRECT(Свёртка_Перебор_2_20170602154411[[#This Row],[С]],FALSE),,1))+1,0,1,1,1,1,2)))),1,0)+COUNTIFS(OFFSET(INDIRECT((OFFSET(INDIRECT(Свёртка_Перебор_2_20170602154411[[#This Row],[С]],FALSE),,2)&amp;"!R2C2"),FALSE),,,101,101),"="&amp;(Свёртка_Перебор_2_20170602154411[[#This Row],[F]]-(1+(CHOOSE(--RIGHTB(OFFSET(INDIRECT(Свёртка_Перебор_2_20170602154411[[#This Row],[С]],FALSE),,3))+1,0,0,1,0,1,1)))+1))*IF(AND(Свёртка_Перебор_2_20170602154411[[#This Row],[F]]&gt;=(1+(CHOOSE(--RIGHTB(OFFSET(INDIRECT(Свёртка_Перебор_2_20170602154411[[#This Row],[С]],FALSE),0,3))+1,0,0,1,0,1,1))),Свёртка_Перебор_2_20170602154411[[#This Row],[F]]&lt;=(1+(CHOOSE(--RIGHTB(OFFSET(INDIRECT(Свёртка_Перебор_2_20170602154411[[#This Row],[С]],FALSE),,3))+1,0,1,0,0,1,1)+CHOOSE(--RIGHTB(OFFSET(INDIRECT(Свёртка_Перебор_2_20170602154411[[#This Row],[С]],FALSE),,2))+1,0,1,1,1,1,2)))),1,0)+COUNTIFS(OFFSET(INDIRECT((OFFSET(INDIRECT(Свёртка_Перебор_2_20170602154411[[#This Row],[С]],FALSE),,3)&amp;"!R2C2"),FALSE),,,101,101),"="&amp;(Свёртка_Перебор_2_20170602154411[[#This Row],[F]]-1+1))*IF(AND(Свёртка_Перебор_2_20170602154411[[#This Row],[F]]&gt;=1,Свёртка_Перебор_2_20170602154411[[#This Row],[F]]&lt;=1+(CHOOSE(--RIGHTB(OFFSET(INDIRECT(Свёртка_Перебор_2_20170602154411[[#This Row],[С]],FALSE),,3))+1,0,1,1,1,1,2))),1,0)</calculatedColumnFormula>
    </tableColumn>
  </tableColumns>
  <tableStyleInfo name="TableStyleMedium1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6" xr:uid="{00000000-000C-0000-FFFF-FFFF10000000}" name="Таблица1372257" displayName="Таблица1372257" ref="B11:D14" totalsRowCount="1" headerRowDxfId="706" dataDxfId="705" totalsRowDxfId="704">
  <autoFilter ref="B11:D13" xr:uid="{00000000-0009-0000-0100-000000010000}">
    <filterColumn colId="0" hiddenButton="1"/>
    <filterColumn colId="1" hiddenButton="1"/>
    <filterColumn colId="2" hiddenButton="1"/>
  </autoFilter>
  <tableColumns count="3">
    <tableColumn id="1" xr3:uid="{00000000-0010-0000-1000-000001000000}" name="№_Э" totalsRowLabel="Итог" dataDxfId="703" totalsRowDxfId="702">
      <calculatedColumnFormula>ROW()-ROW(Таблица1372257[#Headers])</calculatedColumnFormula>
    </tableColumn>
    <tableColumn id="3" xr3:uid="{00000000-0010-0000-1000-000003000000}" name="_" totalsRowFunction="custom" dataDxfId="701">
      <calculatedColumnFormula>Фантом</calculatedColumnFormula>
      <totalsRowFormula>MAX(Таблица1372257[№_Э])</totalsRowFormula>
    </tableColumn>
    <tableColumn id="2" xr3:uid="{00000000-0010-0000-1000-000002000000}" name="О" totalsRowFunction="custom" dataDxfId="700" totalsRowDxfId="699">
      <totalsRowFormula>MEDIAN(Таблица1372257[_]:Таблица1372257[О])</totalsRowFormula>
    </tableColumn>
  </tableColumns>
  <tableStyleInfo name="Моя таблица"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1000000}" name="П_Общий" displayName="П_Общий" ref="A1:A7" totalsRowShown="0" headerRowBorderDxfId="698" tableBorderDxfId="697" totalsRowBorderDxfId="696">
  <autoFilter ref="A1:A7" xr:uid="{00000000-0009-0000-0100-00000B000000}"/>
  <tableColumns count="1">
    <tableColumn id="1" xr3:uid="{00000000-0010-0000-1100-000001000000}" name="Общий" dataDxfId="695"/>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12000000}" name="П_Низ_F0" displayName="П_Низ_F0" ref="B1:B7" totalsRowShown="0" dataDxfId="694" tableBorderDxfId="693">
  <autoFilter ref="B1:B7" xr:uid="{00000000-0009-0000-0100-00000C000000}"/>
  <tableColumns count="1">
    <tableColumn id="1" xr3:uid="{00000000-0010-0000-1200-000001000000}" name="Низ_F0" dataDxfId="692"/>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13000000}" name="П_Низ_F1" displayName="П_Низ_F1" ref="C1:C7" totalsRowShown="0" dataDxfId="691" tableBorderDxfId="690">
  <autoFilter ref="C1:C7" xr:uid="{00000000-0009-0000-0100-00000D000000}"/>
  <tableColumns count="1">
    <tableColumn id="1" xr3:uid="{00000000-0010-0000-1300-000001000000}" name="Низ_F1" dataDxfId="689"/>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14000000}" name="П_Низ_F2" displayName="П_Низ_F2" ref="D1:D7" totalsRowShown="0">
  <autoFilter ref="D1:D7" xr:uid="{00000000-0009-0000-0100-00000E000000}">
    <filterColumn colId="0" hiddenButton="1"/>
  </autoFilter>
  <tableColumns count="1">
    <tableColumn id="1" xr3:uid="{00000000-0010-0000-1400-000001000000}" name="Низ_F2"/>
  </tableColumns>
  <tableStyleInfo name="TableStyleLight15"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15000000}" name="П_Низ_F3" displayName="П_Низ_F3" ref="E1:E7" totalsRowShown="0">
  <autoFilter ref="E1:E7" xr:uid="{00000000-0009-0000-0100-00000F000000}"/>
  <tableColumns count="1">
    <tableColumn id="1" xr3:uid="{00000000-0010-0000-1500-000001000000}" name="Низ_F3"/>
  </tableColumns>
  <tableStyleInfo name="TableStyleLight15"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16000000}" name="П_Низ_F4" displayName="П_Низ_F4" ref="F1:F7" totalsRowShown="0">
  <autoFilter ref="F1:F7" xr:uid="{00000000-0009-0000-0100-000010000000}"/>
  <tableColumns count="1">
    <tableColumn id="1" xr3:uid="{00000000-0010-0000-1600-000001000000}" name="Низ_F4"/>
  </tableColumns>
  <tableStyleInfo name="TableStyleLight15"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7000000}" name="П_Низ_F5" displayName="П_Низ_F5" ref="G1:G7" totalsRowShown="0">
  <autoFilter ref="G1:G7" xr:uid="{00000000-0009-0000-0100-000011000000}"/>
  <tableColumns count="1">
    <tableColumn id="1" xr3:uid="{00000000-0010-0000-1700-000001000000}" name="Низ_F5"/>
  </tableColumns>
  <tableStyleInfo name="TableStyleLight15"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8000000}" name="П_Бок_F0" displayName="П_Бок_F0" ref="H1:H7" totalsRowShown="0" dataDxfId="688" tableBorderDxfId="687">
  <autoFilter ref="H1:H7" xr:uid="{00000000-0009-0000-0100-000013000000}"/>
  <tableColumns count="1">
    <tableColumn id="1" xr3:uid="{00000000-0010-0000-1800-000001000000}" name="Бок_F0" dataDxfId="686"/>
  </tableColumns>
  <tableStyleInfo name="TableStyleLight1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9000000}" name="П_Бок_F1" displayName="П_Бок_F1" ref="I1:I7" totalsRowShown="0" dataDxfId="685" tableBorderDxfId="684">
  <autoFilter ref="I1:I7" xr:uid="{00000000-0009-0000-0100-000014000000}"/>
  <tableColumns count="1">
    <tableColumn id="1" xr3:uid="{00000000-0010-0000-1900-000001000000}" name="Бок_F1" dataDxfId="683"/>
  </tableColumns>
  <tableStyleInfo name="TableStyleLight1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A000000}" name="П_Бок_F2" displayName="П_Бок_F2" ref="J1:J7" totalsRowShown="0" dataDxfId="682" tableBorderDxfId="681">
  <autoFilter ref="J1:J7" xr:uid="{00000000-0009-0000-0100-000015000000}"/>
  <tableColumns count="1">
    <tableColumn id="1" xr3:uid="{00000000-0010-0000-1A00-000001000000}" name="Бок_F2" dataDxfId="680"/>
  </tableColumns>
  <tableStyleInfo name="TableStyleLight1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B000000}" name="П_Бок_F3" displayName="П_Бок_F3" ref="K1:K7" totalsRowShown="0" dataDxfId="679" tableBorderDxfId="678">
  <autoFilter ref="K1:K7" xr:uid="{00000000-0009-0000-0100-000016000000}"/>
  <tableColumns count="1">
    <tableColumn id="1" xr3:uid="{00000000-0010-0000-1B00-000001000000}" name="Бок_F3" dataDxfId="677"/>
  </tableColumns>
  <tableStyleInfo name="TableStyleLight1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C000000}" name="П_Бок_F4" displayName="П_Бок_F4" ref="L1:L7" totalsRowShown="0" dataDxfId="676" tableBorderDxfId="675">
  <autoFilter ref="L1:L7" xr:uid="{00000000-0009-0000-0100-000017000000}"/>
  <tableColumns count="1">
    <tableColumn id="1" xr3:uid="{00000000-0010-0000-1C00-000001000000}" name="Бок_F4" dataDxfId="674"/>
  </tableColumns>
  <tableStyleInfo name="TableStyleLight1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D000000}" name="П_Бок_F5" displayName="П_Бок_F5" ref="M1:M7" totalsRowShown="0" dataDxfId="673" tableBorderDxfId="672">
  <autoFilter ref="M1:M7" xr:uid="{00000000-0009-0000-0100-000018000000}"/>
  <tableColumns count="1">
    <tableColumn id="1" xr3:uid="{00000000-0010-0000-1D00-000001000000}" name="Бок_F5" dataDxfId="671"/>
  </tableColumns>
  <tableStyleInfo name="TableStyleLight1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E000000}" name="П_В_F0_F0" displayName="П_В_F0_F0" ref="N1:N7" totalsRowShown="0">
  <autoFilter ref="N1:N7" xr:uid="{00000000-0009-0000-0100-000019000000}">
    <filterColumn colId="0" hiddenButton="1"/>
  </autoFilter>
  <tableColumns count="1">
    <tableColumn id="1" xr3:uid="{00000000-0010-0000-1E00-000001000000}" name="В_F0_F0"/>
  </tableColumns>
  <tableStyleInfo name="TableStyleLight17"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F000000}" name="П_В_F0_F1" displayName="П_В_F0_F1" ref="O1:O7" totalsRowShown="0">
  <autoFilter ref="O1:O7" xr:uid="{00000000-0009-0000-0100-00001A000000}"/>
  <tableColumns count="1">
    <tableColumn id="1" xr3:uid="{00000000-0010-0000-1F00-000001000000}" name="В_F0_F1"/>
  </tableColumns>
  <tableStyleInfo name="TableStyleLight17"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20000000}" name="П_В_F0_F2" displayName="П_В_F0_F2" ref="P1:P7" totalsRowShown="0">
  <autoFilter ref="P1:P7" xr:uid="{00000000-0009-0000-0100-00001B000000}"/>
  <tableColumns count="1">
    <tableColumn id="1" xr3:uid="{00000000-0010-0000-2000-000001000000}" name="В_F0_F2"/>
  </tableColumns>
  <tableStyleInfo name="TableStyleLight17"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21000000}" name="П_В_F0_F3" displayName="П_В_F0_F3" ref="Q1:Q7" totalsRowShown="0">
  <autoFilter ref="Q1:Q7" xr:uid="{00000000-0009-0000-0100-00001C000000}"/>
  <tableColumns count="1">
    <tableColumn id="1" xr3:uid="{00000000-0010-0000-2100-000001000000}" name="В_F0_F3"/>
  </tableColumns>
  <tableStyleInfo name="TableStyleLight17"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22000000}" name="П_В_F0_F4" displayName="П_В_F0_F4" ref="R1:R7" totalsRowShown="0">
  <autoFilter ref="R1:R7" xr:uid="{00000000-0009-0000-0100-00001D000000}"/>
  <tableColumns count="1">
    <tableColumn id="1" xr3:uid="{00000000-0010-0000-2200-000001000000}" name="В_F0_F4"/>
  </tableColumns>
  <tableStyleInfo name="TableStyleLight17"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23000000}" name="П_В_F0_F5" displayName="П_В_F0_F5" ref="S1:S7" totalsRowShown="0">
  <autoFilter ref="S1:S7" xr:uid="{00000000-0009-0000-0100-00001E000000}"/>
  <tableColumns count="1">
    <tableColumn id="1" xr3:uid="{00000000-0010-0000-2300-000001000000}" name="В_F0_F5"/>
  </tableColumns>
  <tableStyleInfo name="TableStyleLight17"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24000000}" name="П­_В_F1_F0" displayName="П­_В_F1_F0" ref="T1:T7" totalsRowShown="0">
  <autoFilter ref="T1:T7" xr:uid="{00000000-0009-0000-0100-00001F000000}"/>
  <tableColumns count="1">
    <tableColumn id="1" xr3:uid="{00000000-0010-0000-2400-000001000000}" name="В_F1_F0"/>
  </tableColumns>
  <tableStyleInfo name="TableStyleLight19"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25000000}" name="П_В_F1_F1" displayName="П_В_F1_F1" ref="U1:U7" totalsRowShown="0">
  <autoFilter ref="U1:U7" xr:uid="{00000000-0009-0000-0100-000020000000}"/>
  <tableColumns count="1">
    <tableColumn id="1" xr3:uid="{00000000-0010-0000-2500-000001000000}" name="В_F1_F1"/>
  </tableColumns>
  <tableStyleInfo name="TableStyleLight19"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26000000}" name="П_В_F1_F2" displayName="П_В_F1_F2" ref="V1:V7" totalsRowShown="0">
  <autoFilter ref="V1:V7" xr:uid="{00000000-0009-0000-0100-000021000000}"/>
  <tableColumns count="1">
    <tableColumn id="1" xr3:uid="{00000000-0010-0000-2600-000001000000}" name="В_F1_F2"/>
  </tableColumns>
  <tableStyleInfo name="TableStyleLight19"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27000000}" name="П_В_F1_F3" displayName="П_В_F1_F3" ref="W1:W7" totalsRowShown="0">
  <autoFilter ref="W1:W7" xr:uid="{00000000-0009-0000-0100-000022000000}"/>
  <tableColumns count="1">
    <tableColumn id="1" xr3:uid="{00000000-0010-0000-2700-000001000000}" name="В_F1_F3"/>
  </tableColumns>
  <tableStyleInfo name="TableStyleLight1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8000000}" name="П_В_F1_F4" displayName="П_В_F1_F4" ref="X1:X7" totalsRowShown="0">
  <autoFilter ref="X1:X7" xr:uid="{00000000-0009-0000-0100-000023000000}"/>
  <tableColumns count="1">
    <tableColumn id="1" xr3:uid="{00000000-0010-0000-2800-000001000000}" name="В_F1_F4"/>
  </tableColumns>
  <tableStyleInfo name="TableStyleLight1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9000000}" name="П_В_F1_F5" displayName="П_В_F1_F5" ref="Y1:Y7" totalsRowShown="0">
  <autoFilter ref="Y1:Y7" xr:uid="{00000000-0009-0000-0100-000024000000}"/>
  <tableColumns count="1">
    <tableColumn id="1" xr3:uid="{00000000-0010-0000-2900-000001000000}" name="В_F1_F5"/>
  </tableColumns>
  <tableStyleInfo name="TableStyleLight19"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2A000000}" name="П_В_F2_F0" displayName="П_В_F2_F0" ref="Z1:Z7" totalsRowShown="0">
  <autoFilter ref="Z1:Z7" xr:uid="{00000000-0009-0000-0100-000025000000}"/>
  <tableColumns count="1">
    <tableColumn id="1" xr3:uid="{00000000-0010-0000-2A00-000001000000}" name="В_F2_F0"/>
  </tableColumns>
  <tableStyleInfo name="TableStyleLight17"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2B000000}" name="П_В_F2_F1" displayName="П_В_F2_F1" ref="AA1:AA7" totalsRowShown="0">
  <autoFilter ref="AA1:AA7" xr:uid="{00000000-0009-0000-0100-000026000000}"/>
  <tableColumns count="1">
    <tableColumn id="1" xr3:uid="{00000000-0010-0000-2B00-000001000000}" name="В_F2_F1"/>
  </tableColumns>
  <tableStyleInfo name="TableStyleLight17"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C000000}" name="П_В_F2_F2" displayName="П_В_F2_F2" ref="AB1:AB7" totalsRowShown="0">
  <autoFilter ref="AB1:AB7" xr:uid="{00000000-0009-0000-0100-000027000000}"/>
  <tableColumns count="1">
    <tableColumn id="1" xr3:uid="{00000000-0010-0000-2C00-000001000000}" name="В_F2_F2"/>
  </tableColumns>
  <tableStyleInfo name="TableStyleLight17"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2D000000}" name="П_В_F2_F3" displayName="П_В_F2_F3" ref="AC1:AC7" totalsRowShown="0">
  <autoFilter ref="AC1:AC7" xr:uid="{00000000-0009-0000-0100-000028000000}"/>
  <tableColumns count="1">
    <tableColumn id="1" xr3:uid="{00000000-0010-0000-2D00-000001000000}" name="В_F2_F3"/>
  </tableColumns>
  <tableStyleInfo name="TableStyleLight17"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2E000000}" name="П_В_F2_F4" displayName="П_В_F2_F4" ref="AD1:AD7" totalsRowShown="0">
  <autoFilter ref="AD1:AD7" xr:uid="{00000000-0009-0000-0100-000029000000}"/>
  <tableColumns count="1">
    <tableColumn id="1" xr3:uid="{00000000-0010-0000-2E00-000001000000}" name="В_F2_F4"/>
  </tableColumns>
  <tableStyleInfo name="TableStyleLight17"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2F000000}" name="П_В_F2_F5" displayName="П_В_F2_F5" ref="AE1:AE7" totalsRowShown="0">
  <autoFilter ref="AE1:AE7" xr:uid="{00000000-0009-0000-0100-00002A000000}"/>
  <tableColumns count="1">
    <tableColumn id="1" xr3:uid="{00000000-0010-0000-2F00-000001000000}" name="В_F2_F5"/>
  </tableColumns>
  <tableStyleInfo name="TableStyleLight17"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30000000}" name="П_В_F3_F0" displayName="П_В_F3_F0" ref="AF1:AF7" totalsRowShown="0">
  <autoFilter ref="AF1:AF7" xr:uid="{00000000-0009-0000-0100-00002B000000}"/>
  <tableColumns count="1">
    <tableColumn id="1" xr3:uid="{00000000-0010-0000-3000-000001000000}" name="В_F3_F0"/>
  </tableColumns>
  <tableStyleInfo name="TableStyleLight19"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31000000}" name="П_В_F3_F1" displayName="П_В_F3_F1" ref="AG1:AG7" totalsRowShown="0">
  <autoFilter ref="AG1:AG7" xr:uid="{00000000-0009-0000-0100-00002C000000}"/>
  <tableColumns count="1">
    <tableColumn id="1" xr3:uid="{00000000-0010-0000-3100-000001000000}" name="В_F3_F1"/>
  </tableColumns>
  <tableStyleInfo name="TableStyleLight19"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32000000}" name="П_В_F3_F2" displayName="П_В_F3_F2" ref="AH1:AH7" totalsRowShown="0">
  <autoFilter ref="AH1:AH7" xr:uid="{00000000-0009-0000-0100-00002D000000}"/>
  <tableColumns count="1">
    <tableColumn id="1" xr3:uid="{00000000-0010-0000-3200-000001000000}" name="В_F3_F2"/>
  </tableColumns>
  <tableStyleInfo name="TableStyleLight19"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33000000}" name="П_В_F3_F3" displayName="П_В_F3_F3" ref="AI1:AI7" totalsRowShown="0">
  <autoFilter ref="AI1:AI7" xr:uid="{00000000-0009-0000-0100-00002E000000}"/>
  <tableColumns count="1">
    <tableColumn id="1" xr3:uid="{00000000-0010-0000-3300-000001000000}" name="В_F3_F3"/>
  </tableColumns>
  <tableStyleInfo name="TableStyleLight19"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34000000}" name="П_В_F3_F4" displayName="П_В_F3_F4" ref="AJ1:AJ7" totalsRowShown="0">
  <autoFilter ref="AJ1:AJ7" xr:uid="{00000000-0009-0000-0100-000030000000}"/>
  <tableColumns count="1">
    <tableColumn id="1" xr3:uid="{00000000-0010-0000-3400-000001000000}" name="В_F3_F4"/>
  </tableColumns>
  <tableStyleInfo name="TableStyleLight19"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35000000}" name="П_В_F3_F5" displayName="П_В_F3_F5" ref="AK1:AK7" totalsRowShown="0">
  <autoFilter ref="AK1:AK7" xr:uid="{00000000-0009-0000-0100-000031000000}"/>
  <tableColumns count="1">
    <tableColumn id="1" xr3:uid="{00000000-0010-0000-3500-000001000000}" name="В_F3_F5"/>
  </tableColumns>
  <tableStyleInfo name="TableStyleLight19"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36000000}" name="П_В_F4_F0" displayName="П_В_F4_F0" ref="AL1:AL7" totalsRowShown="0">
  <autoFilter ref="AL1:AL7" xr:uid="{00000000-0009-0000-0100-000032000000}"/>
  <tableColumns count="1">
    <tableColumn id="1" xr3:uid="{00000000-0010-0000-3600-000001000000}" name="В_F4_F0"/>
  </tableColumns>
  <tableStyleInfo name="TableStyleLight17"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37000000}" name="П_В_F4_F1" displayName="П_В_F4_F1" ref="AM1:AM7" totalsRowShown="0">
  <autoFilter ref="AM1:AM7" xr:uid="{00000000-0009-0000-0100-000033000000}"/>
  <tableColumns count="1">
    <tableColumn id="1" xr3:uid="{00000000-0010-0000-3700-000001000000}" name="В_F4_F1"/>
  </tableColumns>
  <tableStyleInfo name="TableStyleLight17"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38000000}" name="П_В_F4_F2" displayName="П_В_F4_F2" ref="AN1:AN7" totalsRowShown="0">
  <autoFilter ref="AN1:AN7" xr:uid="{00000000-0009-0000-0100-000034000000}"/>
  <tableColumns count="1">
    <tableColumn id="1" xr3:uid="{00000000-0010-0000-3800-000001000000}" name="В_F4_F2"/>
  </tableColumns>
  <tableStyleInfo name="TableStyleLight17"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39000000}" name="П_В_F4_F3" displayName="П_В_F4_F3" ref="AO1:AO7" totalsRowShown="0">
  <autoFilter ref="AO1:AO7" xr:uid="{00000000-0009-0000-0100-000035000000}"/>
  <tableColumns count="1">
    <tableColumn id="1" xr3:uid="{00000000-0010-0000-3900-000001000000}" name="В_F4_F3"/>
  </tableColumns>
  <tableStyleInfo name="TableStyleLight17"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3A000000}" name="П_В_F4_F4" displayName="П_В_F4_F4" ref="AP1:AP7" totalsRowShown="0">
  <autoFilter ref="AP1:AP7" xr:uid="{00000000-0009-0000-0100-000036000000}"/>
  <tableColumns count="1">
    <tableColumn id="1" xr3:uid="{00000000-0010-0000-3A00-000001000000}" name="В_F4_F4"/>
  </tableColumns>
  <tableStyleInfo name="TableStyleLight17"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3B000000}" name="П_В_F4_F5" displayName="П_В_F4_F5" ref="AQ1:AQ7" totalsRowShown="0">
  <autoFilter ref="AQ1:AQ7" xr:uid="{00000000-0009-0000-0100-000037000000}"/>
  <tableColumns count="1">
    <tableColumn id="1" xr3:uid="{00000000-0010-0000-3B00-000001000000}" name="В_F4_F5"/>
  </tableColumns>
  <tableStyleInfo name="TableStyleLight17"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3C000000}" name="П_В_F5_F0" displayName="П_В_F5_F0" ref="AR1:AR7" totalsRowShown="0">
  <autoFilter ref="AR1:AR7" xr:uid="{00000000-0009-0000-0100-000038000000}"/>
  <tableColumns count="1">
    <tableColumn id="1" xr3:uid="{00000000-0010-0000-3C00-000001000000}" name="В_F5_F0"/>
  </tableColumns>
  <tableStyleInfo name="TableStyleLight19"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3D000000}" name="П_В_F5_F1" displayName="П_В_F5_F1" ref="AS1:AS7" totalsRowShown="0">
  <autoFilter ref="AS1:AS7" xr:uid="{00000000-0009-0000-0100-000039000000}"/>
  <tableColumns count="1">
    <tableColumn id="1" xr3:uid="{00000000-0010-0000-3D00-000001000000}" name="В_F5_F1"/>
  </tableColumns>
  <tableStyleInfo name="TableStyleLight19"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3E000000}" name="П_В_F5_F2" displayName="П_В_F5_F2" ref="AT1:AT7" totalsRowShown="0">
  <autoFilter ref="AT1:AT7" xr:uid="{00000000-0009-0000-0100-00003A000000}"/>
  <tableColumns count="1">
    <tableColumn id="1" xr3:uid="{00000000-0010-0000-3E00-000001000000}" name="В_F5_F2"/>
  </tableColumns>
  <tableStyleInfo name="TableStyleLight19"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3F000000}" name="П_В_F5_F3" displayName="П_В_F5_F3" ref="AU1:AU7" totalsRowShown="0">
  <autoFilter ref="AU1:AU7" xr:uid="{00000000-0009-0000-0100-00003B000000}"/>
  <tableColumns count="1">
    <tableColumn id="1" xr3:uid="{00000000-0010-0000-3F00-000001000000}" name="В_F5_F3"/>
  </tableColumns>
  <tableStyleInfo name="TableStyleLight19"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40000000}" name="П_В_F5_F4" displayName="П_В_F5_F4" ref="AV1:AV7" totalsRowShown="0">
  <autoFilter ref="AV1:AV7" xr:uid="{00000000-0009-0000-0100-00003C000000}"/>
  <tableColumns count="1">
    <tableColumn id="1" xr3:uid="{00000000-0010-0000-4000-000001000000}" name="В_F5_F4"/>
  </tableColumns>
  <tableStyleInfo name="TableStyleLight19"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41000000}" name="П_В_F5_F5" displayName="П_В_F5_F5" ref="AW1:AW7" totalsRowShown="0">
  <autoFilter ref="AW1:AW7" xr:uid="{00000000-0009-0000-0100-00003D000000}"/>
  <tableColumns count="1">
    <tableColumn id="1" xr3:uid="{00000000-0010-0000-4100-000001000000}" name="В_F5_F5"/>
  </tableColumns>
  <tableStyleInfo name="TableStyleLight19"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42000000}" name="П_В_F0_F0_0" displayName="П_В_F0_F0_0" ref="N9:N15" totalsRowShown="0">
  <autoFilter ref="N9:N15" xr:uid="{00000000-0009-0000-0100-00003E000000}">
    <filterColumn colId="0" hiddenButton="1"/>
  </autoFilter>
  <tableColumns count="1">
    <tableColumn id="1" xr3:uid="{00000000-0010-0000-4200-000001000000}" name="В_F0_F0_0"/>
  </tableColumns>
  <tableStyleInfo name="TableStyleLight17"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43000000}" name="П_В_F0_F1_0" displayName="П_В_F0_F1_0" ref="O9:O15" totalsRowShown="0">
  <autoFilter ref="O9:O15" xr:uid="{00000000-0009-0000-0100-00003F000000}"/>
  <tableColumns count="1">
    <tableColumn id="1" xr3:uid="{00000000-0010-0000-4300-000001000000}" name="В_F0_F1_0"/>
  </tableColumns>
  <tableStyleInfo name="TableStyleLight17"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44000000}" name="П_В_F0_F2_0" displayName="П_В_F0_F2_0" ref="P9:P15" totalsRowShown="0">
  <autoFilter ref="P9:P15" xr:uid="{00000000-0009-0000-0100-000040000000}"/>
  <tableColumns count="1">
    <tableColumn id="1" xr3:uid="{00000000-0010-0000-4400-000001000000}" name="В_F0_F2_0"/>
  </tableColumns>
  <tableStyleInfo name="TableStyleLight17"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45000000}" name="П_В_F0_F3_0" displayName="П_В_F0_F3_0" ref="Q9:Q15" totalsRowShown="0">
  <autoFilter ref="Q9:Q15" xr:uid="{00000000-0009-0000-0100-000041000000}"/>
  <tableColumns count="1">
    <tableColumn id="1" xr3:uid="{00000000-0010-0000-4500-000001000000}" name="В_F0_F3_0"/>
  </tableColumns>
  <tableStyleInfo name="TableStyleLight17"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46000000}" name="П_В_F0_F4_0" displayName="П_В_F0_F4_0" ref="R9:R15" totalsRowShown="0">
  <autoFilter ref="R9:R15" xr:uid="{00000000-0009-0000-0100-000042000000}"/>
  <tableColumns count="1">
    <tableColumn id="1" xr3:uid="{00000000-0010-0000-4600-000001000000}" name="В_F0_F4_0"/>
  </tableColumns>
  <tableStyleInfo name="TableStyleLight17"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47000000}" name="П_В_F0_F5_0" displayName="П_В_F0_F5_0" ref="S9:S15" totalsRowShown="0">
  <autoFilter ref="S9:S15" xr:uid="{00000000-0009-0000-0100-000043000000}"/>
  <tableColumns count="1">
    <tableColumn id="1" xr3:uid="{00000000-0010-0000-4700-000001000000}" name="В_F0_F5_0"/>
  </tableColumns>
  <tableStyleInfo name="TableStyleLight17"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48000000}" name="П­_В_F1_F0_0" displayName="П­_В_F1_F0_0" ref="T9:T15" totalsRowShown="0">
  <autoFilter ref="T9:T15" xr:uid="{00000000-0009-0000-0100-000044000000}"/>
  <tableColumns count="1">
    <tableColumn id="1" xr3:uid="{00000000-0010-0000-4800-000001000000}" name="В_F1_F0_0"/>
  </tableColumns>
  <tableStyleInfo name="TableStyleLight19"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49000000}" name="П_В_F1_F1_0" displayName="П_В_F1_F1_0" ref="U9:U15" totalsRowShown="0">
  <autoFilter ref="U9:U15" xr:uid="{00000000-0009-0000-0100-000045000000}"/>
  <tableColumns count="1">
    <tableColumn id="1" xr3:uid="{00000000-0010-0000-4900-000001000000}" name="В_F1_F1_0"/>
  </tableColumns>
  <tableStyleInfo name="TableStyleLight19"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4A000000}" name="П_В_F1_F2_0" displayName="П_В_F1_F2_0" ref="V9:V15" totalsRowShown="0">
  <autoFilter ref="V9:V15" xr:uid="{00000000-0009-0000-0100-000046000000}"/>
  <tableColumns count="1">
    <tableColumn id="1" xr3:uid="{00000000-0010-0000-4A00-000001000000}" name="В_F1_F2_0"/>
  </tableColumns>
  <tableStyleInfo name="TableStyleLight19"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4B000000}" name="П_В_F1_F3_0" displayName="П_В_F1_F3_0" ref="W9:W15" totalsRowShown="0">
  <autoFilter ref="W9:W15" xr:uid="{00000000-0009-0000-0100-000047000000}"/>
  <tableColumns count="1">
    <tableColumn id="1" xr3:uid="{00000000-0010-0000-4B00-000001000000}" name="В_F1_F3_0"/>
  </tableColumns>
  <tableStyleInfo name="TableStyleLight19"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4C000000}" name="П_В_F1_F4_0" displayName="П_В_F1_F4_0" ref="X9:X15" totalsRowShown="0">
  <autoFilter ref="X9:X15" xr:uid="{00000000-0009-0000-0100-000048000000}"/>
  <tableColumns count="1">
    <tableColumn id="1" xr3:uid="{00000000-0010-0000-4C00-000001000000}" name="В_F1_F4_0"/>
  </tableColumns>
  <tableStyleInfo name="TableStyleLight19"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4D000000}" name="П_В_F1_F5_0" displayName="П_В_F1_F5_0" ref="Y9:Y15" totalsRowShown="0">
  <autoFilter ref="Y9:Y15" xr:uid="{00000000-0009-0000-0100-000049000000}"/>
  <tableColumns count="1">
    <tableColumn id="1" xr3:uid="{00000000-0010-0000-4D00-000001000000}" name="В_F1_F5_0"/>
  </tableColumns>
  <tableStyleInfo name="TableStyleLight19"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4E000000}" name="П_В_F2_F0_0" displayName="П_В_F2_F0_0" ref="Z9:Z15" totalsRowShown="0">
  <autoFilter ref="Z9:Z15" xr:uid="{00000000-0009-0000-0100-00004A000000}"/>
  <tableColumns count="1">
    <tableColumn id="1" xr3:uid="{00000000-0010-0000-4E00-000001000000}" name="В_F2_F0_0"/>
  </tableColumns>
  <tableStyleInfo name="TableStyleLight17"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4F000000}" name="П_В_F2_F1_0" displayName="П_В_F2_F1_0" ref="AA9:AA15" totalsRowShown="0">
  <autoFilter ref="AA9:AA15" xr:uid="{00000000-0009-0000-0100-00004B000000}"/>
  <tableColumns count="1">
    <tableColumn id="1" xr3:uid="{00000000-0010-0000-4F00-000001000000}" name="В_F2_F1_0"/>
  </tableColumns>
  <tableStyleInfo name="TableStyleLight17"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50000000}" name="П_В_F2_F2_0" displayName="П_В_F2_F2_0" ref="AB9:AB15" totalsRowShown="0">
  <autoFilter ref="AB9:AB15" xr:uid="{00000000-0009-0000-0100-00004C000000}"/>
  <tableColumns count="1">
    <tableColumn id="1" xr3:uid="{00000000-0010-0000-5000-000001000000}" name="В_F2_F2_0"/>
  </tableColumns>
  <tableStyleInfo name="TableStyleLight17"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51000000}" name="П_В_F2_F3_0" displayName="П_В_F2_F3_0" ref="AC9:AC15" totalsRowShown="0">
  <autoFilter ref="AC9:AC15" xr:uid="{00000000-0009-0000-0100-00004D000000}"/>
  <tableColumns count="1">
    <tableColumn id="1" xr3:uid="{00000000-0010-0000-5100-000001000000}" name="В_F2_F3_0"/>
  </tableColumns>
  <tableStyleInfo name="TableStyleLight17"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52000000}" name="П_В_F2_F4_0" displayName="П_В_F2_F4_0" ref="AD9:AD15" totalsRowShown="0">
  <autoFilter ref="AD9:AD15" xr:uid="{00000000-0009-0000-0100-00004E000000}"/>
  <tableColumns count="1">
    <tableColumn id="1" xr3:uid="{00000000-0010-0000-5200-000001000000}" name="В_F2_F4_0"/>
  </tableColumns>
  <tableStyleInfo name="TableStyleLight17"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53000000}" name="П_В_F2_F5_0" displayName="П_В_F2_F5_0" ref="AE9:AE15" totalsRowShown="0">
  <autoFilter ref="AE9:AE15" xr:uid="{00000000-0009-0000-0100-00004F000000}"/>
  <tableColumns count="1">
    <tableColumn id="1" xr3:uid="{00000000-0010-0000-5300-000001000000}" name="В_F2_F5_0"/>
  </tableColumns>
  <tableStyleInfo name="TableStyleLight17"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54000000}" name="П_В_F3_F0_0" displayName="П_В_F3_F0_0" ref="AF9:AF15" totalsRowShown="0">
  <autoFilter ref="AF9:AF15" xr:uid="{00000000-0009-0000-0100-000050000000}"/>
  <tableColumns count="1">
    <tableColumn id="1" xr3:uid="{00000000-0010-0000-5400-000001000000}" name="В_F3_F0_0"/>
  </tableColumns>
  <tableStyleInfo name="TableStyleLight19"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55000000}" name="П_В_F3_F1_0" displayName="П_В_F3_F1_0" ref="AG9:AG15" totalsRowShown="0">
  <autoFilter ref="AG9:AG15" xr:uid="{00000000-0009-0000-0100-000051000000}"/>
  <tableColumns count="1">
    <tableColumn id="1" xr3:uid="{00000000-0010-0000-5500-000001000000}" name="В_F3_F1_0"/>
  </tableColumns>
  <tableStyleInfo name="TableStyleLight19"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56000000}" name="П_В_F3_F2_0" displayName="П_В_F3_F2_0" ref="AH9:AH15" totalsRowShown="0">
  <autoFilter ref="AH9:AH15" xr:uid="{00000000-0009-0000-0100-000052000000}"/>
  <tableColumns count="1">
    <tableColumn id="1" xr3:uid="{00000000-0010-0000-5600-000001000000}" name="В_F3_F2_0"/>
  </tableColumns>
  <tableStyleInfo name="TableStyleLight19"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57000000}" name="П_В_F3_F3_0" displayName="П_В_F3_F3_0" ref="AI9:AI15" totalsRowShown="0">
  <autoFilter ref="AI9:AI15" xr:uid="{00000000-0009-0000-0100-000053000000}"/>
  <tableColumns count="1">
    <tableColumn id="1" xr3:uid="{00000000-0010-0000-5700-000001000000}" name="В_F3_F3_0"/>
  </tableColumns>
  <tableStyleInfo name="TableStyleLight19"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00000000-000C-0000-FFFF-FFFF58000000}" name="П_В_F3_F4_0" displayName="П_В_F3_F4_0" ref="AJ9:AJ15" totalsRowShown="0">
  <autoFilter ref="AJ9:AJ15" xr:uid="{00000000-0009-0000-0100-000054000000}"/>
  <tableColumns count="1">
    <tableColumn id="1" xr3:uid="{00000000-0010-0000-5800-000001000000}" name="В_F3_F4_0"/>
  </tableColumns>
  <tableStyleInfo name="TableStyleLight19"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00000000-000C-0000-FFFF-FFFF59000000}" name="П_В_F3_F5_0" displayName="П_В_F3_F5_0" ref="AK9:AK15" totalsRowShown="0">
  <autoFilter ref="AK9:AK15" xr:uid="{00000000-0009-0000-0100-000055000000}"/>
  <tableColumns count="1">
    <tableColumn id="1" xr3:uid="{00000000-0010-0000-5900-000001000000}" name="В_F3_F5_0"/>
  </tableColumns>
  <tableStyleInfo name="TableStyleLight19" showFirstColumn="0" showLastColumn="0" showRowStripes="1" showColumnStripes="0"/>
</table>
</file>

<file path=xl/tables/table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6" xr:uid="{00000000-000C-0000-FFFF-FFFF5A000000}" name="П_В_F4_F0_0" displayName="П_В_F4_F0_0" ref="AL9:AL15" totalsRowShown="0">
  <autoFilter ref="AL9:AL15" xr:uid="{00000000-0009-0000-0100-000056000000}"/>
  <tableColumns count="1">
    <tableColumn id="1" xr3:uid="{00000000-0010-0000-5A00-000001000000}" name="В_F4_F0_0"/>
  </tableColumns>
  <tableStyleInfo name="TableStyleLight17" showFirstColumn="0" showLastColumn="0" showRowStripes="1" showColumnStripes="0"/>
</table>
</file>

<file path=xl/tables/table9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00000000-000C-0000-FFFF-FFFF5B000000}" name="П_В_F4_F1_0" displayName="П_В_F4_F1_0" ref="AM9:AM15" totalsRowShown="0">
  <autoFilter ref="AM9:AM15" xr:uid="{00000000-0009-0000-0100-000057000000}"/>
  <tableColumns count="1">
    <tableColumn id="1" xr3:uid="{00000000-0010-0000-5B00-000001000000}" name="В_F4_F1_0"/>
  </tableColumns>
  <tableStyleInfo name="TableStyleLight17" showFirstColumn="0" showLastColumn="0" showRowStripes="1" showColumnStripes="0"/>
</table>
</file>

<file path=xl/tables/table9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00000000-000C-0000-FFFF-FFFF5C000000}" name="П_В_F4_F2_0" displayName="П_В_F4_F2_0" ref="AN9:AN15" totalsRowShown="0">
  <autoFilter ref="AN9:AN15" xr:uid="{00000000-0009-0000-0100-000058000000}"/>
  <tableColumns count="1">
    <tableColumn id="1" xr3:uid="{00000000-0010-0000-5C00-000001000000}" name="В_F4_F2_0"/>
  </tableColumns>
  <tableStyleInfo name="TableStyleLight17" showFirstColumn="0" showLastColumn="0" showRowStripes="1" showColumnStripes="0"/>
</table>
</file>

<file path=xl/tables/table9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00000000-000C-0000-FFFF-FFFF5D000000}" name="П_В_F4_F3_0" displayName="П_В_F4_F3_0" ref="AO9:AO15" totalsRowShown="0">
  <autoFilter ref="AO9:AO15" xr:uid="{00000000-0009-0000-0100-000059000000}"/>
  <tableColumns count="1">
    <tableColumn id="1" xr3:uid="{00000000-0010-0000-5D00-000001000000}" name="В_F4_F3_0"/>
  </tableColumns>
  <tableStyleInfo name="TableStyleLight17" showFirstColumn="0" showLastColumn="0" showRowStripes="1" showColumnStripes="0"/>
</table>
</file>

<file path=xl/tables/table9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00000000-000C-0000-FFFF-FFFF5E000000}" name="П_В_F4_F4_0" displayName="П_В_F4_F4_0" ref="AP9:AP15" totalsRowShown="0">
  <autoFilter ref="AP9:AP15" xr:uid="{00000000-0009-0000-0100-00005A000000}"/>
  <tableColumns count="1">
    <tableColumn id="1" xr3:uid="{00000000-0010-0000-5E00-000001000000}" name="В_F4_F4_0"/>
  </tableColumns>
  <tableStyleInfo name="TableStyleLight17" showFirstColumn="0" showLastColumn="0" showRowStripes="1" showColumnStripes="0"/>
</table>
</file>

<file path=xl/tables/table10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00000000-000C-0000-FFFF-FFFF5F000000}" name="П_В_F4_F5_0" displayName="П_В_F4_F5_0" ref="AQ9:AQ15" totalsRowShown="0">
  <autoFilter ref="AQ9:AQ15" xr:uid="{00000000-0009-0000-0100-00005B000000}"/>
  <tableColumns count="1">
    <tableColumn id="1" xr3:uid="{00000000-0010-0000-5F00-000001000000}" name="В_F4_F5_0"/>
  </tableColumns>
  <tableStyleInfo name="TableStyleLight17" showFirstColumn="0" showLastColumn="0" showRowStripes="1" showColumnStripes="0"/>
</table>
</file>

<file path=xl/tables/table10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00000000-000C-0000-FFFF-FFFF60000000}" name="П_В_F5_F0_0" displayName="П_В_F5_F0_0" ref="AR9:AR15" totalsRowShown="0">
  <autoFilter ref="AR9:AR15" xr:uid="{00000000-0009-0000-0100-00005C000000}"/>
  <tableColumns count="1">
    <tableColumn id="1" xr3:uid="{00000000-0010-0000-6000-000001000000}" name="В_F5_F0_0"/>
  </tableColumns>
  <tableStyleInfo name="TableStyleLight19" showFirstColumn="0" showLastColumn="0" showRowStripes="1" showColumnStripes="0"/>
</table>
</file>

<file path=xl/tables/table10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00000000-000C-0000-FFFF-FFFF61000000}" name="П_В_F5_F1_0" displayName="П_В_F5_F1_0" ref="AS9:AS15" totalsRowShown="0">
  <autoFilter ref="AS9:AS15" xr:uid="{00000000-0009-0000-0100-00005D000000}"/>
  <tableColumns count="1">
    <tableColumn id="1" xr3:uid="{00000000-0010-0000-6100-000001000000}" name="В_F5_F1_0"/>
  </tableColumns>
  <tableStyleInfo name="TableStyleLight19" showFirstColumn="0" showLastColumn="0" showRowStripes="1" showColumnStripes="0"/>
</table>
</file>

<file path=xl/tables/table10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00000000-000C-0000-FFFF-FFFF62000000}" name="П_В_F5_F2_0" displayName="П_В_F5_F2_0" ref="AT9:AT15" totalsRowShown="0">
  <autoFilter ref="AT9:AT15" xr:uid="{00000000-0009-0000-0100-00005E000000}"/>
  <tableColumns count="1">
    <tableColumn id="1" xr3:uid="{00000000-0010-0000-6200-000001000000}" name="В_F5_F2_0"/>
  </tableColumns>
  <tableStyleInfo name="TableStyleLight19" showFirstColumn="0" showLastColumn="0" showRowStripes="1" showColumnStripes="0"/>
</table>
</file>

<file path=xl/tables/table10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00000000-000C-0000-FFFF-FFFF63000000}" name="П_В_F5_F3_0" displayName="П_В_F5_F3_0" ref="AU9:AU15" totalsRowShown="0">
  <autoFilter ref="AU9:AU15" xr:uid="{00000000-0009-0000-0100-00005F000000}"/>
  <tableColumns count="1">
    <tableColumn id="1" xr3:uid="{00000000-0010-0000-6300-000001000000}" name="В_F5_F3_0"/>
  </tableColumns>
  <tableStyleInfo name="TableStyleLight19" showFirstColumn="0" showLastColumn="0" showRowStripes="1" showColumnStripes="0"/>
</table>
</file>

<file path=xl/tables/table10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00000000-000C-0000-FFFF-FFFF64000000}" name="П_В_F5_F4_0" displayName="П_В_F5_F4_0" ref="AV9:AV15" totalsRowShown="0">
  <autoFilter ref="AV9:AV15" xr:uid="{00000000-0009-0000-0100-000060000000}"/>
  <tableColumns count="1">
    <tableColumn id="1" xr3:uid="{00000000-0010-0000-6400-000001000000}" name="В_F5_F4_0"/>
  </tableColumns>
  <tableStyleInfo name="TableStyleLight19" showFirstColumn="0" showLastColumn="0" showRowStripes="1" showColumnStripes="0"/>
</table>
</file>

<file path=xl/tables/table10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00000000-000C-0000-FFFF-FFFF65000000}" name="П_В_F5_F5_0" displayName="П_В_F5_F5_0" ref="AW9:AW15" totalsRowShown="0">
  <autoFilter ref="AW9:AW15" xr:uid="{00000000-0009-0000-0100-000061000000}"/>
  <tableColumns count="1">
    <tableColumn id="1" xr3:uid="{00000000-0010-0000-6500-000001000000}" name="В_F5_F5_0"/>
  </tableColumns>
  <tableStyleInfo name="TableStyleLight19" showFirstColumn="0" showLastColumn="0" showRowStripes="1" showColumnStripes="0"/>
</table>
</file>

<file path=xl/tables/table10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00000000-000C-0000-FFFF-FFFF66000000}" name="П_В_F0_F0_5" displayName="П_В_F0_F0_5" ref="N17:N23" totalsRowShown="0">
  <autoFilter ref="N17:N23" xr:uid="{00000000-0009-0000-0100-000062000000}">
    <filterColumn colId="0" hiddenButton="1"/>
  </autoFilter>
  <tableColumns count="1">
    <tableColumn id="1" xr3:uid="{00000000-0010-0000-6600-000001000000}" name="В_F0_F0_5"/>
  </tableColumns>
  <tableStyleInfo name="TableStyleLight17" showFirstColumn="0" showLastColumn="0" showRowStripes="1" showColumnStripes="0"/>
</table>
</file>

<file path=xl/tables/table10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9" xr:uid="{00000000-000C-0000-FFFF-FFFF67000000}" name="П_В_F0_F1_5" displayName="П_В_F0_F1_5" ref="O17:O23" totalsRowShown="0">
  <autoFilter ref="O17:O23" xr:uid="{00000000-0009-0000-0100-000063000000}"/>
  <tableColumns count="1">
    <tableColumn id="1" xr3:uid="{00000000-0010-0000-6700-000001000000}" name="В_F0_F1_5"/>
  </tableColumns>
  <tableStyleInfo name="TableStyleLight17" showFirstColumn="0" showLastColumn="0" showRowStripes="1" showColumnStripes="0"/>
</table>
</file>

<file path=xl/tables/table10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0" xr:uid="{00000000-000C-0000-FFFF-FFFF68000000}" name="П_В_F0_F2_5" displayName="П_В_F0_F2_5" ref="P17:P23" totalsRowShown="0">
  <autoFilter ref="P17:P23" xr:uid="{00000000-0009-0000-0100-000064000000}"/>
  <tableColumns count="1">
    <tableColumn id="1" xr3:uid="{00000000-0010-0000-6800-000001000000}" name="В_F0_F2_5"/>
  </tableColumns>
  <tableStyleInfo name="TableStyleLight17" showFirstColumn="0" showLastColumn="0" showRowStripes="1" showColumnStripes="0"/>
</table>
</file>

<file path=xl/tables/table1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1" xr:uid="{00000000-000C-0000-FFFF-FFFF69000000}" name="П_В_F0_F3_5" displayName="П_В_F0_F3_5" ref="Q17:Q23" totalsRowShown="0">
  <autoFilter ref="Q17:Q23" xr:uid="{00000000-0009-0000-0100-000065000000}"/>
  <tableColumns count="1">
    <tableColumn id="1" xr3:uid="{00000000-0010-0000-6900-000001000000}" name="В_F0_F3_5"/>
  </tableColumns>
  <tableStyleInfo name="TableStyleLight17" showFirstColumn="0" showLastColumn="0" showRowStripes="1" showColumnStripes="0"/>
</table>
</file>

<file path=xl/tables/table1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2" xr:uid="{00000000-000C-0000-FFFF-FFFF6A000000}" name="П_В_F0_F4_5" displayName="П_В_F0_F4_5" ref="R17:R23" totalsRowShown="0">
  <autoFilter ref="R17:R23" xr:uid="{00000000-0009-0000-0100-000066000000}"/>
  <tableColumns count="1">
    <tableColumn id="1" xr3:uid="{00000000-0010-0000-6A00-000001000000}" name="В_F0_F4_5"/>
  </tableColumns>
  <tableStyleInfo name="TableStyleLight17" showFirstColumn="0" showLastColumn="0" showRowStripes="1" showColumnStripes="0"/>
</table>
</file>

<file path=xl/tables/table1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3" xr:uid="{00000000-000C-0000-FFFF-FFFF6B000000}" name="П_В_F0_F5_5" displayName="П_В_F0_F5_5" ref="S17:S23" totalsRowShown="0">
  <autoFilter ref="S17:S23" xr:uid="{00000000-0009-0000-0100-000067000000}"/>
  <tableColumns count="1">
    <tableColumn id="1" xr3:uid="{00000000-0010-0000-6B00-000001000000}" name="В_F0_F5_5"/>
  </tableColumns>
  <tableStyleInfo name="TableStyleLight17" showFirstColumn="0" showLastColumn="0" showRowStripes="1" showColumnStripes="0"/>
</table>
</file>

<file path=xl/tables/table1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4" xr:uid="{00000000-000C-0000-FFFF-FFFF6C000000}" name="П­_В_F1_F0_5" displayName="П­_В_F1_F0_5" ref="T17:T23" totalsRowShown="0">
  <autoFilter ref="T17:T23" xr:uid="{00000000-0009-0000-0100-000068000000}"/>
  <tableColumns count="1">
    <tableColumn id="1" xr3:uid="{00000000-0010-0000-6C00-000001000000}" name="В_F1_F0_5"/>
  </tableColumns>
  <tableStyleInfo name="TableStyleLight19" showFirstColumn="0" showLastColumn="0" showRowStripes="1" showColumnStripes="0"/>
</table>
</file>

<file path=xl/tables/table1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5" xr:uid="{00000000-000C-0000-FFFF-FFFF6D000000}" name="П_В_F1_F1_5" displayName="П_В_F1_F1_5" ref="U17:U23" totalsRowShown="0">
  <autoFilter ref="U17:U23" xr:uid="{00000000-0009-0000-0100-000069000000}"/>
  <tableColumns count="1">
    <tableColumn id="1" xr3:uid="{00000000-0010-0000-6D00-000001000000}" name="В_F1_F1_5"/>
  </tableColumns>
  <tableStyleInfo name="TableStyleLight19" showFirstColumn="0" showLastColumn="0" showRowStripes="1" showColumnStripes="0"/>
</table>
</file>

<file path=xl/tables/table1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6" xr:uid="{00000000-000C-0000-FFFF-FFFF6E000000}" name="П_В_F1_F2_5" displayName="П_В_F1_F2_5" ref="V17:V23" totalsRowShown="0">
  <autoFilter ref="V17:V23" xr:uid="{00000000-0009-0000-0100-00006A000000}"/>
  <tableColumns count="1">
    <tableColumn id="1" xr3:uid="{00000000-0010-0000-6E00-000001000000}" name="В_F1_F2_5"/>
  </tableColumns>
  <tableStyleInfo name="TableStyleLight19" showFirstColumn="0" showLastColumn="0" showRowStripes="1" showColumnStripes="0"/>
</table>
</file>

<file path=xl/tables/table1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00000000-000C-0000-FFFF-FFFF6F000000}" name="П_В_F1_F3_5" displayName="П_В_F1_F3_5" ref="W17:W23" totalsRowShown="0">
  <autoFilter ref="W17:W23" xr:uid="{00000000-0009-0000-0100-00006B000000}"/>
  <tableColumns count="1">
    <tableColumn id="1" xr3:uid="{00000000-0010-0000-6F00-000001000000}" name="В_F1_F3_5"/>
  </tableColumns>
  <tableStyleInfo name="TableStyleLight19" showFirstColumn="0" showLastColumn="0" showRowStripes="1" showColumnStripes="0"/>
</table>
</file>

<file path=xl/tables/table1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8" xr:uid="{00000000-000C-0000-FFFF-FFFF70000000}" name="П_В_F1_F4_5" displayName="П_В_F1_F4_5" ref="X17:X23" totalsRowShown="0">
  <autoFilter ref="X17:X23" xr:uid="{00000000-0009-0000-0100-00006C000000}"/>
  <tableColumns count="1">
    <tableColumn id="1" xr3:uid="{00000000-0010-0000-7000-000001000000}" name="В_F1_F4_5"/>
  </tableColumns>
  <tableStyleInfo name="TableStyleLight19" showFirstColumn="0" showLastColumn="0" showRowStripes="1" showColumnStripes="0"/>
</table>
</file>

<file path=xl/tables/table1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9" xr:uid="{00000000-000C-0000-FFFF-FFFF71000000}" name="П_В_F1_F5_5" displayName="П_В_F1_F5_5" ref="Y17:Y23" totalsRowShown="0">
  <autoFilter ref="Y17:Y23" xr:uid="{00000000-0009-0000-0100-00006D000000}"/>
  <tableColumns count="1">
    <tableColumn id="1" xr3:uid="{00000000-0010-0000-7100-000001000000}" name="В_F1_F5_5"/>
  </tableColumns>
  <tableStyleInfo name="TableStyleLight19" showFirstColumn="0" showLastColumn="0" showRowStripes="1" showColumnStripes="0"/>
</table>
</file>

<file path=xl/tables/table1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00000000-000C-0000-FFFF-FFFF72000000}" name="П_В_F2_F0_5" displayName="П_В_F2_F0_5" ref="Z17:Z23" totalsRowShown="0">
  <autoFilter ref="Z17:Z23" xr:uid="{00000000-0009-0000-0100-00006E000000}"/>
  <tableColumns count="1">
    <tableColumn id="1" xr3:uid="{00000000-0010-0000-7200-000001000000}" name="В_F2_F0_5"/>
  </tableColumns>
  <tableStyleInfo name="TableStyleLight17" showFirstColumn="0" showLastColumn="0" showRowStripes="1" showColumnStripes="0"/>
</table>
</file>

<file path=xl/tables/table1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00000000-000C-0000-FFFF-FFFF73000000}" name="П_В_F2_F1_5" displayName="П_В_F2_F1_5" ref="AA17:AA23" totalsRowShown="0">
  <autoFilter ref="AA17:AA23" xr:uid="{00000000-0009-0000-0100-00006F000000}"/>
  <tableColumns count="1">
    <tableColumn id="1" xr3:uid="{00000000-0010-0000-7300-000001000000}" name="В_F2_F1_5"/>
  </tableColumns>
  <tableStyleInfo name="TableStyleLight17" showFirstColumn="0" showLastColumn="0" showRowStripes="1" showColumnStripes="0"/>
</table>
</file>

<file path=xl/tables/table1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00000000-000C-0000-FFFF-FFFF74000000}" name="П_В_F2_F2_5" displayName="П_В_F2_F2_5" ref="AB17:AB23" totalsRowShown="0">
  <autoFilter ref="AB17:AB23" xr:uid="{00000000-0009-0000-0100-000070000000}"/>
  <tableColumns count="1">
    <tableColumn id="1" xr3:uid="{00000000-0010-0000-7400-000001000000}" name="В_F2_F2_5"/>
  </tableColumns>
  <tableStyleInfo name="TableStyleLight17" showFirstColumn="0" showLastColumn="0" showRowStripes="1" showColumnStripes="0"/>
</table>
</file>

<file path=xl/tables/table1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3" xr:uid="{00000000-000C-0000-FFFF-FFFF75000000}" name="П_В_F2_F3_5" displayName="П_В_F2_F3_5" ref="AC17:AC23" totalsRowShown="0">
  <autoFilter ref="AC17:AC23" xr:uid="{00000000-0009-0000-0100-000071000000}"/>
  <tableColumns count="1">
    <tableColumn id="1" xr3:uid="{00000000-0010-0000-7500-000001000000}" name="В_F2_F3_5"/>
  </tableColumns>
  <tableStyleInfo name="TableStyleLight17" showFirstColumn="0" showLastColumn="0" showRowStripes="1" showColumnStripes="0"/>
</table>
</file>

<file path=xl/tables/table1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00000000-000C-0000-FFFF-FFFF76000000}" name="П_В_F2_F4_5" displayName="П_В_F2_F4_5" ref="AD17:AD23" totalsRowShown="0">
  <autoFilter ref="AD17:AD23" xr:uid="{00000000-0009-0000-0100-000072000000}"/>
  <tableColumns count="1">
    <tableColumn id="1" xr3:uid="{00000000-0010-0000-7600-000001000000}" name="В_F2_F4_5"/>
  </tableColumns>
  <tableStyleInfo name="TableStyleLight17" showFirstColumn="0" showLastColumn="0" showRowStripes="1" showColumnStripes="0"/>
</table>
</file>

<file path=xl/tables/table1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00000000-000C-0000-FFFF-FFFF77000000}" name="П_В_F2_F5_5" displayName="П_В_F2_F5_5" ref="AE17:AE23" totalsRowShown="0">
  <autoFilter ref="AE17:AE23" xr:uid="{00000000-0009-0000-0100-000073000000}"/>
  <tableColumns count="1">
    <tableColumn id="1" xr3:uid="{00000000-0010-0000-7700-000001000000}" name="В_F2_F5_5"/>
  </tableColumns>
  <tableStyleInfo name="TableStyleLight17" showFirstColumn="0" showLastColumn="0" showRowStripes="1" showColumnStripes="0"/>
</table>
</file>

<file path=xl/tables/table1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6" xr:uid="{00000000-000C-0000-FFFF-FFFF78000000}" name="П_В_F3_F0_5" displayName="П_В_F3_F0_5" ref="AF17:AF23" totalsRowShown="0">
  <autoFilter ref="AF17:AF23" xr:uid="{00000000-0009-0000-0100-000074000000}"/>
  <tableColumns count="1">
    <tableColumn id="1" xr3:uid="{00000000-0010-0000-7800-000001000000}" name="В_F3_F0_5"/>
  </tableColumns>
  <tableStyleInfo name="TableStyleLight19" showFirstColumn="0" showLastColumn="0" showRowStripes="1" showColumnStripes="0"/>
</table>
</file>

<file path=xl/tables/table1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7" xr:uid="{00000000-000C-0000-FFFF-FFFF79000000}" name="П_В_F3_F1_5" displayName="П_В_F3_F1_5" ref="AG17:AG23" totalsRowShown="0">
  <autoFilter ref="AG17:AG23" xr:uid="{00000000-0009-0000-0100-000075000000}"/>
  <tableColumns count="1">
    <tableColumn id="1" xr3:uid="{00000000-0010-0000-7900-000001000000}" name="В_F3_F1_5"/>
  </tableColumns>
  <tableStyleInfo name="TableStyleLight19" showFirstColumn="0" showLastColumn="0" showRowStripes="1" showColumnStripes="0"/>
</table>
</file>

<file path=xl/tables/table1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00000000-000C-0000-FFFF-FFFF7A000000}" name="П_В_F3_F2_5" displayName="П_В_F3_F2_5" ref="AH17:AH23" totalsRowShown="0">
  <autoFilter ref="AH17:AH23" xr:uid="{00000000-0009-0000-0100-000076000000}"/>
  <tableColumns count="1">
    <tableColumn id="1" xr3:uid="{00000000-0010-0000-7A00-000001000000}" name="В_F3_F2_5"/>
  </tableColumns>
  <tableStyleInfo name="TableStyleLight19" showFirstColumn="0" showLastColumn="0" showRowStripes="1" showColumnStripes="0"/>
</table>
</file>

<file path=xl/tables/table1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00000000-000C-0000-FFFF-FFFF7B000000}" name="П_В_F3_F3_5" displayName="П_В_F3_F3_5" ref="AI17:AI23" totalsRowShown="0">
  <autoFilter ref="AI17:AI23" xr:uid="{00000000-0009-0000-0100-000077000000}"/>
  <tableColumns count="1">
    <tableColumn id="1" xr3:uid="{00000000-0010-0000-7B00-000001000000}" name="В_F3_F3_5"/>
  </tableColumns>
  <tableStyleInfo name="TableStyleLight19" showFirstColumn="0" showLastColumn="0" showRowStripes="1" showColumnStripes="0"/>
</table>
</file>

<file path=xl/tables/table1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0" xr:uid="{00000000-000C-0000-FFFF-FFFF7C000000}" name="П_В_F3_F4_5" displayName="П_В_F3_F4_5" ref="AJ17:AJ23" totalsRowShown="0">
  <autoFilter ref="AJ17:AJ23" xr:uid="{00000000-0009-0000-0100-000078000000}"/>
  <tableColumns count="1">
    <tableColumn id="1" xr3:uid="{00000000-0010-0000-7C00-000001000000}" name="В_F3_F4_5"/>
  </tableColumns>
  <tableStyleInfo name="TableStyleLight19" showFirstColumn="0" showLastColumn="0" showRowStripes="1" showColumnStripes="0"/>
</table>
</file>

<file path=xl/tables/table1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1" xr:uid="{00000000-000C-0000-FFFF-FFFF7D000000}" name="П_В_F3_F5_5" displayName="П_В_F3_F5_5" ref="AK17:AK23" totalsRowShown="0">
  <autoFilter ref="AK17:AK23" xr:uid="{00000000-0009-0000-0100-000079000000}"/>
  <tableColumns count="1">
    <tableColumn id="1" xr3:uid="{00000000-0010-0000-7D00-000001000000}" name="В_F3_F5_5"/>
  </tableColumns>
  <tableStyleInfo name="TableStyleLight19" showFirstColumn="0" showLastColumn="0" showRowStripes="1" showColumnStripes="0"/>
</table>
</file>

<file path=xl/tables/table1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2" xr:uid="{00000000-000C-0000-FFFF-FFFF7E000000}" name="П_В_F4_F0_5" displayName="П_В_F4_F0_5" ref="AL17:AL23" totalsRowShown="0">
  <autoFilter ref="AL17:AL23" xr:uid="{00000000-0009-0000-0100-00007A000000}"/>
  <tableColumns count="1">
    <tableColumn id="1" xr3:uid="{00000000-0010-0000-7E00-000001000000}" name="В_F4_F0_5"/>
  </tableColumns>
  <tableStyleInfo name="TableStyleLight17" showFirstColumn="0" showLastColumn="0" showRowStripes="1" showColumnStripes="0"/>
</table>
</file>

<file path=xl/tables/table1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3" xr:uid="{00000000-000C-0000-FFFF-FFFF7F000000}" name="П_В_F4_F1_5" displayName="П_В_F4_F1_5" ref="AM17:AM23" totalsRowShown="0">
  <autoFilter ref="AM17:AM23" xr:uid="{00000000-0009-0000-0100-00007B000000}"/>
  <tableColumns count="1">
    <tableColumn id="1" xr3:uid="{00000000-0010-0000-7F00-000001000000}" name="В_F4_F1_5"/>
  </tableColumns>
  <tableStyleInfo name="TableStyleLight17" showFirstColumn="0" showLastColumn="0" showRowStripes="1" showColumnStripes="0"/>
</table>
</file>

<file path=xl/tables/table1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4" xr:uid="{00000000-000C-0000-FFFF-FFFF80000000}" name="П_В_F4_F2_5" displayName="П_В_F4_F2_5" ref="AN17:AN23" totalsRowShown="0">
  <autoFilter ref="AN17:AN23" xr:uid="{00000000-0009-0000-0100-00007C000000}"/>
  <tableColumns count="1">
    <tableColumn id="1" xr3:uid="{00000000-0010-0000-8000-000001000000}" name="В_F4_F2_5"/>
  </tableColumns>
  <tableStyleInfo name="TableStyleLight17" showFirstColumn="0" showLastColumn="0" showRowStripes="1" showColumnStripes="0"/>
</table>
</file>

<file path=xl/tables/table1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5" xr:uid="{00000000-000C-0000-FFFF-FFFF81000000}" name="П_В_F4_F3_5" displayName="П_В_F4_F3_5" ref="AO17:AO23" totalsRowShown="0">
  <autoFilter ref="AO17:AO23" xr:uid="{00000000-0009-0000-0100-00007D000000}"/>
  <tableColumns count="1">
    <tableColumn id="1" xr3:uid="{00000000-0010-0000-8100-000001000000}" name="В_F4_F3_5"/>
  </tableColumns>
  <tableStyleInfo name="TableStyleLight17" showFirstColumn="0" showLastColumn="0" showRowStripes="1" showColumnStripes="0"/>
</table>
</file>

<file path=xl/tables/table1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6" xr:uid="{00000000-000C-0000-FFFF-FFFF82000000}" name="П_В_F4_F4_5" displayName="П_В_F4_F4_5" ref="AP17:AP23" totalsRowShown="0">
  <autoFilter ref="AP17:AP23" xr:uid="{00000000-0009-0000-0100-00007E000000}"/>
  <tableColumns count="1">
    <tableColumn id="1" xr3:uid="{00000000-0010-0000-8200-000001000000}" name="В_F4_F4_5"/>
  </tableColumns>
  <tableStyleInfo name="TableStyleLight17" showFirstColumn="0" showLastColumn="0" showRowStripes="1" showColumnStripes="0"/>
</table>
</file>

<file path=xl/tables/table1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7" xr:uid="{00000000-000C-0000-FFFF-FFFF83000000}" name="П_В_F4_F5_5" displayName="П_В_F4_F5_5" ref="AQ17:AQ23" totalsRowShown="0">
  <autoFilter ref="AQ17:AQ23" xr:uid="{00000000-0009-0000-0100-00007F000000}"/>
  <tableColumns count="1">
    <tableColumn id="1" xr3:uid="{00000000-0010-0000-8300-000001000000}" name="В_F4_F5_5"/>
  </tableColumns>
  <tableStyleInfo name="TableStyleLight17" showFirstColumn="0" showLastColumn="0" showRowStripes="1" showColumnStripes="0"/>
</table>
</file>

<file path=xl/tables/table1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8" xr:uid="{00000000-000C-0000-FFFF-FFFF84000000}" name="П_В_F5_F0_5" displayName="П_В_F5_F0_5" ref="AR17:AR23" totalsRowShown="0">
  <autoFilter ref="AR17:AR23" xr:uid="{00000000-0009-0000-0100-000080000000}"/>
  <tableColumns count="1">
    <tableColumn id="1" xr3:uid="{00000000-0010-0000-8400-000001000000}" name="В_F5_F0_5"/>
  </tableColumns>
  <tableStyleInfo name="TableStyleLight19" showFirstColumn="0" showLastColumn="0" showRowStripes="1" showColumnStripes="0"/>
</table>
</file>

<file path=xl/tables/table1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9" xr:uid="{00000000-000C-0000-FFFF-FFFF85000000}" name="П_В_F5_F1_5" displayName="П_В_F5_F1_5" ref="AS17:AS23" totalsRowShown="0">
  <autoFilter ref="AS17:AS23" xr:uid="{00000000-0009-0000-0100-000081000000}"/>
  <tableColumns count="1">
    <tableColumn id="1" xr3:uid="{00000000-0010-0000-8500-000001000000}" name="В_F5_F1_5"/>
  </tableColumns>
  <tableStyleInfo name="TableStyleLight19" showFirstColumn="0" showLastColumn="0" showRowStripes="1" showColumnStripes="0"/>
</table>
</file>

<file path=xl/tables/table1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0" xr:uid="{00000000-000C-0000-FFFF-FFFF86000000}" name="П_В_F5_F2_5" displayName="П_В_F5_F2_5" ref="AT17:AT23" totalsRowShown="0">
  <autoFilter ref="AT17:AT23" xr:uid="{00000000-0009-0000-0100-000082000000}"/>
  <tableColumns count="1">
    <tableColumn id="1" xr3:uid="{00000000-0010-0000-8600-000001000000}" name="В_F5_F2_5"/>
  </tableColumns>
  <tableStyleInfo name="TableStyleLight19" showFirstColumn="0" showLastColumn="0" showRowStripes="1" showColumnStripes="0"/>
</table>
</file>

<file path=xl/tables/table1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1" xr:uid="{00000000-000C-0000-FFFF-FFFF87000000}" name="П_В_F5_F3_5" displayName="П_В_F5_F3_5" ref="AU17:AU23" totalsRowShown="0">
  <autoFilter ref="AU17:AU23" xr:uid="{00000000-0009-0000-0100-000083000000}"/>
  <tableColumns count="1">
    <tableColumn id="1" xr3:uid="{00000000-0010-0000-8700-000001000000}" name="В_F5_F3_5"/>
  </tableColumns>
  <tableStyleInfo name="TableStyleLight19" showFirstColumn="0" showLastColumn="0" showRowStripes="1" showColumnStripes="0"/>
</table>
</file>

<file path=xl/tables/table1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2" xr:uid="{00000000-000C-0000-FFFF-FFFF88000000}" name="П_В_F5_F4_5" displayName="П_В_F5_F4_5" ref="AV17:AV23" totalsRowShown="0">
  <autoFilter ref="AV17:AV23" xr:uid="{00000000-0009-0000-0100-000084000000}"/>
  <tableColumns count="1">
    <tableColumn id="1" xr3:uid="{00000000-0010-0000-8800-000001000000}" name="В_F5_F4_5"/>
  </tableColumns>
  <tableStyleInfo name="TableStyleLight19" showFirstColumn="0" showLastColumn="0" showRowStripes="1" showColumnStripes="0"/>
</table>
</file>

<file path=xl/tables/table1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3" xr:uid="{00000000-000C-0000-FFFF-FFFF89000000}" name="П_В_F5_F5_5" displayName="П_В_F5_F5_5" ref="AW17:AW23" totalsRowShown="0">
  <autoFilter ref="AW17:AW23" xr:uid="{00000000-0009-0000-0100-000085000000}"/>
  <tableColumns count="1">
    <tableColumn id="1" xr3:uid="{00000000-0010-0000-8900-000001000000}" name="В_F5_F5_5"/>
  </tableColumns>
  <tableStyleInfo name="TableStyleLight19" showFirstColumn="0" showLastColumn="0" showRowStripes="1" showColumnStripes="0"/>
</table>
</file>

<file path=xl/tables/table1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0" xr:uid="{00000000-000C-0000-FFFF-FFFF8A000000}" name="ПВF0F0_05" displayName="ПВF0F0_05" ref="N25:N31" totalsRowShown="0">
  <autoFilter ref="N25:N31" xr:uid="{00000000-0009-0000-0100-0000AA000000}">
    <filterColumn colId="0" hiddenButton="1"/>
  </autoFilter>
  <tableColumns count="1">
    <tableColumn id="1" xr3:uid="{00000000-0010-0000-8A00-000001000000}" name="ВF0F0_05"/>
  </tableColumns>
  <tableStyleInfo name="TableStyleLight17" showFirstColumn="0" showLastColumn="0" showRowStripes="1" showColumnStripes="0"/>
</table>
</file>

<file path=xl/tables/table1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1" xr:uid="{00000000-000C-0000-FFFF-FFFF8B000000}" name="ПВF0F1_05" displayName="ПВF0F1_05" ref="O25:O31" totalsRowShown="0">
  <autoFilter ref="O25:O31" xr:uid="{00000000-0009-0000-0100-0000AB000000}"/>
  <tableColumns count="1">
    <tableColumn id="1" xr3:uid="{00000000-0010-0000-8B00-000001000000}" name="ВF0F1_05"/>
  </tableColumns>
  <tableStyleInfo name="TableStyleLight17" showFirstColumn="0" showLastColumn="0" showRowStripes="1" showColumnStripes="0"/>
</table>
</file>

<file path=xl/tables/table1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2" xr:uid="{00000000-000C-0000-FFFF-FFFF8C000000}" name="ПВF0F2_05" displayName="ПВF0F2_05" ref="P25:P31" totalsRowShown="0">
  <autoFilter ref="P25:P31" xr:uid="{00000000-0009-0000-0100-0000AC000000}"/>
  <tableColumns count="1">
    <tableColumn id="1" xr3:uid="{00000000-0010-0000-8C00-000001000000}" name="ВF0F2_05"/>
  </tableColumns>
  <tableStyleInfo name="TableStyleLight17" showFirstColumn="0" showLastColumn="0" showRowStripes="1" showColumnStripes="0"/>
</table>
</file>

<file path=xl/tables/table1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3" xr:uid="{00000000-000C-0000-FFFF-FFFF8D000000}" name="ПВF0F3_05" displayName="ПВF0F3_05" ref="Q25:Q31" totalsRowShown="0">
  <autoFilter ref="Q25:Q31" xr:uid="{00000000-0009-0000-0100-0000AD000000}"/>
  <tableColumns count="1">
    <tableColumn id="1" xr3:uid="{00000000-0010-0000-8D00-000001000000}" name="ВF0F3_05"/>
  </tableColumns>
  <tableStyleInfo name="TableStyleLight17" showFirstColumn="0" showLastColumn="0" showRowStripes="1" showColumnStripes="0"/>
</table>
</file>

<file path=xl/tables/table1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4" xr:uid="{00000000-000C-0000-FFFF-FFFF8E000000}" name="ПВF0F4_05" displayName="ПВF0F4_05" ref="R25:R31" totalsRowShown="0">
  <autoFilter ref="R25:R31" xr:uid="{00000000-0009-0000-0100-0000AE000000}"/>
  <tableColumns count="1">
    <tableColumn id="1" xr3:uid="{00000000-0010-0000-8E00-000001000000}" name="ВF0F4_05"/>
  </tableColumns>
  <tableStyleInfo name="TableStyleLight17" showFirstColumn="0" showLastColumn="0" showRowStripes="1" showColumnStripes="0"/>
</table>
</file>

<file path=xl/tables/table1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5" xr:uid="{00000000-000C-0000-FFFF-FFFF8F000000}" name="ПВF0F5_05" displayName="ПВF0F5_05" ref="S25:S31" totalsRowShown="0">
  <autoFilter ref="S25:S31" xr:uid="{00000000-0009-0000-0100-0000AF000000}"/>
  <tableColumns count="1">
    <tableColumn id="1" xr3:uid="{00000000-0010-0000-8F00-000001000000}" name="ВF0F5_05"/>
  </tableColumns>
  <tableStyleInfo name="TableStyleLight17" showFirstColumn="0" showLastColumn="0" showRowStripes="1" showColumnStripes="0"/>
</table>
</file>

<file path=xl/tables/table1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6" xr:uid="{00000000-000C-0000-FFFF-FFFF90000000}" name="П­ВF1F0_05" displayName="П­ВF1F0_05" ref="T25:T31" totalsRowShown="0">
  <autoFilter ref="T25:T31" xr:uid="{00000000-0009-0000-0100-0000B0000000}"/>
  <tableColumns count="1">
    <tableColumn id="1" xr3:uid="{00000000-0010-0000-9000-000001000000}" name="ВF1F0_05"/>
  </tableColumns>
  <tableStyleInfo name="TableStyleLight19" showFirstColumn="0" showLastColumn="0" showRowStripes="1" showColumnStripes="0"/>
</table>
</file>

<file path=xl/tables/table1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7" xr:uid="{00000000-000C-0000-FFFF-FFFF91000000}" name="ПВF1F1_05" displayName="ПВF1F1_05" ref="U25:U31" totalsRowShown="0">
  <autoFilter ref="U25:U31" xr:uid="{00000000-0009-0000-0100-0000B1000000}"/>
  <tableColumns count="1">
    <tableColumn id="1" xr3:uid="{00000000-0010-0000-9100-000001000000}" name="ВF1F1_05"/>
  </tableColumns>
  <tableStyleInfo name="TableStyleLight19" showFirstColumn="0" showLastColumn="0" showRowStripes="1" showColumnStripes="0"/>
</table>
</file>

<file path=xl/tables/table1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8" xr:uid="{00000000-000C-0000-FFFF-FFFF92000000}" name="ПВF1F2_05" displayName="ПВF1F2_05" ref="V25:V31" totalsRowShown="0">
  <autoFilter ref="V25:V31" xr:uid="{00000000-0009-0000-0100-0000B2000000}"/>
  <tableColumns count="1">
    <tableColumn id="1" xr3:uid="{00000000-0010-0000-9200-000001000000}" name="ВF1F2_05"/>
  </tableColumns>
  <tableStyleInfo name="TableStyleLight19" showFirstColumn="0" showLastColumn="0" showRowStripes="1" showColumnStripes="0"/>
</table>
</file>

<file path=xl/tables/table1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9" xr:uid="{00000000-000C-0000-FFFF-FFFF93000000}" name="ПВF1F3_05" displayName="ПВF1F3_05" ref="W25:W31" totalsRowShown="0">
  <autoFilter ref="W25:W31" xr:uid="{00000000-0009-0000-0100-0000B3000000}"/>
  <tableColumns count="1">
    <tableColumn id="1" xr3:uid="{00000000-0010-0000-9300-000001000000}" name="ВF1F3_05"/>
  </tableColumns>
  <tableStyleInfo name="TableStyleLight19" showFirstColumn="0" showLastColumn="0" showRowStripes="1" showColumnStripes="0"/>
</table>
</file>

<file path=xl/tables/table1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0" xr:uid="{00000000-000C-0000-FFFF-FFFF94000000}" name="ПВF1F4_05" displayName="ПВF1F4_05" ref="X25:X31" totalsRowShown="0">
  <autoFilter ref="X25:X31" xr:uid="{00000000-0009-0000-0100-0000B4000000}"/>
  <tableColumns count="1">
    <tableColumn id="1" xr3:uid="{00000000-0010-0000-9400-000001000000}" name="ВF1F4_05"/>
  </tableColumns>
  <tableStyleInfo name="TableStyleLight19" showFirstColumn="0" showLastColumn="0" showRowStripes="1" showColumnStripes="0"/>
</table>
</file>

<file path=xl/tables/table1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1" xr:uid="{00000000-000C-0000-FFFF-FFFF95000000}" name="ПВF1F5_05" displayName="ПВF1F5_05" ref="Y25:Y31" totalsRowShown="0">
  <autoFilter ref="Y25:Y31" xr:uid="{00000000-0009-0000-0100-0000B5000000}"/>
  <tableColumns count="1">
    <tableColumn id="1" xr3:uid="{00000000-0010-0000-9500-000001000000}" name="ВF1F5_05"/>
  </tableColumns>
  <tableStyleInfo name="TableStyleLight19" showFirstColumn="0" showLastColumn="0" showRowStripes="1" showColumnStripes="0"/>
</table>
</file>

<file path=xl/tables/table1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2" xr:uid="{00000000-000C-0000-FFFF-FFFF96000000}" name="ПВF2F0_05" displayName="ПВF2F0_05" ref="Z25:Z31" totalsRowShown="0">
  <autoFilter ref="Z25:Z31" xr:uid="{00000000-0009-0000-0100-0000B6000000}"/>
  <tableColumns count="1">
    <tableColumn id="1" xr3:uid="{00000000-0010-0000-9600-000001000000}" name="ВF2F0_05"/>
  </tableColumns>
  <tableStyleInfo name="TableStyleLight17" showFirstColumn="0" showLastColumn="0" showRowStripes="1" showColumnStripes="0"/>
</table>
</file>

<file path=xl/tables/table1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3" xr:uid="{00000000-000C-0000-FFFF-FFFF97000000}" name="ПВF2F1_05" displayName="ПВF2F1_05" ref="AA25:AA31" totalsRowShown="0">
  <autoFilter ref="AA25:AA31" xr:uid="{00000000-0009-0000-0100-0000B7000000}"/>
  <tableColumns count="1">
    <tableColumn id="1" xr3:uid="{00000000-0010-0000-9700-000001000000}" name="ВF2F1_05"/>
  </tableColumns>
  <tableStyleInfo name="TableStyleLight17" showFirstColumn="0" showLastColumn="0" showRowStripes="1" showColumnStripes="0"/>
</table>
</file>

<file path=xl/tables/table1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4" xr:uid="{00000000-000C-0000-FFFF-FFFF98000000}" name="ПВF2F2_05" displayName="ПВF2F2_05" ref="AB25:AB31" totalsRowShown="0">
  <autoFilter ref="AB25:AB31" xr:uid="{00000000-0009-0000-0100-0000B8000000}"/>
  <tableColumns count="1">
    <tableColumn id="1" xr3:uid="{00000000-0010-0000-9800-000001000000}" name="ВF2F2_05"/>
  </tableColumns>
  <tableStyleInfo name="TableStyleLight17" showFirstColumn="0" showLastColumn="0" showRowStripes="1" showColumnStripes="0"/>
</table>
</file>

<file path=xl/tables/table1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5" xr:uid="{00000000-000C-0000-FFFF-FFFF99000000}" name="ПВF2F3_05" displayName="ПВF2F3_05" ref="AC25:AC31" totalsRowShown="0">
  <autoFilter ref="AC25:AC31" xr:uid="{00000000-0009-0000-0100-0000B9000000}"/>
  <tableColumns count="1">
    <tableColumn id="1" xr3:uid="{00000000-0010-0000-9900-000001000000}" name="ВF2F3_05"/>
  </tableColumns>
  <tableStyleInfo name="TableStyleLight17" showFirstColumn="0" showLastColumn="0" showRowStripes="1" showColumnStripes="0"/>
</table>
</file>

<file path=xl/tables/table1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6" xr:uid="{00000000-000C-0000-FFFF-FFFF9A000000}" name="ПВF2F4_05" displayName="ПВF2F4_05" ref="AD25:AD31" totalsRowShown="0">
  <autoFilter ref="AD25:AD31" xr:uid="{00000000-0009-0000-0100-0000BA000000}"/>
  <tableColumns count="1">
    <tableColumn id="1" xr3:uid="{00000000-0010-0000-9A00-000001000000}" name="ВF2F4_05"/>
  </tableColumns>
  <tableStyleInfo name="TableStyleLight17" showFirstColumn="0" showLastColumn="0" showRowStripes="1" showColumnStripes="0"/>
</table>
</file>

<file path=xl/tables/table1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7" xr:uid="{00000000-000C-0000-FFFF-FFFF9B000000}" name="ПВF2F5_05" displayName="ПВF2F5_05" ref="AE25:AE31" totalsRowShown="0">
  <autoFilter ref="AE25:AE31" xr:uid="{00000000-0009-0000-0100-0000BB000000}"/>
  <tableColumns count="1">
    <tableColumn id="1" xr3:uid="{00000000-0010-0000-9B00-000001000000}" name="ВF2F5_05"/>
  </tableColumns>
  <tableStyleInfo name="TableStyleLight17" showFirstColumn="0" showLastColumn="0" showRowStripes="1" showColumnStripes="0"/>
</table>
</file>

<file path=xl/tables/table1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8" xr:uid="{00000000-000C-0000-FFFF-FFFF9C000000}" name="ПВF3F0_05" displayName="ПВF3F0_05" ref="AF25:AF31" totalsRowShown="0">
  <autoFilter ref="AF25:AF31" xr:uid="{00000000-0009-0000-0100-0000BC000000}"/>
  <tableColumns count="1">
    <tableColumn id="1" xr3:uid="{00000000-0010-0000-9C00-000001000000}" name="ВF3F0_05"/>
  </tableColumns>
  <tableStyleInfo name="TableStyleLight19" showFirstColumn="0" showLastColumn="0" showRowStripes="1" showColumnStripes="0"/>
</table>
</file>

<file path=xl/tables/table1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9" xr:uid="{00000000-000C-0000-FFFF-FFFF9D000000}" name="ПВF3F1_05" displayName="ПВF3F1_05" ref="AG25:AG31" totalsRowShown="0">
  <autoFilter ref="AG25:AG31" xr:uid="{00000000-0009-0000-0100-0000BD000000}"/>
  <tableColumns count="1">
    <tableColumn id="1" xr3:uid="{00000000-0010-0000-9D00-000001000000}" name="ВF3F1_05"/>
  </tableColumns>
  <tableStyleInfo name="TableStyleLight19" showFirstColumn="0" showLastColumn="0" showRowStripes="1" showColumnStripes="0"/>
</table>
</file>

<file path=xl/tables/table1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0" xr:uid="{00000000-000C-0000-FFFF-FFFF9E000000}" name="ПВF3F2_05" displayName="ПВF3F2_05" ref="AH25:AH31" totalsRowShown="0">
  <autoFilter ref="AH25:AH31" xr:uid="{00000000-0009-0000-0100-0000BE000000}"/>
  <tableColumns count="1">
    <tableColumn id="1" xr3:uid="{00000000-0010-0000-9E00-000001000000}" name="ВF3F2_05"/>
  </tableColumns>
  <tableStyleInfo name="TableStyleLight19" showFirstColumn="0" showLastColumn="0" showRowStripes="1" showColumnStripes="0"/>
</table>
</file>

<file path=xl/tables/table1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1" xr:uid="{00000000-000C-0000-FFFF-FFFF9F000000}" name="ПВF3F3_05" displayName="ПВF3F3_05" ref="AI25:AI31" totalsRowShown="0">
  <autoFilter ref="AI25:AI31" xr:uid="{00000000-0009-0000-0100-0000BF000000}"/>
  <tableColumns count="1">
    <tableColumn id="1" xr3:uid="{00000000-0010-0000-9F00-000001000000}" name="ВF3F3_05"/>
  </tableColumns>
  <tableStyleInfo name="TableStyleLight19" showFirstColumn="0" showLastColumn="0" showRowStripes="1" showColumnStripes="0"/>
</table>
</file>

<file path=xl/tables/table1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2" xr:uid="{00000000-000C-0000-FFFF-FFFFA0000000}" name="ПВF3F4_05" displayName="ПВF3F4_05" ref="AJ25:AJ31" totalsRowShown="0">
  <autoFilter ref="AJ25:AJ31" xr:uid="{00000000-0009-0000-0100-0000C0000000}"/>
  <tableColumns count="1">
    <tableColumn id="1" xr3:uid="{00000000-0010-0000-A000-000001000000}" name="ВF3F4_05"/>
  </tableColumns>
  <tableStyleInfo name="TableStyleLight19" showFirstColumn="0" showLastColumn="0" showRowStripes="1" showColumnStripes="0"/>
</table>
</file>

<file path=xl/tables/table1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3" xr:uid="{00000000-000C-0000-FFFF-FFFFA1000000}" name="ПВF3F5_05" displayName="ПВF3F5_05" ref="AK25:AK31" totalsRowShown="0">
  <autoFilter ref="AK25:AK31" xr:uid="{00000000-0009-0000-0100-0000C1000000}"/>
  <tableColumns count="1">
    <tableColumn id="1" xr3:uid="{00000000-0010-0000-A100-000001000000}" name="ВF3F5_05"/>
  </tableColumns>
  <tableStyleInfo name="TableStyleLight19" showFirstColumn="0" showLastColumn="0" showRowStripes="1" showColumnStripes="0"/>
</table>
</file>

<file path=xl/tables/table1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4" xr:uid="{00000000-000C-0000-FFFF-FFFFA2000000}" name="ПВF4F0_05" displayName="ПВF4F0_05" ref="AL25:AL31" totalsRowShown="0">
  <autoFilter ref="AL25:AL31" xr:uid="{00000000-0009-0000-0100-0000C2000000}"/>
  <tableColumns count="1">
    <tableColumn id="1" xr3:uid="{00000000-0010-0000-A200-000001000000}" name="ВF4F0_05"/>
  </tableColumns>
  <tableStyleInfo name="TableStyleLight17" showFirstColumn="0" showLastColumn="0" showRowStripes="1" showColumnStripes="0"/>
</table>
</file>

<file path=xl/tables/table1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5" xr:uid="{00000000-000C-0000-FFFF-FFFFA3000000}" name="ПВF4F1_05" displayName="ПВF4F1_05" ref="AM25:AM31" totalsRowShown="0">
  <autoFilter ref="AM25:AM31" xr:uid="{00000000-0009-0000-0100-0000C3000000}"/>
  <tableColumns count="1">
    <tableColumn id="1" xr3:uid="{00000000-0010-0000-A300-000001000000}" name="ВF4F1_05"/>
  </tableColumns>
  <tableStyleInfo name="TableStyleLight17" showFirstColumn="0" showLastColumn="0" showRowStripes="1" showColumnStripes="0"/>
</table>
</file>

<file path=xl/tables/table1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6" xr:uid="{00000000-000C-0000-FFFF-FFFFA4000000}" name="ПВF4F2_05" displayName="ПВF4F2_05" ref="AN25:AN31" totalsRowShown="0">
  <autoFilter ref="AN25:AN31" xr:uid="{00000000-0009-0000-0100-0000C4000000}"/>
  <tableColumns count="1">
    <tableColumn id="1" xr3:uid="{00000000-0010-0000-A400-000001000000}" name="ВF4F2_05"/>
  </tableColumns>
  <tableStyleInfo name="TableStyleLight17" showFirstColumn="0" showLastColumn="0" showRowStripes="1" showColumnStripes="0"/>
</table>
</file>

<file path=xl/tables/table1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7" xr:uid="{00000000-000C-0000-FFFF-FFFFA5000000}" name="ПВF4F3_05" displayName="ПВF4F3_05" ref="AO25:AO31" totalsRowShown="0">
  <autoFilter ref="AO25:AO31" xr:uid="{00000000-0009-0000-0100-0000C5000000}"/>
  <tableColumns count="1">
    <tableColumn id="1" xr3:uid="{00000000-0010-0000-A500-000001000000}" name="ВF4F3_05"/>
  </tableColumns>
  <tableStyleInfo name="TableStyleLight17" showFirstColumn="0" showLastColumn="0" showRowStripes="1" showColumnStripes="0"/>
</table>
</file>

<file path=xl/tables/table1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8" xr:uid="{00000000-000C-0000-FFFF-FFFFA6000000}" name="ПВF4F4_05" displayName="ПВF4F4_05" ref="AP25:AP31" totalsRowShown="0">
  <autoFilter ref="AP25:AP31" xr:uid="{00000000-0009-0000-0100-0000C6000000}"/>
  <tableColumns count="1">
    <tableColumn id="1" xr3:uid="{00000000-0010-0000-A600-000001000000}" name="ВF4F4_05"/>
  </tableColumns>
  <tableStyleInfo name="TableStyleLight17" showFirstColumn="0" showLastColumn="0" showRowStripes="1" showColumnStripes="0"/>
</table>
</file>

<file path=xl/tables/table1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9" xr:uid="{00000000-000C-0000-FFFF-FFFFA7000000}" name="ПВF4F5_05" displayName="ПВF4F5_05" ref="AQ25:AQ31" totalsRowShown="0">
  <autoFilter ref="AQ25:AQ31" xr:uid="{00000000-0009-0000-0100-0000C7000000}"/>
  <tableColumns count="1">
    <tableColumn id="1" xr3:uid="{00000000-0010-0000-A700-000001000000}" name="ВF4F5_05"/>
  </tableColumns>
  <tableStyleInfo name="TableStyleLight17" showFirstColumn="0" showLastColumn="0" showRowStripes="1" showColumnStripes="0"/>
</table>
</file>

<file path=xl/tables/table1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0" xr:uid="{00000000-000C-0000-FFFF-FFFFA8000000}" name="ПВF5F0_05" displayName="ПВF5F0_05" ref="AR25:AR31" totalsRowShown="0">
  <autoFilter ref="AR25:AR31" xr:uid="{00000000-0009-0000-0100-0000C8000000}"/>
  <tableColumns count="1">
    <tableColumn id="1" xr3:uid="{00000000-0010-0000-A800-000001000000}" name="ВF5F0_05"/>
  </tableColumns>
  <tableStyleInfo name="TableStyleLight19" showFirstColumn="0" showLastColumn="0" showRowStripes="1" showColumnStripes="0"/>
</table>
</file>

<file path=xl/tables/table1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1" xr:uid="{00000000-000C-0000-FFFF-FFFFA9000000}" name="ПВF5F1_05" displayName="ПВF5F1_05" ref="AS25:AS31" totalsRowShown="0">
  <autoFilter ref="AS25:AS31" xr:uid="{00000000-0009-0000-0100-0000C9000000}"/>
  <tableColumns count="1">
    <tableColumn id="1" xr3:uid="{00000000-0010-0000-A900-000001000000}" name="ВF5F1_05"/>
  </tableColumns>
  <tableStyleInfo name="TableStyleLight19" showFirstColumn="0" showLastColumn="0" showRowStripes="1" showColumnStripes="0"/>
</table>
</file>

<file path=xl/tables/table1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2" xr:uid="{00000000-000C-0000-FFFF-FFFFAA000000}" name="ПВF5F2_05" displayName="ПВF5F2_05" ref="AT25:AT31" totalsRowShown="0">
  <autoFilter ref="AT25:AT31" xr:uid="{00000000-0009-0000-0100-0000CA000000}"/>
  <tableColumns count="1">
    <tableColumn id="1" xr3:uid="{00000000-0010-0000-AA00-000001000000}" name="ВF5F2_05"/>
  </tableColumns>
  <tableStyleInfo name="TableStyleLight19" showFirstColumn="0" showLastColumn="0" showRowStripes="1" showColumnStripes="0"/>
</table>
</file>

<file path=xl/tables/table1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3" xr:uid="{00000000-000C-0000-FFFF-FFFFAB000000}" name="ПВF5F3_05" displayName="ПВF5F3_05" ref="AU25:AU31" totalsRowShown="0">
  <autoFilter ref="AU25:AU31" xr:uid="{00000000-0009-0000-0100-0000CB000000}"/>
  <tableColumns count="1">
    <tableColumn id="1" xr3:uid="{00000000-0010-0000-AB00-000001000000}" name="ВF5F3_05"/>
  </tableColumns>
  <tableStyleInfo name="TableStyleLight19" showFirstColumn="0" showLastColumn="0" showRowStripes="1" showColumnStripes="0"/>
</table>
</file>

<file path=xl/tables/table1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4" xr:uid="{00000000-000C-0000-FFFF-FFFFAC000000}" name="ПВF5F4_05" displayName="ПВF5F4_05" ref="AV25:AV31" totalsRowShown="0">
  <autoFilter ref="AV25:AV31" xr:uid="{00000000-0009-0000-0100-0000CC000000}"/>
  <tableColumns count="1">
    <tableColumn id="1" xr3:uid="{00000000-0010-0000-AC00-000001000000}" name="ВF5F4_05"/>
  </tableColumns>
  <tableStyleInfo name="TableStyleLight19" showFirstColumn="0" showLastColumn="0" showRowStripes="1" showColumnStripes="0"/>
</table>
</file>

<file path=xl/tables/table1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5" xr:uid="{00000000-000C-0000-FFFF-FFFFAD000000}" name="ПВF5F5_05" displayName="ПВF5F5_05" ref="AW25:AW31" totalsRowShown="0">
  <autoFilter ref="AW25:AW31" xr:uid="{00000000-0009-0000-0100-0000CD000000}"/>
  <tableColumns count="1">
    <tableColumn id="1" xr3:uid="{00000000-0010-0000-AD00-000001000000}" name="ВF5F5_05"/>
  </tableColumns>
  <tableStyleInfo name="TableStyleLight19" showFirstColumn="0" showLastColumn="0" showRowStripes="1" showColumnStripes="0"/>
</table>
</file>

<file path=xl/tables/table1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AE000000}" name="П_В_F0_F0т0" displayName="П_В_F0_F0т0" ref="N33:N39" totalsRowShown="0">
  <autoFilter ref="N33:N39" xr:uid="{00000000-0009-0000-0100-000007000000}">
    <filterColumn colId="0" hiddenButton="1"/>
  </autoFilter>
  <tableColumns count="1">
    <tableColumn id="1" xr3:uid="{00000000-0010-0000-AE00-000001000000}" name="В_F0_F0т0"/>
  </tableColumns>
  <tableStyleInfo name="TableStyleLight17" showFirstColumn="0" showLastColumn="0" showRowStripes="1" showColumnStripes="0"/>
</table>
</file>

<file path=xl/tables/table1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AF000000}" name="П_В_F0_F1т0" displayName="П_В_F0_F1т0" ref="O33:O39" totalsRowShown="0">
  <autoFilter ref="O33:O39" xr:uid="{00000000-0009-0000-0100-000008000000}"/>
  <tableColumns count="1">
    <tableColumn id="1" xr3:uid="{00000000-0010-0000-AF00-000001000000}" name="В_F0_F1т0"/>
  </tableColumns>
  <tableStyleInfo name="TableStyleLight17" showFirstColumn="0" showLastColumn="0" showRowStripes="1" showColumnStripes="0"/>
</table>
</file>

<file path=xl/tables/table1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B0000000}" name="П_В_F0_F2т0" displayName="П_В_F0_F2т0" ref="P33:P39" totalsRowShown="0">
  <autoFilter ref="P33:P39" xr:uid="{00000000-0009-0000-0100-000009000000}"/>
  <tableColumns count="1">
    <tableColumn id="1" xr3:uid="{00000000-0010-0000-B000-000001000000}" name="В_F0_F2т0"/>
  </tableColumns>
  <tableStyleInfo name="TableStyleLight17" showFirstColumn="0" showLastColumn="0" showRowStripes="1" showColumnStripes="0"/>
</table>
</file>

<file path=xl/tables/table1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B1000000}" name="П_В_F0_F3т0" displayName="П_В_F0_F3т0" ref="Q33:Q39" totalsRowShown="0">
  <autoFilter ref="Q33:Q39" xr:uid="{00000000-0009-0000-0100-00000A000000}"/>
  <tableColumns count="1">
    <tableColumn id="1" xr3:uid="{00000000-0010-0000-B100-000001000000}" name="В_F0_F3т0"/>
  </tableColumns>
  <tableStyleInfo name="TableStyleLight17" showFirstColumn="0" showLastColumn="0" showRowStripes="1" showColumnStripes="0"/>
</table>
</file>

<file path=xl/tables/table1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B2000000}" name="П_В_F0_F4т0" displayName="П_В_F0_F4т0" ref="R33:R39" totalsRowShown="0">
  <autoFilter ref="R33:R39" xr:uid="{00000000-0009-0000-0100-000012000000}"/>
  <tableColumns count="1">
    <tableColumn id="1" xr3:uid="{00000000-0010-0000-B200-000001000000}" name="В_F0_F4т0"/>
  </tableColumns>
  <tableStyleInfo name="TableStyleLight17" showFirstColumn="0" showLastColumn="0" showRowStripes="1" showColumnStripes="0"/>
</table>
</file>

<file path=xl/tables/table1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B3000000}" name="П_В_F0_F5т0" displayName="П_В_F0_F5т0" ref="S33:S39" totalsRowShown="0">
  <autoFilter ref="S33:S39" xr:uid="{00000000-0009-0000-0100-00002F000000}"/>
  <tableColumns count="1">
    <tableColumn id="1" xr3:uid="{00000000-0010-0000-B300-000001000000}" name="В_F0_F5т0"/>
  </tableColumns>
  <tableStyleInfo name="TableStyleLight17" showFirstColumn="0" showLastColumn="0" showRowStripes="1" showColumnStripes="0"/>
</table>
</file>

<file path=xl/tables/table1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00000000-000C-0000-FFFF-FFFFB4000000}" name="П­_В_F1_F0т0" displayName="П­_В_F1_F0т0" ref="T33:T39" totalsRowShown="0">
  <autoFilter ref="T33:T39" xr:uid="{00000000-0009-0000-0100-000086000000}"/>
  <tableColumns count="1">
    <tableColumn id="1" xr3:uid="{00000000-0010-0000-B400-000001000000}" name="В_F1_F0т0"/>
  </tableColumns>
  <tableStyleInfo name="TableStyleLight19" showFirstColumn="0" showLastColumn="0" showRowStripes="1" showColumnStripes="0"/>
</table>
</file>

<file path=xl/tables/table1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00000000-000C-0000-FFFF-FFFFB5000000}" name="П_В_F1_F1т0" displayName="П_В_F1_F1т0" ref="U33:U39" totalsRowShown="0">
  <autoFilter ref="U33:U39" xr:uid="{00000000-0009-0000-0100-000087000000}"/>
  <tableColumns count="1">
    <tableColumn id="1" xr3:uid="{00000000-0010-0000-B500-000001000000}" name="В_F1_F1т0"/>
  </tableColumns>
  <tableStyleInfo name="TableStyleLight19" showFirstColumn="0" showLastColumn="0" showRowStripes="1" showColumnStripes="0"/>
</table>
</file>

<file path=xl/tables/table1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00000000-000C-0000-FFFF-FFFFB6000000}" name="П_В_F1_F2т0" displayName="П_В_F1_F2т0" ref="V33:V39" totalsRowShown="0">
  <autoFilter ref="V33:V39" xr:uid="{00000000-0009-0000-0100-000088000000}"/>
  <tableColumns count="1">
    <tableColumn id="1" xr3:uid="{00000000-0010-0000-B600-000001000000}" name="В_F1_F2т0"/>
  </tableColumns>
  <tableStyleInfo name="TableStyleLight19" showFirstColumn="0" showLastColumn="0" showRowStripes="1" showColumnStripes="0"/>
</table>
</file>

<file path=xl/tables/table1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7" xr:uid="{00000000-000C-0000-FFFF-FFFFB7000000}" name="П_В_F1_F3т0" displayName="П_В_F1_F3т0" ref="W33:W39" totalsRowShown="0">
  <autoFilter ref="W33:W39" xr:uid="{00000000-0009-0000-0100-000089000000}"/>
  <tableColumns count="1">
    <tableColumn id="1" xr3:uid="{00000000-0010-0000-B700-000001000000}" name="В_F1_F3т0"/>
  </tableColumns>
  <tableStyleInfo name="TableStyleLight19" showFirstColumn="0" showLastColumn="0" showRowStripes="1" showColumnStripes="0"/>
</table>
</file>

<file path=xl/tables/table1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8" xr:uid="{00000000-000C-0000-FFFF-FFFFB8000000}" name="П_В_F1_F4т0" displayName="П_В_F1_F4т0" ref="X33:X39" totalsRowShown="0">
  <autoFilter ref="X33:X39" xr:uid="{00000000-0009-0000-0100-00008A000000}"/>
  <tableColumns count="1">
    <tableColumn id="1" xr3:uid="{00000000-0010-0000-B800-000001000000}" name="В_F1_F4т0"/>
  </tableColumns>
  <tableStyleInfo name="TableStyleLight19" showFirstColumn="0" showLastColumn="0" showRowStripes="1" showColumnStripes="0"/>
</table>
</file>

<file path=xl/tables/table1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9" xr:uid="{00000000-000C-0000-FFFF-FFFFB9000000}" name="П_В_F1_F5т0" displayName="П_В_F1_F5т0" ref="Y33:Y39" totalsRowShown="0">
  <autoFilter ref="Y33:Y39" xr:uid="{00000000-0009-0000-0100-00008B000000}"/>
  <tableColumns count="1">
    <tableColumn id="1" xr3:uid="{00000000-0010-0000-B900-000001000000}" name="В_F1_F5т0"/>
  </tableColumns>
  <tableStyleInfo name="TableStyleLight19" showFirstColumn="0" showLastColumn="0" showRowStripes="1" showColumnStripes="0"/>
</table>
</file>

<file path=xl/tables/table1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0" xr:uid="{00000000-000C-0000-FFFF-FFFFBA000000}" name="П_В_F2_F0т0" displayName="П_В_F2_F0т0" ref="Z33:Z39" totalsRowShown="0">
  <autoFilter ref="Z33:Z39" xr:uid="{00000000-0009-0000-0100-00008C000000}"/>
  <tableColumns count="1">
    <tableColumn id="1" xr3:uid="{00000000-0010-0000-BA00-000001000000}" name="В_F2_F0т0"/>
  </tableColumns>
  <tableStyleInfo name="TableStyleLight17" showFirstColumn="0" showLastColumn="0" showRowStripes="1" showColumnStripes="0"/>
</table>
</file>

<file path=xl/tables/table1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1" xr:uid="{00000000-000C-0000-FFFF-FFFFBB000000}" name="П_В_F2_F1т0" displayName="П_В_F2_F1т0" ref="AA33:AA39" totalsRowShown="0">
  <autoFilter ref="AA33:AA39" xr:uid="{00000000-0009-0000-0100-00008D000000}"/>
  <tableColumns count="1">
    <tableColumn id="1" xr3:uid="{00000000-0010-0000-BB00-000001000000}" name="В_F2_F1т0"/>
  </tableColumns>
  <tableStyleInfo name="TableStyleLight17" showFirstColumn="0" showLastColumn="0" showRowStripes="1" showColumnStripes="0"/>
</table>
</file>

<file path=xl/tables/table1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2" xr:uid="{00000000-000C-0000-FFFF-FFFFBC000000}" name="П_В_F2_F2т0" displayName="П_В_F2_F2т0" ref="AB33:AB39" totalsRowShown="0">
  <autoFilter ref="AB33:AB39" xr:uid="{00000000-0009-0000-0100-00008E000000}"/>
  <tableColumns count="1">
    <tableColumn id="1" xr3:uid="{00000000-0010-0000-BC00-000001000000}" name="В_F2_F2т0"/>
  </tableColumns>
  <tableStyleInfo name="TableStyleLight17" showFirstColumn="0" showLastColumn="0" showRowStripes="1" showColumnStripes="0"/>
</table>
</file>

<file path=xl/tables/table1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3" xr:uid="{00000000-000C-0000-FFFF-FFFFBD000000}" name="П_В_F2_F3т0" displayName="П_В_F2_F3т0" ref="AC33:AC39" totalsRowShown="0">
  <autoFilter ref="AC33:AC39" xr:uid="{00000000-0009-0000-0100-00008F000000}"/>
  <tableColumns count="1">
    <tableColumn id="1" xr3:uid="{00000000-0010-0000-BD00-000001000000}" name="В_F2_F3т0"/>
  </tableColumns>
  <tableStyleInfo name="TableStyleLight17" showFirstColumn="0" showLastColumn="0" showRowStripes="1" showColumnStripes="0"/>
</table>
</file>

<file path=xl/tables/table1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4" xr:uid="{00000000-000C-0000-FFFF-FFFFBE000000}" name="П_В_F2_F4т0" displayName="П_В_F2_F4т0" ref="AD33:AD39" totalsRowShown="0">
  <autoFilter ref="AD33:AD39" xr:uid="{00000000-0009-0000-0100-000090000000}"/>
  <tableColumns count="1">
    <tableColumn id="1" xr3:uid="{00000000-0010-0000-BE00-000001000000}" name="В_F2_F4т0"/>
  </tableColumns>
  <tableStyleInfo name="TableStyleLight17" showFirstColumn="0" showLastColumn="0" showRowStripes="1" showColumnStripes="0"/>
</table>
</file>

<file path=xl/tables/table19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5" xr:uid="{00000000-000C-0000-FFFF-FFFFBF000000}" name="П_В_F2_F5т0" displayName="П_В_F2_F5т0" ref="AE33:AE39" totalsRowShown="0">
  <autoFilter ref="AE33:AE39" xr:uid="{00000000-0009-0000-0100-000091000000}"/>
  <tableColumns count="1">
    <tableColumn id="1" xr3:uid="{00000000-0010-0000-BF00-000001000000}" name="В_F2_F5т0"/>
  </tableColumns>
  <tableStyleInfo name="TableStyleLight17" showFirstColumn="0" showLastColumn="0" showRowStripes="1" showColumnStripes="0"/>
</table>
</file>

<file path=xl/tables/table19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6" xr:uid="{00000000-000C-0000-FFFF-FFFFC0000000}" name="П_В_F3_F0т0" displayName="П_В_F3_F0т0" ref="AF33:AF39" totalsRowShown="0">
  <autoFilter ref="AF33:AF39" xr:uid="{00000000-0009-0000-0100-000092000000}"/>
  <tableColumns count="1">
    <tableColumn id="1" xr3:uid="{00000000-0010-0000-C000-000001000000}" name="В_F3_F0т0"/>
  </tableColumns>
  <tableStyleInfo name="TableStyleLight19" showFirstColumn="0" showLastColumn="0" showRowStripes="1" showColumnStripes="0"/>
</table>
</file>

<file path=xl/tables/table19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7" xr:uid="{00000000-000C-0000-FFFF-FFFFC1000000}" name="П_В_F3_F1т0" displayName="П_В_F3_F1т0" ref="AG33:AG39" totalsRowShown="0">
  <autoFilter ref="AG33:AG39" xr:uid="{00000000-0009-0000-0100-000093000000}"/>
  <tableColumns count="1">
    <tableColumn id="1" xr3:uid="{00000000-0010-0000-C100-000001000000}" name="В_F3_F1т0"/>
  </tableColumns>
  <tableStyleInfo name="TableStyleLight19" showFirstColumn="0" showLastColumn="0" showRowStripes="1" showColumnStripes="0"/>
</table>
</file>

<file path=xl/tables/table19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8" xr:uid="{00000000-000C-0000-FFFF-FFFFC2000000}" name="П_В_F3_F2т0" displayName="П_В_F3_F2т0" ref="AH33:AH39" totalsRowShown="0">
  <autoFilter ref="AH33:AH39" xr:uid="{00000000-0009-0000-0100-000094000000}"/>
  <tableColumns count="1">
    <tableColumn id="1" xr3:uid="{00000000-0010-0000-C200-000001000000}" name="В_F3_F2т0"/>
  </tableColumns>
  <tableStyleInfo name="TableStyleLight19" showFirstColumn="0" showLastColumn="0" showRowStripes="1" showColumnStripes="0"/>
</table>
</file>

<file path=xl/tables/table20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9" xr:uid="{00000000-000C-0000-FFFF-FFFFC3000000}" name="П_В_F3_F3т0" displayName="П_В_F3_F3т0" ref="AI33:AI39" totalsRowShown="0">
  <autoFilter ref="AI33:AI39" xr:uid="{00000000-0009-0000-0100-000095000000}"/>
  <tableColumns count="1">
    <tableColumn id="1" xr3:uid="{00000000-0010-0000-C300-000001000000}" name="В_F3_F3т0"/>
  </tableColumns>
  <tableStyleInfo name="TableStyleLight19" showFirstColumn="0" showLastColumn="0" showRowStripes="1" showColumnStripes="0"/>
</table>
</file>

<file path=xl/tables/table20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0" xr:uid="{00000000-000C-0000-FFFF-FFFFC4000000}" name="П_В_F3_F4т0" displayName="П_В_F3_F4т0" ref="AJ33:AJ39" totalsRowShown="0">
  <autoFilter ref="AJ33:AJ39" xr:uid="{00000000-0009-0000-0100-000096000000}"/>
  <tableColumns count="1">
    <tableColumn id="1" xr3:uid="{00000000-0010-0000-C400-000001000000}" name="В_F3_F4т0"/>
  </tableColumns>
  <tableStyleInfo name="TableStyleLight19" showFirstColumn="0" showLastColumn="0" showRowStripes="1" showColumnStripes="0"/>
</table>
</file>

<file path=xl/tables/table20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1" xr:uid="{00000000-000C-0000-FFFF-FFFFC5000000}" name="П_В_F3_F5т0" displayName="П_В_F3_F5т0" ref="AK33:AK39" totalsRowShown="0">
  <autoFilter ref="AK33:AK39" xr:uid="{00000000-0009-0000-0100-000097000000}"/>
  <tableColumns count="1">
    <tableColumn id="1" xr3:uid="{00000000-0010-0000-C500-000001000000}" name="В_F3_F5т0"/>
  </tableColumns>
  <tableStyleInfo name="TableStyleLight19" showFirstColumn="0" showLastColumn="0" showRowStripes="1" showColumnStripes="0"/>
</table>
</file>

<file path=xl/tables/table20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2" xr:uid="{00000000-000C-0000-FFFF-FFFFC6000000}" name="П_В_F4_F0т0" displayName="П_В_F4_F0т0" ref="AL33:AL39" totalsRowShown="0">
  <autoFilter ref="AL33:AL39" xr:uid="{00000000-0009-0000-0100-000098000000}"/>
  <tableColumns count="1">
    <tableColumn id="1" xr3:uid="{00000000-0010-0000-C600-000001000000}" name="В_F4_F0т0"/>
  </tableColumns>
  <tableStyleInfo name="TableStyleLight17" showFirstColumn="0" showLastColumn="0" showRowStripes="1" showColumnStripes="0"/>
</table>
</file>

<file path=xl/tables/table20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3" xr:uid="{00000000-000C-0000-FFFF-FFFFC7000000}" name="П_В_F4_F1т0" displayName="П_В_F4_F1т0" ref="AM33:AM39" totalsRowShown="0">
  <autoFilter ref="AM33:AM39" xr:uid="{00000000-0009-0000-0100-000099000000}"/>
  <tableColumns count="1">
    <tableColumn id="1" xr3:uid="{00000000-0010-0000-C700-000001000000}" name="В_F4_F1т0"/>
  </tableColumns>
  <tableStyleInfo name="TableStyleLight17" showFirstColumn="0" showLastColumn="0" showRowStripes="1" showColumnStripes="0"/>
</table>
</file>

<file path=xl/tables/table20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4" xr:uid="{00000000-000C-0000-FFFF-FFFFC8000000}" name="П_В_F4_F2т0" displayName="П_В_F4_F2т0" ref="AN33:AN39" totalsRowShown="0">
  <autoFilter ref="AN33:AN39" xr:uid="{00000000-0009-0000-0100-00009A000000}"/>
  <tableColumns count="1">
    <tableColumn id="1" xr3:uid="{00000000-0010-0000-C800-000001000000}" name="В_F4_F2т0"/>
  </tableColumns>
  <tableStyleInfo name="TableStyleLight17" showFirstColumn="0" showLastColumn="0" showRowStripes="1" showColumnStripes="0"/>
</table>
</file>

<file path=xl/tables/table20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5" xr:uid="{00000000-000C-0000-FFFF-FFFFC9000000}" name="П_В_F4_F3т0" displayName="П_В_F4_F3т0" ref="AO33:AO39" totalsRowShown="0">
  <autoFilter ref="AO33:AO39" xr:uid="{00000000-0009-0000-0100-00009B000000}"/>
  <tableColumns count="1">
    <tableColumn id="1" xr3:uid="{00000000-0010-0000-C900-000001000000}" name="В_F4_F3т0"/>
  </tableColumns>
  <tableStyleInfo name="TableStyleLight17" showFirstColumn="0" showLastColumn="0" showRowStripes="1" showColumnStripes="0"/>
</table>
</file>

<file path=xl/tables/table20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6" xr:uid="{00000000-000C-0000-FFFF-FFFFCA000000}" name="П_В_F4_F4т0" displayName="П_В_F4_F4т0" ref="AP33:AP39" totalsRowShown="0">
  <autoFilter ref="AP33:AP39" xr:uid="{00000000-0009-0000-0100-00009C000000}"/>
  <tableColumns count="1">
    <tableColumn id="1" xr3:uid="{00000000-0010-0000-CA00-000001000000}" name="В_F4_F4т0"/>
  </tableColumns>
  <tableStyleInfo name="TableStyleLight17" showFirstColumn="0" showLastColumn="0" showRowStripes="1" showColumnStripes="0"/>
</table>
</file>

<file path=xl/tables/table20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7" xr:uid="{00000000-000C-0000-FFFF-FFFFCB000000}" name="П_В_F4_F5т0" displayName="П_В_F4_F5т0" ref="AQ33:AQ39" totalsRowShown="0">
  <autoFilter ref="AQ33:AQ39" xr:uid="{00000000-0009-0000-0100-00009D000000}"/>
  <tableColumns count="1">
    <tableColumn id="1" xr3:uid="{00000000-0010-0000-CB00-000001000000}" name="В_F4_F5т0"/>
  </tableColumns>
  <tableStyleInfo name="TableStyleLight17" showFirstColumn="0" showLastColumn="0" showRowStripes="1" showColumnStripes="0"/>
</table>
</file>

<file path=xl/tables/table20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8" xr:uid="{00000000-000C-0000-FFFF-FFFFCC000000}" name="П_В_F5_F0т0" displayName="П_В_F5_F0т0" ref="AR33:AR39" totalsRowShown="0">
  <autoFilter ref="AR33:AR39" xr:uid="{00000000-0009-0000-0100-00009E000000}"/>
  <tableColumns count="1">
    <tableColumn id="1" xr3:uid="{00000000-0010-0000-CC00-000001000000}" name="В_F5_F0т0"/>
  </tableColumns>
  <tableStyleInfo name="TableStyleLight19" showFirstColumn="0" showLastColumn="0" showRowStripes="1" showColumnStripes="0"/>
</table>
</file>

<file path=xl/tables/table2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9" xr:uid="{00000000-000C-0000-FFFF-FFFFCD000000}" name="П_В_F5_F1т0" displayName="П_В_F5_F1т0" ref="AS33:AS39" totalsRowShown="0">
  <autoFilter ref="AS33:AS39" xr:uid="{00000000-0009-0000-0100-00009F000000}"/>
  <tableColumns count="1">
    <tableColumn id="1" xr3:uid="{00000000-0010-0000-CD00-000001000000}" name="В_F5_F1т0"/>
  </tableColumns>
  <tableStyleInfo name="TableStyleLight19" showFirstColumn="0" showLastColumn="0" showRowStripes="1" showColumnStripes="0"/>
</table>
</file>

<file path=xl/tables/table2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0" xr:uid="{00000000-000C-0000-FFFF-FFFFCE000000}" name="П_В_F5_F2т0" displayName="П_В_F5_F2т0" ref="AT33:AT39" totalsRowShown="0">
  <autoFilter ref="AT33:AT39" xr:uid="{00000000-0009-0000-0100-0000A0000000}"/>
  <tableColumns count="1">
    <tableColumn id="1" xr3:uid="{00000000-0010-0000-CE00-000001000000}" name="В_F5_F2т0"/>
  </tableColumns>
  <tableStyleInfo name="TableStyleLight19" showFirstColumn="0" showLastColumn="0" showRowStripes="1" showColumnStripes="0"/>
</table>
</file>

<file path=xl/tables/table2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1" xr:uid="{00000000-000C-0000-FFFF-FFFFCF000000}" name="П_В_F5_F3т0" displayName="П_В_F5_F3т0" ref="AU33:AU39" totalsRowShown="0">
  <autoFilter ref="AU33:AU39" xr:uid="{00000000-0009-0000-0100-0000A1000000}"/>
  <tableColumns count="1">
    <tableColumn id="1" xr3:uid="{00000000-0010-0000-CF00-000001000000}" name="В_F5_F3т0"/>
  </tableColumns>
  <tableStyleInfo name="TableStyleLight19" showFirstColumn="0" showLastColumn="0" showRowStripes="1" showColumnStripes="0"/>
</table>
</file>

<file path=xl/tables/table2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2" xr:uid="{00000000-000C-0000-FFFF-FFFFD0000000}" name="П_В_F5_F4т0" displayName="П_В_F5_F4т0" ref="AV33:AV39" totalsRowShown="0">
  <autoFilter ref="AV33:AV39" xr:uid="{00000000-0009-0000-0100-0000A2000000}"/>
  <tableColumns count="1">
    <tableColumn id="1" xr3:uid="{00000000-0010-0000-D000-000001000000}" name="В_F5_F4т0"/>
  </tableColumns>
  <tableStyleInfo name="TableStyleLight19" showFirstColumn="0" showLastColumn="0" showRowStripes="1" showColumnStripes="0"/>
</table>
</file>

<file path=xl/tables/table2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3" xr:uid="{00000000-000C-0000-FFFF-FFFFD1000000}" name="П_В_F5_F5т0" displayName="П_В_F5_F5т0" ref="AW33:AW39" totalsRowShown="0">
  <autoFilter ref="AW33:AW39" xr:uid="{00000000-0009-0000-0100-0000A3000000}">
    <filterColumn colId="0" hiddenButton="1"/>
  </autoFilter>
  <tableColumns count="1">
    <tableColumn id="1" xr3:uid="{00000000-0010-0000-D100-000001000000}" name="В_F5_F5т0"/>
  </tableColumns>
  <tableStyleInfo name="TableStyleLight19" showFirstColumn="0" showLastColumn="0" showRowStripes="1" showColumnStripes="0"/>
</table>
</file>

<file path=xl/tables/table2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4" xr:uid="{00000000-000C-0000-FFFF-FFFFD2000000}" name="П_В_F0_F0т5" displayName="П_В_F0_F0т5" ref="N41:N47" totalsRowShown="0">
  <autoFilter ref="N41:N47" xr:uid="{00000000-0009-0000-0100-0000A4000000}">
    <filterColumn colId="0" hiddenButton="1"/>
  </autoFilter>
  <tableColumns count="1">
    <tableColumn id="1" xr3:uid="{00000000-0010-0000-D200-000001000000}" name="В_F0_F0т5"/>
  </tableColumns>
  <tableStyleInfo name="TableStyleLight17" showFirstColumn="0" showLastColumn="0" showRowStripes="1" showColumnStripes="0"/>
</table>
</file>

<file path=xl/tables/table2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5" xr:uid="{00000000-000C-0000-FFFF-FFFFD3000000}" name="П_В_F0_F1т5" displayName="П_В_F0_F1т5" ref="O41:O47" totalsRowShown="0">
  <autoFilter ref="O41:O47" xr:uid="{00000000-0009-0000-0100-0000A5000000}"/>
  <tableColumns count="1">
    <tableColumn id="1" xr3:uid="{00000000-0010-0000-D300-000001000000}" name="В_F0_F1т5"/>
  </tableColumns>
  <tableStyleInfo name="TableStyleLight17" showFirstColumn="0" showLastColumn="0" showRowStripes="1" showColumnStripes="0"/>
</table>
</file>

<file path=xl/tables/table2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6" xr:uid="{00000000-000C-0000-FFFF-FFFFD4000000}" name="П_В_F0_F2т5" displayName="П_В_F0_F2т5" ref="P41:P47" totalsRowShown="0">
  <autoFilter ref="P41:P47" xr:uid="{00000000-0009-0000-0100-0000A6000000}"/>
  <tableColumns count="1">
    <tableColumn id="1" xr3:uid="{00000000-0010-0000-D400-000001000000}" name="В_F0_F2т5"/>
  </tableColumns>
  <tableStyleInfo name="TableStyleLight17" showFirstColumn="0" showLastColumn="0" showRowStripes="1" showColumnStripes="0"/>
</table>
</file>

<file path=xl/tables/table2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7" xr:uid="{00000000-000C-0000-FFFF-FFFFD5000000}" name="П_В_F0_F3т5" displayName="П_В_F0_F3т5" ref="Q41:Q47" totalsRowShown="0">
  <autoFilter ref="Q41:Q47" xr:uid="{00000000-0009-0000-0100-0000A7000000}"/>
  <tableColumns count="1">
    <tableColumn id="1" xr3:uid="{00000000-0010-0000-D500-000001000000}" name="В_F0_F3т5"/>
  </tableColumns>
  <tableStyleInfo name="TableStyleLight17" showFirstColumn="0" showLastColumn="0" showRowStripes="1" showColumnStripes="0"/>
</table>
</file>

<file path=xl/tables/table2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8" xr:uid="{00000000-000C-0000-FFFF-FFFFD6000000}" name="П_В_F0_F4т5" displayName="П_В_F0_F4т5" ref="R41:R47" totalsRowShown="0">
  <autoFilter ref="R41:R47" xr:uid="{00000000-0009-0000-0100-0000A8000000}"/>
  <tableColumns count="1">
    <tableColumn id="1" xr3:uid="{00000000-0010-0000-D600-000001000000}" name="В_F0_F4т5"/>
  </tableColumns>
  <tableStyleInfo name="TableStyleLight17" showFirstColumn="0" showLastColumn="0" showRowStripes="1" showColumnStripes="0"/>
</table>
</file>

<file path=xl/tables/table2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9" xr:uid="{00000000-000C-0000-FFFF-FFFFD7000000}" name="П_В_F0_F5т5" displayName="П_В_F0_F5т5" ref="S41:S47" totalsRowShown="0">
  <autoFilter ref="S41:S47" xr:uid="{00000000-0009-0000-0100-0000A9000000}"/>
  <tableColumns count="1">
    <tableColumn id="1" xr3:uid="{00000000-0010-0000-D700-000001000000}" name="В_F0_F5т5"/>
  </tableColumns>
  <tableStyleInfo name="TableStyleLight17" showFirstColumn="0" showLastColumn="0" showRowStripes="1" showColumnStripes="0"/>
</table>
</file>

<file path=xl/tables/table2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6" xr:uid="{00000000-000C-0000-FFFF-FFFFD8000000}" name="П­_В_F1_F0т5" displayName="П­_В_F1_F0т5" ref="T41:T47" totalsRowShown="0">
  <autoFilter ref="T41:T47" xr:uid="{00000000-0009-0000-0100-0000CE000000}"/>
  <tableColumns count="1">
    <tableColumn id="1" xr3:uid="{00000000-0010-0000-D800-000001000000}" name="В_F1_F0т5"/>
  </tableColumns>
  <tableStyleInfo name="TableStyleLight19" showFirstColumn="0" showLastColumn="0" showRowStripes="1" showColumnStripes="0"/>
</table>
</file>

<file path=xl/tables/table2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7" xr:uid="{00000000-000C-0000-FFFF-FFFFD9000000}" name="П_В_F1_F1т5" displayName="П_В_F1_F1т5" ref="U41:U47" totalsRowShown="0">
  <autoFilter ref="U41:U47" xr:uid="{00000000-0009-0000-0100-0000CF000000}"/>
  <tableColumns count="1">
    <tableColumn id="1" xr3:uid="{00000000-0010-0000-D900-000001000000}" name="В_F1_F1т5"/>
  </tableColumns>
  <tableStyleInfo name="TableStyleLight19" showFirstColumn="0" showLastColumn="0" showRowStripes="1" showColumnStripes="0"/>
</table>
</file>

<file path=xl/tables/table2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8" xr:uid="{00000000-000C-0000-FFFF-FFFFDA000000}" name="П_В_F1_F2т5" displayName="П_В_F1_F2т5" ref="V41:V47" totalsRowShown="0">
  <autoFilter ref="V41:V47" xr:uid="{00000000-0009-0000-0100-0000D0000000}"/>
  <tableColumns count="1">
    <tableColumn id="1" xr3:uid="{00000000-0010-0000-DA00-000001000000}" name="В_F1_F2т5"/>
  </tableColumns>
  <tableStyleInfo name="TableStyleLight19" showFirstColumn="0" showLastColumn="0" showRowStripes="1" showColumnStripes="0"/>
</table>
</file>

<file path=xl/tables/table2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9" xr:uid="{00000000-000C-0000-FFFF-FFFFDB000000}" name="П_В_F1_F3т5" displayName="П_В_F1_F3т5" ref="W41:W47" totalsRowShown="0">
  <autoFilter ref="W41:W47" xr:uid="{00000000-0009-0000-0100-0000D1000000}"/>
  <tableColumns count="1">
    <tableColumn id="1" xr3:uid="{00000000-0010-0000-DB00-000001000000}" name="В_F1_F3т5"/>
  </tableColumns>
  <tableStyleInfo name="TableStyleLight19" showFirstColumn="0" showLastColumn="0" showRowStripes="1" showColumnStripes="0"/>
</table>
</file>

<file path=xl/tables/table2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0" xr:uid="{00000000-000C-0000-FFFF-FFFFDC000000}" name="П_В_F1_F4т5" displayName="П_В_F1_F4т5" ref="X41:X47" totalsRowShown="0">
  <autoFilter ref="X41:X47" xr:uid="{00000000-0009-0000-0100-0000D2000000}"/>
  <tableColumns count="1">
    <tableColumn id="1" xr3:uid="{00000000-0010-0000-DC00-000001000000}" name="В_F1_F4т5"/>
  </tableColumns>
  <tableStyleInfo name="TableStyleLight19" showFirstColumn="0" showLastColumn="0" showRowStripes="1" showColumnStripes="0"/>
</table>
</file>

<file path=xl/tables/table2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1" xr:uid="{00000000-000C-0000-FFFF-FFFFDD000000}" name="П_В_F1_F5т5" displayName="П_В_F1_F5т5" ref="Y41:Y47" totalsRowShown="0">
  <autoFilter ref="Y41:Y47" xr:uid="{00000000-0009-0000-0100-0000D3000000}"/>
  <tableColumns count="1">
    <tableColumn id="1" xr3:uid="{00000000-0010-0000-DD00-000001000000}" name="В_F1_F5т5"/>
  </tableColumns>
  <tableStyleInfo name="TableStyleLight19" showFirstColumn="0" showLastColumn="0" showRowStripes="1" showColumnStripes="0"/>
</table>
</file>

<file path=xl/tables/table2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2" xr:uid="{00000000-000C-0000-FFFF-FFFFDE000000}" name="П_В_F2_F0т5" displayName="П_В_F2_F0т5" ref="Z41:Z47" totalsRowShown="0">
  <autoFilter ref="Z41:Z47" xr:uid="{00000000-0009-0000-0100-0000D4000000}"/>
  <tableColumns count="1">
    <tableColumn id="1" xr3:uid="{00000000-0010-0000-DE00-000001000000}" name="В_F2_F0т5"/>
  </tableColumns>
  <tableStyleInfo name="TableStyleLight17" showFirstColumn="0" showLastColumn="0" showRowStripes="1" showColumnStripes="0"/>
</table>
</file>

<file path=xl/tables/table2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3" xr:uid="{00000000-000C-0000-FFFF-FFFFDF000000}" name="П_В_F2_F1т5" displayName="П_В_F2_F1т5" ref="AA41:AA47" totalsRowShown="0">
  <autoFilter ref="AA41:AA47" xr:uid="{00000000-0009-0000-0100-0000D5000000}"/>
  <tableColumns count="1">
    <tableColumn id="1" xr3:uid="{00000000-0010-0000-DF00-000001000000}" name="В_F2_F1т5"/>
  </tableColumns>
  <tableStyleInfo name="TableStyleLight17" showFirstColumn="0" showLastColumn="0" showRowStripes="1" showColumnStripes="0"/>
</table>
</file>

<file path=xl/tables/table2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4" xr:uid="{00000000-000C-0000-FFFF-FFFFE0000000}" name="П_В_F2_F2т5" displayName="П_В_F2_F2т5" ref="AB41:AB47" totalsRowShown="0">
  <autoFilter ref="AB41:AB47" xr:uid="{00000000-0009-0000-0100-0000D6000000}"/>
  <tableColumns count="1">
    <tableColumn id="1" xr3:uid="{00000000-0010-0000-E000-000001000000}" name="В_F2_F2т5"/>
  </tableColumns>
  <tableStyleInfo name="TableStyleLight17" showFirstColumn="0" showLastColumn="0" showRowStripes="1" showColumnStripes="0"/>
</table>
</file>

<file path=xl/tables/table2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5" xr:uid="{00000000-000C-0000-FFFF-FFFFE1000000}" name="П_В_F2_F3т5" displayName="П_В_F2_F3т5" ref="AC41:AC47" totalsRowShown="0">
  <autoFilter ref="AC41:AC47" xr:uid="{00000000-0009-0000-0100-0000D7000000}"/>
  <tableColumns count="1">
    <tableColumn id="1" xr3:uid="{00000000-0010-0000-E100-000001000000}" name="В_F2_F3т5"/>
  </tableColumns>
  <tableStyleInfo name="TableStyleLight17" showFirstColumn="0" showLastColumn="0" showRowStripes="1" showColumnStripes="0"/>
</table>
</file>

<file path=xl/tables/table2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6" xr:uid="{00000000-000C-0000-FFFF-FFFFE2000000}" name="П_В_F2_F4т5" displayName="П_В_F2_F4т5" ref="AD41:AD47" totalsRowShown="0">
  <autoFilter ref="AD41:AD47" xr:uid="{00000000-0009-0000-0100-0000D8000000}"/>
  <tableColumns count="1">
    <tableColumn id="1" xr3:uid="{00000000-0010-0000-E200-000001000000}" name="В_F2_F4т5"/>
  </tableColumns>
  <tableStyleInfo name="TableStyleLight17" showFirstColumn="0" showLastColumn="0" showRowStripes="1" showColumnStripes="0"/>
</table>
</file>

<file path=xl/tables/table2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7" xr:uid="{00000000-000C-0000-FFFF-FFFFE3000000}" name="П_В_F2_F5т5" displayName="П_В_F2_F5т5" ref="AE41:AE47" totalsRowShown="0">
  <autoFilter ref="AE41:AE47" xr:uid="{00000000-0009-0000-0100-0000D9000000}"/>
  <tableColumns count="1">
    <tableColumn id="1" xr3:uid="{00000000-0010-0000-E300-000001000000}" name="В_F2_F5т5"/>
  </tableColumns>
  <tableStyleInfo name="TableStyleLight17" showFirstColumn="0" showLastColumn="0" showRowStripes="1" showColumnStripes="0"/>
</table>
</file>

<file path=xl/tables/table2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8" xr:uid="{00000000-000C-0000-FFFF-FFFFE4000000}" name="П_В_F3_F0т5" displayName="П_В_F3_F0т5" ref="AF41:AF47" totalsRowShown="0">
  <autoFilter ref="AF41:AF47" xr:uid="{00000000-0009-0000-0100-0000DA000000}"/>
  <tableColumns count="1">
    <tableColumn id="1" xr3:uid="{00000000-0010-0000-E400-000001000000}" name="В_F3_F0т5"/>
  </tableColumns>
  <tableStyleInfo name="TableStyleLight19" showFirstColumn="0" showLastColumn="0" showRowStripes="1" showColumnStripes="0"/>
</table>
</file>

<file path=xl/tables/table2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9" xr:uid="{00000000-000C-0000-FFFF-FFFFE5000000}" name="П_В_F3_F1т5" displayName="П_В_F3_F1т5" ref="AG41:AG47" totalsRowShown="0">
  <autoFilter ref="AG41:AG47" xr:uid="{00000000-0009-0000-0100-0000DB000000}"/>
  <tableColumns count="1">
    <tableColumn id="1" xr3:uid="{00000000-0010-0000-E500-000001000000}" name="В_F3_F1т5"/>
  </tableColumns>
  <tableStyleInfo name="TableStyleLight19" showFirstColumn="0" showLastColumn="0" showRowStripes="1" showColumnStripes="0"/>
</table>
</file>

<file path=xl/tables/table2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0" xr:uid="{00000000-000C-0000-FFFF-FFFFE6000000}" name="П_В_F3_F2т5" displayName="П_В_F3_F2т5" ref="AH41:AH47" totalsRowShown="0">
  <autoFilter ref="AH41:AH47" xr:uid="{00000000-0009-0000-0100-0000DC000000}"/>
  <tableColumns count="1">
    <tableColumn id="1" xr3:uid="{00000000-0010-0000-E600-000001000000}" name="В_F3_F2т5"/>
  </tableColumns>
  <tableStyleInfo name="TableStyleLight19" showFirstColumn="0" showLastColumn="0" showRowStripes="1" showColumnStripes="0"/>
</table>
</file>

<file path=xl/tables/table2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1" xr:uid="{00000000-000C-0000-FFFF-FFFFE7000000}" name="П_В_F3_F3т5" displayName="П_В_F3_F3т5" ref="AI41:AI47" totalsRowShown="0">
  <autoFilter ref="AI41:AI47" xr:uid="{00000000-0009-0000-0100-0000DD000000}"/>
  <tableColumns count="1">
    <tableColumn id="1" xr3:uid="{00000000-0010-0000-E700-000001000000}" name="В_F3_F3т5"/>
  </tableColumns>
  <tableStyleInfo name="TableStyleLight19" showFirstColumn="0" showLastColumn="0" showRowStripes="1" showColumnStripes="0"/>
</table>
</file>

<file path=xl/tables/table2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2" xr:uid="{00000000-000C-0000-FFFF-FFFFE8000000}" name="П_В_F3_F4т5" displayName="П_В_F3_F4т5" ref="AJ41:AJ47" totalsRowShown="0">
  <autoFilter ref="AJ41:AJ47" xr:uid="{00000000-0009-0000-0100-0000DE000000}"/>
  <tableColumns count="1">
    <tableColumn id="1" xr3:uid="{00000000-0010-0000-E800-000001000000}" name="В_F3_F4т5"/>
  </tableColumns>
  <tableStyleInfo name="TableStyleLight19" showFirstColumn="0" showLastColumn="0" showRowStripes="1" showColumnStripes="0"/>
</table>
</file>

<file path=xl/tables/table2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3" xr:uid="{00000000-000C-0000-FFFF-FFFFE9000000}" name="П_В_F3_F5т5" displayName="П_В_F3_F5т5" ref="AK41:AK47" totalsRowShown="0">
  <autoFilter ref="AK41:AK47" xr:uid="{00000000-0009-0000-0100-0000DF000000}"/>
  <tableColumns count="1">
    <tableColumn id="1" xr3:uid="{00000000-0010-0000-E900-000001000000}" name="В_F3_F5т5"/>
  </tableColumns>
  <tableStyleInfo name="TableStyleLight19" showFirstColumn="0" showLastColumn="0" showRowStripes="1" showColumnStripes="0"/>
</table>
</file>

<file path=xl/tables/table2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4" xr:uid="{00000000-000C-0000-FFFF-FFFFEA000000}" name="П_В_F4_F0т5" displayName="П_В_F4_F0т5" ref="AL41:AL47" totalsRowShown="0">
  <autoFilter ref="AL41:AL47" xr:uid="{00000000-0009-0000-0100-0000E0000000}"/>
  <tableColumns count="1">
    <tableColumn id="1" xr3:uid="{00000000-0010-0000-EA00-000001000000}" name="В_F4_F0т5"/>
  </tableColumns>
  <tableStyleInfo name="TableStyleLight17" showFirstColumn="0" showLastColumn="0" showRowStripes="1" showColumnStripes="0"/>
</table>
</file>

<file path=xl/tables/table2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5" xr:uid="{00000000-000C-0000-FFFF-FFFFEB000000}" name="П_В_F4_F1т5" displayName="П_В_F4_F1т5" ref="AM41:AM47" totalsRowShown="0">
  <autoFilter ref="AM41:AM47" xr:uid="{00000000-0009-0000-0100-0000E1000000}"/>
  <tableColumns count="1">
    <tableColumn id="1" xr3:uid="{00000000-0010-0000-EB00-000001000000}" name="В_F4_F1т5"/>
  </tableColumns>
  <tableStyleInfo name="TableStyleLight17" showFirstColumn="0" showLastColumn="0" showRowStripes="1" showColumnStripes="0"/>
</table>
</file>

<file path=xl/tables/table2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6" xr:uid="{00000000-000C-0000-FFFF-FFFFEC000000}" name="П_В_F4_F2т5" displayName="П_В_F4_F2т5" ref="AN41:AN47" totalsRowShown="0">
  <autoFilter ref="AN41:AN47" xr:uid="{00000000-0009-0000-0100-0000E2000000}"/>
  <tableColumns count="1">
    <tableColumn id="1" xr3:uid="{00000000-0010-0000-EC00-000001000000}" name="В_F4_F2т5"/>
  </tableColumns>
  <tableStyleInfo name="TableStyleLight17" showFirstColumn="0" showLastColumn="0" showRowStripes="1" showColumnStripes="0"/>
</table>
</file>

<file path=xl/tables/table2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7" xr:uid="{00000000-000C-0000-FFFF-FFFFED000000}" name="П_В_F4_F3т5" displayName="П_В_F4_F3т5" ref="AO41:AO47" totalsRowShown="0">
  <autoFilter ref="AO41:AO47" xr:uid="{00000000-0009-0000-0100-0000E3000000}"/>
  <tableColumns count="1">
    <tableColumn id="1" xr3:uid="{00000000-0010-0000-ED00-000001000000}" name="В_F4_F3т5"/>
  </tableColumns>
  <tableStyleInfo name="TableStyleLight17" showFirstColumn="0" showLastColumn="0" showRowStripes="1" showColumnStripes="0"/>
</table>
</file>

<file path=xl/tables/table2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8" xr:uid="{00000000-000C-0000-FFFF-FFFFEE000000}" name="П_В_F4_F4т5" displayName="П_В_F4_F4т5" ref="AP41:AP47" totalsRowShown="0">
  <autoFilter ref="AP41:AP47" xr:uid="{00000000-0009-0000-0100-0000E4000000}"/>
  <tableColumns count="1">
    <tableColumn id="1" xr3:uid="{00000000-0010-0000-EE00-000001000000}" name="В_F4_F4т5"/>
  </tableColumns>
  <tableStyleInfo name="TableStyleLight17" showFirstColumn="0" showLastColumn="0" showRowStripes="1" showColumnStripes="0"/>
</table>
</file>

<file path=xl/tables/table2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9" xr:uid="{00000000-000C-0000-FFFF-FFFFEF000000}" name="П_В_F4_F5т5" displayName="П_В_F4_F5т5" ref="AQ41:AQ47" totalsRowShown="0">
  <autoFilter ref="AQ41:AQ47" xr:uid="{00000000-0009-0000-0100-0000E5000000}"/>
  <tableColumns count="1">
    <tableColumn id="1" xr3:uid="{00000000-0010-0000-EF00-000001000000}" name="В_F4_F5т5"/>
  </tableColumns>
  <tableStyleInfo name="TableStyleLight17" showFirstColumn="0" showLastColumn="0" showRowStripes="1" showColumnStripes="0"/>
</table>
</file>

<file path=xl/tables/table2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0" xr:uid="{00000000-000C-0000-FFFF-FFFFF0000000}" name="П_В_F5_F0т5" displayName="П_В_F5_F0т5" ref="AR41:AR47" totalsRowShown="0">
  <autoFilter ref="AR41:AR47" xr:uid="{00000000-0009-0000-0100-0000E6000000}"/>
  <tableColumns count="1">
    <tableColumn id="1" xr3:uid="{00000000-0010-0000-F000-000001000000}" name="В_F5_F0т5"/>
  </tableColumns>
  <tableStyleInfo name="TableStyleLight19" showFirstColumn="0" showLastColumn="0" showRowStripes="1" showColumnStripes="0"/>
</table>
</file>

<file path=xl/tables/table2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1" xr:uid="{00000000-000C-0000-FFFF-FFFFF1000000}" name="П_В_F5_F1т5" displayName="П_В_F5_F1т5" ref="AS41:AS47" totalsRowShown="0">
  <autoFilter ref="AS41:AS47" xr:uid="{00000000-0009-0000-0100-0000E7000000}"/>
  <tableColumns count="1">
    <tableColumn id="1" xr3:uid="{00000000-0010-0000-F100-000001000000}" name="В_F5_F1т5"/>
  </tableColumns>
  <tableStyleInfo name="TableStyleLight19" showFirstColumn="0" showLastColumn="0" showRowStripes="1" showColumnStripes="0"/>
</table>
</file>

<file path=xl/tables/table2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2" xr:uid="{00000000-000C-0000-FFFF-FFFFF2000000}" name="П_В_F5_F2т5" displayName="П_В_F5_F2т5" ref="AT41:AT47" totalsRowShown="0">
  <autoFilter ref="AT41:AT47" xr:uid="{00000000-0009-0000-0100-0000E8000000}"/>
  <tableColumns count="1">
    <tableColumn id="1" xr3:uid="{00000000-0010-0000-F200-000001000000}" name="В_F5_F2т5"/>
  </tableColumns>
  <tableStyleInfo name="TableStyleLight19" showFirstColumn="0" showLastColumn="0" showRowStripes="1" showColumnStripes="0"/>
</table>
</file>

<file path=xl/tables/table2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3" xr:uid="{00000000-000C-0000-FFFF-FFFFF3000000}" name="П_В_F5_F3т5" displayName="П_В_F5_F3т5" ref="AU41:AU47" totalsRowShown="0">
  <autoFilter ref="AU41:AU47" xr:uid="{00000000-0009-0000-0100-0000E9000000}"/>
  <tableColumns count="1">
    <tableColumn id="1" xr3:uid="{00000000-0010-0000-F300-000001000000}" name="В_F5_F3т5"/>
  </tableColumns>
  <tableStyleInfo name="TableStyleLight19" showFirstColumn="0" showLastColumn="0" showRowStripes="1" showColumnStripes="0"/>
</table>
</file>

<file path=xl/tables/table2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4" xr:uid="{00000000-000C-0000-FFFF-FFFFF4000000}" name="П_В_F5_F4т5" displayName="П_В_F5_F4т5" ref="AV41:AV47" totalsRowShown="0">
  <autoFilter ref="AV41:AV47" xr:uid="{00000000-0009-0000-0100-0000EA000000}"/>
  <tableColumns count="1">
    <tableColumn id="1" xr3:uid="{00000000-0010-0000-F400-000001000000}" name="В_F5_F4т5"/>
  </tableColumns>
  <tableStyleInfo name="TableStyleLight19" showFirstColumn="0" showLastColumn="0" showRowStripes="1" showColumnStripes="0"/>
</table>
</file>

<file path=xl/tables/table2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5" xr:uid="{00000000-000C-0000-FFFF-FFFFF5000000}" name="П_В_F5_F5т5" displayName="П_В_F5_F5т5" ref="AW41:AW47" totalsRowShown="0">
  <autoFilter ref="AW41:AW47" xr:uid="{00000000-0009-0000-0100-0000EB000000}"/>
  <tableColumns count="1">
    <tableColumn id="1" xr3:uid="{00000000-0010-0000-F500-000001000000}" name="В_F5_F5т5"/>
  </tableColumns>
  <tableStyleInfo name="TableStyleLight19" showFirstColumn="0" showLastColumn="0" showRowStripes="1" showColumnStripes="0"/>
</table>
</file>

<file path=xl/tables/table2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6" xr:uid="{00000000-000C-0000-FFFF-FFFFF6000000}" name="Длт" displayName="Длт" ref="N49:Q55" totalsRowShown="0">
  <autoFilter ref="N49:Q55" xr:uid="{00000000-0009-0000-0100-0000EC000000}">
    <filterColumn colId="0" hiddenButton="1"/>
    <filterColumn colId="1" hiddenButton="1"/>
    <filterColumn colId="2" hiddenButton="1"/>
    <filterColumn colId="3" hiddenButton="1"/>
  </autoFilter>
  <tableColumns count="4">
    <tableColumn id="1" xr3:uid="{00000000-0010-0000-F600-000001000000}" name="Шифр"/>
    <tableColumn id="2" xr3:uid="{00000000-0010-0000-F600-000002000000}" name="Прирост_в"/>
    <tableColumn id="3" xr3:uid="{00000000-0010-0000-F600-000003000000}" name="Прирост_л"/>
    <tableColumn id="4" xr3:uid="{00000000-0010-0000-F600-000004000000}" name="Прирост_д"/>
  </tableColumns>
  <tableStyleInfo name="TableStyleLight9" showFirstColumn="0" showLastColumn="0" showRowStripes="1" showColumnStripes="0"/>
</table>
</file>

<file path=xl/tables/table2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7" xr:uid="{00000000-000C-0000-FFFF-FFFFF7000000}" name="П_Общий238" displayName="П_Общий238" ref="A9:A15" totalsRowShown="0" headerRowBorderDxfId="670" tableBorderDxfId="669" totalsRowBorderDxfId="668">
  <autoFilter ref="A9:A15" xr:uid="{00000000-0009-0000-0100-0000ED000000}"/>
  <tableColumns count="1">
    <tableColumn id="1" xr3:uid="{00000000-0010-0000-F700-000001000000}" name="Общий" dataDxfId="667"/>
  </tableColumns>
  <tableStyleInfo name="TableStyleLight1" showFirstColumn="0" showLastColumn="0" showRowStripes="1" showColumnStripes="0"/>
</table>
</file>

<file path=xl/tables/table2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8" xr:uid="{00000000-000C-0000-FFFF-FFFFF8000000}" name="П_Низ_F0_5" displayName="П_Низ_F0_5" ref="B9:B15" totalsRowShown="0" dataDxfId="666" tableBorderDxfId="665">
  <autoFilter ref="B9:B15" xr:uid="{00000000-0009-0000-0100-0000EE000000}"/>
  <tableColumns count="1">
    <tableColumn id="1" xr3:uid="{00000000-0010-0000-F800-000001000000}" name="Низ_F0_5" dataDxfId="664"/>
  </tableColumns>
  <tableStyleInfo name="TableStyleLight1" showFirstColumn="0" showLastColumn="0" showRowStripes="1" showColumnStripes="0"/>
</table>
</file>

<file path=xl/tables/table2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9" xr:uid="{00000000-000C-0000-FFFF-FFFFF9000000}" name="П_Низ_F1_5" displayName="П_Низ_F1_5" ref="C9:C15" totalsRowShown="0" dataDxfId="663" tableBorderDxfId="662">
  <autoFilter ref="C9:C15" xr:uid="{00000000-0009-0000-0100-0000EF000000}"/>
  <tableColumns count="1">
    <tableColumn id="1" xr3:uid="{00000000-0010-0000-F900-000001000000}" name="Низ_F1_5" dataDxfId="661"/>
  </tableColumns>
  <tableStyleInfo name="TableStyleLight1" showFirstColumn="0" showLastColumn="0" showRowStripes="1" showColumnStripes="0"/>
</table>
</file>

<file path=xl/tables/table2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0" xr:uid="{00000000-000C-0000-FFFF-FFFFFA000000}" name="П_Низ_F2_5" displayName="П_Низ_F2_5" ref="D9:D15" totalsRowShown="0">
  <autoFilter ref="D9:D15" xr:uid="{00000000-0009-0000-0100-0000F0000000}">
    <filterColumn colId="0" hiddenButton="1"/>
  </autoFilter>
  <tableColumns count="1">
    <tableColumn id="1" xr3:uid="{00000000-0010-0000-FA00-000001000000}" name="Низ_F2_5"/>
  </tableColumns>
  <tableStyleInfo name="TableStyleLight15" showFirstColumn="0" showLastColumn="0" showRowStripes="1" showColumnStripes="0"/>
</table>
</file>

<file path=xl/tables/table2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1" xr:uid="{00000000-000C-0000-FFFF-FFFFFB000000}" name="П_Низ_F3_5" displayName="П_Низ_F3_5" ref="E9:E15" totalsRowShown="0">
  <autoFilter ref="E9:E15" xr:uid="{00000000-0009-0000-0100-0000F1000000}"/>
  <tableColumns count="1">
    <tableColumn id="1" xr3:uid="{00000000-0010-0000-FB00-000001000000}" name="Низ_F3_5"/>
  </tableColumns>
  <tableStyleInfo name="TableStyleLight15" showFirstColumn="0" showLastColumn="0" showRowStripes="1" showColumnStripes="0"/>
</table>
</file>

<file path=xl/tables/table2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2" xr:uid="{00000000-000C-0000-FFFF-FFFFFC000000}" name="П_Низ_F4_5" displayName="П_Низ_F4_5" ref="F9:F15" totalsRowShown="0">
  <autoFilter ref="F9:F15" xr:uid="{00000000-0009-0000-0100-0000F2000000}"/>
  <tableColumns count="1">
    <tableColumn id="1" xr3:uid="{00000000-0010-0000-FC00-000001000000}" name="Низ_F4_5"/>
  </tableColumns>
  <tableStyleInfo name="TableStyleLight15" showFirstColumn="0" showLastColumn="0" showRowStripes="1" showColumnStripes="0"/>
</table>
</file>

<file path=xl/tables/table2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3" xr:uid="{00000000-000C-0000-FFFF-FFFFFD000000}" name="П_Низ_F5_5" displayName="П_Низ_F5_5" ref="G9:G15" totalsRowShown="0">
  <autoFilter ref="G9:G15" xr:uid="{00000000-0009-0000-0100-0000F3000000}"/>
  <tableColumns count="1">
    <tableColumn id="1" xr3:uid="{00000000-0010-0000-FD00-000001000000}" name="Низ_F5_5"/>
  </tableColumns>
  <tableStyleInfo name="TableStyleLight15" showFirstColumn="0" showLastColumn="0" showRowStripes="1" showColumnStripes="0"/>
</table>
</file>

<file path=xl/tables/table2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4" xr:uid="{00000000-000C-0000-FFFF-FFFFFE000000}" name="П_Бок_F0_5" displayName="П_Бок_F0_5" ref="H9:H15" totalsRowShown="0" dataDxfId="660" tableBorderDxfId="659">
  <autoFilter ref="H9:H15" xr:uid="{00000000-0009-0000-0100-0000F4000000}"/>
  <tableColumns count="1">
    <tableColumn id="1" xr3:uid="{00000000-0010-0000-FE00-000001000000}" name="Бок_F0_5" dataDxfId="658"/>
  </tableColumns>
  <tableStyleInfo name="TableStyleLight16" showFirstColumn="0" showLastColumn="0" showRowStripes="1" showColumnStripes="0"/>
</table>
</file>

<file path=xl/tables/table2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5" xr:uid="{00000000-000C-0000-FFFF-FFFFFF000000}" name="П_Бок_F1_5" displayName="П_Бок_F1_5" ref="I9:I15" totalsRowShown="0" dataDxfId="657" tableBorderDxfId="656">
  <autoFilter ref="I9:I15" xr:uid="{00000000-0009-0000-0100-0000F5000000}"/>
  <tableColumns count="1">
    <tableColumn id="1" xr3:uid="{00000000-0010-0000-FF00-000001000000}" name="Бок_F1_5" dataDxfId="655"/>
  </tableColumns>
  <tableStyleInfo name="TableStyleLight16" showFirstColumn="0" showLastColumn="0" showRowStripes="1" showColumnStripes="0"/>
</table>
</file>

<file path=xl/tables/table2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6" xr:uid="{00000000-000C-0000-FFFF-FFFF00010000}" name="П_Бок_F2_5" displayName="П_Бок_F2_5" ref="J9:J15" totalsRowShown="0" dataDxfId="654" tableBorderDxfId="653">
  <autoFilter ref="J9:J15" xr:uid="{00000000-0009-0000-0100-0000F6000000}"/>
  <tableColumns count="1">
    <tableColumn id="1" xr3:uid="{00000000-0010-0000-0001-000001000000}" name="Бок_F2_5" dataDxfId="652"/>
  </tableColumns>
  <tableStyleInfo name="TableStyleLight16" showFirstColumn="0" showLastColumn="0" showRowStripes="1" showColumnStripes="0"/>
</table>
</file>

<file path=xl/tables/table2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7" xr:uid="{00000000-000C-0000-FFFF-FFFF01010000}" name="П_Бок_F3_5" displayName="П_Бок_F3_5" ref="K9:K15" totalsRowShown="0" dataDxfId="651" tableBorderDxfId="650">
  <autoFilter ref="K9:K15" xr:uid="{00000000-0009-0000-0100-0000F7000000}"/>
  <tableColumns count="1">
    <tableColumn id="1" xr3:uid="{00000000-0010-0000-0101-000001000000}" name="Бок_F3_5" dataDxfId="649"/>
  </tableColumns>
  <tableStyleInfo name="TableStyleLight16" showFirstColumn="0" showLastColumn="0" showRowStripes="1" showColumnStripes="0"/>
</table>
</file>

<file path=xl/tables/table2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8" xr:uid="{00000000-000C-0000-FFFF-FFFF02010000}" name="П_Бок_F4_5" displayName="П_Бок_F4_5" ref="L9:L15" totalsRowShown="0" dataDxfId="648" tableBorderDxfId="647">
  <autoFilter ref="L9:L15" xr:uid="{00000000-0009-0000-0100-0000F8000000}"/>
  <tableColumns count="1">
    <tableColumn id="1" xr3:uid="{00000000-0010-0000-0201-000001000000}" name="Бок_F4_5" dataDxfId="646"/>
  </tableColumns>
  <tableStyleInfo name="TableStyleLight16" showFirstColumn="0" showLastColumn="0" showRowStripes="1" showColumnStripes="0"/>
</table>
</file>

<file path=xl/tables/table2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9" xr:uid="{00000000-000C-0000-FFFF-FFFF03010000}" name="П_Бок_F5_5" displayName="П_Бок_F5_5" ref="M9:M15" totalsRowShown="0" dataDxfId="645" tableBorderDxfId="644">
  <autoFilter ref="M9:M15" xr:uid="{00000000-0009-0000-0100-0000F9000000}"/>
  <tableColumns count="1">
    <tableColumn id="1" xr3:uid="{00000000-0010-0000-0301-000001000000}" name="Бок_F5_5" dataDxfId="643"/>
  </tableColumns>
  <tableStyleInfo name="TableStyleLight16" showFirstColumn="0" showLastColumn="0" showRowStripes="1" showColumnStripes="0"/>
</table>
</file>

<file path=xl/tables/table2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0" xr:uid="{00000000-000C-0000-FFFF-FFFF04010000}" name="Тип_шкалы" displayName="Тип_шкалы" ref="N57:N61" totalsRowShown="0">
  <autoFilter ref="N57:N61" xr:uid="{00000000-0009-0000-0100-0000FA000000}">
    <filterColumn colId="0" hiddenButton="1"/>
  </autoFilter>
  <tableColumns count="1">
    <tableColumn id="1" xr3:uid="{00000000-0010-0000-0401-000001000000}" name="ТИП ШКАЛЫ"/>
  </tableColumns>
  <tableStyleInfo name="TableStyleLight14" showFirstColumn="0" showLastColumn="0" showRowStripes="1" showColumnStripes="0"/>
</table>
</file>

<file path=xl/tables/table2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2" xr:uid="{00000000-000C-0000-FFFF-FFFF05010000}" name="Step" displayName="Step" ref="P57:P65" totalsRowShown="0">
  <autoFilter ref="P57:P65" xr:uid="{00000000-0009-0000-0100-00002E010000}"/>
  <tableColumns count="1">
    <tableColumn id="1" xr3:uid="{00000000-0010-0000-0501-000001000000}" name="Шаг анализа"/>
  </tableColumns>
  <tableStyleInfo name="TableStyleLight12" showFirstColumn="0" showLastColumn="0" showRowStripes="1" showColumnStripes="0"/>
</table>
</file>

<file path=xl/tables/table2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3" xr:uid="{00000000-000C-0000-FFFF-FFFF06010000}" name="Структура_Критерий" displayName="Структура_Критерий" ref="N68:O86" totalsRowShown="0">
  <autoFilter ref="N68:O86" xr:uid="{00000000-0009-0000-0100-000011010000}"/>
  <tableColumns count="2">
    <tableColumn id="1" xr3:uid="{00000000-0010-0000-0601-000001000000}" name="Столбец"/>
    <tableColumn id="2" xr3:uid="{00000000-0010-0000-0601-000002000000}" name="Формула" dataDxfId="642"/>
  </tableColumns>
  <tableStyleInfo name="TableStyleMedium20" showFirstColumn="0" showLastColumn="0" showRowStripes="1" showColumnStripes="0"/>
</table>
</file>

<file path=xl/tables/table2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2" xr:uid="{00000000-000C-0000-FFFF-FFFF07010000}" name="Структура_Свёртка" displayName="Структура_Свёртка" ref="P68:Q135" totalsRowShown="0">
  <autoFilter ref="P68:Q135" xr:uid="{00000000-0009-0000-0100-000006010000}"/>
  <tableColumns count="2">
    <tableColumn id="1" xr3:uid="{00000000-0010-0000-0701-000001000000}" name="Столбец"/>
    <tableColumn id="2" xr3:uid="{00000000-0010-0000-0701-000002000000}" name="Формула" dataDxfId="641"/>
  </tableColumns>
  <tableStyleInfo name="TableStyleMedium19" showFirstColumn="0" showLastColumn="0" showRowStripes="1" showColumnStripes="0"/>
</table>
</file>

<file path=xl/tables/table2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9" xr:uid="{00000000-000C-0000-FFFF-FFFF08010000}" name="Rotate_Reflex" displayName="Rotate_Reflex" ref="R57:R66" totalsRowShown="0" dataDxfId="640">
  <autoFilter ref="R57:R66" xr:uid="{00000000-0009-0000-0100-000003010000}"/>
  <tableColumns count="1">
    <tableColumn id="1" xr3:uid="{00000000-0010-0000-0801-000001000000}" name="Данные" dataDxfId="639"/>
  </tableColumns>
  <tableStyleInfo name="TableStyleMedium7" showFirstColumn="0" showLastColumn="0" showRowStripes="1" showColumnStripes="0"/>
</table>
</file>

<file path=xl/tables/table2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9010000}" name="MatrixF0" displayName="MatrixF0" ref="A2:CX103" totalsRowShown="0" headerRowDxfId="638" dataDxfId="636" headerRowBorderDxfId="637" tableBorderDxfId="635" dataCellStyle="Обычный 2">
  <autoFilter ref="A2:CX103" xr:uid="{00000000-0009-0000-0100-000006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autoFilter>
  <tableColumns count="102">
    <tableColumn id="1" xr3:uid="{00000000-0010-0000-0901-000001000000}" name="Столбец1" dataDxfId="634" dataCellStyle="Обычный 2"/>
    <tableColumn id="2" xr3:uid="{00000000-0010-0000-0901-000002000000}" name="1" dataDxfId="633" dataCellStyle="Обычный 2"/>
    <tableColumn id="3" xr3:uid="{00000000-0010-0000-0901-000003000000}" name="1,01" dataDxfId="632" dataCellStyle="Обычный 2"/>
    <tableColumn id="4" xr3:uid="{00000000-0010-0000-0901-000004000000}" name="1,02" dataDxfId="631" dataCellStyle="Обычный 2"/>
    <tableColumn id="5" xr3:uid="{00000000-0010-0000-0901-000005000000}" name="1,03" dataDxfId="630" dataCellStyle="Обычный 2"/>
    <tableColumn id="6" xr3:uid="{00000000-0010-0000-0901-000006000000}" name="1,04" dataDxfId="629" dataCellStyle="Обычный 2"/>
    <tableColumn id="7" xr3:uid="{00000000-0010-0000-0901-000007000000}" name="1,05" dataDxfId="628" dataCellStyle="Обычный 2"/>
    <tableColumn id="8" xr3:uid="{00000000-0010-0000-0901-000008000000}" name="1,06" dataDxfId="627" dataCellStyle="Обычный 2"/>
    <tableColumn id="9" xr3:uid="{00000000-0010-0000-0901-000009000000}" name="1,07" dataDxfId="626" dataCellStyle="Обычный 2"/>
    <tableColumn id="10" xr3:uid="{00000000-0010-0000-0901-00000A000000}" name="1,08" dataDxfId="625" dataCellStyle="Обычный 2"/>
    <tableColumn id="11" xr3:uid="{00000000-0010-0000-0901-00000B000000}" name="1,09" dataDxfId="624" dataCellStyle="Обычный 2"/>
    <tableColumn id="12" xr3:uid="{00000000-0010-0000-0901-00000C000000}" name="1,1" dataDxfId="623" dataCellStyle="Обычный 2"/>
    <tableColumn id="13" xr3:uid="{00000000-0010-0000-0901-00000D000000}" name="1,11" dataDxfId="622" dataCellStyle="Обычный 2"/>
    <tableColumn id="14" xr3:uid="{00000000-0010-0000-0901-00000E000000}" name="1,12" dataDxfId="621" dataCellStyle="Обычный 2"/>
    <tableColumn id="15" xr3:uid="{00000000-0010-0000-0901-00000F000000}" name="1,13" dataDxfId="620" dataCellStyle="Обычный 2"/>
    <tableColumn id="16" xr3:uid="{00000000-0010-0000-0901-000010000000}" name="1,14" dataDxfId="619" dataCellStyle="Обычный 2"/>
    <tableColumn id="17" xr3:uid="{00000000-0010-0000-0901-000011000000}" name="1,15" dataDxfId="618" dataCellStyle="Обычный 2"/>
    <tableColumn id="18" xr3:uid="{00000000-0010-0000-0901-000012000000}" name="1,16" dataDxfId="617" dataCellStyle="Обычный 2"/>
    <tableColumn id="19" xr3:uid="{00000000-0010-0000-0901-000013000000}" name="1,17" dataDxfId="616" dataCellStyle="Обычный 2"/>
    <tableColumn id="20" xr3:uid="{00000000-0010-0000-0901-000014000000}" name="1,18" dataDxfId="615" dataCellStyle="Обычный 2"/>
    <tableColumn id="21" xr3:uid="{00000000-0010-0000-0901-000015000000}" name="1,19" dataDxfId="614" dataCellStyle="Обычный 2"/>
    <tableColumn id="22" xr3:uid="{00000000-0010-0000-0901-000016000000}" name="1,2" dataDxfId="613" dataCellStyle="Обычный 2"/>
    <tableColumn id="23" xr3:uid="{00000000-0010-0000-0901-000017000000}" name="1,21" dataDxfId="612" dataCellStyle="Обычный 2"/>
    <tableColumn id="24" xr3:uid="{00000000-0010-0000-0901-000018000000}" name="1,22" dataDxfId="611" dataCellStyle="Обычный 2"/>
    <tableColumn id="25" xr3:uid="{00000000-0010-0000-0901-000019000000}" name="1,23" dataDxfId="610" dataCellStyle="Обычный 2"/>
    <tableColumn id="26" xr3:uid="{00000000-0010-0000-0901-00001A000000}" name="1,24" dataDxfId="609" dataCellStyle="Обычный 2"/>
    <tableColumn id="27" xr3:uid="{00000000-0010-0000-0901-00001B000000}" name="1,25" dataDxfId="608" dataCellStyle="Обычный 2"/>
    <tableColumn id="28" xr3:uid="{00000000-0010-0000-0901-00001C000000}" name="1,26" dataDxfId="607" dataCellStyle="Обычный 2"/>
    <tableColumn id="29" xr3:uid="{00000000-0010-0000-0901-00001D000000}" name="1,27" dataDxfId="606" dataCellStyle="Обычный 2"/>
    <tableColumn id="30" xr3:uid="{00000000-0010-0000-0901-00001E000000}" name="1,28" dataDxfId="605" dataCellStyle="Обычный 2"/>
    <tableColumn id="31" xr3:uid="{00000000-0010-0000-0901-00001F000000}" name="1,29" dataDxfId="604" dataCellStyle="Обычный 2"/>
    <tableColumn id="32" xr3:uid="{00000000-0010-0000-0901-000020000000}" name="1,3" dataDxfId="603" dataCellStyle="Обычный 2"/>
    <tableColumn id="33" xr3:uid="{00000000-0010-0000-0901-000021000000}" name="1,31" dataDxfId="602" dataCellStyle="Обычный 2"/>
    <tableColumn id="34" xr3:uid="{00000000-0010-0000-0901-000022000000}" name="1,32" dataDxfId="601" dataCellStyle="Обычный 2"/>
    <tableColumn id="35" xr3:uid="{00000000-0010-0000-0901-000023000000}" name="1,33" dataDxfId="600" dataCellStyle="Обычный 2"/>
    <tableColumn id="36" xr3:uid="{00000000-0010-0000-0901-000024000000}" name="1,34" dataDxfId="599" dataCellStyle="Обычный 2"/>
    <tableColumn id="37" xr3:uid="{00000000-0010-0000-0901-000025000000}" name="1,35" dataDxfId="598" dataCellStyle="Обычный 2"/>
    <tableColumn id="38" xr3:uid="{00000000-0010-0000-0901-000026000000}" name="1,36" dataDxfId="597" dataCellStyle="Обычный 2"/>
    <tableColumn id="39" xr3:uid="{00000000-0010-0000-0901-000027000000}" name="1,37" dataDxfId="596" dataCellStyle="Обычный 2"/>
    <tableColumn id="40" xr3:uid="{00000000-0010-0000-0901-000028000000}" name="1,38" dataDxfId="595" dataCellStyle="Обычный 2"/>
    <tableColumn id="41" xr3:uid="{00000000-0010-0000-0901-000029000000}" name="1,39" dataDxfId="594" dataCellStyle="Обычный 2"/>
    <tableColumn id="42" xr3:uid="{00000000-0010-0000-0901-00002A000000}" name="1,4" dataDxfId="593" dataCellStyle="Обычный 2"/>
    <tableColumn id="43" xr3:uid="{00000000-0010-0000-0901-00002B000000}" name="1,41" dataDxfId="592" dataCellStyle="Обычный 2"/>
    <tableColumn id="44" xr3:uid="{00000000-0010-0000-0901-00002C000000}" name="1,42" dataDxfId="591" dataCellStyle="Обычный 2"/>
    <tableColumn id="45" xr3:uid="{00000000-0010-0000-0901-00002D000000}" name="1,43" dataDxfId="590" dataCellStyle="Обычный 2"/>
    <tableColumn id="46" xr3:uid="{00000000-0010-0000-0901-00002E000000}" name="1,44" dataDxfId="589" dataCellStyle="Обычный 2"/>
    <tableColumn id="47" xr3:uid="{00000000-0010-0000-0901-00002F000000}" name="1,45" dataDxfId="588" dataCellStyle="Обычный 2"/>
    <tableColumn id="48" xr3:uid="{00000000-0010-0000-0901-000030000000}" name="1,46" dataDxfId="587" dataCellStyle="Обычный 2"/>
    <tableColumn id="49" xr3:uid="{00000000-0010-0000-0901-000031000000}" name="1,47" dataDxfId="586" dataCellStyle="Обычный 2"/>
    <tableColumn id="50" xr3:uid="{00000000-0010-0000-0901-000032000000}" name="1,48" dataDxfId="585" dataCellStyle="Обычный 2"/>
    <tableColumn id="51" xr3:uid="{00000000-0010-0000-0901-000033000000}" name="1,49" dataDxfId="584" dataCellStyle="Обычный 2"/>
    <tableColumn id="52" xr3:uid="{00000000-0010-0000-0901-000034000000}" name="1,5" dataDxfId="583" dataCellStyle="Обычный 2"/>
    <tableColumn id="53" xr3:uid="{00000000-0010-0000-0901-000035000000}" name="1,51" dataDxfId="582" dataCellStyle="Обычный 2"/>
    <tableColumn id="54" xr3:uid="{00000000-0010-0000-0901-000036000000}" name="1,52" dataDxfId="581" dataCellStyle="Обычный 2"/>
    <tableColumn id="55" xr3:uid="{00000000-0010-0000-0901-000037000000}" name="1,53" dataDxfId="580" dataCellStyle="Обычный 2"/>
    <tableColumn id="56" xr3:uid="{00000000-0010-0000-0901-000038000000}" name="1,54" dataDxfId="579" dataCellStyle="Обычный 2"/>
    <tableColumn id="57" xr3:uid="{00000000-0010-0000-0901-000039000000}" name="1,55" dataDxfId="578" dataCellStyle="Обычный 2"/>
    <tableColumn id="58" xr3:uid="{00000000-0010-0000-0901-00003A000000}" name="1,56" dataDxfId="577" dataCellStyle="Обычный 2"/>
    <tableColumn id="59" xr3:uid="{00000000-0010-0000-0901-00003B000000}" name="1,57" dataDxfId="576" dataCellStyle="Обычный 2"/>
    <tableColumn id="60" xr3:uid="{00000000-0010-0000-0901-00003C000000}" name="1,58" dataDxfId="575" dataCellStyle="Обычный 2"/>
    <tableColumn id="61" xr3:uid="{00000000-0010-0000-0901-00003D000000}" name="1,59" dataDxfId="574" dataCellStyle="Обычный 2"/>
    <tableColumn id="62" xr3:uid="{00000000-0010-0000-0901-00003E000000}" name="1,6" dataDxfId="573" dataCellStyle="Обычный 2"/>
    <tableColumn id="63" xr3:uid="{00000000-0010-0000-0901-00003F000000}" name="1,61" dataDxfId="572" dataCellStyle="Обычный 2"/>
    <tableColumn id="64" xr3:uid="{00000000-0010-0000-0901-000040000000}" name="1,62" dataDxfId="571" dataCellStyle="Обычный 2"/>
    <tableColumn id="65" xr3:uid="{00000000-0010-0000-0901-000041000000}" name="1,63" dataDxfId="570" dataCellStyle="Обычный 2"/>
    <tableColumn id="66" xr3:uid="{00000000-0010-0000-0901-000042000000}" name="1,64" dataDxfId="569" dataCellStyle="Обычный 2"/>
    <tableColumn id="67" xr3:uid="{00000000-0010-0000-0901-000043000000}" name="1,65" dataDxfId="568" dataCellStyle="Обычный 2"/>
    <tableColumn id="68" xr3:uid="{00000000-0010-0000-0901-000044000000}" name="1,66" dataDxfId="567" dataCellStyle="Обычный 2"/>
    <tableColumn id="69" xr3:uid="{00000000-0010-0000-0901-000045000000}" name="1,67" dataDxfId="566" dataCellStyle="Обычный 2"/>
    <tableColumn id="70" xr3:uid="{00000000-0010-0000-0901-000046000000}" name="1,68" dataDxfId="565" dataCellStyle="Обычный 2"/>
    <tableColumn id="71" xr3:uid="{00000000-0010-0000-0901-000047000000}" name="1,69" dataDxfId="564" dataCellStyle="Обычный 2"/>
    <tableColumn id="72" xr3:uid="{00000000-0010-0000-0901-000048000000}" name="1,7" dataDxfId="563" dataCellStyle="Обычный 2"/>
    <tableColumn id="73" xr3:uid="{00000000-0010-0000-0901-000049000000}" name="1,71" dataDxfId="562" dataCellStyle="Обычный 2"/>
    <tableColumn id="74" xr3:uid="{00000000-0010-0000-0901-00004A000000}" name="1,72" dataDxfId="561" dataCellStyle="Обычный 2"/>
    <tableColumn id="75" xr3:uid="{00000000-0010-0000-0901-00004B000000}" name="1,73" dataDxfId="560" dataCellStyle="Обычный 2"/>
    <tableColumn id="76" xr3:uid="{00000000-0010-0000-0901-00004C000000}" name="1,74" dataDxfId="559" dataCellStyle="Обычный 2"/>
    <tableColumn id="77" xr3:uid="{00000000-0010-0000-0901-00004D000000}" name="1,75" dataDxfId="558" dataCellStyle="Обычный 2"/>
    <tableColumn id="78" xr3:uid="{00000000-0010-0000-0901-00004E000000}" name="1,76" dataDxfId="557" dataCellStyle="Обычный 2"/>
    <tableColumn id="79" xr3:uid="{00000000-0010-0000-0901-00004F000000}" name="1,77" dataDxfId="556" dataCellStyle="Обычный 2"/>
    <tableColumn id="80" xr3:uid="{00000000-0010-0000-0901-000050000000}" name="1,78" dataDxfId="555" dataCellStyle="Обычный 2"/>
    <tableColumn id="81" xr3:uid="{00000000-0010-0000-0901-000051000000}" name="1,79" dataDxfId="554" dataCellStyle="Обычный 2"/>
    <tableColumn id="82" xr3:uid="{00000000-0010-0000-0901-000052000000}" name="1,8" dataDxfId="553" dataCellStyle="Обычный 2"/>
    <tableColumn id="83" xr3:uid="{00000000-0010-0000-0901-000053000000}" name="1,81" dataDxfId="552" dataCellStyle="Обычный 2"/>
    <tableColumn id="84" xr3:uid="{00000000-0010-0000-0901-000054000000}" name="1,82" dataDxfId="551" dataCellStyle="Обычный 2"/>
    <tableColumn id="85" xr3:uid="{00000000-0010-0000-0901-000055000000}" name="1,83" dataDxfId="550" dataCellStyle="Обычный 2"/>
    <tableColumn id="86" xr3:uid="{00000000-0010-0000-0901-000056000000}" name="1,84" dataDxfId="549" dataCellStyle="Обычный 2"/>
    <tableColumn id="87" xr3:uid="{00000000-0010-0000-0901-000057000000}" name="1,85" dataDxfId="548" dataCellStyle="Обычный 2"/>
    <tableColumn id="88" xr3:uid="{00000000-0010-0000-0901-000058000000}" name="1,86" dataDxfId="547" dataCellStyle="Обычный 2"/>
    <tableColumn id="89" xr3:uid="{00000000-0010-0000-0901-000059000000}" name="1,87" dataDxfId="546" dataCellStyle="Обычный 2"/>
    <tableColumn id="90" xr3:uid="{00000000-0010-0000-0901-00005A000000}" name="1,88" dataDxfId="545" dataCellStyle="Обычный 2"/>
    <tableColumn id="91" xr3:uid="{00000000-0010-0000-0901-00005B000000}" name="1,89" dataDxfId="544" dataCellStyle="Обычный 2"/>
    <tableColumn id="92" xr3:uid="{00000000-0010-0000-0901-00005C000000}" name="1,9" dataDxfId="543" dataCellStyle="Обычный 2"/>
    <tableColumn id="93" xr3:uid="{00000000-0010-0000-0901-00005D000000}" name="1,91" dataDxfId="542" dataCellStyle="Обычный 2"/>
    <tableColumn id="94" xr3:uid="{00000000-0010-0000-0901-00005E000000}" name="1,92" dataDxfId="541" dataCellStyle="Обычный 2"/>
    <tableColumn id="95" xr3:uid="{00000000-0010-0000-0901-00005F000000}" name="1,93" dataDxfId="540" dataCellStyle="Обычный 2"/>
    <tableColumn id="96" xr3:uid="{00000000-0010-0000-0901-000060000000}" name="1,94" dataDxfId="539" dataCellStyle="Обычный 2"/>
    <tableColumn id="97" xr3:uid="{00000000-0010-0000-0901-000061000000}" name="1,95" dataDxfId="538" dataCellStyle="Обычный 2"/>
    <tableColumn id="98" xr3:uid="{00000000-0010-0000-0901-000062000000}" name="1,96" dataDxfId="537" dataCellStyle="Обычный 2"/>
    <tableColumn id="99" xr3:uid="{00000000-0010-0000-0901-000063000000}" name="1,97" dataDxfId="536" dataCellStyle="Обычный 2"/>
    <tableColumn id="100" xr3:uid="{00000000-0010-0000-0901-000064000000}" name="1,98" dataDxfId="535" dataCellStyle="Обычный 2"/>
    <tableColumn id="101" xr3:uid="{00000000-0010-0000-0901-000065000000}" name="1,99" dataDxfId="534" dataCellStyle="Обычный 2"/>
    <tableColumn id="102" xr3:uid="{00000000-0010-0000-0901-000066000000}" name="2" dataDxfId="533" dataCellStyle="Обычный 2"/>
  </tableColumns>
  <tableStyleInfo name="TableStyleMedium25" showFirstColumn="1" showLastColumn="0" showRowStripes="1" showColumnStripes="0"/>
</table>
</file>

<file path=xl/tables/table2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A010000}" name="MatrixF1" displayName="MatrixF1" ref="A2:CX103" totalsRowShown="0" headerRowDxfId="531" dataDxfId="529" headerRowBorderDxfId="530" tableBorderDxfId="528" dataCellStyle="Обычный 2">
  <autoFilter ref="A2:CX103"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autoFilter>
  <tableColumns count="102">
    <tableColumn id="1" xr3:uid="{00000000-0010-0000-0A01-000001000000}" name="Столбец1" dataDxfId="527" dataCellStyle="Обычный 2"/>
    <tableColumn id="2" xr3:uid="{00000000-0010-0000-0A01-000002000000}" name="1" dataDxfId="526" dataCellStyle="Обычный 2"/>
    <tableColumn id="3" xr3:uid="{00000000-0010-0000-0A01-000003000000}" name="1,01" dataDxfId="525" dataCellStyle="Обычный 2"/>
    <tableColumn id="4" xr3:uid="{00000000-0010-0000-0A01-000004000000}" name="1,02" dataDxfId="524" dataCellStyle="Обычный 2"/>
    <tableColumn id="5" xr3:uid="{00000000-0010-0000-0A01-000005000000}" name="1,03" dataDxfId="523" dataCellStyle="Обычный 2"/>
    <tableColumn id="6" xr3:uid="{00000000-0010-0000-0A01-000006000000}" name="1,04" dataDxfId="522" dataCellStyle="Обычный 2"/>
    <tableColumn id="7" xr3:uid="{00000000-0010-0000-0A01-000007000000}" name="1,05" dataDxfId="521" dataCellStyle="Обычный 2"/>
    <tableColumn id="8" xr3:uid="{00000000-0010-0000-0A01-000008000000}" name="1,06" dataDxfId="520" dataCellStyle="Обычный 2"/>
    <tableColumn id="9" xr3:uid="{00000000-0010-0000-0A01-000009000000}" name="1,07" dataDxfId="519" dataCellStyle="Обычный 2"/>
    <tableColumn id="10" xr3:uid="{00000000-0010-0000-0A01-00000A000000}" name="1,08" dataDxfId="518" dataCellStyle="Обычный 2"/>
    <tableColumn id="11" xr3:uid="{00000000-0010-0000-0A01-00000B000000}" name="1,09" dataDxfId="517" dataCellStyle="Обычный 2"/>
    <tableColumn id="12" xr3:uid="{00000000-0010-0000-0A01-00000C000000}" name="1,1" dataDxfId="516" dataCellStyle="Обычный 2"/>
    <tableColumn id="13" xr3:uid="{00000000-0010-0000-0A01-00000D000000}" name="1,11" dataDxfId="515" dataCellStyle="Обычный 2"/>
    <tableColumn id="14" xr3:uid="{00000000-0010-0000-0A01-00000E000000}" name="1,12" dataDxfId="514" dataCellStyle="Обычный 2"/>
    <tableColumn id="15" xr3:uid="{00000000-0010-0000-0A01-00000F000000}" name="1,13" dataDxfId="513" dataCellStyle="Обычный 2"/>
    <tableColumn id="16" xr3:uid="{00000000-0010-0000-0A01-000010000000}" name="1,14" dataDxfId="512" dataCellStyle="Обычный 2"/>
    <tableColumn id="17" xr3:uid="{00000000-0010-0000-0A01-000011000000}" name="1,15" dataDxfId="511" dataCellStyle="Обычный 2"/>
    <tableColumn id="18" xr3:uid="{00000000-0010-0000-0A01-000012000000}" name="1,16" dataDxfId="510" dataCellStyle="Обычный 2"/>
    <tableColumn id="19" xr3:uid="{00000000-0010-0000-0A01-000013000000}" name="1,17" dataDxfId="509" dataCellStyle="Обычный 2"/>
    <tableColumn id="20" xr3:uid="{00000000-0010-0000-0A01-000014000000}" name="1,18" dataDxfId="508" dataCellStyle="Обычный 2"/>
    <tableColumn id="21" xr3:uid="{00000000-0010-0000-0A01-000015000000}" name="1,19" dataDxfId="507" dataCellStyle="Обычный 2"/>
    <tableColumn id="22" xr3:uid="{00000000-0010-0000-0A01-000016000000}" name="1,2" dataDxfId="506" dataCellStyle="Обычный 2"/>
    <tableColumn id="23" xr3:uid="{00000000-0010-0000-0A01-000017000000}" name="1,21" dataDxfId="505" dataCellStyle="Обычный 2"/>
    <tableColumn id="24" xr3:uid="{00000000-0010-0000-0A01-000018000000}" name="1,22" dataDxfId="504" dataCellStyle="Обычный 2"/>
    <tableColumn id="25" xr3:uid="{00000000-0010-0000-0A01-000019000000}" name="1,23" dataDxfId="503" dataCellStyle="Обычный 2"/>
    <tableColumn id="26" xr3:uid="{00000000-0010-0000-0A01-00001A000000}" name="1,24" dataDxfId="502" dataCellStyle="Обычный 2"/>
    <tableColumn id="27" xr3:uid="{00000000-0010-0000-0A01-00001B000000}" name="1,25" dataDxfId="501" dataCellStyle="Обычный 2"/>
    <tableColumn id="28" xr3:uid="{00000000-0010-0000-0A01-00001C000000}" name="1,26" dataDxfId="500" dataCellStyle="Обычный 2"/>
    <tableColumn id="29" xr3:uid="{00000000-0010-0000-0A01-00001D000000}" name="1,27" dataDxfId="499" dataCellStyle="Обычный 2"/>
    <tableColumn id="30" xr3:uid="{00000000-0010-0000-0A01-00001E000000}" name="1,28" dataDxfId="498" dataCellStyle="Обычный 2"/>
    <tableColumn id="31" xr3:uid="{00000000-0010-0000-0A01-00001F000000}" name="1,29" dataDxfId="497" dataCellStyle="Обычный 2"/>
    <tableColumn id="32" xr3:uid="{00000000-0010-0000-0A01-000020000000}" name="1,3" dataDxfId="496" dataCellStyle="Обычный 2"/>
    <tableColumn id="33" xr3:uid="{00000000-0010-0000-0A01-000021000000}" name="1,31" dataDxfId="495" dataCellStyle="Обычный 2"/>
    <tableColumn id="34" xr3:uid="{00000000-0010-0000-0A01-000022000000}" name="1,32" dataDxfId="494" dataCellStyle="Обычный 2"/>
    <tableColumn id="35" xr3:uid="{00000000-0010-0000-0A01-000023000000}" name="1,33" dataDxfId="493" dataCellStyle="Обычный 2"/>
    <tableColumn id="36" xr3:uid="{00000000-0010-0000-0A01-000024000000}" name="1,34" dataDxfId="492" dataCellStyle="Обычный 2"/>
    <tableColumn id="37" xr3:uid="{00000000-0010-0000-0A01-000025000000}" name="1,35" dataDxfId="491" dataCellStyle="Обычный 2"/>
    <tableColumn id="38" xr3:uid="{00000000-0010-0000-0A01-000026000000}" name="1,36" dataDxfId="490" dataCellStyle="Обычный 2"/>
    <tableColumn id="39" xr3:uid="{00000000-0010-0000-0A01-000027000000}" name="1,37" dataDxfId="489" dataCellStyle="Обычный 2"/>
    <tableColumn id="40" xr3:uid="{00000000-0010-0000-0A01-000028000000}" name="1,38" dataDxfId="488" dataCellStyle="Обычный 2"/>
    <tableColumn id="41" xr3:uid="{00000000-0010-0000-0A01-000029000000}" name="1,39" dataDxfId="487" dataCellStyle="Обычный 2"/>
    <tableColumn id="42" xr3:uid="{00000000-0010-0000-0A01-00002A000000}" name="1,4" dataDxfId="486" dataCellStyle="Обычный 2"/>
    <tableColumn id="43" xr3:uid="{00000000-0010-0000-0A01-00002B000000}" name="1,41" dataDxfId="485" dataCellStyle="Обычный 2"/>
    <tableColumn id="44" xr3:uid="{00000000-0010-0000-0A01-00002C000000}" name="1,42" dataDxfId="484" dataCellStyle="Обычный 2"/>
    <tableColumn id="45" xr3:uid="{00000000-0010-0000-0A01-00002D000000}" name="1,43" dataDxfId="483" dataCellStyle="Обычный 2"/>
    <tableColumn id="46" xr3:uid="{00000000-0010-0000-0A01-00002E000000}" name="1,44" dataDxfId="482" dataCellStyle="Обычный 2"/>
    <tableColumn id="47" xr3:uid="{00000000-0010-0000-0A01-00002F000000}" name="1,45" dataDxfId="481" dataCellStyle="Обычный 2"/>
    <tableColumn id="48" xr3:uid="{00000000-0010-0000-0A01-000030000000}" name="1,46" dataDxfId="480" dataCellStyle="Обычный 2"/>
    <tableColumn id="49" xr3:uid="{00000000-0010-0000-0A01-000031000000}" name="1,47" dataDxfId="479" dataCellStyle="Обычный 2"/>
    <tableColumn id="50" xr3:uid="{00000000-0010-0000-0A01-000032000000}" name="1,48" dataDxfId="478" dataCellStyle="Обычный 2"/>
    <tableColumn id="51" xr3:uid="{00000000-0010-0000-0A01-000033000000}" name="1,49" dataDxfId="477" dataCellStyle="Обычный 2"/>
    <tableColumn id="52" xr3:uid="{00000000-0010-0000-0A01-000034000000}" name="1,5" dataDxfId="476" dataCellStyle="Обычный 2"/>
    <tableColumn id="53" xr3:uid="{00000000-0010-0000-0A01-000035000000}" name="1,51" dataDxfId="475" dataCellStyle="Обычный 2"/>
    <tableColumn id="54" xr3:uid="{00000000-0010-0000-0A01-000036000000}" name="1,52" dataDxfId="474" dataCellStyle="Обычный 2"/>
    <tableColumn id="55" xr3:uid="{00000000-0010-0000-0A01-000037000000}" name="1,53" dataDxfId="473" dataCellStyle="Обычный 2"/>
    <tableColumn id="56" xr3:uid="{00000000-0010-0000-0A01-000038000000}" name="1,54" dataDxfId="472" dataCellStyle="Обычный 2"/>
    <tableColumn id="57" xr3:uid="{00000000-0010-0000-0A01-000039000000}" name="1,55" dataDxfId="471" dataCellStyle="Обычный 2"/>
    <tableColumn id="58" xr3:uid="{00000000-0010-0000-0A01-00003A000000}" name="1,56" dataDxfId="470" dataCellStyle="Обычный 2"/>
    <tableColumn id="59" xr3:uid="{00000000-0010-0000-0A01-00003B000000}" name="1,57" dataDxfId="469" dataCellStyle="Обычный 2"/>
    <tableColumn id="60" xr3:uid="{00000000-0010-0000-0A01-00003C000000}" name="1,58" dataDxfId="468" dataCellStyle="Обычный 2"/>
    <tableColumn id="61" xr3:uid="{00000000-0010-0000-0A01-00003D000000}" name="1,59" dataDxfId="467" dataCellStyle="Обычный 2"/>
    <tableColumn id="62" xr3:uid="{00000000-0010-0000-0A01-00003E000000}" name="1,6" dataDxfId="466" dataCellStyle="Обычный 2"/>
    <tableColumn id="63" xr3:uid="{00000000-0010-0000-0A01-00003F000000}" name="1,61" dataDxfId="465" dataCellStyle="Обычный 2"/>
    <tableColumn id="64" xr3:uid="{00000000-0010-0000-0A01-000040000000}" name="1,62" dataDxfId="464" dataCellStyle="Обычный 2"/>
    <tableColumn id="65" xr3:uid="{00000000-0010-0000-0A01-000041000000}" name="1,63" dataDxfId="463" dataCellStyle="Обычный 2"/>
    <tableColumn id="66" xr3:uid="{00000000-0010-0000-0A01-000042000000}" name="1,64" dataDxfId="462" dataCellStyle="Обычный 2"/>
    <tableColumn id="67" xr3:uid="{00000000-0010-0000-0A01-000043000000}" name="1,65" dataDxfId="461" dataCellStyle="Обычный 2"/>
    <tableColumn id="68" xr3:uid="{00000000-0010-0000-0A01-000044000000}" name="1,66" dataDxfId="460" dataCellStyle="Обычный 2"/>
    <tableColumn id="69" xr3:uid="{00000000-0010-0000-0A01-000045000000}" name="1,67" dataDxfId="459" dataCellStyle="Обычный 2"/>
    <tableColumn id="70" xr3:uid="{00000000-0010-0000-0A01-000046000000}" name="1,68" dataDxfId="458" dataCellStyle="Обычный 2"/>
    <tableColumn id="71" xr3:uid="{00000000-0010-0000-0A01-000047000000}" name="1,69" dataDxfId="457" dataCellStyle="Обычный 2"/>
    <tableColumn id="72" xr3:uid="{00000000-0010-0000-0A01-000048000000}" name="1,7" dataDxfId="456" dataCellStyle="Обычный 2"/>
    <tableColumn id="73" xr3:uid="{00000000-0010-0000-0A01-000049000000}" name="1,71" dataDxfId="455" dataCellStyle="Обычный 2"/>
    <tableColumn id="74" xr3:uid="{00000000-0010-0000-0A01-00004A000000}" name="1,72" dataDxfId="454" dataCellStyle="Обычный 2"/>
    <tableColumn id="75" xr3:uid="{00000000-0010-0000-0A01-00004B000000}" name="1,73" dataDxfId="453" dataCellStyle="Обычный 2"/>
    <tableColumn id="76" xr3:uid="{00000000-0010-0000-0A01-00004C000000}" name="1,74" dataDxfId="452" dataCellStyle="Обычный 2"/>
    <tableColumn id="77" xr3:uid="{00000000-0010-0000-0A01-00004D000000}" name="1,75" dataDxfId="451" dataCellStyle="Обычный 2"/>
    <tableColumn id="78" xr3:uid="{00000000-0010-0000-0A01-00004E000000}" name="1,76" dataDxfId="450" dataCellStyle="Обычный 2"/>
    <tableColumn id="79" xr3:uid="{00000000-0010-0000-0A01-00004F000000}" name="1,77" dataDxfId="449" dataCellStyle="Обычный 2"/>
    <tableColumn id="80" xr3:uid="{00000000-0010-0000-0A01-000050000000}" name="1,78" dataDxfId="448" dataCellStyle="Обычный 2"/>
    <tableColumn id="81" xr3:uid="{00000000-0010-0000-0A01-000051000000}" name="1,79" dataDxfId="447" dataCellStyle="Обычный 2"/>
    <tableColumn id="82" xr3:uid="{00000000-0010-0000-0A01-000052000000}" name="1,8" dataDxfId="446" dataCellStyle="Обычный 2"/>
    <tableColumn id="83" xr3:uid="{00000000-0010-0000-0A01-000053000000}" name="1,81" dataDxfId="445" dataCellStyle="Обычный 2"/>
    <tableColumn id="84" xr3:uid="{00000000-0010-0000-0A01-000054000000}" name="1,82" dataDxfId="444" dataCellStyle="Обычный 2"/>
    <tableColumn id="85" xr3:uid="{00000000-0010-0000-0A01-000055000000}" name="1,83" dataDxfId="443" dataCellStyle="Обычный 2"/>
    <tableColumn id="86" xr3:uid="{00000000-0010-0000-0A01-000056000000}" name="1,84" dataDxfId="442" dataCellStyle="Обычный 2"/>
    <tableColumn id="87" xr3:uid="{00000000-0010-0000-0A01-000057000000}" name="1,85" dataDxfId="441" dataCellStyle="Обычный 2"/>
    <tableColumn id="88" xr3:uid="{00000000-0010-0000-0A01-000058000000}" name="1,86" dataDxfId="440" dataCellStyle="Обычный 2"/>
    <tableColumn id="89" xr3:uid="{00000000-0010-0000-0A01-000059000000}" name="1,87" dataDxfId="439" dataCellStyle="Обычный 2"/>
    <tableColumn id="90" xr3:uid="{00000000-0010-0000-0A01-00005A000000}" name="1,88" dataDxfId="438" dataCellStyle="Обычный 2"/>
    <tableColumn id="91" xr3:uid="{00000000-0010-0000-0A01-00005B000000}" name="1,89" dataDxfId="437" dataCellStyle="Обычный 2"/>
    <tableColumn id="92" xr3:uid="{00000000-0010-0000-0A01-00005C000000}" name="1,9" dataDxfId="436" dataCellStyle="Обычный 2"/>
    <tableColumn id="93" xr3:uid="{00000000-0010-0000-0A01-00005D000000}" name="1,91" dataDxfId="435" dataCellStyle="Обычный 2"/>
    <tableColumn id="94" xr3:uid="{00000000-0010-0000-0A01-00005E000000}" name="1,92" dataDxfId="434" dataCellStyle="Обычный 2"/>
    <tableColumn id="95" xr3:uid="{00000000-0010-0000-0A01-00005F000000}" name="1,93" dataDxfId="433" dataCellStyle="Обычный 2"/>
    <tableColumn id="96" xr3:uid="{00000000-0010-0000-0A01-000060000000}" name="1,94" dataDxfId="432" dataCellStyle="Обычный 2"/>
    <tableColumn id="97" xr3:uid="{00000000-0010-0000-0A01-000061000000}" name="1,95" dataDxfId="431" dataCellStyle="Обычный 2"/>
    <tableColumn id="98" xr3:uid="{00000000-0010-0000-0A01-000062000000}" name="1,96" dataDxfId="430" dataCellStyle="Обычный 2"/>
    <tableColumn id="99" xr3:uid="{00000000-0010-0000-0A01-000063000000}" name="1,97" dataDxfId="429" dataCellStyle="Обычный 2"/>
    <tableColumn id="100" xr3:uid="{00000000-0010-0000-0A01-000064000000}" name="1,98" dataDxfId="428" dataCellStyle="Обычный 2"/>
    <tableColumn id="101" xr3:uid="{00000000-0010-0000-0A01-000065000000}" name="1,99" dataDxfId="427" dataCellStyle="Обычный 2"/>
    <tableColumn id="102" xr3:uid="{00000000-0010-0000-0A01-000066000000}" name="2" dataDxfId="426" dataCellStyle="Обычный 2"/>
  </tableColumns>
  <tableStyleInfo name="TableStyleMedium25" showFirstColumn="1" showLastColumn="0" showRowStripes="1" showColumnStripes="0"/>
</table>
</file>

<file path=xl/tables/table2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B010000}" name="MatrixF2" displayName="MatrixF2" ref="A2:CX103" totalsRowShown="0" headerRowDxfId="425" dataDxfId="423" headerRowBorderDxfId="424" tableBorderDxfId="422" dataCellStyle="Обычный 2">
  <autoFilter ref="A2:CX103" xr:uid="{00000000-0009-0000-0100-000002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autoFilter>
  <tableColumns count="102">
    <tableColumn id="1" xr3:uid="{00000000-0010-0000-0B01-000001000000}" name="Столбец1" dataDxfId="421" dataCellStyle="Обычный 2"/>
    <tableColumn id="2" xr3:uid="{00000000-0010-0000-0B01-000002000000}" name="1" dataDxfId="420" dataCellStyle="Обычный 2"/>
    <tableColumn id="3" xr3:uid="{00000000-0010-0000-0B01-000003000000}" name="1,01" dataDxfId="419" dataCellStyle="Обычный 2"/>
    <tableColumn id="4" xr3:uid="{00000000-0010-0000-0B01-000004000000}" name="1,02" dataDxfId="418" dataCellStyle="Обычный 2"/>
    <tableColumn id="5" xr3:uid="{00000000-0010-0000-0B01-000005000000}" name="1,03" dataDxfId="417" dataCellStyle="Обычный 2"/>
    <tableColumn id="6" xr3:uid="{00000000-0010-0000-0B01-000006000000}" name="1,04" dataDxfId="416" dataCellStyle="Обычный 2"/>
    <tableColumn id="7" xr3:uid="{00000000-0010-0000-0B01-000007000000}" name="1,05" dataDxfId="415" dataCellStyle="Обычный 2"/>
    <tableColumn id="8" xr3:uid="{00000000-0010-0000-0B01-000008000000}" name="1,06" dataDxfId="414" dataCellStyle="Обычный 2"/>
    <tableColumn id="9" xr3:uid="{00000000-0010-0000-0B01-000009000000}" name="1,07" dataDxfId="413" dataCellStyle="Обычный 2"/>
    <tableColumn id="10" xr3:uid="{00000000-0010-0000-0B01-00000A000000}" name="1,08" dataDxfId="412" dataCellStyle="Обычный 2"/>
    <tableColumn id="11" xr3:uid="{00000000-0010-0000-0B01-00000B000000}" name="1,09" dataDxfId="411" dataCellStyle="Обычный 2"/>
    <tableColumn id="12" xr3:uid="{00000000-0010-0000-0B01-00000C000000}" name="1,1" dataDxfId="410" dataCellStyle="Обычный 2"/>
    <tableColumn id="13" xr3:uid="{00000000-0010-0000-0B01-00000D000000}" name="1,11" dataDxfId="409" dataCellStyle="Обычный 2"/>
    <tableColumn id="14" xr3:uid="{00000000-0010-0000-0B01-00000E000000}" name="1,12" dataDxfId="408" dataCellStyle="Обычный 2"/>
    <tableColumn id="15" xr3:uid="{00000000-0010-0000-0B01-00000F000000}" name="1,13" dataDxfId="407" dataCellStyle="Обычный 2"/>
    <tableColumn id="16" xr3:uid="{00000000-0010-0000-0B01-000010000000}" name="1,14" dataDxfId="406" dataCellStyle="Обычный 2"/>
    <tableColumn id="17" xr3:uid="{00000000-0010-0000-0B01-000011000000}" name="1,15" dataDxfId="405" dataCellStyle="Обычный 2"/>
    <tableColumn id="18" xr3:uid="{00000000-0010-0000-0B01-000012000000}" name="1,16" dataDxfId="404" dataCellStyle="Обычный 2"/>
    <tableColumn id="19" xr3:uid="{00000000-0010-0000-0B01-000013000000}" name="1,17" dataDxfId="403" dataCellStyle="Обычный 2"/>
    <tableColumn id="20" xr3:uid="{00000000-0010-0000-0B01-000014000000}" name="1,18" dataDxfId="402" dataCellStyle="Обычный 2"/>
    <tableColumn id="21" xr3:uid="{00000000-0010-0000-0B01-000015000000}" name="1,19" dataDxfId="401" dataCellStyle="Обычный 2"/>
    <tableColumn id="22" xr3:uid="{00000000-0010-0000-0B01-000016000000}" name="1,2" dataDxfId="400" dataCellStyle="Обычный 2"/>
    <tableColumn id="23" xr3:uid="{00000000-0010-0000-0B01-000017000000}" name="1,21" dataDxfId="399" dataCellStyle="Обычный 2"/>
    <tableColumn id="24" xr3:uid="{00000000-0010-0000-0B01-000018000000}" name="1,22" dataDxfId="398" dataCellStyle="Обычный 2"/>
    <tableColumn id="25" xr3:uid="{00000000-0010-0000-0B01-000019000000}" name="1,23" dataDxfId="397" dataCellStyle="Обычный 2"/>
    <tableColumn id="26" xr3:uid="{00000000-0010-0000-0B01-00001A000000}" name="1,24" dataDxfId="396" dataCellStyle="Обычный 2"/>
    <tableColumn id="27" xr3:uid="{00000000-0010-0000-0B01-00001B000000}" name="1,25" dataDxfId="395" dataCellStyle="Обычный 2"/>
    <tableColumn id="28" xr3:uid="{00000000-0010-0000-0B01-00001C000000}" name="1,26" dataDxfId="394" dataCellStyle="Обычный 2"/>
    <tableColumn id="29" xr3:uid="{00000000-0010-0000-0B01-00001D000000}" name="1,27" dataDxfId="393" dataCellStyle="Обычный 2"/>
    <tableColumn id="30" xr3:uid="{00000000-0010-0000-0B01-00001E000000}" name="1,28" dataDxfId="392" dataCellStyle="Обычный 2"/>
    <tableColumn id="31" xr3:uid="{00000000-0010-0000-0B01-00001F000000}" name="1,29" dataDxfId="391" dataCellStyle="Обычный 2"/>
    <tableColumn id="32" xr3:uid="{00000000-0010-0000-0B01-000020000000}" name="1,3" dataDxfId="390" dataCellStyle="Обычный 2"/>
    <tableColumn id="33" xr3:uid="{00000000-0010-0000-0B01-000021000000}" name="1,31" dataDxfId="389" dataCellStyle="Обычный 2"/>
    <tableColumn id="34" xr3:uid="{00000000-0010-0000-0B01-000022000000}" name="1,32" dataDxfId="388" dataCellStyle="Обычный 2"/>
    <tableColumn id="35" xr3:uid="{00000000-0010-0000-0B01-000023000000}" name="1,33" dataDxfId="387" dataCellStyle="Обычный 2"/>
    <tableColumn id="36" xr3:uid="{00000000-0010-0000-0B01-000024000000}" name="1,34" dataDxfId="386" dataCellStyle="Обычный 2"/>
    <tableColumn id="37" xr3:uid="{00000000-0010-0000-0B01-000025000000}" name="1,35" dataDxfId="385" dataCellStyle="Обычный 2"/>
    <tableColumn id="38" xr3:uid="{00000000-0010-0000-0B01-000026000000}" name="1,36" dataDxfId="384" dataCellStyle="Обычный 2"/>
    <tableColumn id="39" xr3:uid="{00000000-0010-0000-0B01-000027000000}" name="1,37" dataDxfId="383" dataCellStyle="Обычный 2"/>
    <tableColumn id="40" xr3:uid="{00000000-0010-0000-0B01-000028000000}" name="1,38" dataDxfId="382" dataCellStyle="Обычный 2"/>
    <tableColumn id="41" xr3:uid="{00000000-0010-0000-0B01-000029000000}" name="1,39" dataDxfId="381" dataCellStyle="Обычный 2"/>
    <tableColumn id="42" xr3:uid="{00000000-0010-0000-0B01-00002A000000}" name="1,4" dataDxfId="380" dataCellStyle="Обычный 2"/>
    <tableColumn id="43" xr3:uid="{00000000-0010-0000-0B01-00002B000000}" name="1,41" dataDxfId="379" dataCellStyle="Обычный 2"/>
    <tableColumn id="44" xr3:uid="{00000000-0010-0000-0B01-00002C000000}" name="1,42" dataDxfId="378" dataCellStyle="Обычный 2"/>
    <tableColumn id="45" xr3:uid="{00000000-0010-0000-0B01-00002D000000}" name="1,43" dataDxfId="377" dataCellStyle="Обычный 2"/>
    <tableColumn id="46" xr3:uid="{00000000-0010-0000-0B01-00002E000000}" name="1,44" dataDxfId="376" dataCellStyle="Обычный 2"/>
    <tableColumn id="47" xr3:uid="{00000000-0010-0000-0B01-00002F000000}" name="1,45" dataDxfId="375" dataCellStyle="Обычный 2"/>
    <tableColumn id="48" xr3:uid="{00000000-0010-0000-0B01-000030000000}" name="1,46" dataDxfId="374" dataCellStyle="Обычный 2"/>
    <tableColumn id="49" xr3:uid="{00000000-0010-0000-0B01-000031000000}" name="1,47" dataDxfId="373" dataCellStyle="Обычный 2"/>
    <tableColumn id="50" xr3:uid="{00000000-0010-0000-0B01-000032000000}" name="1,48" dataDxfId="372" dataCellStyle="Обычный 2"/>
    <tableColumn id="51" xr3:uid="{00000000-0010-0000-0B01-000033000000}" name="1,49" dataDxfId="371" dataCellStyle="Обычный 2"/>
    <tableColumn id="52" xr3:uid="{00000000-0010-0000-0B01-000034000000}" name="1,5" dataDxfId="370" dataCellStyle="Обычный 2"/>
    <tableColumn id="53" xr3:uid="{00000000-0010-0000-0B01-000035000000}" name="1,51" dataDxfId="369" dataCellStyle="Обычный 2"/>
    <tableColumn id="54" xr3:uid="{00000000-0010-0000-0B01-000036000000}" name="1,52" dataDxfId="368" dataCellStyle="Обычный 2"/>
    <tableColumn id="55" xr3:uid="{00000000-0010-0000-0B01-000037000000}" name="1,53" dataDxfId="367" dataCellStyle="Обычный 2"/>
    <tableColumn id="56" xr3:uid="{00000000-0010-0000-0B01-000038000000}" name="1,54" dataDxfId="366" dataCellStyle="Обычный 2"/>
    <tableColumn id="57" xr3:uid="{00000000-0010-0000-0B01-000039000000}" name="1,55" dataDxfId="365" dataCellStyle="Обычный 2"/>
    <tableColumn id="58" xr3:uid="{00000000-0010-0000-0B01-00003A000000}" name="1,56" dataDxfId="364" dataCellStyle="Обычный 2"/>
    <tableColumn id="59" xr3:uid="{00000000-0010-0000-0B01-00003B000000}" name="1,57" dataDxfId="363" dataCellStyle="Обычный 2"/>
    <tableColumn id="60" xr3:uid="{00000000-0010-0000-0B01-00003C000000}" name="1,58" dataDxfId="362" dataCellStyle="Обычный 2"/>
    <tableColumn id="61" xr3:uid="{00000000-0010-0000-0B01-00003D000000}" name="1,59" dataDxfId="361" dataCellStyle="Обычный 2"/>
    <tableColumn id="62" xr3:uid="{00000000-0010-0000-0B01-00003E000000}" name="1,6" dataDxfId="360" dataCellStyle="Обычный 2"/>
    <tableColumn id="63" xr3:uid="{00000000-0010-0000-0B01-00003F000000}" name="1,61" dataDxfId="359" dataCellStyle="Обычный 2"/>
    <tableColumn id="64" xr3:uid="{00000000-0010-0000-0B01-000040000000}" name="1,62" dataDxfId="358" dataCellStyle="Обычный 2"/>
    <tableColumn id="65" xr3:uid="{00000000-0010-0000-0B01-000041000000}" name="1,63" dataDxfId="357" dataCellStyle="Обычный 2"/>
    <tableColumn id="66" xr3:uid="{00000000-0010-0000-0B01-000042000000}" name="1,64" dataDxfId="356" dataCellStyle="Обычный 2"/>
    <tableColumn id="67" xr3:uid="{00000000-0010-0000-0B01-000043000000}" name="1,65" dataDxfId="355" dataCellStyle="Обычный 2"/>
    <tableColumn id="68" xr3:uid="{00000000-0010-0000-0B01-000044000000}" name="1,66" dataDxfId="354" dataCellStyle="Обычный 2"/>
    <tableColumn id="69" xr3:uid="{00000000-0010-0000-0B01-000045000000}" name="1,67" dataDxfId="353" dataCellStyle="Обычный 2"/>
    <tableColumn id="70" xr3:uid="{00000000-0010-0000-0B01-000046000000}" name="1,68" dataDxfId="352" dataCellStyle="Обычный 2"/>
    <tableColumn id="71" xr3:uid="{00000000-0010-0000-0B01-000047000000}" name="1,69" dataDxfId="351" dataCellStyle="Обычный 2"/>
    <tableColumn id="72" xr3:uid="{00000000-0010-0000-0B01-000048000000}" name="1,7" dataDxfId="350" dataCellStyle="Обычный 2"/>
    <tableColumn id="73" xr3:uid="{00000000-0010-0000-0B01-000049000000}" name="1,71" dataDxfId="349" dataCellStyle="Обычный 2"/>
    <tableColumn id="74" xr3:uid="{00000000-0010-0000-0B01-00004A000000}" name="1,72" dataDxfId="348" dataCellStyle="Обычный 2"/>
    <tableColumn id="75" xr3:uid="{00000000-0010-0000-0B01-00004B000000}" name="1,73" dataDxfId="347" dataCellStyle="Обычный 2"/>
    <tableColumn id="76" xr3:uid="{00000000-0010-0000-0B01-00004C000000}" name="1,74" dataDxfId="346" dataCellStyle="Обычный 2"/>
    <tableColumn id="77" xr3:uid="{00000000-0010-0000-0B01-00004D000000}" name="1,75" dataDxfId="345" dataCellStyle="Обычный 2"/>
    <tableColumn id="78" xr3:uid="{00000000-0010-0000-0B01-00004E000000}" name="1,76" dataDxfId="344" dataCellStyle="Обычный 2"/>
    <tableColumn id="79" xr3:uid="{00000000-0010-0000-0B01-00004F000000}" name="1,77" dataDxfId="343" dataCellStyle="Обычный 2"/>
    <tableColumn id="80" xr3:uid="{00000000-0010-0000-0B01-000050000000}" name="1,78" dataDxfId="342" dataCellStyle="Обычный 2"/>
    <tableColumn id="81" xr3:uid="{00000000-0010-0000-0B01-000051000000}" name="1,79" dataDxfId="341" dataCellStyle="Обычный 2"/>
    <tableColumn id="82" xr3:uid="{00000000-0010-0000-0B01-000052000000}" name="1,8" dataDxfId="340" dataCellStyle="Обычный 2"/>
    <tableColumn id="83" xr3:uid="{00000000-0010-0000-0B01-000053000000}" name="1,81" dataDxfId="339" dataCellStyle="Обычный 2"/>
    <tableColumn id="84" xr3:uid="{00000000-0010-0000-0B01-000054000000}" name="1,82" dataDxfId="338" dataCellStyle="Обычный 2"/>
    <tableColumn id="85" xr3:uid="{00000000-0010-0000-0B01-000055000000}" name="1,83" dataDxfId="337" dataCellStyle="Обычный 2"/>
    <tableColumn id="86" xr3:uid="{00000000-0010-0000-0B01-000056000000}" name="1,84" dataDxfId="336" dataCellStyle="Обычный 2"/>
    <tableColumn id="87" xr3:uid="{00000000-0010-0000-0B01-000057000000}" name="1,85" dataDxfId="335" dataCellStyle="Обычный 2"/>
    <tableColumn id="88" xr3:uid="{00000000-0010-0000-0B01-000058000000}" name="1,86" dataDxfId="334" dataCellStyle="Обычный 2"/>
    <tableColumn id="89" xr3:uid="{00000000-0010-0000-0B01-000059000000}" name="1,87" dataDxfId="333" dataCellStyle="Обычный 2"/>
    <tableColumn id="90" xr3:uid="{00000000-0010-0000-0B01-00005A000000}" name="1,88" dataDxfId="332" dataCellStyle="Обычный 2"/>
    <tableColumn id="91" xr3:uid="{00000000-0010-0000-0B01-00005B000000}" name="1,89" dataDxfId="331" dataCellStyle="Обычный 2"/>
    <tableColumn id="92" xr3:uid="{00000000-0010-0000-0B01-00005C000000}" name="1,9" dataDxfId="330" dataCellStyle="Обычный 2"/>
    <tableColumn id="93" xr3:uid="{00000000-0010-0000-0B01-00005D000000}" name="1,91" dataDxfId="329" dataCellStyle="Обычный 2"/>
    <tableColumn id="94" xr3:uid="{00000000-0010-0000-0B01-00005E000000}" name="1,92" dataDxfId="328" dataCellStyle="Обычный 2"/>
    <tableColumn id="95" xr3:uid="{00000000-0010-0000-0B01-00005F000000}" name="1,93" dataDxfId="327" dataCellStyle="Обычный 2"/>
    <tableColumn id="96" xr3:uid="{00000000-0010-0000-0B01-000060000000}" name="1,94" dataDxfId="326" dataCellStyle="Обычный 2"/>
    <tableColumn id="97" xr3:uid="{00000000-0010-0000-0B01-000061000000}" name="1,95" dataDxfId="325" dataCellStyle="Обычный 2"/>
    <tableColumn id="98" xr3:uid="{00000000-0010-0000-0B01-000062000000}" name="1,96" dataDxfId="324" dataCellStyle="Обычный 2"/>
    <tableColumn id="99" xr3:uid="{00000000-0010-0000-0B01-000063000000}" name="1,97" dataDxfId="323" dataCellStyle="Обычный 2"/>
    <tableColumn id="100" xr3:uid="{00000000-0010-0000-0B01-000064000000}" name="1,98" dataDxfId="322" dataCellStyle="Обычный 2"/>
    <tableColumn id="101" xr3:uid="{00000000-0010-0000-0B01-000065000000}" name="1,99" dataDxfId="321" dataCellStyle="Обычный 2"/>
    <tableColumn id="102" xr3:uid="{00000000-0010-0000-0B01-000066000000}" name="2" dataDxfId="320" dataCellStyle="Обычный 2"/>
  </tableColumns>
  <tableStyleInfo name="TableStyleMedium25" showFirstColumn="1" showLastColumn="0" showRowStripes="1" showColumnStripes="0"/>
</table>
</file>

<file path=xl/tables/table2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C010000}" name="MatrixF3" displayName="MatrixF3" ref="A2:CX103" totalsRowShown="0" headerRowDxfId="318" dataDxfId="316" headerRowBorderDxfId="317" tableBorderDxfId="315" dataCellStyle="Обычный 2">
  <autoFilter ref="A2:CX103" xr:uid="{00000000-0009-0000-0100-000003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autoFilter>
  <tableColumns count="102">
    <tableColumn id="1" xr3:uid="{00000000-0010-0000-0C01-000001000000}" name="Столбец1" dataDxfId="314" dataCellStyle="Обычный 2"/>
    <tableColumn id="2" xr3:uid="{00000000-0010-0000-0C01-000002000000}" name="1" dataDxfId="313" dataCellStyle="Обычный 2"/>
    <tableColumn id="3" xr3:uid="{00000000-0010-0000-0C01-000003000000}" name="1,01" dataDxfId="312" dataCellStyle="Обычный 2"/>
    <tableColumn id="4" xr3:uid="{00000000-0010-0000-0C01-000004000000}" name="1,02" dataDxfId="311" dataCellStyle="Обычный 2"/>
    <tableColumn id="5" xr3:uid="{00000000-0010-0000-0C01-000005000000}" name="1,03" dataDxfId="310" dataCellStyle="Обычный 2"/>
    <tableColumn id="6" xr3:uid="{00000000-0010-0000-0C01-000006000000}" name="1,04" dataDxfId="309" dataCellStyle="Обычный 2"/>
    <tableColumn id="7" xr3:uid="{00000000-0010-0000-0C01-000007000000}" name="1,05" dataDxfId="308" dataCellStyle="Обычный 2"/>
    <tableColumn id="8" xr3:uid="{00000000-0010-0000-0C01-000008000000}" name="1,06" dataDxfId="307" dataCellStyle="Обычный 2"/>
    <tableColumn id="9" xr3:uid="{00000000-0010-0000-0C01-000009000000}" name="1,07" dataDxfId="306" dataCellStyle="Обычный 2"/>
    <tableColumn id="10" xr3:uid="{00000000-0010-0000-0C01-00000A000000}" name="1,08" dataDxfId="305" dataCellStyle="Обычный 2"/>
    <tableColumn id="11" xr3:uid="{00000000-0010-0000-0C01-00000B000000}" name="1,09" dataDxfId="304" dataCellStyle="Обычный 2"/>
    <tableColumn id="12" xr3:uid="{00000000-0010-0000-0C01-00000C000000}" name="1,1" dataDxfId="303" dataCellStyle="Обычный 2"/>
    <tableColumn id="13" xr3:uid="{00000000-0010-0000-0C01-00000D000000}" name="1,11" dataDxfId="302" dataCellStyle="Обычный 2"/>
    <tableColumn id="14" xr3:uid="{00000000-0010-0000-0C01-00000E000000}" name="1,12" dataDxfId="301" dataCellStyle="Обычный 2"/>
    <tableColumn id="15" xr3:uid="{00000000-0010-0000-0C01-00000F000000}" name="1,13" dataDxfId="300" dataCellStyle="Обычный 2"/>
    <tableColumn id="16" xr3:uid="{00000000-0010-0000-0C01-000010000000}" name="1,14" dataDxfId="299" dataCellStyle="Обычный 2"/>
    <tableColumn id="17" xr3:uid="{00000000-0010-0000-0C01-000011000000}" name="1,15" dataDxfId="298" dataCellStyle="Обычный 2"/>
    <tableColumn id="18" xr3:uid="{00000000-0010-0000-0C01-000012000000}" name="1,16" dataDxfId="297" dataCellStyle="Обычный 2"/>
    <tableColumn id="19" xr3:uid="{00000000-0010-0000-0C01-000013000000}" name="1,17" dataDxfId="296" dataCellStyle="Обычный 2"/>
    <tableColumn id="20" xr3:uid="{00000000-0010-0000-0C01-000014000000}" name="1,18" dataDxfId="295" dataCellStyle="Обычный 2"/>
    <tableColumn id="21" xr3:uid="{00000000-0010-0000-0C01-000015000000}" name="1,19" dataDxfId="294" dataCellStyle="Обычный 2"/>
    <tableColumn id="22" xr3:uid="{00000000-0010-0000-0C01-000016000000}" name="1,2" dataDxfId="293" dataCellStyle="Обычный 2"/>
    <tableColumn id="23" xr3:uid="{00000000-0010-0000-0C01-000017000000}" name="1,21" dataDxfId="292" dataCellStyle="Обычный 2"/>
    <tableColumn id="24" xr3:uid="{00000000-0010-0000-0C01-000018000000}" name="1,22" dataDxfId="291" dataCellStyle="Обычный 2"/>
    <tableColumn id="25" xr3:uid="{00000000-0010-0000-0C01-000019000000}" name="1,23" dataDxfId="290" dataCellStyle="Обычный 2"/>
    <tableColumn id="26" xr3:uid="{00000000-0010-0000-0C01-00001A000000}" name="1,24" dataDxfId="289" dataCellStyle="Обычный 2"/>
    <tableColumn id="27" xr3:uid="{00000000-0010-0000-0C01-00001B000000}" name="1,25" dataDxfId="288" dataCellStyle="Обычный 2"/>
    <tableColumn id="28" xr3:uid="{00000000-0010-0000-0C01-00001C000000}" name="1,26" dataDxfId="287" dataCellStyle="Обычный 2"/>
    <tableColumn id="29" xr3:uid="{00000000-0010-0000-0C01-00001D000000}" name="1,27" dataDxfId="286" dataCellStyle="Обычный 2"/>
    <tableColumn id="30" xr3:uid="{00000000-0010-0000-0C01-00001E000000}" name="1,28" dataDxfId="285" dataCellStyle="Обычный 2"/>
    <tableColumn id="31" xr3:uid="{00000000-0010-0000-0C01-00001F000000}" name="1,29" dataDxfId="284" dataCellStyle="Обычный 2"/>
    <tableColumn id="32" xr3:uid="{00000000-0010-0000-0C01-000020000000}" name="1,3" dataDxfId="283" dataCellStyle="Обычный 2"/>
    <tableColumn id="33" xr3:uid="{00000000-0010-0000-0C01-000021000000}" name="1,31" dataDxfId="282" dataCellStyle="Обычный 2"/>
    <tableColumn id="34" xr3:uid="{00000000-0010-0000-0C01-000022000000}" name="1,32" dataDxfId="281" dataCellStyle="Обычный 2"/>
    <tableColumn id="35" xr3:uid="{00000000-0010-0000-0C01-000023000000}" name="1,33" dataDxfId="280" dataCellStyle="Обычный 2"/>
    <tableColumn id="36" xr3:uid="{00000000-0010-0000-0C01-000024000000}" name="1,34" dataDxfId="279" dataCellStyle="Обычный 2"/>
    <tableColumn id="37" xr3:uid="{00000000-0010-0000-0C01-000025000000}" name="1,35" dataDxfId="278" dataCellStyle="Обычный 2"/>
    <tableColumn id="38" xr3:uid="{00000000-0010-0000-0C01-000026000000}" name="1,36" dataDxfId="277" dataCellStyle="Обычный 2"/>
    <tableColumn id="39" xr3:uid="{00000000-0010-0000-0C01-000027000000}" name="1,37" dataDxfId="276" dataCellStyle="Обычный 2"/>
    <tableColumn id="40" xr3:uid="{00000000-0010-0000-0C01-000028000000}" name="1,38" dataDxfId="275" dataCellStyle="Обычный 2"/>
    <tableColumn id="41" xr3:uid="{00000000-0010-0000-0C01-000029000000}" name="1,39" dataDxfId="274" dataCellStyle="Обычный 2"/>
    <tableColumn id="42" xr3:uid="{00000000-0010-0000-0C01-00002A000000}" name="1,4" dataDxfId="273" dataCellStyle="Обычный 2"/>
    <tableColumn id="43" xr3:uid="{00000000-0010-0000-0C01-00002B000000}" name="1,41" dataDxfId="272" dataCellStyle="Обычный 2"/>
    <tableColumn id="44" xr3:uid="{00000000-0010-0000-0C01-00002C000000}" name="1,42" dataDxfId="271" dataCellStyle="Обычный 2"/>
    <tableColumn id="45" xr3:uid="{00000000-0010-0000-0C01-00002D000000}" name="1,43" dataDxfId="270" dataCellStyle="Обычный 2"/>
    <tableColumn id="46" xr3:uid="{00000000-0010-0000-0C01-00002E000000}" name="1,44" dataDxfId="269" dataCellStyle="Обычный 2"/>
    <tableColumn id="47" xr3:uid="{00000000-0010-0000-0C01-00002F000000}" name="1,45" dataDxfId="268" dataCellStyle="Обычный 2"/>
    <tableColumn id="48" xr3:uid="{00000000-0010-0000-0C01-000030000000}" name="1,46" dataDxfId="267" dataCellStyle="Обычный 2"/>
    <tableColumn id="49" xr3:uid="{00000000-0010-0000-0C01-000031000000}" name="1,47" dataDxfId="266" dataCellStyle="Обычный 2"/>
    <tableColumn id="50" xr3:uid="{00000000-0010-0000-0C01-000032000000}" name="1,48" dataDxfId="265" dataCellStyle="Обычный 2"/>
    <tableColumn id="51" xr3:uid="{00000000-0010-0000-0C01-000033000000}" name="1,49" dataDxfId="264" dataCellStyle="Обычный 2"/>
    <tableColumn id="52" xr3:uid="{00000000-0010-0000-0C01-000034000000}" name="1,5" dataDxfId="263" dataCellStyle="Обычный 2"/>
    <tableColumn id="53" xr3:uid="{00000000-0010-0000-0C01-000035000000}" name="1,51" dataDxfId="262" dataCellStyle="Обычный 2"/>
    <tableColumn id="54" xr3:uid="{00000000-0010-0000-0C01-000036000000}" name="1,52" dataDxfId="261" dataCellStyle="Обычный 2"/>
    <tableColumn id="55" xr3:uid="{00000000-0010-0000-0C01-000037000000}" name="1,53" dataDxfId="260" dataCellStyle="Обычный 2"/>
    <tableColumn id="56" xr3:uid="{00000000-0010-0000-0C01-000038000000}" name="1,54" dataDxfId="259" dataCellStyle="Обычный 2"/>
    <tableColumn id="57" xr3:uid="{00000000-0010-0000-0C01-000039000000}" name="1,55" dataDxfId="258" dataCellStyle="Обычный 2"/>
    <tableColumn id="58" xr3:uid="{00000000-0010-0000-0C01-00003A000000}" name="1,56" dataDxfId="257" dataCellStyle="Обычный 2"/>
    <tableColumn id="59" xr3:uid="{00000000-0010-0000-0C01-00003B000000}" name="1,57" dataDxfId="256" dataCellStyle="Обычный 2"/>
    <tableColumn id="60" xr3:uid="{00000000-0010-0000-0C01-00003C000000}" name="1,58" dataDxfId="255" dataCellStyle="Обычный 2"/>
    <tableColumn id="61" xr3:uid="{00000000-0010-0000-0C01-00003D000000}" name="1,59" dataDxfId="254" dataCellStyle="Обычный 2"/>
    <tableColumn id="62" xr3:uid="{00000000-0010-0000-0C01-00003E000000}" name="1,6" dataDxfId="253" dataCellStyle="Обычный 2"/>
    <tableColumn id="63" xr3:uid="{00000000-0010-0000-0C01-00003F000000}" name="1,61" dataDxfId="252" dataCellStyle="Обычный 2"/>
    <tableColumn id="64" xr3:uid="{00000000-0010-0000-0C01-000040000000}" name="1,62" dataDxfId="251" dataCellStyle="Обычный 2"/>
    <tableColumn id="65" xr3:uid="{00000000-0010-0000-0C01-000041000000}" name="1,63" dataDxfId="250" dataCellStyle="Обычный 2"/>
    <tableColumn id="66" xr3:uid="{00000000-0010-0000-0C01-000042000000}" name="1,64" dataDxfId="249" dataCellStyle="Обычный 2"/>
    <tableColumn id="67" xr3:uid="{00000000-0010-0000-0C01-000043000000}" name="1,65" dataDxfId="248" dataCellStyle="Обычный 2"/>
    <tableColumn id="68" xr3:uid="{00000000-0010-0000-0C01-000044000000}" name="1,66" dataDxfId="247" dataCellStyle="Обычный 2"/>
    <tableColumn id="69" xr3:uid="{00000000-0010-0000-0C01-000045000000}" name="1,67" dataDxfId="246" dataCellStyle="Обычный 2"/>
    <tableColumn id="70" xr3:uid="{00000000-0010-0000-0C01-000046000000}" name="1,68" dataDxfId="245" dataCellStyle="Обычный 2"/>
    <tableColumn id="71" xr3:uid="{00000000-0010-0000-0C01-000047000000}" name="1,69" dataDxfId="244" dataCellStyle="Обычный 2"/>
    <tableColumn id="72" xr3:uid="{00000000-0010-0000-0C01-000048000000}" name="1,7" dataDxfId="243" dataCellStyle="Обычный 2"/>
    <tableColumn id="73" xr3:uid="{00000000-0010-0000-0C01-000049000000}" name="1,71" dataDxfId="242" dataCellStyle="Обычный 2"/>
    <tableColumn id="74" xr3:uid="{00000000-0010-0000-0C01-00004A000000}" name="1,72" dataDxfId="241" dataCellStyle="Обычный 2"/>
    <tableColumn id="75" xr3:uid="{00000000-0010-0000-0C01-00004B000000}" name="1,73" dataDxfId="240" dataCellStyle="Обычный 2"/>
    <tableColumn id="76" xr3:uid="{00000000-0010-0000-0C01-00004C000000}" name="1,74" dataDxfId="239" dataCellStyle="Обычный 2"/>
    <tableColumn id="77" xr3:uid="{00000000-0010-0000-0C01-00004D000000}" name="1,75" dataDxfId="238" dataCellStyle="Обычный 2"/>
    <tableColumn id="78" xr3:uid="{00000000-0010-0000-0C01-00004E000000}" name="1,76" dataDxfId="237" dataCellStyle="Обычный 2"/>
    <tableColumn id="79" xr3:uid="{00000000-0010-0000-0C01-00004F000000}" name="1,77" dataDxfId="236" dataCellStyle="Обычный 2"/>
    <tableColumn id="80" xr3:uid="{00000000-0010-0000-0C01-000050000000}" name="1,78" dataDxfId="235" dataCellStyle="Обычный 2"/>
    <tableColumn id="81" xr3:uid="{00000000-0010-0000-0C01-000051000000}" name="1,79" dataDxfId="234" dataCellStyle="Обычный 2"/>
    <tableColumn id="82" xr3:uid="{00000000-0010-0000-0C01-000052000000}" name="1,8" dataDxfId="233" dataCellStyle="Обычный 2"/>
    <tableColumn id="83" xr3:uid="{00000000-0010-0000-0C01-000053000000}" name="1,81" dataDxfId="232" dataCellStyle="Обычный 2"/>
    <tableColumn id="84" xr3:uid="{00000000-0010-0000-0C01-000054000000}" name="1,82" dataDxfId="231" dataCellStyle="Обычный 2"/>
    <tableColumn id="85" xr3:uid="{00000000-0010-0000-0C01-000055000000}" name="1,83" dataDxfId="230" dataCellStyle="Обычный 2"/>
    <tableColumn id="86" xr3:uid="{00000000-0010-0000-0C01-000056000000}" name="1,84" dataDxfId="229" dataCellStyle="Обычный 2"/>
    <tableColumn id="87" xr3:uid="{00000000-0010-0000-0C01-000057000000}" name="1,85" dataDxfId="228" dataCellStyle="Обычный 2"/>
    <tableColumn id="88" xr3:uid="{00000000-0010-0000-0C01-000058000000}" name="1,86" dataDxfId="227" dataCellStyle="Обычный 2"/>
    <tableColumn id="89" xr3:uid="{00000000-0010-0000-0C01-000059000000}" name="1,87" dataDxfId="226" dataCellStyle="Обычный 2"/>
    <tableColumn id="90" xr3:uid="{00000000-0010-0000-0C01-00005A000000}" name="1,88" dataDxfId="225" dataCellStyle="Обычный 2"/>
    <tableColumn id="91" xr3:uid="{00000000-0010-0000-0C01-00005B000000}" name="1,89" dataDxfId="224" dataCellStyle="Обычный 2"/>
    <tableColumn id="92" xr3:uid="{00000000-0010-0000-0C01-00005C000000}" name="1,9" dataDxfId="223" dataCellStyle="Обычный 2"/>
    <tableColumn id="93" xr3:uid="{00000000-0010-0000-0C01-00005D000000}" name="1,91" dataDxfId="222" dataCellStyle="Обычный 2"/>
    <tableColumn id="94" xr3:uid="{00000000-0010-0000-0C01-00005E000000}" name="1,92" dataDxfId="221" dataCellStyle="Обычный 2"/>
    <tableColumn id="95" xr3:uid="{00000000-0010-0000-0C01-00005F000000}" name="1,93" dataDxfId="220" dataCellStyle="Обычный 2"/>
    <tableColumn id="96" xr3:uid="{00000000-0010-0000-0C01-000060000000}" name="1,94" dataDxfId="219" dataCellStyle="Обычный 2"/>
    <tableColumn id="97" xr3:uid="{00000000-0010-0000-0C01-000061000000}" name="1,95" dataDxfId="218" dataCellStyle="Обычный 2"/>
    <tableColumn id="98" xr3:uid="{00000000-0010-0000-0C01-000062000000}" name="1,96" dataDxfId="217" dataCellStyle="Обычный 2"/>
    <tableColumn id="99" xr3:uid="{00000000-0010-0000-0C01-000063000000}" name="1,97" dataDxfId="216" dataCellStyle="Обычный 2"/>
    <tableColumn id="100" xr3:uid="{00000000-0010-0000-0C01-000064000000}" name="1,98" dataDxfId="215" dataCellStyle="Обычный 2"/>
    <tableColumn id="101" xr3:uid="{00000000-0010-0000-0C01-000065000000}" name="1,99" dataDxfId="214" dataCellStyle="Обычный 2"/>
    <tableColumn id="102" xr3:uid="{00000000-0010-0000-0C01-000066000000}" name="2" dataDxfId="213" dataCellStyle="Обычный 2"/>
  </tableColumns>
  <tableStyleInfo name="TableStyleMedium25" showFirstColumn="1" showLastColumn="0" showRowStripes="1" showColumnStripes="0"/>
</table>
</file>

<file path=xl/tables/table2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D010000}" name="MatrixF4" displayName="MatrixF4" ref="A2:CX103" totalsRowShown="0" headerRowDxfId="212" dataDxfId="210" headerRowBorderDxfId="211" tableBorderDxfId="209" dataCellStyle="Обычный 2">
  <autoFilter ref="A2:CX103"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autoFilter>
  <tableColumns count="102">
    <tableColumn id="1" xr3:uid="{00000000-0010-0000-0D01-000001000000}" name="Столбец1" dataDxfId="208" dataCellStyle="Обычный 2"/>
    <tableColumn id="2" xr3:uid="{00000000-0010-0000-0D01-000002000000}" name="1" dataDxfId="207" dataCellStyle="Обычный 2"/>
    <tableColumn id="3" xr3:uid="{00000000-0010-0000-0D01-000003000000}" name="1,01" dataDxfId="206" dataCellStyle="Обычный 2"/>
    <tableColumn id="4" xr3:uid="{00000000-0010-0000-0D01-000004000000}" name="1,02" dataDxfId="205" dataCellStyle="Обычный 2"/>
    <tableColumn id="5" xr3:uid="{00000000-0010-0000-0D01-000005000000}" name="1,03" dataDxfId="204" dataCellStyle="Обычный 2"/>
    <tableColumn id="6" xr3:uid="{00000000-0010-0000-0D01-000006000000}" name="1,04" dataDxfId="203" dataCellStyle="Обычный 2"/>
    <tableColumn id="7" xr3:uid="{00000000-0010-0000-0D01-000007000000}" name="1,05" dataDxfId="202" dataCellStyle="Обычный 2"/>
    <tableColumn id="8" xr3:uid="{00000000-0010-0000-0D01-000008000000}" name="1,06" dataDxfId="201" dataCellStyle="Обычный 2"/>
    <tableColumn id="9" xr3:uid="{00000000-0010-0000-0D01-000009000000}" name="1,07" dataDxfId="200" dataCellStyle="Обычный 2"/>
    <tableColumn id="10" xr3:uid="{00000000-0010-0000-0D01-00000A000000}" name="1,08" dataDxfId="199" dataCellStyle="Обычный 2"/>
    <tableColumn id="11" xr3:uid="{00000000-0010-0000-0D01-00000B000000}" name="1,09" dataDxfId="198" dataCellStyle="Обычный 2"/>
    <tableColumn id="12" xr3:uid="{00000000-0010-0000-0D01-00000C000000}" name="1,1" dataDxfId="197" dataCellStyle="Обычный 2"/>
    <tableColumn id="13" xr3:uid="{00000000-0010-0000-0D01-00000D000000}" name="1,11" dataDxfId="196" dataCellStyle="Обычный 2"/>
    <tableColumn id="14" xr3:uid="{00000000-0010-0000-0D01-00000E000000}" name="1,12" dataDxfId="195" dataCellStyle="Обычный 2"/>
    <tableColumn id="15" xr3:uid="{00000000-0010-0000-0D01-00000F000000}" name="1,13" dataDxfId="194" dataCellStyle="Обычный 2"/>
    <tableColumn id="16" xr3:uid="{00000000-0010-0000-0D01-000010000000}" name="1,14" dataDxfId="193" dataCellStyle="Обычный 2"/>
    <tableColumn id="17" xr3:uid="{00000000-0010-0000-0D01-000011000000}" name="1,15" dataDxfId="192" dataCellStyle="Обычный 2"/>
    <tableColumn id="18" xr3:uid="{00000000-0010-0000-0D01-000012000000}" name="1,16" dataDxfId="191" dataCellStyle="Обычный 2"/>
    <tableColumn id="19" xr3:uid="{00000000-0010-0000-0D01-000013000000}" name="1,17" dataDxfId="190" dataCellStyle="Обычный 2"/>
    <tableColumn id="20" xr3:uid="{00000000-0010-0000-0D01-000014000000}" name="1,18" dataDxfId="189" dataCellStyle="Обычный 2"/>
    <tableColumn id="21" xr3:uid="{00000000-0010-0000-0D01-000015000000}" name="1,19" dataDxfId="188" dataCellStyle="Обычный 2"/>
    <tableColumn id="22" xr3:uid="{00000000-0010-0000-0D01-000016000000}" name="1,2" dataDxfId="187" dataCellStyle="Обычный 2"/>
    <tableColumn id="23" xr3:uid="{00000000-0010-0000-0D01-000017000000}" name="1,21" dataDxfId="186" dataCellStyle="Обычный 2"/>
    <tableColumn id="24" xr3:uid="{00000000-0010-0000-0D01-000018000000}" name="1,22" dataDxfId="185" dataCellStyle="Обычный 2"/>
    <tableColumn id="25" xr3:uid="{00000000-0010-0000-0D01-000019000000}" name="1,23" dataDxfId="184" dataCellStyle="Обычный 2"/>
    <tableColumn id="26" xr3:uid="{00000000-0010-0000-0D01-00001A000000}" name="1,24" dataDxfId="183" dataCellStyle="Обычный 2"/>
    <tableColumn id="27" xr3:uid="{00000000-0010-0000-0D01-00001B000000}" name="1,25" dataDxfId="182" dataCellStyle="Обычный 2"/>
    <tableColumn id="28" xr3:uid="{00000000-0010-0000-0D01-00001C000000}" name="1,26" dataDxfId="181" dataCellStyle="Обычный 2"/>
    <tableColumn id="29" xr3:uid="{00000000-0010-0000-0D01-00001D000000}" name="1,27" dataDxfId="180" dataCellStyle="Обычный 2"/>
    <tableColumn id="30" xr3:uid="{00000000-0010-0000-0D01-00001E000000}" name="1,28" dataDxfId="179" dataCellStyle="Обычный 2"/>
    <tableColumn id="31" xr3:uid="{00000000-0010-0000-0D01-00001F000000}" name="1,29" dataDxfId="178" dataCellStyle="Обычный 2"/>
    <tableColumn id="32" xr3:uid="{00000000-0010-0000-0D01-000020000000}" name="1,3" dataDxfId="177" dataCellStyle="Обычный 2"/>
    <tableColumn id="33" xr3:uid="{00000000-0010-0000-0D01-000021000000}" name="1,31" dataDxfId="176" dataCellStyle="Обычный 2"/>
    <tableColumn id="34" xr3:uid="{00000000-0010-0000-0D01-000022000000}" name="1,32" dataDxfId="175" dataCellStyle="Обычный 2"/>
    <tableColumn id="35" xr3:uid="{00000000-0010-0000-0D01-000023000000}" name="1,33" dataDxfId="174" dataCellStyle="Обычный 2"/>
    <tableColumn id="36" xr3:uid="{00000000-0010-0000-0D01-000024000000}" name="1,34" dataDxfId="173" dataCellStyle="Обычный 2"/>
    <tableColumn id="37" xr3:uid="{00000000-0010-0000-0D01-000025000000}" name="1,35" dataDxfId="172" dataCellStyle="Обычный 2"/>
    <tableColumn id="38" xr3:uid="{00000000-0010-0000-0D01-000026000000}" name="1,36" dataDxfId="171" dataCellStyle="Обычный 2"/>
    <tableColumn id="39" xr3:uid="{00000000-0010-0000-0D01-000027000000}" name="1,37" dataDxfId="170" dataCellStyle="Обычный 2"/>
    <tableColumn id="40" xr3:uid="{00000000-0010-0000-0D01-000028000000}" name="1,38" dataDxfId="169" dataCellStyle="Обычный 2"/>
    <tableColumn id="41" xr3:uid="{00000000-0010-0000-0D01-000029000000}" name="1,39" dataDxfId="168" dataCellStyle="Обычный 2"/>
    <tableColumn id="42" xr3:uid="{00000000-0010-0000-0D01-00002A000000}" name="1,4" dataDxfId="167" dataCellStyle="Обычный 2"/>
    <tableColumn id="43" xr3:uid="{00000000-0010-0000-0D01-00002B000000}" name="1,41" dataDxfId="166" dataCellStyle="Обычный 2"/>
    <tableColumn id="44" xr3:uid="{00000000-0010-0000-0D01-00002C000000}" name="1,42" dataDxfId="165" dataCellStyle="Обычный 2"/>
    <tableColumn id="45" xr3:uid="{00000000-0010-0000-0D01-00002D000000}" name="1,43" dataDxfId="164" dataCellStyle="Обычный 2"/>
    <tableColumn id="46" xr3:uid="{00000000-0010-0000-0D01-00002E000000}" name="1,44" dataDxfId="163" dataCellStyle="Обычный 2"/>
    <tableColumn id="47" xr3:uid="{00000000-0010-0000-0D01-00002F000000}" name="1,45" dataDxfId="162" dataCellStyle="Обычный 2"/>
    <tableColumn id="48" xr3:uid="{00000000-0010-0000-0D01-000030000000}" name="1,46" dataDxfId="161" dataCellStyle="Обычный 2"/>
    <tableColumn id="49" xr3:uid="{00000000-0010-0000-0D01-000031000000}" name="1,47" dataDxfId="160" dataCellStyle="Обычный 2"/>
    <tableColumn id="50" xr3:uid="{00000000-0010-0000-0D01-000032000000}" name="1,48" dataDxfId="159" dataCellStyle="Обычный 2"/>
    <tableColumn id="51" xr3:uid="{00000000-0010-0000-0D01-000033000000}" name="1,49" dataDxfId="158" dataCellStyle="Обычный 2"/>
    <tableColumn id="52" xr3:uid="{00000000-0010-0000-0D01-000034000000}" name="1,5" dataDxfId="157" dataCellStyle="Обычный 2"/>
    <tableColumn id="53" xr3:uid="{00000000-0010-0000-0D01-000035000000}" name="1,51" dataDxfId="156" dataCellStyle="Обычный 2"/>
    <tableColumn id="54" xr3:uid="{00000000-0010-0000-0D01-000036000000}" name="1,52" dataDxfId="155" dataCellStyle="Обычный 2"/>
    <tableColumn id="55" xr3:uid="{00000000-0010-0000-0D01-000037000000}" name="1,53" dataDxfId="154" dataCellStyle="Обычный 2"/>
    <tableColumn id="56" xr3:uid="{00000000-0010-0000-0D01-000038000000}" name="1,54" dataDxfId="153" dataCellStyle="Обычный 2"/>
    <tableColumn id="57" xr3:uid="{00000000-0010-0000-0D01-000039000000}" name="1,55" dataDxfId="152" dataCellStyle="Обычный 2"/>
    <tableColumn id="58" xr3:uid="{00000000-0010-0000-0D01-00003A000000}" name="1,56" dataDxfId="151" dataCellStyle="Обычный 2"/>
    <tableColumn id="59" xr3:uid="{00000000-0010-0000-0D01-00003B000000}" name="1,57" dataDxfId="150" dataCellStyle="Обычный 2"/>
    <tableColumn id="60" xr3:uid="{00000000-0010-0000-0D01-00003C000000}" name="1,58" dataDxfId="149" dataCellStyle="Обычный 2"/>
    <tableColumn id="61" xr3:uid="{00000000-0010-0000-0D01-00003D000000}" name="1,59" dataDxfId="148" dataCellStyle="Обычный 2"/>
    <tableColumn id="62" xr3:uid="{00000000-0010-0000-0D01-00003E000000}" name="1,6" dataDxfId="147" dataCellStyle="Обычный 2"/>
    <tableColumn id="63" xr3:uid="{00000000-0010-0000-0D01-00003F000000}" name="1,61" dataDxfId="146" dataCellStyle="Обычный 2"/>
    <tableColumn id="64" xr3:uid="{00000000-0010-0000-0D01-000040000000}" name="1,62" dataDxfId="145" dataCellStyle="Обычный 2"/>
    <tableColumn id="65" xr3:uid="{00000000-0010-0000-0D01-000041000000}" name="1,63" dataDxfId="144" dataCellStyle="Обычный 2"/>
    <tableColumn id="66" xr3:uid="{00000000-0010-0000-0D01-000042000000}" name="1,64" dataDxfId="143" dataCellStyle="Обычный 2"/>
    <tableColumn id="67" xr3:uid="{00000000-0010-0000-0D01-000043000000}" name="1,65" dataDxfId="142" dataCellStyle="Обычный 2"/>
    <tableColumn id="68" xr3:uid="{00000000-0010-0000-0D01-000044000000}" name="1,66" dataDxfId="141" dataCellStyle="Обычный 2"/>
    <tableColumn id="69" xr3:uid="{00000000-0010-0000-0D01-000045000000}" name="1,67" dataDxfId="140" dataCellStyle="Обычный 2"/>
    <tableColumn id="70" xr3:uid="{00000000-0010-0000-0D01-000046000000}" name="1,68" dataDxfId="139" dataCellStyle="Обычный 2"/>
    <tableColumn id="71" xr3:uid="{00000000-0010-0000-0D01-000047000000}" name="1,69" dataDxfId="138" dataCellStyle="Обычный 2"/>
    <tableColumn id="72" xr3:uid="{00000000-0010-0000-0D01-000048000000}" name="1,7" dataDxfId="137" dataCellStyle="Обычный 2"/>
    <tableColumn id="73" xr3:uid="{00000000-0010-0000-0D01-000049000000}" name="1,71" dataDxfId="136" dataCellStyle="Обычный 2"/>
    <tableColumn id="74" xr3:uid="{00000000-0010-0000-0D01-00004A000000}" name="1,72" dataDxfId="135" dataCellStyle="Обычный 2"/>
    <tableColumn id="75" xr3:uid="{00000000-0010-0000-0D01-00004B000000}" name="1,73" dataDxfId="134" dataCellStyle="Обычный 2"/>
    <tableColumn id="76" xr3:uid="{00000000-0010-0000-0D01-00004C000000}" name="1,74" dataDxfId="133" dataCellStyle="Обычный 2"/>
    <tableColumn id="77" xr3:uid="{00000000-0010-0000-0D01-00004D000000}" name="1,75" dataDxfId="132" dataCellStyle="Обычный 2"/>
    <tableColumn id="78" xr3:uid="{00000000-0010-0000-0D01-00004E000000}" name="1,76" dataDxfId="131" dataCellStyle="Обычный 2"/>
    <tableColumn id="79" xr3:uid="{00000000-0010-0000-0D01-00004F000000}" name="1,77" dataDxfId="130" dataCellStyle="Обычный 2"/>
    <tableColumn id="80" xr3:uid="{00000000-0010-0000-0D01-000050000000}" name="1,78" dataDxfId="129" dataCellStyle="Обычный 2"/>
    <tableColumn id="81" xr3:uid="{00000000-0010-0000-0D01-000051000000}" name="1,79" dataDxfId="128" dataCellStyle="Обычный 2"/>
    <tableColumn id="82" xr3:uid="{00000000-0010-0000-0D01-000052000000}" name="1,8" dataDxfId="127" dataCellStyle="Обычный 2"/>
    <tableColumn id="83" xr3:uid="{00000000-0010-0000-0D01-000053000000}" name="1,81" dataDxfId="126" dataCellStyle="Обычный 2"/>
    <tableColumn id="84" xr3:uid="{00000000-0010-0000-0D01-000054000000}" name="1,82" dataDxfId="125" dataCellStyle="Обычный 2"/>
    <tableColumn id="85" xr3:uid="{00000000-0010-0000-0D01-000055000000}" name="1,83" dataDxfId="124" dataCellStyle="Обычный 2"/>
    <tableColumn id="86" xr3:uid="{00000000-0010-0000-0D01-000056000000}" name="1,84" dataDxfId="123" dataCellStyle="Обычный 2"/>
    <tableColumn id="87" xr3:uid="{00000000-0010-0000-0D01-000057000000}" name="1,85" dataDxfId="122" dataCellStyle="Обычный 2"/>
    <tableColumn id="88" xr3:uid="{00000000-0010-0000-0D01-000058000000}" name="1,86" dataDxfId="121" dataCellStyle="Обычный 2"/>
    <tableColumn id="89" xr3:uid="{00000000-0010-0000-0D01-000059000000}" name="1,87" dataDxfId="120" dataCellStyle="Обычный 2"/>
    <tableColumn id="90" xr3:uid="{00000000-0010-0000-0D01-00005A000000}" name="1,88" dataDxfId="119" dataCellStyle="Обычный 2"/>
    <tableColumn id="91" xr3:uid="{00000000-0010-0000-0D01-00005B000000}" name="1,89" dataDxfId="118" dataCellStyle="Обычный 2"/>
    <tableColumn id="92" xr3:uid="{00000000-0010-0000-0D01-00005C000000}" name="1,9" dataDxfId="117" dataCellStyle="Обычный 2"/>
    <tableColumn id="93" xr3:uid="{00000000-0010-0000-0D01-00005D000000}" name="1,91" dataDxfId="116" dataCellStyle="Обычный 2"/>
    <tableColumn id="94" xr3:uid="{00000000-0010-0000-0D01-00005E000000}" name="1,92" dataDxfId="115" dataCellStyle="Обычный 2"/>
    <tableColumn id="95" xr3:uid="{00000000-0010-0000-0D01-00005F000000}" name="1,93" dataDxfId="114" dataCellStyle="Обычный 2"/>
    <tableColumn id="96" xr3:uid="{00000000-0010-0000-0D01-000060000000}" name="1,94" dataDxfId="113" dataCellStyle="Обычный 2"/>
    <tableColumn id="97" xr3:uid="{00000000-0010-0000-0D01-000061000000}" name="1,95" dataDxfId="112" dataCellStyle="Обычный 2"/>
    <tableColumn id="98" xr3:uid="{00000000-0010-0000-0D01-000062000000}" name="1,96" dataDxfId="111" dataCellStyle="Обычный 2"/>
    <tableColumn id="99" xr3:uid="{00000000-0010-0000-0D01-000063000000}" name="1,97" dataDxfId="110" dataCellStyle="Обычный 2"/>
    <tableColumn id="100" xr3:uid="{00000000-0010-0000-0D01-000064000000}" name="1,98" dataDxfId="109" dataCellStyle="Обычный 2"/>
    <tableColumn id="101" xr3:uid="{00000000-0010-0000-0D01-000065000000}" name="1,99" dataDxfId="108" dataCellStyle="Обычный 2"/>
    <tableColumn id="102" xr3:uid="{00000000-0010-0000-0D01-000066000000}" name="2" dataDxfId="107" dataCellStyle="Обычный 2"/>
  </tableColumns>
  <tableStyleInfo name="TableStyleMedium25" showFirstColumn="1" showLastColumn="0" showRowStripes="1" showColumnStripes="0"/>
</table>
</file>

<file path=xl/tables/table2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E010000}" name="MatrixF5" displayName="MatrixF5" ref="A2:CX103" totalsRowShown="0" headerRowDxfId="105" dataDxfId="103" headerRowBorderDxfId="104" tableBorderDxfId="102" headerRowCellStyle="Обычный 2" dataCellStyle="Обычный 2">
  <autoFilter ref="A2:CX103" xr:uid="{00000000-0009-0000-0100-000005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autoFilter>
  <tableColumns count="102">
    <tableColumn id="1" xr3:uid="{00000000-0010-0000-0E01-000001000000}" name="Столбец1" dataDxfId="101" dataCellStyle="Обычный 2"/>
    <tableColumn id="2" xr3:uid="{00000000-0010-0000-0E01-000002000000}" name="1" dataDxfId="100" dataCellStyle="Обычный 2"/>
    <tableColumn id="3" xr3:uid="{00000000-0010-0000-0E01-000003000000}" name="1,01" dataDxfId="99" dataCellStyle="Обычный 2"/>
    <tableColumn id="4" xr3:uid="{00000000-0010-0000-0E01-000004000000}" name="1,02" dataDxfId="98" dataCellStyle="Обычный 2"/>
    <tableColumn id="5" xr3:uid="{00000000-0010-0000-0E01-000005000000}" name="1,03" dataDxfId="97" dataCellStyle="Обычный 2"/>
    <tableColumn id="6" xr3:uid="{00000000-0010-0000-0E01-000006000000}" name="1,04" dataDxfId="96" dataCellStyle="Обычный 2"/>
    <tableColumn id="7" xr3:uid="{00000000-0010-0000-0E01-000007000000}" name="1,05" dataDxfId="95" dataCellStyle="Обычный 2"/>
    <tableColumn id="8" xr3:uid="{00000000-0010-0000-0E01-000008000000}" name="1,06" dataDxfId="94" dataCellStyle="Обычный 2"/>
    <tableColumn id="9" xr3:uid="{00000000-0010-0000-0E01-000009000000}" name="1,07" dataDxfId="93" dataCellStyle="Обычный 2"/>
    <tableColumn id="10" xr3:uid="{00000000-0010-0000-0E01-00000A000000}" name="1,08" dataDxfId="92" dataCellStyle="Обычный 2"/>
    <tableColumn id="11" xr3:uid="{00000000-0010-0000-0E01-00000B000000}" name="1,09" dataDxfId="91" dataCellStyle="Обычный 2"/>
    <tableColumn id="12" xr3:uid="{00000000-0010-0000-0E01-00000C000000}" name="1,1" dataDxfId="90" dataCellStyle="Обычный 2"/>
    <tableColumn id="13" xr3:uid="{00000000-0010-0000-0E01-00000D000000}" name="1,11" dataDxfId="89" dataCellStyle="Обычный 2"/>
    <tableColumn id="14" xr3:uid="{00000000-0010-0000-0E01-00000E000000}" name="1,12" dataDxfId="88" dataCellStyle="Обычный 2"/>
    <tableColumn id="15" xr3:uid="{00000000-0010-0000-0E01-00000F000000}" name="1,13" dataDxfId="87" dataCellStyle="Обычный 2"/>
    <tableColumn id="16" xr3:uid="{00000000-0010-0000-0E01-000010000000}" name="1,14" dataDxfId="86" dataCellStyle="Обычный 2"/>
    <tableColumn id="17" xr3:uid="{00000000-0010-0000-0E01-000011000000}" name="1,15" dataDxfId="85" dataCellStyle="Обычный 2"/>
    <tableColumn id="18" xr3:uid="{00000000-0010-0000-0E01-000012000000}" name="1,16" dataDxfId="84" dataCellStyle="Обычный 2"/>
    <tableColumn id="19" xr3:uid="{00000000-0010-0000-0E01-000013000000}" name="1,17" dataDxfId="83" dataCellStyle="Обычный 2"/>
    <tableColumn id="20" xr3:uid="{00000000-0010-0000-0E01-000014000000}" name="1,18" dataDxfId="82" dataCellStyle="Обычный 2"/>
    <tableColumn id="21" xr3:uid="{00000000-0010-0000-0E01-000015000000}" name="1,19" dataDxfId="81" dataCellStyle="Обычный 2"/>
    <tableColumn id="22" xr3:uid="{00000000-0010-0000-0E01-000016000000}" name="1,2" dataDxfId="80" dataCellStyle="Обычный 2"/>
    <tableColumn id="23" xr3:uid="{00000000-0010-0000-0E01-000017000000}" name="1,21" dataDxfId="79" dataCellStyle="Обычный 2"/>
    <tableColumn id="24" xr3:uid="{00000000-0010-0000-0E01-000018000000}" name="1,22" dataDxfId="78" dataCellStyle="Обычный 2"/>
    <tableColumn id="25" xr3:uid="{00000000-0010-0000-0E01-000019000000}" name="1,23" dataDxfId="77" dataCellStyle="Обычный 2"/>
    <tableColumn id="26" xr3:uid="{00000000-0010-0000-0E01-00001A000000}" name="1,24" dataDxfId="76" dataCellStyle="Обычный 2"/>
    <tableColumn id="27" xr3:uid="{00000000-0010-0000-0E01-00001B000000}" name="1,25" dataDxfId="75" dataCellStyle="Обычный 2"/>
    <tableColumn id="28" xr3:uid="{00000000-0010-0000-0E01-00001C000000}" name="1,26" dataDxfId="74" dataCellStyle="Обычный 2"/>
    <tableColumn id="29" xr3:uid="{00000000-0010-0000-0E01-00001D000000}" name="1,27" dataDxfId="73" dataCellStyle="Обычный 2"/>
    <tableColumn id="30" xr3:uid="{00000000-0010-0000-0E01-00001E000000}" name="1,28" dataDxfId="72" dataCellStyle="Обычный 2"/>
    <tableColumn id="31" xr3:uid="{00000000-0010-0000-0E01-00001F000000}" name="1,29" dataDxfId="71" dataCellStyle="Обычный 2"/>
    <tableColumn id="32" xr3:uid="{00000000-0010-0000-0E01-000020000000}" name="1,3" dataDxfId="70" dataCellStyle="Обычный 2"/>
    <tableColumn id="33" xr3:uid="{00000000-0010-0000-0E01-000021000000}" name="1,31" dataDxfId="69" dataCellStyle="Обычный 2"/>
    <tableColumn id="34" xr3:uid="{00000000-0010-0000-0E01-000022000000}" name="1,32" dataDxfId="68" dataCellStyle="Обычный 2"/>
    <tableColumn id="35" xr3:uid="{00000000-0010-0000-0E01-000023000000}" name="1,33" dataDxfId="67" dataCellStyle="Обычный 2"/>
    <tableColumn id="36" xr3:uid="{00000000-0010-0000-0E01-000024000000}" name="1,34" dataDxfId="66" dataCellStyle="Обычный 2"/>
    <tableColumn id="37" xr3:uid="{00000000-0010-0000-0E01-000025000000}" name="1,35" dataDxfId="65" dataCellStyle="Обычный 2"/>
    <tableColumn id="38" xr3:uid="{00000000-0010-0000-0E01-000026000000}" name="1,36" dataDxfId="64" dataCellStyle="Обычный 2"/>
    <tableColumn id="39" xr3:uid="{00000000-0010-0000-0E01-000027000000}" name="1,37" dataDxfId="63" dataCellStyle="Обычный 2"/>
    <tableColumn id="40" xr3:uid="{00000000-0010-0000-0E01-000028000000}" name="1,38" dataDxfId="62" dataCellStyle="Обычный 2"/>
    <tableColumn id="41" xr3:uid="{00000000-0010-0000-0E01-000029000000}" name="1,39" dataDxfId="61" dataCellStyle="Обычный 2"/>
    <tableColumn id="42" xr3:uid="{00000000-0010-0000-0E01-00002A000000}" name="1,4" dataDxfId="60" dataCellStyle="Обычный 2"/>
    <tableColumn id="43" xr3:uid="{00000000-0010-0000-0E01-00002B000000}" name="1,41" dataDxfId="59" dataCellStyle="Обычный 2"/>
    <tableColumn id="44" xr3:uid="{00000000-0010-0000-0E01-00002C000000}" name="1,42" dataDxfId="58" dataCellStyle="Обычный 2"/>
    <tableColumn id="45" xr3:uid="{00000000-0010-0000-0E01-00002D000000}" name="1,43" dataDxfId="57" dataCellStyle="Обычный 2"/>
    <tableColumn id="46" xr3:uid="{00000000-0010-0000-0E01-00002E000000}" name="1,44" dataDxfId="56" dataCellStyle="Обычный 2"/>
    <tableColumn id="47" xr3:uid="{00000000-0010-0000-0E01-00002F000000}" name="1,45" dataDxfId="55" dataCellStyle="Обычный 2"/>
    <tableColumn id="48" xr3:uid="{00000000-0010-0000-0E01-000030000000}" name="1,46" dataDxfId="54" dataCellStyle="Обычный 2"/>
    <tableColumn id="49" xr3:uid="{00000000-0010-0000-0E01-000031000000}" name="1,47" dataDxfId="53" dataCellStyle="Обычный 2"/>
    <tableColumn id="50" xr3:uid="{00000000-0010-0000-0E01-000032000000}" name="1,48" dataDxfId="52" dataCellStyle="Обычный 2"/>
    <tableColumn id="51" xr3:uid="{00000000-0010-0000-0E01-000033000000}" name="1,49" dataDxfId="51" dataCellStyle="Обычный 2"/>
    <tableColumn id="52" xr3:uid="{00000000-0010-0000-0E01-000034000000}" name="1,5" dataDxfId="50" dataCellStyle="Обычный 2"/>
    <tableColumn id="53" xr3:uid="{00000000-0010-0000-0E01-000035000000}" name="1,51" dataDxfId="49" dataCellStyle="Обычный 2"/>
    <tableColumn id="54" xr3:uid="{00000000-0010-0000-0E01-000036000000}" name="1,52" dataDxfId="48" dataCellStyle="Обычный 2"/>
    <tableColumn id="55" xr3:uid="{00000000-0010-0000-0E01-000037000000}" name="1,53" dataDxfId="47" dataCellStyle="Обычный 2"/>
    <tableColumn id="56" xr3:uid="{00000000-0010-0000-0E01-000038000000}" name="1,54" dataDxfId="46" dataCellStyle="Обычный 2"/>
    <tableColumn id="57" xr3:uid="{00000000-0010-0000-0E01-000039000000}" name="1,55" dataDxfId="45" dataCellStyle="Обычный 2"/>
    <tableColumn id="58" xr3:uid="{00000000-0010-0000-0E01-00003A000000}" name="1,56" dataDxfId="44" dataCellStyle="Обычный 2"/>
    <tableColumn id="59" xr3:uid="{00000000-0010-0000-0E01-00003B000000}" name="1,57" dataDxfId="43" dataCellStyle="Обычный 2"/>
    <tableColumn id="60" xr3:uid="{00000000-0010-0000-0E01-00003C000000}" name="1,58" dataDxfId="42" dataCellStyle="Обычный 2"/>
    <tableColumn id="61" xr3:uid="{00000000-0010-0000-0E01-00003D000000}" name="1,59" dataDxfId="41" dataCellStyle="Обычный 2"/>
    <tableColumn id="62" xr3:uid="{00000000-0010-0000-0E01-00003E000000}" name="1,6" dataDxfId="40" dataCellStyle="Обычный 2"/>
    <tableColumn id="63" xr3:uid="{00000000-0010-0000-0E01-00003F000000}" name="1,61" dataDxfId="39" dataCellStyle="Обычный 2"/>
    <tableColumn id="64" xr3:uid="{00000000-0010-0000-0E01-000040000000}" name="1,62" dataDxfId="38" dataCellStyle="Обычный 2"/>
    <tableColumn id="65" xr3:uid="{00000000-0010-0000-0E01-000041000000}" name="1,63" dataDxfId="37" dataCellStyle="Обычный 2"/>
    <tableColumn id="66" xr3:uid="{00000000-0010-0000-0E01-000042000000}" name="1,64" dataDxfId="36" dataCellStyle="Обычный 2"/>
    <tableColumn id="67" xr3:uid="{00000000-0010-0000-0E01-000043000000}" name="1,65" dataDxfId="35" dataCellStyle="Обычный 2"/>
    <tableColumn id="68" xr3:uid="{00000000-0010-0000-0E01-000044000000}" name="1,66" dataDxfId="34" dataCellStyle="Обычный 2"/>
    <tableColumn id="69" xr3:uid="{00000000-0010-0000-0E01-000045000000}" name="1,67" dataDxfId="33" dataCellStyle="Обычный 2"/>
    <tableColumn id="70" xr3:uid="{00000000-0010-0000-0E01-000046000000}" name="1,68" dataDxfId="32" dataCellStyle="Обычный 2"/>
    <tableColumn id="71" xr3:uid="{00000000-0010-0000-0E01-000047000000}" name="1,69" dataDxfId="31" dataCellStyle="Обычный 2"/>
    <tableColumn id="72" xr3:uid="{00000000-0010-0000-0E01-000048000000}" name="1,7" dataDxfId="30" dataCellStyle="Обычный 2"/>
    <tableColumn id="73" xr3:uid="{00000000-0010-0000-0E01-000049000000}" name="1,71" dataDxfId="29" dataCellStyle="Обычный 2"/>
    <tableColumn id="74" xr3:uid="{00000000-0010-0000-0E01-00004A000000}" name="1,72" dataDxfId="28" dataCellStyle="Обычный 2"/>
    <tableColumn id="75" xr3:uid="{00000000-0010-0000-0E01-00004B000000}" name="1,73" dataDxfId="27" dataCellStyle="Обычный 2"/>
    <tableColumn id="76" xr3:uid="{00000000-0010-0000-0E01-00004C000000}" name="1,74" dataDxfId="26" dataCellStyle="Обычный 2"/>
    <tableColumn id="77" xr3:uid="{00000000-0010-0000-0E01-00004D000000}" name="1,75" dataDxfId="25" dataCellStyle="Обычный 2"/>
    <tableColumn id="78" xr3:uid="{00000000-0010-0000-0E01-00004E000000}" name="1,76" dataDxfId="24" dataCellStyle="Обычный 2"/>
    <tableColumn id="79" xr3:uid="{00000000-0010-0000-0E01-00004F000000}" name="1,77" dataDxfId="23" dataCellStyle="Обычный 2"/>
    <tableColumn id="80" xr3:uid="{00000000-0010-0000-0E01-000050000000}" name="1,78" dataDxfId="22" dataCellStyle="Обычный 2"/>
    <tableColumn id="81" xr3:uid="{00000000-0010-0000-0E01-000051000000}" name="1,79" dataDxfId="21" dataCellStyle="Обычный 2"/>
    <tableColumn id="82" xr3:uid="{00000000-0010-0000-0E01-000052000000}" name="1,8" dataDxfId="20" dataCellStyle="Обычный 2"/>
    <tableColumn id="83" xr3:uid="{00000000-0010-0000-0E01-000053000000}" name="1,81" dataDxfId="19" dataCellStyle="Обычный 2"/>
    <tableColumn id="84" xr3:uid="{00000000-0010-0000-0E01-000054000000}" name="1,82" dataDxfId="18" dataCellStyle="Обычный 2"/>
    <tableColumn id="85" xr3:uid="{00000000-0010-0000-0E01-000055000000}" name="1,83" dataDxfId="17" dataCellStyle="Обычный 2"/>
    <tableColumn id="86" xr3:uid="{00000000-0010-0000-0E01-000056000000}" name="1,84" dataDxfId="16" dataCellStyle="Обычный 2"/>
    <tableColumn id="87" xr3:uid="{00000000-0010-0000-0E01-000057000000}" name="1,85" dataDxfId="15" dataCellStyle="Обычный 2"/>
    <tableColumn id="88" xr3:uid="{00000000-0010-0000-0E01-000058000000}" name="1,86" dataDxfId="14" dataCellStyle="Обычный 2"/>
    <tableColumn id="89" xr3:uid="{00000000-0010-0000-0E01-000059000000}" name="1,87" dataDxfId="13" dataCellStyle="Обычный 2"/>
    <tableColumn id="90" xr3:uid="{00000000-0010-0000-0E01-00005A000000}" name="1,88" dataDxfId="12" dataCellStyle="Обычный 2"/>
    <tableColumn id="91" xr3:uid="{00000000-0010-0000-0E01-00005B000000}" name="1,89" dataDxfId="11" dataCellStyle="Обычный 2"/>
    <tableColumn id="92" xr3:uid="{00000000-0010-0000-0E01-00005C000000}" name="1,9" dataDxfId="10" dataCellStyle="Обычный 2"/>
    <tableColumn id="93" xr3:uid="{00000000-0010-0000-0E01-00005D000000}" name="1,91" dataDxfId="9" dataCellStyle="Обычный 2"/>
    <tableColumn id="94" xr3:uid="{00000000-0010-0000-0E01-00005E000000}" name="1,92" dataDxfId="8" dataCellStyle="Обычный 2"/>
    <tableColumn id="95" xr3:uid="{00000000-0010-0000-0E01-00005F000000}" name="1,93" dataDxfId="7" dataCellStyle="Обычный 2"/>
    <tableColumn id="96" xr3:uid="{00000000-0010-0000-0E01-000060000000}" name="1,94" dataDxfId="6" dataCellStyle="Обычный 2"/>
    <tableColumn id="97" xr3:uid="{00000000-0010-0000-0E01-000061000000}" name="1,95" dataDxfId="5" dataCellStyle="Обычный 2"/>
    <tableColumn id="98" xr3:uid="{00000000-0010-0000-0E01-000062000000}" name="1,96" dataDxfId="4" dataCellStyle="Обычный 2"/>
    <tableColumn id="99" xr3:uid="{00000000-0010-0000-0E01-000063000000}" name="1,97" dataDxfId="3" dataCellStyle="Обычный 2"/>
    <tableColumn id="100" xr3:uid="{00000000-0010-0000-0E01-000064000000}" name="1,98" dataDxfId="2" dataCellStyle="Обычный 2"/>
    <tableColumn id="101" xr3:uid="{00000000-0010-0000-0E01-000065000000}" name="1,99" dataDxfId="1" dataCellStyle="Обычный 2"/>
    <tableColumn id="102" xr3:uid="{00000000-0010-0000-0E01-000066000000}" name="2" dataDxfId="0" dataCellStyle="Обычный 2"/>
  </tableColumns>
  <tableStyleInfo name="TableStyleMedium25" showFirstColumn="1"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3.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7.xml"/><Relationship Id="rId4"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10.xml"/><Relationship Id="rId4" Type="http://schemas.openxmlformats.org/officeDocument/2006/relationships/table" Target="../tables/table9.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7.bin"/><Relationship Id="rId5" Type="http://schemas.openxmlformats.org/officeDocument/2006/relationships/comments" Target="../comments1.xml"/><Relationship Id="rId4" Type="http://schemas.openxmlformats.org/officeDocument/2006/relationships/table" Target="../tables/table13.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table" Target="../tables/table17.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table" Target="../tables/table19.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17" Type="http://schemas.openxmlformats.org/officeDocument/2006/relationships/table" Target="../tables/table137.xml"/><Relationship Id="rId21" Type="http://schemas.openxmlformats.org/officeDocument/2006/relationships/table" Target="../tables/table41.xml"/><Relationship Id="rId42" Type="http://schemas.openxmlformats.org/officeDocument/2006/relationships/table" Target="../tables/table62.xml"/><Relationship Id="rId63" Type="http://schemas.openxmlformats.org/officeDocument/2006/relationships/table" Target="../tables/table83.xml"/><Relationship Id="rId84" Type="http://schemas.openxmlformats.org/officeDocument/2006/relationships/table" Target="../tables/table104.xml"/><Relationship Id="rId138" Type="http://schemas.openxmlformats.org/officeDocument/2006/relationships/table" Target="../tables/table158.xml"/><Relationship Id="rId159" Type="http://schemas.openxmlformats.org/officeDocument/2006/relationships/table" Target="../tables/table179.xml"/><Relationship Id="rId170" Type="http://schemas.openxmlformats.org/officeDocument/2006/relationships/table" Target="../tables/table190.xml"/><Relationship Id="rId191" Type="http://schemas.openxmlformats.org/officeDocument/2006/relationships/table" Target="../tables/table211.xml"/><Relationship Id="rId205" Type="http://schemas.openxmlformats.org/officeDocument/2006/relationships/table" Target="../tables/table225.xml"/><Relationship Id="rId226" Type="http://schemas.openxmlformats.org/officeDocument/2006/relationships/table" Target="../tables/table246.xml"/><Relationship Id="rId247" Type="http://schemas.openxmlformats.org/officeDocument/2006/relationships/table" Target="../tables/table267.xml"/><Relationship Id="rId107" Type="http://schemas.openxmlformats.org/officeDocument/2006/relationships/table" Target="../tables/table127.xml"/><Relationship Id="rId11" Type="http://schemas.openxmlformats.org/officeDocument/2006/relationships/table" Target="../tables/table31.xml"/><Relationship Id="rId32" Type="http://schemas.openxmlformats.org/officeDocument/2006/relationships/table" Target="../tables/table52.xml"/><Relationship Id="rId53" Type="http://schemas.openxmlformats.org/officeDocument/2006/relationships/table" Target="../tables/table73.xml"/><Relationship Id="rId74" Type="http://schemas.openxmlformats.org/officeDocument/2006/relationships/table" Target="../tables/table94.xml"/><Relationship Id="rId128" Type="http://schemas.openxmlformats.org/officeDocument/2006/relationships/table" Target="../tables/table148.xml"/><Relationship Id="rId149" Type="http://schemas.openxmlformats.org/officeDocument/2006/relationships/table" Target="../tables/table169.xml"/><Relationship Id="rId5" Type="http://schemas.openxmlformats.org/officeDocument/2006/relationships/table" Target="../tables/table25.xml"/><Relationship Id="rId95" Type="http://schemas.openxmlformats.org/officeDocument/2006/relationships/table" Target="../tables/table115.xml"/><Relationship Id="rId160" Type="http://schemas.openxmlformats.org/officeDocument/2006/relationships/table" Target="../tables/table180.xml"/><Relationship Id="rId181" Type="http://schemas.openxmlformats.org/officeDocument/2006/relationships/table" Target="../tables/table201.xml"/><Relationship Id="rId216" Type="http://schemas.openxmlformats.org/officeDocument/2006/relationships/table" Target="../tables/table236.xml"/><Relationship Id="rId237" Type="http://schemas.openxmlformats.org/officeDocument/2006/relationships/table" Target="../tables/table257.xml"/><Relationship Id="rId22" Type="http://schemas.openxmlformats.org/officeDocument/2006/relationships/table" Target="../tables/table42.xml"/><Relationship Id="rId43" Type="http://schemas.openxmlformats.org/officeDocument/2006/relationships/table" Target="../tables/table63.xml"/><Relationship Id="rId64" Type="http://schemas.openxmlformats.org/officeDocument/2006/relationships/table" Target="../tables/table84.xml"/><Relationship Id="rId118" Type="http://schemas.openxmlformats.org/officeDocument/2006/relationships/table" Target="../tables/table138.xml"/><Relationship Id="rId139" Type="http://schemas.openxmlformats.org/officeDocument/2006/relationships/table" Target="../tables/table159.xml"/><Relationship Id="rId85" Type="http://schemas.openxmlformats.org/officeDocument/2006/relationships/table" Target="../tables/table105.xml"/><Relationship Id="rId150" Type="http://schemas.openxmlformats.org/officeDocument/2006/relationships/table" Target="../tables/table170.xml"/><Relationship Id="rId171" Type="http://schemas.openxmlformats.org/officeDocument/2006/relationships/table" Target="../tables/table191.xml"/><Relationship Id="rId192" Type="http://schemas.openxmlformats.org/officeDocument/2006/relationships/table" Target="../tables/table212.xml"/><Relationship Id="rId206" Type="http://schemas.openxmlformats.org/officeDocument/2006/relationships/table" Target="../tables/table226.xml"/><Relationship Id="rId227" Type="http://schemas.openxmlformats.org/officeDocument/2006/relationships/table" Target="../tables/table247.xml"/><Relationship Id="rId248" Type="http://schemas.openxmlformats.org/officeDocument/2006/relationships/table" Target="../tables/table268.xml"/><Relationship Id="rId12" Type="http://schemas.openxmlformats.org/officeDocument/2006/relationships/table" Target="../tables/table32.xml"/><Relationship Id="rId33" Type="http://schemas.openxmlformats.org/officeDocument/2006/relationships/table" Target="../tables/table53.xml"/><Relationship Id="rId108" Type="http://schemas.openxmlformats.org/officeDocument/2006/relationships/table" Target="../tables/table128.xml"/><Relationship Id="rId129" Type="http://schemas.openxmlformats.org/officeDocument/2006/relationships/table" Target="../tables/table149.xml"/><Relationship Id="rId54" Type="http://schemas.openxmlformats.org/officeDocument/2006/relationships/table" Target="../tables/table74.xml"/><Relationship Id="rId75" Type="http://schemas.openxmlformats.org/officeDocument/2006/relationships/table" Target="../tables/table95.xml"/><Relationship Id="rId96" Type="http://schemas.openxmlformats.org/officeDocument/2006/relationships/table" Target="../tables/table116.xml"/><Relationship Id="rId140" Type="http://schemas.openxmlformats.org/officeDocument/2006/relationships/table" Target="../tables/table160.xml"/><Relationship Id="rId161" Type="http://schemas.openxmlformats.org/officeDocument/2006/relationships/table" Target="../tables/table181.xml"/><Relationship Id="rId182" Type="http://schemas.openxmlformats.org/officeDocument/2006/relationships/table" Target="../tables/table202.xml"/><Relationship Id="rId217" Type="http://schemas.openxmlformats.org/officeDocument/2006/relationships/table" Target="../tables/table237.xml"/><Relationship Id="rId6" Type="http://schemas.openxmlformats.org/officeDocument/2006/relationships/table" Target="../tables/table26.xml"/><Relationship Id="rId238" Type="http://schemas.openxmlformats.org/officeDocument/2006/relationships/table" Target="../tables/table258.xml"/><Relationship Id="rId23" Type="http://schemas.openxmlformats.org/officeDocument/2006/relationships/table" Target="../tables/table43.xml"/><Relationship Id="rId119" Type="http://schemas.openxmlformats.org/officeDocument/2006/relationships/table" Target="../tables/table139.xml"/><Relationship Id="rId44" Type="http://schemas.openxmlformats.org/officeDocument/2006/relationships/table" Target="../tables/table64.xml"/><Relationship Id="rId65" Type="http://schemas.openxmlformats.org/officeDocument/2006/relationships/table" Target="../tables/table85.xml"/><Relationship Id="rId86" Type="http://schemas.openxmlformats.org/officeDocument/2006/relationships/table" Target="../tables/table106.xml"/><Relationship Id="rId130" Type="http://schemas.openxmlformats.org/officeDocument/2006/relationships/table" Target="../tables/table150.xml"/><Relationship Id="rId151" Type="http://schemas.openxmlformats.org/officeDocument/2006/relationships/table" Target="../tables/table171.xml"/><Relationship Id="rId172" Type="http://schemas.openxmlformats.org/officeDocument/2006/relationships/table" Target="../tables/table192.xml"/><Relationship Id="rId193" Type="http://schemas.openxmlformats.org/officeDocument/2006/relationships/table" Target="../tables/table213.xml"/><Relationship Id="rId207" Type="http://schemas.openxmlformats.org/officeDocument/2006/relationships/table" Target="../tables/table227.xml"/><Relationship Id="rId228" Type="http://schemas.openxmlformats.org/officeDocument/2006/relationships/table" Target="../tables/table248.xml"/><Relationship Id="rId249" Type="http://schemas.openxmlformats.org/officeDocument/2006/relationships/table" Target="../tables/table269.xml"/><Relationship Id="rId13" Type="http://schemas.openxmlformats.org/officeDocument/2006/relationships/table" Target="../tables/table33.xml"/><Relationship Id="rId109" Type="http://schemas.openxmlformats.org/officeDocument/2006/relationships/table" Target="../tables/table129.xml"/><Relationship Id="rId34" Type="http://schemas.openxmlformats.org/officeDocument/2006/relationships/table" Target="../tables/table54.xml"/><Relationship Id="rId55" Type="http://schemas.openxmlformats.org/officeDocument/2006/relationships/table" Target="../tables/table75.xml"/><Relationship Id="rId76" Type="http://schemas.openxmlformats.org/officeDocument/2006/relationships/table" Target="../tables/table96.xml"/><Relationship Id="rId97" Type="http://schemas.openxmlformats.org/officeDocument/2006/relationships/table" Target="../tables/table117.xml"/><Relationship Id="rId120" Type="http://schemas.openxmlformats.org/officeDocument/2006/relationships/table" Target="../tables/table140.xml"/><Relationship Id="rId141" Type="http://schemas.openxmlformats.org/officeDocument/2006/relationships/table" Target="../tables/table161.xml"/><Relationship Id="rId7" Type="http://schemas.openxmlformats.org/officeDocument/2006/relationships/table" Target="../tables/table27.xml"/><Relationship Id="rId162" Type="http://schemas.openxmlformats.org/officeDocument/2006/relationships/table" Target="../tables/table182.xml"/><Relationship Id="rId183" Type="http://schemas.openxmlformats.org/officeDocument/2006/relationships/table" Target="../tables/table203.xml"/><Relationship Id="rId218" Type="http://schemas.openxmlformats.org/officeDocument/2006/relationships/table" Target="../tables/table238.xml"/><Relationship Id="rId239" Type="http://schemas.openxmlformats.org/officeDocument/2006/relationships/table" Target="../tables/table259.xml"/><Relationship Id="rId24" Type="http://schemas.openxmlformats.org/officeDocument/2006/relationships/table" Target="../tables/table44.xml"/><Relationship Id="rId45" Type="http://schemas.openxmlformats.org/officeDocument/2006/relationships/table" Target="../tables/table65.xml"/><Relationship Id="rId66" Type="http://schemas.openxmlformats.org/officeDocument/2006/relationships/table" Target="../tables/table86.xml"/><Relationship Id="rId87" Type="http://schemas.openxmlformats.org/officeDocument/2006/relationships/table" Target="../tables/table107.xml"/><Relationship Id="rId110" Type="http://schemas.openxmlformats.org/officeDocument/2006/relationships/table" Target="../tables/table130.xml"/><Relationship Id="rId131" Type="http://schemas.openxmlformats.org/officeDocument/2006/relationships/table" Target="../tables/table151.xml"/><Relationship Id="rId152" Type="http://schemas.openxmlformats.org/officeDocument/2006/relationships/table" Target="../tables/table172.xml"/><Relationship Id="rId173" Type="http://schemas.openxmlformats.org/officeDocument/2006/relationships/table" Target="../tables/table193.xml"/><Relationship Id="rId194" Type="http://schemas.openxmlformats.org/officeDocument/2006/relationships/table" Target="../tables/table214.xml"/><Relationship Id="rId208" Type="http://schemas.openxmlformats.org/officeDocument/2006/relationships/table" Target="../tables/table228.xml"/><Relationship Id="rId229" Type="http://schemas.openxmlformats.org/officeDocument/2006/relationships/table" Target="../tables/table249.xml"/><Relationship Id="rId240" Type="http://schemas.openxmlformats.org/officeDocument/2006/relationships/table" Target="../tables/table260.xml"/><Relationship Id="rId14" Type="http://schemas.openxmlformats.org/officeDocument/2006/relationships/table" Target="../tables/table34.xml"/><Relationship Id="rId35" Type="http://schemas.openxmlformats.org/officeDocument/2006/relationships/table" Target="../tables/table55.xml"/><Relationship Id="rId56" Type="http://schemas.openxmlformats.org/officeDocument/2006/relationships/table" Target="../tables/table76.xml"/><Relationship Id="rId77" Type="http://schemas.openxmlformats.org/officeDocument/2006/relationships/table" Target="../tables/table97.xml"/><Relationship Id="rId100" Type="http://schemas.openxmlformats.org/officeDocument/2006/relationships/table" Target="../tables/table120.xml"/><Relationship Id="rId8" Type="http://schemas.openxmlformats.org/officeDocument/2006/relationships/table" Target="../tables/table28.xml"/><Relationship Id="rId98" Type="http://schemas.openxmlformats.org/officeDocument/2006/relationships/table" Target="../tables/table118.xml"/><Relationship Id="rId121" Type="http://schemas.openxmlformats.org/officeDocument/2006/relationships/table" Target="../tables/table141.xml"/><Relationship Id="rId142" Type="http://schemas.openxmlformats.org/officeDocument/2006/relationships/table" Target="../tables/table162.xml"/><Relationship Id="rId163" Type="http://schemas.openxmlformats.org/officeDocument/2006/relationships/table" Target="../tables/table183.xml"/><Relationship Id="rId184" Type="http://schemas.openxmlformats.org/officeDocument/2006/relationships/table" Target="../tables/table204.xml"/><Relationship Id="rId219" Type="http://schemas.openxmlformats.org/officeDocument/2006/relationships/table" Target="../tables/table239.xml"/><Relationship Id="rId230" Type="http://schemas.openxmlformats.org/officeDocument/2006/relationships/table" Target="../tables/table250.xml"/><Relationship Id="rId25" Type="http://schemas.openxmlformats.org/officeDocument/2006/relationships/table" Target="../tables/table45.xml"/><Relationship Id="rId46" Type="http://schemas.openxmlformats.org/officeDocument/2006/relationships/table" Target="../tables/table66.xml"/><Relationship Id="rId67" Type="http://schemas.openxmlformats.org/officeDocument/2006/relationships/table" Target="../tables/table87.xml"/><Relationship Id="rId88" Type="http://schemas.openxmlformats.org/officeDocument/2006/relationships/table" Target="../tables/table108.xml"/><Relationship Id="rId111" Type="http://schemas.openxmlformats.org/officeDocument/2006/relationships/table" Target="../tables/table131.xml"/><Relationship Id="rId132" Type="http://schemas.openxmlformats.org/officeDocument/2006/relationships/table" Target="../tables/table152.xml"/><Relationship Id="rId153" Type="http://schemas.openxmlformats.org/officeDocument/2006/relationships/table" Target="../tables/table173.xml"/><Relationship Id="rId174" Type="http://schemas.openxmlformats.org/officeDocument/2006/relationships/table" Target="../tables/table194.xml"/><Relationship Id="rId195" Type="http://schemas.openxmlformats.org/officeDocument/2006/relationships/table" Target="../tables/table215.xml"/><Relationship Id="rId209" Type="http://schemas.openxmlformats.org/officeDocument/2006/relationships/table" Target="../tables/table229.xml"/><Relationship Id="rId220" Type="http://schemas.openxmlformats.org/officeDocument/2006/relationships/table" Target="../tables/table240.xml"/><Relationship Id="rId241" Type="http://schemas.openxmlformats.org/officeDocument/2006/relationships/table" Target="../tables/table261.xml"/><Relationship Id="rId15" Type="http://schemas.openxmlformats.org/officeDocument/2006/relationships/table" Target="../tables/table35.xml"/><Relationship Id="rId36" Type="http://schemas.openxmlformats.org/officeDocument/2006/relationships/table" Target="../tables/table56.xml"/><Relationship Id="rId57" Type="http://schemas.openxmlformats.org/officeDocument/2006/relationships/table" Target="../tables/table77.xml"/><Relationship Id="rId78" Type="http://schemas.openxmlformats.org/officeDocument/2006/relationships/table" Target="../tables/table98.xml"/><Relationship Id="rId99" Type="http://schemas.openxmlformats.org/officeDocument/2006/relationships/table" Target="../tables/table119.xml"/><Relationship Id="rId101" Type="http://schemas.openxmlformats.org/officeDocument/2006/relationships/table" Target="../tables/table121.xml"/><Relationship Id="rId122" Type="http://schemas.openxmlformats.org/officeDocument/2006/relationships/table" Target="../tables/table142.xml"/><Relationship Id="rId143" Type="http://schemas.openxmlformats.org/officeDocument/2006/relationships/table" Target="../tables/table163.xml"/><Relationship Id="rId164" Type="http://schemas.openxmlformats.org/officeDocument/2006/relationships/table" Target="../tables/table184.xml"/><Relationship Id="rId185" Type="http://schemas.openxmlformats.org/officeDocument/2006/relationships/table" Target="../tables/table205.xml"/><Relationship Id="rId4" Type="http://schemas.openxmlformats.org/officeDocument/2006/relationships/table" Target="../tables/table24.xml"/><Relationship Id="rId9" Type="http://schemas.openxmlformats.org/officeDocument/2006/relationships/table" Target="../tables/table29.xml"/><Relationship Id="rId180" Type="http://schemas.openxmlformats.org/officeDocument/2006/relationships/table" Target="../tables/table200.xml"/><Relationship Id="rId210" Type="http://schemas.openxmlformats.org/officeDocument/2006/relationships/table" Target="../tables/table230.xml"/><Relationship Id="rId215" Type="http://schemas.openxmlformats.org/officeDocument/2006/relationships/table" Target="../tables/table235.xml"/><Relationship Id="rId236" Type="http://schemas.openxmlformats.org/officeDocument/2006/relationships/table" Target="../tables/table256.xml"/><Relationship Id="rId26" Type="http://schemas.openxmlformats.org/officeDocument/2006/relationships/table" Target="../tables/table46.xml"/><Relationship Id="rId231" Type="http://schemas.openxmlformats.org/officeDocument/2006/relationships/table" Target="../tables/table251.xml"/><Relationship Id="rId47" Type="http://schemas.openxmlformats.org/officeDocument/2006/relationships/table" Target="../tables/table67.xml"/><Relationship Id="rId68" Type="http://schemas.openxmlformats.org/officeDocument/2006/relationships/table" Target="../tables/table88.xml"/><Relationship Id="rId89" Type="http://schemas.openxmlformats.org/officeDocument/2006/relationships/table" Target="../tables/table109.xml"/><Relationship Id="rId112" Type="http://schemas.openxmlformats.org/officeDocument/2006/relationships/table" Target="../tables/table132.xml"/><Relationship Id="rId133" Type="http://schemas.openxmlformats.org/officeDocument/2006/relationships/table" Target="../tables/table153.xml"/><Relationship Id="rId154" Type="http://schemas.openxmlformats.org/officeDocument/2006/relationships/table" Target="../tables/table174.xml"/><Relationship Id="rId175" Type="http://schemas.openxmlformats.org/officeDocument/2006/relationships/table" Target="../tables/table195.xml"/><Relationship Id="rId196" Type="http://schemas.openxmlformats.org/officeDocument/2006/relationships/table" Target="../tables/table216.xml"/><Relationship Id="rId200" Type="http://schemas.openxmlformats.org/officeDocument/2006/relationships/table" Target="../tables/table220.xml"/><Relationship Id="rId16" Type="http://schemas.openxmlformats.org/officeDocument/2006/relationships/table" Target="../tables/table36.xml"/><Relationship Id="rId221" Type="http://schemas.openxmlformats.org/officeDocument/2006/relationships/table" Target="../tables/table241.xml"/><Relationship Id="rId242" Type="http://schemas.openxmlformats.org/officeDocument/2006/relationships/table" Target="../tables/table262.xml"/><Relationship Id="rId37" Type="http://schemas.openxmlformats.org/officeDocument/2006/relationships/table" Target="../tables/table57.xml"/><Relationship Id="rId58" Type="http://schemas.openxmlformats.org/officeDocument/2006/relationships/table" Target="../tables/table78.xml"/><Relationship Id="rId79" Type="http://schemas.openxmlformats.org/officeDocument/2006/relationships/table" Target="../tables/table99.xml"/><Relationship Id="rId102" Type="http://schemas.openxmlformats.org/officeDocument/2006/relationships/table" Target="../tables/table122.xml"/><Relationship Id="rId123" Type="http://schemas.openxmlformats.org/officeDocument/2006/relationships/table" Target="../tables/table143.xml"/><Relationship Id="rId144" Type="http://schemas.openxmlformats.org/officeDocument/2006/relationships/table" Target="../tables/table164.xml"/><Relationship Id="rId90" Type="http://schemas.openxmlformats.org/officeDocument/2006/relationships/table" Target="../tables/table110.xml"/><Relationship Id="rId165" Type="http://schemas.openxmlformats.org/officeDocument/2006/relationships/table" Target="../tables/table185.xml"/><Relationship Id="rId186" Type="http://schemas.openxmlformats.org/officeDocument/2006/relationships/table" Target="../tables/table206.xml"/><Relationship Id="rId211" Type="http://schemas.openxmlformats.org/officeDocument/2006/relationships/table" Target="../tables/table231.xml"/><Relationship Id="rId232" Type="http://schemas.openxmlformats.org/officeDocument/2006/relationships/table" Target="../tables/table252.xml"/><Relationship Id="rId27" Type="http://schemas.openxmlformats.org/officeDocument/2006/relationships/table" Target="../tables/table47.xml"/><Relationship Id="rId48" Type="http://schemas.openxmlformats.org/officeDocument/2006/relationships/table" Target="../tables/table68.xml"/><Relationship Id="rId69" Type="http://schemas.openxmlformats.org/officeDocument/2006/relationships/table" Target="../tables/table89.xml"/><Relationship Id="rId113" Type="http://schemas.openxmlformats.org/officeDocument/2006/relationships/table" Target="../tables/table133.xml"/><Relationship Id="rId134" Type="http://schemas.openxmlformats.org/officeDocument/2006/relationships/table" Target="../tables/table154.xml"/><Relationship Id="rId80" Type="http://schemas.openxmlformats.org/officeDocument/2006/relationships/table" Target="../tables/table100.xml"/><Relationship Id="rId155" Type="http://schemas.openxmlformats.org/officeDocument/2006/relationships/table" Target="../tables/table175.xml"/><Relationship Id="rId176" Type="http://schemas.openxmlformats.org/officeDocument/2006/relationships/table" Target="../tables/table196.xml"/><Relationship Id="rId197" Type="http://schemas.openxmlformats.org/officeDocument/2006/relationships/table" Target="../tables/table217.xml"/><Relationship Id="rId201" Type="http://schemas.openxmlformats.org/officeDocument/2006/relationships/table" Target="../tables/table221.xml"/><Relationship Id="rId222" Type="http://schemas.openxmlformats.org/officeDocument/2006/relationships/table" Target="../tables/table242.xml"/><Relationship Id="rId243" Type="http://schemas.openxmlformats.org/officeDocument/2006/relationships/table" Target="../tables/table263.xml"/><Relationship Id="rId17" Type="http://schemas.openxmlformats.org/officeDocument/2006/relationships/table" Target="../tables/table37.xml"/><Relationship Id="rId38" Type="http://schemas.openxmlformats.org/officeDocument/2006/relationships/table" Target="../tables/table58.xml"/><Relationship Id="rId59" Type="http://schemas.openxmlformats.org/officeDocument/2006/relationships/table" Target="../tables/table79.xml"/><Relationship Id="rId103" Type="http://schemas.openxmlformats.org/officeDocument/2006/relationships/table" Target="../tables/table123.xml"/><Relationship Id="rId124" Type="http://schemas.openxmlformats.org/officeDocument/2006/relationships/table" Target="../tables/table144.xml"/><Relationship Id="rId70" Type="http://schemas.openxmlformats.org/officeDocument/2006/relationships/table" Target="../tables/table90.xml"/><Relationship Id="rId91" Type="http://schemas.openxmlformats.org/officeDocument/2006/relationships/table" Target="../tables/table111.xml"/><Relationship Id="rId145" Type="http://schemas.openxmlformats.org/officeDocument/2006/relationships/table" Target="../tables/table165.xml"/><Relationship Id="rId166" Type="http://schemas.openxmlformats.org/officeDocument/2006/relationships/table" Target="../tables/table186.xml"/><Relationship Id="rId187" Type="http://schemas.openxmlformats.org/officeDocument/2006/relationships/table" Target="../tables/table207.xml"/><Relationship Id="rId1" Type="http://schemas.openxmlformats.org/officeDocument/2006/relationships/printerSettings" Target="../printerSettings/printerSettings11.bin"/><Relationship Id="rId212" Type="http://schemas.openxmlformats.org/officeDocument/2006/relationships/table" Target="../tables/table232.xml"/><Relationship Id="rId233" Type="http://schemas.openxmlformats.org/officeDocument/2006/relationships/table" Target="../tables/table253.xml"/><Relationship Id="rId28" Type="http://schemas.openxmlformats.org/officeDocument/2006/relationships/table" Target="../tables/table48.xml"/><Relationship Id="rId49" Type="http://schemas.openxmlformats.org/officeDocument/2006/relationships/table" Target="../tables/table69.xml"/><Relationship Id="rId114" Type="http://schemas.openxmlformats.org/officeDocument/2006/relationships/table" Target="../tables/table134.xml"/><Relationship Id="rId60" Type="http://schemas.openxmlformats.org/officeDocument/2006/relationships/table" Target="../tables/table80.xml"/><Relationship Id="rId81" Type="http://schemas.openxmlformats.org/officeDocument/2006/relationships/table" Target="../tables/table101.xml"/><Relationship Id="rId135" Type="http://schemas.openxmlformats.org/officeDocument/2006/relationships/table" Target="../tables/table155.xml"/><Relationship Id="rId156" Type="http://schemas.openxmlformats.org/officeDocument/2006/relationships/table" Target="../tables/table176.xml"/><Relationship Id="rId177" Type="http://schemas.openxmlformats.org/officeDocument/2006/relationships/table" Target="../tables/table197.xml"/><Relationship Id="rId198" Type="http://schemas.openxmlformats.org/officeDocument/2006/relationships/table" Target="../tables/table218.xml"/><Relationship Id="rId202" Type="http://schemas.openxmlformats.org/officeDocument/2006/relationships/table" Target="../tables/table222.xml"/><Relationship Id="rId223" Type="http://schemas.openxmlformats.org/officeDocument/2006/relationships/table" Target="../tables/table243.xml"/><Relationship Id="rId244" Type="http://schemas.openxmlformats.org/officeDocument/2006/relationships/table" Target="../tables/table264.xml"/><Relationship Id="rId18" Type="http://schemas.openxmlformats.org/officeDocument/2006/relationships/table" Target="../tables/table38.xml"/><Relationship Id="rId39" Type="http://schemas.openxmlformats.org/officeDocument/2006/relationships/table" Target="../tables/table59.xml"/><Relationship Id="rId50" Type="http://schemas.openxmlformats.org/officeDocument/2006/relationships/table" Target="../tables/table70.xml"/><Relationship Id="rId104" Type="http://schemas.openxmlformats.org/officeDocument/2006/relationships/table" Target="../tables/table124.xml"/><Relationship Id="rId125" Type="http://schemas.openxmlformats.org/officeDocument/2006/relationships/table" Target="../tables/table145.xml"/><Relationship Id="rId146" Type="http://schemas.openxmlformats.org/officeDocument/2006/relationships/table" Target="../tables/table166.xml"/><Relationship Id="rId167" Type="http://schemas.openxmlformats.org/officeDocument/2006/relationships/table" Target="../tables/table187.xml"/><Relationship Id="rId188" Type="http://schemas.openxmlformats.org/officeDocument/2006/relationships/table" Target="../tables/table208.xml"/><Relationship Id="rId71" Type="http://schemas.openxmlformats.org/officeDocument/2006/relationships/table" Target="../tables/table91.xml"/><Relationship Id="rId92" Type="http://schemas.openxmlformats.org/officeDocument/2006/relationships/table" Target="../tables/table112.xml"/><Relationship Id="rId213" Type="http://schemas.openxmlformats.org/officeDocument/2006/relationships/table" Target="../tables/table233.xml"/><Relationship Id="rId234" Type="http://schemas.openxmlformats.org/officeDocument/2006/relationships/table" Target="../tables/table254.xml"/><Relationship Id="rId2" Type="http://schemas.openxmlformats.org/officeDocument/2006/relationships/table" Target="../tables/table22.xml"/><Relationship Id="rId29" Type="http://schemas.openxmlformats.org/officeDocument/2006/relationships/table" Target="../tables/table49.xml"/><Relationship Id="rId40" Type="http://schemas.openxmlformats.org/officeDocument/2006/relationships/table" Target="../tables/table60.xml"/><Relationship Id="rId115" Type="http://schemas.openxmlformats.org/officeDocument/2006/relationships/table" Target="../tables/table135.xml"/><Relationship Id="rId136" Type="http://schemas.openxmlformats.org/officeDocument/2006/relationships/table" Target="../tables/table156.xml"/><Relationship Id="rId157" Type="http://schemas.openxmlformats.org/officeDocument/2006/relationships/table" Target="../tables/table177.xml"/><Relationship Id="rId178" Type="http://schemas.openxmlformats.org/officeDocument/2006/relationships/table" Target="../tables/table198.xml"/><Relationship Id="rId61" Type="http://schemas.openxmlformats.org/officeDocument/2006/relationships/table" Target="../tables/table81.xml"/><Relationship Id="rId82" Type="http://schemas.openxmlformats.org/officeDocument/2006/relationships/table" Target="../tables/table102.xml"/><Relationship Id="rId199" Type="http://schemas.openxmlformats.org/officeDocument/2006/relationships/table" Target="../tables/table219.xml"/><Relationship Id="rId203" Type="http://schemas.openxmlformats.org/officeDocument/2006/relationships/table" Target="../tables/table223.xml"/><Relationship Id="rId19" Type="http://schemas.openxmlformats.org/officeDocument/2006/relationships/table" Target="../tables/table39.xml"/><Relationship Id="rId224" Type="http://schemas.openxmlformats.org/officeDocument/2006/relationships/table" Target="../tables/table244.xml"/><Relationship Id="rId245" Type="http://schemas.openxmlformats.org/officeDocument/2006/relationships/table" Target="../tables/table265.xml"/><Relationship Id="rId30" Type="http://schemas.openxmlformats.org/officeDocument/2006/relationships/table" Target="../tables/table50.xml"/><Relationship Id="rId105" Type="http://schemas.openxmlformats.org/officeDocument/2006/relationships/table" Target="../tables/table125.xml"/><Relationship Id="rId126" Type="http://schemas.openxmlformats.org/officeDocument/2006/relationships/table" Target="../tables/table146.xml"/><Relationship Id="rId147" Type="http://schemas.openxmlformats.org/officeDocument/2006/relationships/table" Target="../tables/table167.xml"/><Relationship Id="rId168" Type="http://schemas.openxmlformats.org/officeDocument/2006/relationships/table" Target="../tables/table188.xml"/><Relationship Id="rId51" Type="http://schemas.openxmlformats.org/officeDocument/2006/relationships/table" Target="../tables/table71.xml"/><Relationship Id="rId72" Type="http://schemas.openxmlformats.org/officeDocument/2006/relationships/table" Target="../tables/table92.xml"/><Relationship Id="rId93" Type="http://schemas.openxmlformats.org/officeDocument/2006/relationships/table" Target="../tables/table113.xml"/><Relationship Id="rId189" Type="http://schemas.openxmlformats.org/officeDocument/2006/relationships/table" Target="../tables/table209.xml"/><Relationship Id="rId3" Type="http://schemas.openxmlformats.org/officeDocument/2006/relationships/table" Target="../tables/table23.xml"/><Relationship Id="rId214" Type="http://schemas.openxmlformats.org/officeDocument/2006/relationships/table" Target="../tables/table234.xml"/><Relationship Id="rId235" Type="http://schemas.openxmlformats.org/officeDocument/2006/relationships/table" Target="../tables/table255.xml"/><Relationship Id="rId116" Type="http://schemas.openxmlformats.org/officeDocument/2006/relationships/table" Target="../tables/table136.xml"/><Relationship Id="rId137" Type="http://schemas.openxmlformats.org/officeDocument/2006/relationships/table" Target="../tables/table157.xml"/><Relationship Id="rId158" Type="http://schemas.openxmlformats.org/officeDocument/2006/relationships/table" Target="../tables/table178.xml"/><Relationship Id="rId20" Type="http://schemas.openxmlformats.org/officeDocument/2006/relationships/table" Target="../tables/table40.xml"/><Relationship Id="rId41" Type="http://schemas.openxmlformats.org/officeDocument/2006/relationships/table" Target="../tables/table61.xml"/><Relationship Id="rId62" Type="http://schemas.openxmlformats.org/officeDocument/2006/relationships/table" Target="../tables/table82.xml"/><Relationship Id="rId83" Type="http://schemas.openxmlformats.org/officeDocument/2006/relationships/table" Target="../tables/table103.xml"/><Relationship Id="rId179" Type="http://schemas.openxmlformats.org/officeDocument/2006/relationships/table" Target="../tables/table199.xml"/><Relationship Id="rId190" Type="http://schemas.openxmlformats.org/officeDocument/2006/relationships/table" Target="../tables/table210.xml"/><Relationship Id="rId204" Type="http://schemas.openxmlformats.org/officeDocument/2006/relationships/table" Target="../tables/table224.xml"/><Relationship Id="rId225" Type="http://schemas.openxmlformats.org/officeDocument/2006/relationships/table" Target="../tables/table245.xml"/><Relationship Id="rId246" Type="http://schemas.openxmlformats.org/officeDocument/2006/relationships/table" Target="../tables/table266.xml"/><Relationship Id="rId106" Type="http://schemas.openxmlformats.org/officeDocument/2006/relationships/table" Target="../tables/table126.xml"/><Relationship Id="rId127" Type="http://schemas.openxmlformats.org/officeDocument/2006/relationships/table" Target="../tables/table147.xml"/><Relationship Id="rId10" Type="http://schemas.openxmlformats.org/officeDocument/2006/relationships/table" Target="../tables/table30.xml"/><Relationship Id="rId31" Type="http://schemas.openxmlformats.org/officeDocument/2006/relationships/table" Target="../tables/table51.xml"/><Relationship Id="rId52" Type="http://schemas.openxmlformats.org/officeDocument/2006/relationships/table" Target="../tables/table72.xml"/><Relationship Id="rId73" Type="http://schemas.openxmlformats.org/officeDocument/2006/relationships/table" Target="../tables/table93.xml"/><Relationship Id="rId94" Type="http://schemas.openxmlformats.org/officeDocument/2006/relationships/table" Target="../tables/table114.xml"/><Relationship Id="rId148" Type="http://schemas.openxmlformats.org/officeDocument/2006/relationships/table" Target="../tables/table168.xml"/><Relationship Id="rId169" Type="http://schemas.openxmlformats.org/officeDocument/2006/relationships/table" Target="../tables/table18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270.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271.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27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7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74.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275.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151"/>
  <dimension ref="A1:B8"/>
  <sheetViews>
    <sheetView workbookViewId="0">
      <selection activeCell="B9" sqref="B9"/>
    </sheetView>
  </sheetViews>
  <sheetFormatPr defaultRowHeight="15" x14ac:dyDescent="0.25"/>
  <cols>
    <col min="1" max="1" width="3.28515625" customWidth="1"/>
  </cols>
  <sheetData>
    <row r="1" spans="1:2" x14ac:dyDescent="0.25">
      <c r="A1" s="3" t="s">
        <v>102</v>
      </c>
    </row>
    <row r="2" spans="1:2" x14ac:dyDescent="0.25">
      <c r="A2" t="s">
        <v>110</v>
      </c>
    </row>
    <row r="3" spans="1:2" ht="17.25" x14ac:dyDescent="0.3">
      <c r="B3" s="4" t="s">
        <v>103</v>
      </c>
    </row>
    <row r="4" spans="1:2" ht="17.25" x14ac:dyDescent="0.3">
      <c r="B4" s="4" t="s">
        <v>104</v>
      </c>
    </row>
    <row r="5" spans="1:2" ht="17.25" x14ac:dyDescent="0.3">
      <c r="B5" s="4" t="s">
        <v>105</v>
      </c>
    </row>
    <row r="6" spans="1:2" ht="17.25" x14ac:dyDescent="0.3">
      <c r="B6" s="4" t="s">
        <v>106</v>
      </c>
    </row>
    <row r="7" spans="1:2" ht="17.25" x14ac:dyDescent="0.3">
      <c r="B7" s="4" t="s">
        <v>107</v>
      </c>
    </row>
    <row r="8" spans="1:2" ht="17.25" x14ac:dyDescent="0.3">
      <c r="B8" s="4" t="s">
        <v>108</v>
      </c>
    </row>
  </sheetData>
  <hyperlinks>
    <hyperlink ref="B3" location="F0!A1" display="F0" xr:uid="{00000000-0004-0000-0000-000000000000}"/>
    <hyperlink ref="B4" location="'F1'!A1" display="F1" xr:uid="{00000000-0004-0000-0000-000001000000}"/>
    <hyperlink ref="B5" location="'F2'!A1" display="F2" xr:uid="{00000000-0004-0000-0000-000002000000}"/>
    <hyperlink ref="B6" location="'F3'!A1" display="F3" xr:uid="{00000000-0004-0000-0000-000003000000}"/>
    <hyperlink ref="B7" location="'F4'!A1" display="F4" xr:uid="{00000000-0004-0000-0000-000004000000}"/>
    <hyperlink ref="B8" location="'F5'!A1" display="F5" xr:uid="{00000000-0004-0000-0000-000005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19111"/>
  <dimension ref="A1:CO23"/>
  <sheetViews>
    <sheetView topLeftCell="A9" zoomScale="85" zoomScaleNormal="85" zoomScaleSheetLayoutView="100" workbookViewId="0">
      <selection activeCell="S35" sqref="S35"/>
    </sheetView>
  </sheetViews>
  <sheetFormatPr defaultColWidth="8.85546875" defaultRowHeight="15" outlineLevelRow="2" x14ac:dyDescent="0.25"/>
  <cols>
    <col min="1" max="1" width="6.5703125" style="148" customWidth="1"/>
    <col min="2" max="2" width="32.85546875" style="148" customWidth="1"/>
    <col min="3" max="3" width="12.28515625" style="148" hidden="1" customWidth="1"/>
    <col min="4" max="4" width="13.85546875" style="148" hidden="1" customWidth="1"/>
    <col min="5" max="17" width="8.85546875" style="148" hidden="1" customWidth="1"/>
    <col min="18" max="18" width="16.140625" style="149" customWidth="1"/>
    <col min="19" max="19" width="8.85546875" style="148"/>
    <col min="20" max="20" width="11.140625" style="148" customWidth="1"/>
    <col min="21" max="21" width="8.85546875" style="148"/>
    <col min="22" max="22" width="23.28515625" style="148" hidden="1" customWidth="1"/>
    <col min="23" max="23" width="8.85546875" style="148" hidden="1" customWidth="1"/>
    <col min="24" max="24" width="13.42578125" style="148" customWidth="1"/>
    <col min="25" max="26" width="8.85546875" style="148" hidden="1" customWidth="1"/>
    <col min="27" max="27" width="8.85546875" style="149" hidden="1" customWidth="1"/>
    <col min="28" max="28" width="8.85546875" style="148" hidden="1" customWidth="1"/>
    <col min="29" max="29" width="8.85546875" style="149" hidden="1" customWidth="1"/>
    <col min="30" max="30" width="8.85546875" style="148" hidden="1" customWidth="1"/>
    <col min="31" max="31" width="8.85546875" style="149" hidden="1" customWidth="1"/>
    <col min="32" max="32" width="8.85546875" style="148" hidden="1" customWidth="1"/>
    <col min="33" max="33" width="8.85546875" style="149" hidden="1" customWidth="1"/>
    <col min="34" max="34" width="8.85546875" style="148" hidden="1" customWidth="1"/>
    <col min="35" max="35" width="8.85546875" style="149" hidden="1" customWidth="1"/>
    <col min="36" max="36" width="8.85546875" style="148" hidden="1" customWidth="1"/>
    <col min="37" max="37" width="8.85546875" style="149" hidden="1" customWidth="1"/>
    <col min="38" max="38" width="8.85546875" style="148" hidden="1" customWidth="1"/>
    <col min="39" max="39" width="8.85546875" style="149" hidden="1" customWidth="1"/>
    <col min="40" max="40" width="8.85546875" style="148" hidden="1" customWidth="1"/>
    <col min="41" max="41" width="8.85546875" style="149" hidden="1" customWidth="1"/>
    <col min="42" max="42" width="8.85546875" style="148" hidden="1" customWidth="1"/>
    <col min="43" max="43" width="8.85546875" style="149" hidden="1" customWidth="1"/>
    <col min="44" max="50" width="8.85546875" style="148" hidden="1" customWidth="1"/>
    <col min="51" max="51" width="12.28515625" style="131" customWidth="1"/>
    <col min="52" max="53" width="12.28515625" style="148" customWidth="1"/>
    <col min="54" max="54" width="8.85546875" style="148"/>
    <col min="55" max="55" width="13.85546875" style="148" customWidth="1"/>
    <col min="56" max="57" width="16" style="148" customWidth="1"/>
    <col min="58" max="58" width="34.28515625" style="148" customWidth="1"/>
    <col min="59" max="59" width="16" style="148" customWidth="1"/>
    <col min="60" max="60" width="9.85546875" style="148" customWidth="1"/>
    <col min="61" max="61" width="2.7109375" style="148" hidden="1" customWidth="1"/>
    <col min="62" max="62" width="14.5703125" style="148" customWidth="1"/>
    <col min="63" max="63" width="2.7109375" style="148" hidden="1" customWidth="1"/>
    <col min="64" max="64" width="23.140625" style="148" customWidth="1"/>
    <col min="65" max="65" width="3.5703125" style="148" customWidth="1"/>
    <col min="66" max="66" width="9" style="148" customWidth="1"/>
    <col min="67" max="67" width="9.28515625" style="148" customWidth="1"/>
    <col min="68" max="68" width="10.85546875" style="148" customWidth="1"/>
    <col min="69" max="16384" width="8.85546875" style="148"/>
  </cols>
  <sheetData>
    <row r="1" spans="1:93" hidden="1" outlineLevel="2" x14ac:dyDescent="0.25">
      <c r="C1" s="139" t="s">
        <v>461</v>
      </c>
      <c r="E1" s="139" t="s">
        <v>461</v>
      </c>
      <c r="F1" s="139" t="s">
        <v>461</v>
      </c>
      <c r="G1" s="139" t="s">
        <v>461</v>
      </c>
      <c r="H1" s="139" t="s">
        <v>461</v>
      </c>
      <c r="I1" s="139" t="s">
        <v>461</v>
      </c>
      <c r="J1" s="139" t="s">
        <v>461</v>
      </c>
      <c r="K1" s="139" t="s">
        <v>461</v>
      </c>
      <c r="L1" s="139" t="s">
        <v>461</v>
      </c>
      <c r="M1" s="139" t="s">
        <v>461</v>
      </c>
      <c r="N1" s="139" t="s">
        <v>461</v>
      </c>
      <c r="O1" s="139" t="s">
        <v>461</v>
      </c>
      <c r="P1" s="139" t="s">
        <v>461</v>
      </c>
      <c r="Q1" s="139" t="s">
        <v>461</v>
      </c>
      <c r="V1" s="139" t="s">
        <v>461</v>
      </c>
      <c r="W1" s="139" t="s">
        <v>461</v>
      </c>
      <c r="Y1" s="139" t="s">
        <v>461</v>
      </c>
      <c r="Z1" s="139" t="s">
        <v>461</v>
      </c>
      <c r="AA1" s="139" t="s">
        <v>461</v>
      </c>
      <c r="AB1" s="139" t="s">
        <v>461</v>
      </c>
      <c r="AC1" s="139" t="s">
        <v>461</v>
      </c>
      <c r="AD1" s="139" t="s">
        <v>461</v>
      </c>
      <c r="AE1" s="139" t="s">
        <v>461</v>
      </c>
      <c r="AF1" s="139" t="s">
        <v>461</v>
      </c>
      <c r="AG1" s="139" t="s">
        <v>461</v>
      </c>
      <c r="AH1" s="139" t="s">
        <v>461</v>
      </c>
      <c r="AI1" s="139" t="s">
        <v>461</v>
      </c>
      <c r="AJ1" s="139" t="s">
        <v>461</v>
      </c>
      <c r="AK1" s="139" t="s">
        <v>461</v>
      </c>
      <c r="AL1" s="139" t="s">
        <v>461</v>
      </c>
      <c r="AM1" s="139" t="s">
        <v>461</v>
      </c>
      <c r="AN1" s="139" t="s">
        <v>461</v>
      </c>
      <c r="AO1" s="139" t="s">
        <v>461</v>
      </c>
      <c r="AP1" s="139" t="s">
        <v>461</v>
      </c>
      <c r="AQ1" s="139" t="s">
        <v>461</v>
      </c>
      <c r="AR1" s="139" t="s">
        <v>461</v>
      </c>
      <c r="AS1" s="139" t="s">
        <v>461</v>
      </c>
      <c r="AT1" s="139" t="s">
        <v>461</v>
      </c>
      <c r="AU1" s="139" t="s">
        <v>461</v>
      </c>
      <c r="AV1" s="139" t="s">
        <v>461</v>
      </c>
      <c r="AW1" s="139" t="s">
        <v>461</v>
      </c>
      <c r="AX1" s="139" t="s">
        <v>461</v>
      </c>
      <c r="BH1" s="124"/>
      <c r="BI1" s="124" t="s">
        <v>461</v>
      </c>
      <c r="BJ1" s="124"/>
      <c r="BK1" s="124" t="s">
        <v>461</v>
      </c>
      <c r="BL1" s="124"/>
      <c r="BM1" s="124" t="s">
        <v>461</v>
      </c>
      <c r="BN1" s="124" t="s">
        <v>461</v>
      </c>
      <c r="BO1" s="124"/>
      <c r="BP1" s="124"/>
      <c r="BQ1" s="124"/>
    </row>
    <row r="2" spans="1:93" hidden="1" outlineLevel="2" x14ac:dyDescent="0.25">
      <c r="B2" s="148" t="s">
        <v>364</v>
      </c>
      <c r="D2" s="148">
        <f>ROWS(Критерий_Чувствительность[])</f>
        <v>6</v>
      </c>
      <c r="U2" s="148" t="s">
        <v>364</v>
      </c>
      <c r="W2" s="148">
        <f>ROWS(Свёртка_Чувствительность[])</f>
        <v>4</v>
      </c>
      <c r="BD2" s="148" t="s">
        <v>364</v>
      </c>
      <c r="BF2" s="148">
        <f>ROWS(Анализ_Чувствительность[])</f>
        <v>8</v>
      </c>
    </row>
    <row r="3" spans="1:93" hidden="1" outlineLevel="2" x14ac:dyDescent="0.25">
      <c r="B3" s="148" t="s">
        <v>365</v>
      </c>
      <c r="D3" s="148">
        <f>COUNTIF(Критерий_Чувствительность[Критерий],"&gt;=1")-COUNTIF(Критерий_Чувствительность[Критерий],"&gt;4")</f>
        <v>3</v>
      </c>
      <c r="U3" s="148" t="s">
        <v>365</v>
      </c>
      <c r="W3" s="148">
        <f>COUNTIF(Свёртка_Чувствительность[Свёртка],"&gt;=1")-COUNTIF(Свёртка_Чувствительность[Свёртка],"&gt;4")</f>
        <v>1</v>
      </c>
    </row>
    <row r="4" spans="1:93" hidden="1" outlineLevel="2" x14ac:dyDescent="0.25">
      <c r="B4" s="148" t="s">
        <v>447</v>
      </c>
      <c r="D4" s="148">
        <f ca="1">COUNTIF(Критерий_Чувствительность[O.K.Критерий],1)</f>
        <v>3</v>
      </c>
      <c r="U4" s="148" t="s">
        <v>447</v>
      </c>
      <c r="W4" s="148">
        <f ca="1">COUNTIF(Свёртка_Чувствительность[O.K.Свёртка],1)</f>
        <v>1</v>
      </c>
      <c r="BD4" s="148" t="s">
        <v>447</v>
      </c>
      <c r="BF4" s="148">
        <f>COUNTIF(Анализ_Чувствительность[Y],1)</f>
        <v>1</v>
      </c>
    </row>
    <row r="5" spans="1:93" hidden="1" outlineLevel="2" x14ac:dyDescent="0.25"/>
    <row r="6" spans="1:93" hidden="1" outlineLevel="2" x14ac:dyDescent="0.25">
      <c r="F6" s="148">
        <v>-2</v>
      </c>
      <c r="H6" s="148">
        <v>1</v>
      </c>
      <c r="J6" s="148">
        <v>-1</v>
      </c>
      <c r="M6" s="148">
        <v>1</v>
      </c>
      <c r="O6" s="148">
        <v>1</v>
      </c>
      <c r="Q6" s="148">
        <v>1</v>
      </c>
      <c r="V6" s="148">
        <v>1</v>
      </c>
      <c r="W6" s="148">
        <v>2</v>
      </c>
      <c r="X6" s="148">
        <v>3</v>
      </c>
      <c r="Y6" s="148">
        <v>4</v>
      </c>
      <c r="Z6" s="148">
        <v>-3</v>
      </c>
      <c r="AB6" s="148">
        <v>0</v>
      </c>
      <c r="AD6" s="148">
        <v>-1</v>
      </c>
      <c r="AF6" s="148">
        <v>0</v>
      </c>
      <c r="AH6" s="148">
        <v>-1</v>
      </c>
      <c r="AJ6" s="148">
        <v>-2</v>
      </c>
      <c r="AL6" s="148">
        <v>0</v>
      </c>
      <c r="AN6" s="148">
        <v>-2</v>
      </c>
      <c r="AP6" s="148">
        <v>-1</v>
      </c>
      <c r="AR6" s="148">
        <v>-2</v>
      </c>
      <c r="AT6" s="148">
        <v>-2</v>
      </c>
      <c r="AW6" s="148">
        <v>-1</v>
      </c>
    </row>
    <row r="7" spans="1:93" hidden="1" outlineLevel="2" x14ac:dyDescent="0.25">
      <c r="F7" s="148">
        <v>-3</v>
      </c>
      <c r="H7" s="148">
        <v>0</v>
      </c>
      <c r="J7" s="148">
        <v>-3</v>
      </c>
      <c r="M7" s="148">
        <v>-3</v>
      </c>
      <c r="O7" s="148">
        <v>-1</v>
      </c>
      <c r="Q7" s="148">
        <v>-2</v>
      </c>
      <c r="V7" s="148">
        <v>1</v>
      </c>
      <c r="W7" s="148">
        <v>2</v>
      </c>
      <c r="X7" s="148">
        <v>3</v>
      </c>
      <c r="Y7" s="148">
        <v>4</v>
      </c>
      <c r="Z7" s="148">
        <v>0</v>
      </c>
      <c r="AB7" s="148">
        <v>3</v>
      </c>
      <c r="AD7" s="148">
        <v>3</v>
      </c>
      <c r="AF7" s="148">
        <v>2</v>
      </c>
      <c r="AH7" s="148">
        <v>2</v>
      </c>
      <c r="AJ7" s="148">
        <v>3</v>
      </c>
      <c r="AL7" s="148">
        <v>1</v>
      </c>
      <c r="AN7" s="148">
        <v>2</v>
      </c>
      <c r="AP7" s="148">
        <v>1</v>
      </c>
      <c r="AR7" s="148">
        <v>1</v>
      </c>
      <c r="AT7" s="148">
        <v>0</v>
      </c>
      <c r="AW7" s="148">
        <v>0</v>
      </c>
    </row>
    <row r="8" spans="1:93" hidden="1" outlineLevel="2" x14ac:dyDescent="0.25">
      <c r="B8" s="148">
        <v>0</v>
      </c>
      <c r="C8" s="148">
        <v>1</v>
      </c>
      <c r="D8" s="148">
        <v>2</v>
      </c>
      <c r="E8" s="148">
        <v>3</v>
      </c>
      <c r="F8" s="148">
        <v>4</v>
      </c>
      <c r="G8" s="148">
        <v>5</v>
      </c>
      <c r="H8" s="148">
        <v>6</v>
      </c>
      <c r="I8" s="148">
        <v>7</v>
      </c>
      <c r="J8" s="148">
        <v>8</v>
      </c>
      <c r="K8" s="148">
        <v>9</v>
      </c>
      <c r="L8" s="148">
        <v>10</v>
      </c>
      <c r="M8" s="148">
        <v>11</v>
      </c>
      <c r="N8" s="148">
        <v>12</v>
      </c>
      <c r="O8" s="148">
        <v>13</v>
      </c>
      <c r="P8" s="148">
        <v>14</v>
      </c>
      <c r="Q8" s="148">
        <v>15</v>
      </c>
      <c r="R8" s="149">
        <v>16</v>
      </c>
      <c r="U8" s="148">
        <v>0</v>
      </c>
      <c r="V8" s="148">
        <v>1</v>
      </c>
      <c r="W8" s="148">
        <v>2</v>
      </c>
      <c r="X8" s="148">
        <v>3</v>
      </c>
      <c r="Y8" s="148">
        <v>4</v>
      </c>
      <c r="Z8" s="148">
        <v>5</v>
      </c>
      <c r="AA8" s="149">
        <v>6</v>
      </c>
      <c r="AB8" s="148">
        <v>7</v>
      </c>
      <c r="AC8" s="149">
        <v>8</v>
      </c>
      <c r="AD8" s="148">
        <v>9</v>
      </c>
      <c r="AE8" s="149">
        <v>10</v>
      </c>
      <c r="AF8" s="148">
        <v>11</v>
      </c>
      <c r="AG8" s="149">
        <v>12</v>
      </c>
      <c r="AH8" s="148">
        <v>13</v>
      </c>
      <c r="AI8" s="149">
        <v>14</v>
      </c>
      <c r="AJ8" s="148">
        <v>15</v>
      </c>
      <c r="AK8" s="149">
        <v>16</v>
      </c>
      <c r="AL8" s="148">
        <v>17</v>
      </c>
      <c r="AM8" s="149">
        <v>18</v>
      </c>
      <c r="AN8" s="148">
        <v>19</v>
      </c>
      <c r="AO8" s="149">
        <v>20</v>
      </c>
      <c r="AP8" s="148">
        <v>21</v>
      </c>
      <c r="AQ8" s="149">
        <v>22</v>
      </c>
      <c r="AR8" s="148">
        <v>23</v>
      </c>
      <c r="AS8" s="148">
        <v>24</v>
      </c>
      <c r="AT8" s="148">
        <v>25</v>
      </c>
      <c r="AU8" s="148">
        <v>26</v>
      </c>
      <c r="AV8" s="148">
        <v>27</v>
      </c>
      <c r="AW8" s="148">
        <v>28</v>
      </c>
      <c r="AX8" s="148">
        <v>29</v>
      </c>
      <c r="AY8" s="131">
        <v>30</v>
      </c>
      <c r="BD8" s="148">
        <v>0</v>
      </c>
      <c r="BE8" s="148">
        <v>1</v>
      </c>
      <c r="BF8" s="148">
        <v>2</v>
      </c>
      <c r="BG8" s="148">
        <v>3</v>
      </c>
      <c r="BH8" s="148">
        <v>4</v>
      </c>
      <c r="BI8" s="148">
        <v>5</v>
      </c>
      <c r="BJ8" s="148">
        <v>6</v>
      </c>
      <c r="BK8" s="148">
        <v>7</v>
      </c>
      <c r="BL8" s="148">
        <v>8</v>
      </c>
      <c r="BM8" s="148">
        <v>9</v>
      </c>
      <c r="BN8" s="148">
        <v>10</v>
      </c>
      <c r="BO8" s="148">
        <v>11</v>
      </c>
      <c r="BP8" s="148">
        <v>12</v>
      </c>
      <c r="BQ8" s="148">
        <v>13</v>
      </c>
      <c r="BR8" s="148">
        <v>14</v>
      </c>
      <c r="BS8" s="148">
        <v>15</v>
      </c>
      <c r="BT8" s="148">
        <v>16</v>
      </c>
      <c r="BU8" s="148">
        <v>17</v>
      </c>
      <c r="BV8" s="148">
        <v>18</v>
      </c>
      <c r="BW8" s="148">
        <v>19</v>
      </c>
      <c r="BX8" s="148">
        <v>20</v>
      </c>
      <c r="BY8" s="148">
        <v>21</v>
      </c>
      <c r="BZ8" s="148">
        <v>22</v>
      </c>
      <c r="CA8" s="148">
        <v>23</v>
      </c>
      <c r="CB8" s="148">
        <v>24</v>
      </c>
      <c r="CC8" s="148">
        <v>25</v>
      </c>
      <c r="CD8" s="148">
        <v>26</v>
      </c>
      <c r="CE8" s="148">
        <v>27</v>
      </c>
      <c r="CF8" s="148">
        <v>28</v>
      </c>
      <c r="CG8" s="148">
        <v>29</v>
      </c>
      <c r="CH8" s="148">
        <v>30</v>
      </c>
      <c r="CI8" s="148">
        <v>31</v>
      </c>
      <c r="CJ8" s="148">
        <v>32</v>
      </c>
      <c r="CK8" s="148">
        <v>33</v>
      </c>
      <c r="CL8" s="148">
        <v>34</v>
      </c>
      <c r="CM8" s="148">
        <v>35</v>
      </c>
      <c r="CN8" s="148">
        <v>36</v>
      </c>
      <c r="CO8" s="148">
        <v>37</v>
      </c>
    </row>
    <row r="9" spans="1:93" ht="15.75" collapsed="1" thickBot="1" x14ac:dyDescent="0.3">
      <c r="A9" s="131" t="s">
        <v>395</v>
      </c>
      <c r="B9" s="131" t="s">
        <v>396</v>
      </c>
      <c r="C9" s="131" t="s">
        <v>397</v>
      </c>
      <c r="D9" s="131" t="s">
        <v>409</v>
      </c>
      <c r="E9" s="131" t="s">
        <v>456</v>
      </c>
      <c r="F9" s="131" t="s">
        <v>457</v>
      </c>
      <c r="G9" s="131" t="s">
        <v>398</v>
      </c>
      <c r="H9" s="131" t="s">
        <v>399</v>
      </c>
      <c r="I9" s="131" t="s">
        <v>400</v>
      </c>
      <c r="J9" s="131" t="s">
        <v>401</v>
      </c>
      <c r="K9" s="131" t="s">
        <v>402</v>
      </c>
      <c r="L9" s="131" t="s">
        <v>403</v>
      </c>
      <c r="M9" s="131" t="s">
        <v>404</v>
      </c>
      <c r="N9" s="131" t="s">
        <v>405</v>
      </c>
      <c r="O9" s="131" t="s">
        <v>406</v>
      </c>
      <c r="P9" s="131" t="s">
        <v>407</v>
      </c>
      <c r="Q9" s="131" t="s">
        <v>408</v>
      </c>
      <c r="R9" s="149" t="s">
        <v>410</v>
      </c>
      <c r="T9" s="131" t="s">
        <v>395</v>
      </c>
      <c r="U9" s="131" t="s">
        <v>411</v>
      </c>
      <c r="V9" s="131" t="s">
        <v>414</v>
      </c>
      <c r="W9" s="131" t="s">
        <v>412</v>
      </c>
      <c r="X9" s="131" t="s">
        <v>413</v>
      </c>
      <c r="Y9" s="131" t="s">
        <v>456</v>
      </c>
      <c r="Z9" s="131" t="s">
        <v>457</v>
      </c>
      <c r="AA9" s="149" t="s">
        <v>475</v>
      </c>
      <c r="AB9" s="131" t="s">
        <v>478</v>
      </c>
      <c r="AC9" s="149" t="s">
        <v>476</v>
      </c>
      <c r="AD9" s="131" t="s">
        <v>479</v>
      </c>
      <c r="AE9" s="149" t="s">
        <v>477</v>
      </c>
      <c r="AF9" s="131" t="s">
        <v>480</v>
      </c>
      <c r="AG9" s="149" t="s">
        <v>481</v>
      </c>
      <c r="AH9" s="131" t="s">
        <v>482</v>
      </c>
      <c r="AI9" s="149" t="s">
        <v>483</v>
      </c>
      <c r="AJ9" s="131" t="s">
        <v>484</v>
      </c>
      <c r="AK9" s="149" t="s">
        <v>485</v>
      </c>
      <c r="AL9" s="131" t="s">
        <v>486</v>
      </c>
      <c r="AM9" s="149" t="s">
        <v>487</v>
      </c>
      <c r="AN9" s="131" t="s">
        <v>488</v>
      </c>
      <c r="AO9" s="149" t="s">
        <v>489</v>
      </c>
      <c r="AP9" s="131" t="s">
        <v>490</v>
      </c>
      <c r="AQ9" s="149" t="s">
        <v>491</v>
      </c>
      <c r="AR9" s="131" t="s">
        <v>492</v>
      </c>
      <c r="AS9" s="131" t="s">
        <v>493</v>
      </c>
      <c r="AT9" s="131" t="s">
        <v>494</v>
      </c>
      <c r="AU9" s="131" t="s">
        <v>495</v>
      </c>
      <c r="AV9" s="131" t="s">
        <v>496</v>
      </c>
      <c r="AW9" s="131" t="s">
        <v>497</v>
      </c>
      <c r="AX9" s="131" t="s">
        <v>498</v>
      </c>
      <c r="AY9" s="131" t="s">
        <v>415</v>
      </c>
      <c r="AZ9" s="131"/>
      <c r="BA9" s="131"/>
      <c r="BC9" s="140" t="s">
        <v>395</v>
      </c>
      <c r="BD9" s="140" t="s">
        <v>416</v>
      </c>
      <c r="BE9" s="140" t="s">
        <v>392</v>
      </c>
      <c r="BF9" s="140" t="s">
        <v>459</v>
      </c>
      <c r="BG9" s="140" t="s">
        <v>550</v>
      </c>
      <c r="BH9" s="140" t="s">
        <v>411</v>
      </c>
      <c r="BI9" s="140" t="s">
        <v>441</v>
      </c>
      <c r="BJ9" s="140" t="s">
        <v>396</v>
      </c>
      <c r="BK9" s="140" t="s">
        <v>458</v>
      </c>
      <c r="BL9" s="140" t="s">
        <v>417</v>
      </c>
      <c r="BM9" s="140" t="s">
        <v>442</v>
      </c>
      <c r="BN9" s="140" t="s">
        <v>443</v>
      </c>
      <c r="BO9" s="140" t="s">
        <v>552</v>
      </c>
      <c r="BP9" s="140" t="s">
        <v>553</v>
      </c>
      <c r="BQ9" s="141" t="s">
        <v>100</v>
      </c>
      <c r="BR9" s="141" t="s">
        <v>101</v>
      </c>
      <c r="BS9" s="141" t="s">
        <v>418</v>
      </c>
      <c r="BT9" s="141" t="s">
        <v>419</v>
      </c>
      <c r="BU9" s="141" t="s">
        <v>420</v>
      </c>
      <c r="BV9" s="141" t="s">
        <v>421</v>
      </c>
      <c r="BW9" s="141" t="s">
        <v>422</v>
      </c>
      <c r="BX9" s="141" t="s">
        <v>423</v>
      </c>
      <c r="BY9" s="141" t="s">
        <v>424</v>
      </c>
      <c r="BZ9" s="141" t="s">
        <v>425</v>
      </c>
      <c r="CA9" s="141" t="s">
        <v>426</v>
      </c>
      <c r="CB9" s="141" t="s">
        <v>427</v>
      </c>
      <c r="CC9" s="141" t="s">
        <v>428</v>
      </c>
      <c r="CD9" s="141" t="s">
        <v>429</v>
      </c>
      <c r="CE9" s="141" t="s">
        <v>430</v>
      </c>
      <c r="CF9" s="141" t="s">
        <v>431</v>
      </c>
      <c r="CG9" s="141" t="s">
        <v>432</v>
      </c>
      <c r="CH9" s="141" t="s">
        <v>433</v>
      </c>
      <c r="CI9" s="141" t="s">
        <v>434</v>
      </c>
      <c r="CJ9" s="141" t="s">
        <v>435</v>
      </c>
      <c r="CK9" s="141" t="s">
        <v>436</v>
      </c>
      <c r="CL9" s="141" t="s">
        <v>437</v>
      </c>
      <c r="CM9" s="141" t="s">
        <v>438</v>
      </c>
      <c r="CN9" s="141" t="s">
        <v>439</v>
      </c>
      <c r="CO9" s="141" t="s">
        <v>440</v>
      </c>
    </row>
    <row r="10" spans="1:93" x14ac:dyDescent="0.25">
      <c r="A10" s="149">
        <f ca="1">IF(AND(Критерий_Чувствительность[[#This Row],[Критерий]]&lt;&gt;"",Критерий_Чувствительность[[#This Row],[O.K.Критерий]]=1),ROW()-ROW(Критерий_Чувствительность[[#Headers],[№]]),"")</f>
        <v>1</v>
      </c>
      <c r="B10" s="150">
        <f>Модель!G22</f>
        <v>4</v>
      </c>
      <c r="C10" s="151" t="str">
        <f ca="1">IFERROR(IF(AND(Критерий_Чувствительность[[#This Row],[Критерий]]&gt;=1,Критерий_Чувствительность[[#This Row],[Критерий]]&lt;=4),IF(IFERROR(FIND("!",_xlfn.FORMULATEXT(Критерий_Чувствительность[[#This Row],[Критерий]])),"на странице")="на странице",CONCATENATE("R",ROW((INDIRECT(RIGHT(_xlfn.FORMULATEXT(Критерий_Чувствительность[[#This Row],[Критерий]]), LEN(_xlfn.FORMULATEXT(Критерий_Чувствительность[[#This Row],[Критерий]]))-1),FALSE))),"C",COLUMN((INDIRECT(RIGHT(_xlfn.FORMULATEXT(Критерий_Чувствительность[[#This Row],[Критерий]]), LEN(_xlfn.FORMULATEXT(Критерий_Чувствительность[[#This Row],[Критерий]]))-1),FALSE)))-C$8),CONCATENATE(RIGHT(LEFT(_xlfn.FORMULATEXT(Критерий_Чувствительность[[#This Row],[Критерий]]),FIND("!",_xlfn.FORMULATEXT(Критерий_Чувствительность[[#This Row],[Критерий]]))),LEN(LEFT(_xlfn.FORMULATEXT(Критерий_Чувствительность[[#This Row],[Критерий]]),FIND("!",_xlfn.FORMULATEXT(Критерий_Чувствительность[[#This Row],[Критерий]]))))-1),"R",ROW((INDIRECT(RIGHT(_xlfn.FORMULATEXT(Критерий_Чувствительность[[#This Row],[Критерий]]), LEN(_xlfn.FORMULATEXT(Критерий_Чувствительность[[#This Row],[Критерий]]))-1),FALSE))),"C",COLUMN((INDIRECT(RIGHT(_xlfn.FORMULATEXT(Критерий_Чувствительность[[#This Row],[Критерий]]), LEN(_xlfn.FORMULATEXT(Критерий_Чувствительность[[#This Row],[Критерий]]))-1),FALSE)))-C$8)),"ошибка"),"ошибка")</f>
        <v>Модель!R22C7</v>
      </c>
      <c r="D10" s="151" t="str">
        <f ca="1">IFERROR(IF(LEFT(Критерий_Чувствительность[[#This Row],[Фкритерий]],5)="=Прив","Критерий",IF(LEFT(Критерий_Чувствительность[[#This Row],[Фкритерий]],5)="=Матр","ошибка","ошибка")),"ошибка")</f>
        <v>Критерий</v>
      </c>
      <c r="E10" s="151" t="str">
        <f ca="1">IFERROR(IF(LEN((INDIRECT(Критерий_Чувствительность[[#This Row],[СНаименование]],FALSE)))=0,"ошибка",IFERROR(INDIRECT(Критерий_Чувствительность[[#This Row],[СНаименование]],FALSE),"ошибка")),"ошибка")</f>
        <v>X1</v>
      </c>
      <c r="F10"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Row],[Скритерий]])))+F$7),FIND("R",Критерий_Чувствительность[[#This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Row],[Скритерий]])))+F$6),"ошибка")</f>
        <v>Модель!R20C4</v>
      </c>
      <c r="G10" s="152">
        <f ca="1">IFERROR(IF(N(INDIRECT(Критерий_Чувствительность[[#This Row],[СФизКритерий]],FALSE))=0,"ошибка",IFERROR(INDIRECT(Критерий_Чувствительность[[#This Row],[СФизКритерий]],FALSE),"ошибка")),"ошибка")</f>
        <v>100</v>
      </c>
      <c r="H10"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Row],[Скритерий]])))+H$7),FIND("R",Критерий_Чувствительность[[#This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Row],[Скритерий]])))+H$6),"ошибка")</f>
        <v>Модель!R23C7</v>
      </c>
      <c r="I10" s="151" t="s">
        <v>582</v>
      </c>
      <c r="J10"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Row],[Скритерий]])))+J$7),FIND("R",Критерий_Чувствительность[[#This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Row],[Скритерий]])))+J$6),"ошибка")</f>
        <v>Модель!R21C4</v>
      </c>
      <c r="K10" s="151" t="str">
        <f ca="1">IFERROR(_xlfn.FORMULATEXT(INDIRECT(Критерий_Чувствительность[[#This Row],[Скритерий]],FALSE)),"ошибка")</f>
        <v>=Приведение</v>
      </c>
      <c r="L10" s="152">
        <f ca="1">IFERROR(IF(N(INDIRECT(Критерий_Чувствительность[[#This Row],[СМинФизКритерий]],FALSE))="","ошибка",IFERROR(INDIRECT(Критерий_Чувствительность[[#This Row],[СМинФизКритерий]],FALSE),"ошибка")),"ошибка")</f>
        <v>0</v>
      </c>
      <c r="M10"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Row],[Скритерий]])))+M$7),FIND("R",Критерий_Чувствительность[[#This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Row],[Скритерий]])))+M$6),"ошибка")</f>
        <v>Модель!R23C4</v>
      </c>
      <c r="N10" s="152">
        <f ca="1">IFERROR(IF(N(INDIRECT(Критерий_Чувствительность[[#This Row],[СМаксФизКритерий]],FALSE))="","ошибка",IFERROR(INDIRECT(Критерий_Чувствительность[[#This Row],[СМаксФизКритерий]],FALSE),"ошибка")),"ошибка")</f>
        <v>100</v>
      </c>
      <c r="O10"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Row],[Скритерий]])))+O$7),FIND("R",Критерий_Чувствительность[[#This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Row],[Скритерий]])))+O$6),"ошибка")</f>
        <v>Модель!R23C6</v>
      </c>
      <c r="P10" s="152" t="str">
        <f ca="1">IFERROR(IF(N(INDIRECT(Критерий_Чувствительность[[#This Row],[ССрФизКритерий]],FALSE))=0,"ошибка",IFERROR(INDIRECT(Критерий_Чувствительность[[#This Row],[ССрФизКритерий]],FALSE),"ошибка")),"")</f>
        <v/>
      </c>
      <c r="Q10" s="151" t="s">
        <v>583</v>
      </c>
      <c r="R10" s="149">
        <f ca="1">IFERROR(IF(AND(Критерий_Чувствительность[[#This Row],[ВидКритерий]]="Критерий",Критерий_Чувствительность[[#This Row],[Фкритерий]]="=Приведение"),1,-1),-1)</f>
        <v>1</v>
      </c>
      <c r="T10" s="131">
        <f ca="1">IF(AND(Свёртка_Чувствительность[[#This Row],[Свёртка]]&lt;&gt;"",Свёртка_Чувствительность[[#This Row],[O.K.Свёртка]]=1),ROW()-ROW(Свёртка_Чувствительность[[#Headers],[№]]),"")</f>
        <v>1</v>
      </c>
      <c r="U10" s="153">
        <f>Модель!H34</f>
        <v>1</v>
      </c>
      <c r="V10" s="151" t="str">
        <f ca="1">IFERROR(IF(AND(Свёртка_Чувствительность[[#This Row],[Свёртка]]&gt;=1,Свёртка_Чувствительность[[#This Row],[Свёртка]]&lt;=4),IF(IFERROR(FIND("!",_xlfn.FORMULATEXT(Свёртка_Чувствительность[[#This Row],[Свёртка]])),"на странице")="на странице",CONCATENATE("R",ROW((INDIRECT(RIGHT(_xlfn.FORMULATEXT(Свёртка_Чувствительность[[#This Row],[Свёртка]]), LEN(_xlfn.FORMULATEXT(Свёртка_Чувствительность[[#This Row],[Свёртка]]))-1),FALSE))),"C",COLUMN((INDIRECT(RIGHT(_xlfn.FORMULATEXT(Свёртка_Чувствительность[[#This Row],[Свёртка]]), LEN(_xlfn.FORMULATEXT(Свёртка_Чувствительность[[#This Row],[Свёртка]]))-1),FALSE)))-V$6),CONCATENATE(RIGHT(LEFT(_xlfn.FORMULATEXT(Свёртка_Чувствительность[[#This Row],[Свёртка]]),FIND("!",_xlfn.FORMULATEXT(Свёртка_Чувствительность[[#This Row],[Свёртка]]))),LEN(LEFT(_xlfn.FORMULATEXT(Свёртка_Чувствительность[[#This Row],[Свёртка]]),FIND("!",_xlfn.FORMULATEXT(Свёртка_Чувствительность[[#This Row],[Свёртка]]))))-1),"R",ROW((INDIRECT(RIGHT(_xlfn.FORMULATEXT(Свёртка_Чувствительность[[#This Row],[Свёртка]]), LEN(_xlfn.FORMULATEXT(Свёртка_Чувствительность[[#This Row],[Свёртка]]))-1),FALSE))),"C",COLUMN((INDIRECT(RIGHT(_xlfn.FORMULATEXT(Свёртка_Чувствительность[[#This Row],[Свёртка]]), LEN(_xlfn.FORMULATEXT(Свёртка_Чувствительность[[#This Row],[Свёртка]]))-1),FALSE)))-V$6)),"ошибка"),"ошибка")</f>
        <v>Модель!R34C8</v>
      </c>
      <c r="W10" s="151" t="str">
        <f ca="1">IFERROR(_xlfn.FORMULATEXT(INDIRECT(Свёртка_Чувствительность[[#This Row],[ССвёртка]],FALSE)),"ошибка")</f>
        <v>=Матрица_Расчёт</v>
      </c>
      <c r="X10" s="151" t="str">
        <f ca="1">IFERROR(IF(LEFT(Свёртка_Чувствительность[[#This Row],[ФСвёртка]],5)="=Прив","ошибка",IF(LEFT(Свёртка_Чувствительность[[#This Row],[ФСвёртка]],5)="=Матр","Свёртка","ошибка")),"ошибка")</f>
        <v>Свёртка</v>
      </c>
      <c r="Y10" s="151" t="str">
        <f ca="1">IFERROR(IF(LEN((INDIRECT(Свёртка_Чувствительность[[#This Row],[СНаименование]],FALSE)))=0,"ошибка",IFERROR(INDIRECT(Свёртка_Чувствительность[[#This Row],[СНаименование]],FALSE),"ошибка")),"ошибка")</f>
        <v>Отношение к бизнесу</v>
      </c>
      <c r="Z10"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Row],[ССвёртка]])))+Z$7),FIND("R",Свёртка_Чувствительность[[#This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Row],[ССвёртка]])))+Z$6),"ошибка")</f>
        <v>Модель!R31C8</v>
      </c>
      <c r="AA10" s="152" t="str">
        <f ca="1">IFERROR(IF(LEN((INDIRECT(Свёртка_Чувствительность[[#This Row],[ССВ_1_1]],FALSE)))=0,"ошибка",IFERROR(INDIRECT(Свёртка_Чувствительность[[#This Row],[ССВ_1_1]],FALSE),"ошибка")),"ошибка")</f>
        <v>F0</v>
      </c>
      <c r="AB10"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Row],[ССвёртка]])))+AB$7),FIND("R",Свёртка_Чувствительность[[#This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Row],[ССвёртка]])))+AB$6),"ошибка")</f>
        <v>Модель!R34C11</v>
      </c>
      <c r="AC10" s="152" t="str">
        <f ca="1">IFERROR(IF(LEN((INDIRECT(Свёртка_Чувствительность[[#This Row],[ССВ_2_1]],FALSE)))=0,"ошибка",IFERROR(INDIRECT(Свёртка_Чувствительность[[#This Row],[ССВ_2_1]],FALSE),"ошибка")),"ошибка")</f>
        <v>F0</v>
      </c>
      <c r="AD10"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Row],[ССвёртка]])))+AD$7),FIND("R",Свёртка_Чувствительность[[#This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Row],[ССвёртка]])))+AD$6),"ошибка")</f>
        <v>Модель!R33C11</v>
      </c>
      <c r="AE10" s="152" t="str">
        <f ca="1">IFERROR(IF(LEN((INDIRECT(Свёртка_Чувствительность[[#This Row],[ССВ_1_2]],FALSE)))=0,"ошибка",IFERROR(INDIRECT(Свёртка_Чувствительность[[#This Row],[ССВ_1_2]],FALSE),"ошибка")),"ошибка")</f>
        <v>F1</v>
      </c>
      <c r="AF10"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Row],[ССвёртка]])))+AF$7),FIND("R",Свёртка_Чувствительность[[#This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Row],[ССвёртка]])))+AF$6),"ошибка")</f>
        <v>Модель!R34C10</v>
      </c>
      <c r="AG10" s="152" t="str">
        <f ca="1">IFERROR(IF(LEN((INDIRECT(Свёртка_Чувствительность[[#This Row],[ССВ_2_2]],FALSE)))=0,"ошибка",IFERROR(INDIRECT(Свёртка_Чувствительность[[#This Row],[ССВ_2_2]],FALSE),"ошибка")),"ошибка")</f>
        <v>F2</v>
      </c>
      <c r="AH10"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Row],[ССвёртка]])))+AH$7),FIND("R",Свёртка_Чувствительность[[#This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Row],[ССвёртка]])))+AH$6),"ошибка")</f>
        <v>Модель!R33C10</v>
      </c>
      <c r="AI10" s="152" t="str">
        <f ca="1">IFERROR(IF(LEN((INDIRECT(Свёртка_Чувствительность[[#This Row],[ССВ_3_1]],FALSE)))=0,"ошибка",IFERROR(INDIRECT(Свёртка_Чувствительность[[#This Row],[ССВ_3_1]],FALSE),"ошибка")),"ошибка")</f>
        <v>F1</v>
      </c>
      <c r="AJ10"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Row],[ССвёртка]])))+AJ$7),FIND("R",Свёртка_Чувствительность[[#This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Row],[ССвёртка]])))+AJ$6),"ошибка")</f>
        <v>Модель!R32C11</v>
      </c>
      <c r="AK10" s="152" t="str">
        <f ca="1">IFERROR(IF(LEN((INDIRECT(Свёртка_Чувствительность[[#This Row],[ССВ_1_3]],FALSE)))=0,"ошибка",IFERROR(INDIRECT(Свёртка_Чувствительность[[#This Row],[ССВ_1_3]],FALSE),"ошибка")),"ошибка")</f>
        <v>F3</v>
      </c>
      <c r="AL10"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Row],[ССвёртка]])))+AL$7),FIND("R",Свёртка_Чувствительность[[#This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Row],[ССвёртка]])))+AL$6),"ошибка")</f>
        <v>Модель!R34C9</v>
      </c>
      <c r="AM10" s="152" t="str">
        <f ca="1">IFERROR(IF(LEN((INDIRECT(Свёртка_Чувствительность[[#This Row],[ССВ_3_2]],FALSE)))=0,"ошибка",IFERROR(INDIRECT(Свёртка_Чувствительность[[#This Row],[ССВ_3_2]],FALSE),"ошибка")),"ошибка")</f>
        <v>F5</v>
      </c>
      <c r="AN10"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Row],[ССвёртка]])))+AN$7),FIND("R",Свёртка_Чувствительность[[#This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Row],[ССвёртка]])))+AN$6),"ошибка")</f>
        <v>Модель!R32C10</v>
      </c>
      <c r="AO10" s="152" t="str">
        <f ca="1">IFERROR(IF(LEN((INDIRECT(Свёртка_Чувствительность[[#This Row],[ССВ_2_3]],FALSE)))=0,"ошибка",IFERROR(INDIRECT(Свёртка_Чувствительность[[#This Row],[ССВ_2_3]],FALSE),"ошибка")),"ошибка")</f>
        <v>F1</v>
      </c>
      <c r="AP10"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Row],[ССвёртка]])))+AP$7),FIND("R",Свёртка_Чувствительность[[#This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Row],[ССвёртка]])))+AP$6),"ошибка")</f>
        <v>Модель!R33C9</v>
      </c>
      <c r="AQ10" s="152" t="str">
        <f ca="1">IFERROR(IF(LEN((INDIRECT(Свёртка_Чувствительность[[#This Row],[ССВ_3_3]],FALSE)))=0,"ошибка",IFERROR(INDIRECT(Свёртка_Чувствительность[[#This Row],[ССВ_3_3]],FALSE),"ошибка")),"ошибка")</f>
        <v>F5</v>
      </c>
      <c r="AR10"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Row],[ССвёртка]])))+AR$7),FIND("R",Свёртка_Чувствительность[[#This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Row],[ССвёртка]])))+AR$6),"ошибка")</f>
        <v>Модель!R32C9</v>
      </c>
      <c r="AS10" s="151">
        <f ca="1">IFERROR(IF(LEN((INDIRECT(Свёртка_Чувствительность[[#This Row],[СЛ]],FALSE)))=0,"ошибка",IFERROR(INDIRECT(Свёртка_Чувствительность[[#This Row],[СЛ]],FALSE),"ошибка")),"ошибка")</f>
        <v>3</v>
      </c>
      <c r="AT10"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Row],[ССвёртка]])))+AT$7),FIND("R",Свёртка_Чувствительность[[#This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Row],[ССвёртка]])))+AT$6),"ошибка")</f>
        <v>Модель!R32C8</v>
      </c>
      <c r="AU10" s="151" t="str">
        <f ca="1">IFERROR(_xlfn.FORMULATEXT(INDIRECT(Свёртка_Чувствительность[[#This Row],[СЛ]],FALSE)),"ошибка")</f>
        <v>=R[-4]C</v>
      </c>
      <c r="AV10" s="151">
        <f ca="1">IFERROR(IF(LEN((INDIRECT(Свёртка_Чувствительность[[#This Row],[СП]],FALSE)))=0,"ошибка",IFERROR(INDIRECT(Свёртка_Чувствительность[[#This Row],[СП]],FALSE),"ошибка")),"ошибка")</f>
        <v>1.75</v>
      </c>
      <c r="AW10"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Row],[ССвёртка]])))+AW$7),FIND("R",Свёртка_Чувствительность[[#This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Row],[ССвёртка]])))+AW$6),"ошибка")</f>
        <v>Модель!R33C8</v>
      </c>
      <c r="AX10" s="151" t="str">
        <f ca="1">IFERROR(_xlfn.FORMULATEXT(INDIRECT(Свёртка_Чувствительность[[#This Row],[СП]],FALSE)),"ошибка")</f>
        <v>=R[-6]C[13]</v>
      </c>
      <c r="AY10" s="131">
        <f ca="1">IF(AND(Свёртка_Чувствительность[[#This Row],[ВидСвёртка]]="Свёртка",CONCATENATE(LEFT(Свёртка_Чувствительность[[#This Row],[СВ_1_1]],1),LEFT(Свёртка_Чувствительность[[#This Row],[СВ_2_1]],1),LEFT(Свёртка_Чувствительность[[#This Row],[СВ_1_2]],1),LEFT(Свёртка_Чувствительность[[#This Row],[СВ_2_2]],1),LEFT(Свёртка_Чувствительность[[#This Row],[СВ_3_1]],1),LEFT(Свёртка_Чувствительность[[#This Row],[СВ_1_3]],1),LEFT(Свёртка_Чувствительность[[#This Row],[СВ_3_2]],1),LEFT(Свёртка_Чувствительность[[#This Row],[СВ_2_3]],1),LEFT(Свёртка_Чувствительность[[#This Row],[СВ_3_3]],1))="FFFFFFFFF",AND(Свёртка_Чувствительность[[#This Row],[Л]]&gt;=1,Свёртка_Чувствительность[[#This Row],[Л]]&lt;=4),AND(Свёртка_Чувствительность[[#This Row],[П]]&gt;=1,Свёртка_Чувствительность[[#This Row],[П]]&lt;=4)),1,-1)</f>
        <v>1</v>
      </c>
      <c r="AZ10" s="131"/>
      <c r="BA10" s="131"/>
      <c r="BC10" s="154">
        <f>IF(AND(Анализ_Чувствительность[[#This Row],[Y]]=1),ROW()-ROW(Анализ_Чувствительность[[#Headers],[№]]),"")</f>
        <v>1</v>
      </c>
      <c r="BD10" s="5" t="s">
        <v>608</v>
      </c>
      <c r="BE10" s="149">
        <v>0.2</v>
      </c>
      <c r="BF10" s="149" t="s">
        <v>573</v>
      </c>
      <c r="BG10" s="5" t="s">
        <v>584</v>
      </c>
      <c r="BH10" s="131">
        <v>1</v>
      </c>
      <c r="BI10" s="131">
        <f>IF(LEN(Анализ_Чувствительность[[#This Row],[Свёртка]])&gt;0,1,-1)</f>
        <v>1</v>
      </c>
      <c r="BJ10" s="131">
        <v>1</v>
      </c>
      <c r="BK10" s="131">
        <f>IF(LEN(Анализ_Чувствительность[[#This Row],[Критерий]])&gt;0,1,-1)</f>
        <v>1</v>
      </c>
      <c r="BL10" s="131" t="s">
        <v>462</v>
      </c>
      <c r="BM10" s="131">
        <f>IF(LEN(Анализ_Чувствительность[[#This Row],[Критерии]])&gt;0,1,-1)</f>
        <v>1</v>
      </c>
      <c r="BN10" s="131">
        <f>IF(AND(LEN(Анализ_Чувствительность[[#This Row],[Свёртка]])&gt;0,LEN(Анализ_Чувствительность[[#This Row],[Критерии]])&gt;0,LEN(Анализ_Чувствительность[[#This Row],[Оценки]])&gt;0,LEN(Анализ_Чувствительность[[#This Row],[Представление]])&gt;0,LEN(Анализ_Чувствительность[[#This Row],[Критерий]])&gt;0,LEN(Анализ_Чувствительность[[#This Row],[Размещение]])&gt;0,LEN(Анализ_Чувствительность[[#This Row],[Шаг]])&gt;0,LEN(Анализ_Чувствительность[[#This Row],[min]])&gt;0,LEN(Анализ_Чувствительность[[#This Row],[max]])&gt;0,(Анализ_Чувствительность[[#This Row],[min]]&lt;&gt;Анализ_Чувствительность[[#This Row],[max]])),1,-1)</f>
        <v>1</v>
      </c>
      <c r="BO10" s="131">
        <v>0</v>
      </c>
      <c r="BP10" s="131">
        <v>100</v>
      </c>
      <c r="BT10" s="148">
        <v>2.2999999999999998</v>
      </c>
    </row>
    <row r="11" spans="1:93" x14ac:dyDescent="0.25">
      <c r="A11" s="131">
        <v>2</v>
      </c>
      <c r="B11" s="150">
        <f>Модель!Q22</f>
        <v>3</v>
      </c>
      <c r="C11" s="151" t="str">
        <f ca="1">IFERROR(IF(AND(Критерий_Чувствительность[[#This Row],[Критерий]]&gt;=1,Критерий_Чувствительность[[#This Row],[Критерий]]&lt;=4),IF(IFERROR(FIND("!",_xlfn.FORMULATEXT(Критерий_Чувствительность[[#This Row],[Критерий]])),"на странице")="на странице",CONCATENATE("R",ROW((INDIRECT(RIGHT(_xlfn.FORMULATEXT(Критерий_Чувствительность[[#This Row],[Критерий]]), LEN(_xlfn.FORMULATEXT(Критерий_Чувствительность[[#This Row],[Критерий]]))-1),FALSE))),"C",COLUMN((INDIRECT(RIGHT(_xlfn.FORMULATEXT(Критерий_Чувствительность[[#This Row],[Критерий]]), LEN(_xlfn.FORMULATEXT(Критерий_Чувствительность[[#This Row],[Критерий]]))-1),FALSE)))-C$8),CONCATENATE(RIGHT(LEFT(_xlfn.FORMULATEXT(Критерий_Чувствительность[[#This Row],[Критерий]]),FIND("!",_xlfn.FORMULATEXT(Критерий_Чувствительность[[#This Row],[Критерий]]))),LEN(LEFT(_xlfn.FORMULATEXT(Критерий_Чувствительность[[#This Row],[Критерий]]),FIND("!",_xlfn.FORMULATEXT(Критерий_Чувствительность[[#This Row],[Критерий]]))))-1),"R",ROW((INDIRECT(RIGHT(_xlfn.FORMULATEXT(Критерий_Чувствительность[[#This Row],[Критерий]]), LEN(_xlfn.FORMULATEXT(Критерий_Чувствительность[[#This Row],[Критерий]]))-1),FALSE))),"C",COLUMN((INDIRECT(RIGHT(_xlfn.FORMULATEXT(Критерий_Чувствительность[[#This Row],[Критерий]]), LEN(_xlfn.FORMULATEXT(Критерий_Чувствительность[[#This Row],[Критерий]]))-1),FALSE)))-C$8)),"ошибка"),"ошибка")</f>
        <v>Модель!R22C17</v>
      </c>
      <c r="D11" s="151" t="str">
        <f ca="1">IFERROR(IF(LEFT(Критерий_Чувствительность[[#This Row],[Фкритерий]],5)="=Прив","Критерий",IF(LEFT(Критерий_Чувствительность[[#This Row],[Фкритерий]],5)="=Матр","ошибка","ошибка")),"ошибка")</f>
        <v>Критерий</v>
      </c>
      <c r="E11" s="151" t="str">
        <f ca="1">IFERROR(IF(LEN((INDIRECT(Критерий_Чувствительность[[#This Row],[СНаименование]],FALSE)))=0,"ошибка",IFERROR(INDIRECT(Критерий_Чувствительность[[#This Row],[СНаименование]],FALSE),"ошибка")),"ошибка")</f>
        <v>X2</v>
      </c>
      <c r="F11"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Row],[Скритерий]])))+F$7),FIND("R",Критерий_Чувствительность[[#This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Row],[Скритерий]])))+F$6),"ошибка")</f>
        <v>Модель!R20C14</v>
      </c>
      <c r="G11" s="152">
        <f ca="1">IFERROR(IF(N(INDIRECT(Критерий_Чувствительность[[#This Row],[СФизКритерий]],FALSE))=0,"ошибка",IFERROR(INDIRECT(Критерий_Чувствительность[[#This Row],[СФизКритерий]],FALSE),"ошибка")),"ошибка")</f>
        <v>2</v>
      </c>
      <c r="H11"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Row],[Скритерий]])))+H$7),FIND("R",Критерий_Чувствительность[[#This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Row],[Скритерий]])))+H$6),"ошибка")</f>
        <v>Модель!R23C17</v>
      </c>
      <c r="I11" s="151" t="s">
        <v>357</v>
      </c>
      <c r="J11"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Row],[Скритерий]])))+J$7),FIND("R",Критерий_Чувствительность[[#This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Row],[Скритерий]])))+J$6),"ошибка")</f>
        <v>Модель!R21C14</v>
      </c>
      <c r="K11" s="151" t="str">
        <f ca="1">IFERROR(_xlfn.FORMULATEXT(INDIRECT(Критерий_Чувствительность[[#This Row],[Скритерий]],FALSE)),"ошибка")</f>
        <v>=Приведение</v>
      </c>
      <c r="L11" s="152">
        <f ca="1">IFERROR(IF(N(INDIRECT(Критерий_Чувствительность[[#This Row],[СМинФизКритерий]],FALSE))="","ошибка",IFERROR(INDIRECT(Критерий_Чувствительность[[#This Row],[СМинФизКритерий]],FALSE),"ошибка")),"ошибка")</f>
        <v>1</v>
      </c>
      <c r="M11"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Row],[Скритерий]])))+M$7),FIND("R",Критерий_Чувствительность[[#This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Row],[Скритерий]])))+M$6),"ошибка")</f>
        <v>Модель!R23C14</v>
      </c>
      <c r="N11" s="152">
        <f ca="1">IFERROR(IF(N(INDIRECT(Критерий_Чувствительность[[#This Row],[СМаксФизКритерий]],FALSE))="","ошибка",IFERROR(INDIRECT(Критерий_Чувствительность[[#This Row],[СМаксФизКритерий]],FALSE),"ошибка")),"ошибка")</f>
        <v>4</v>
      </c>
      <c r="O11"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Row],[Скритерий]])))+O$7),FIND("R",Критерий_Чувствительность[[#This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Row],[Скритерий]])))+O$6),"ошибка")</f>
        <v>Модель!R23C16</v>
      </c>
      <c r="P11" s="152" t="str">
        <f ca="1">IFERROR(IF(N(INDIRECT(Критерий_Чувствительность[[#This Row],[ССрФизКритерий]],FALSE))=0,"ошибка",IFERROR(INDIRECT(Критерий_Чувствительность[[#This Row],[ССрФизКритерий]],FALSE),"ошибка")),"")</f>
        <v/>
      </c>
      <c r="Q11" s="151" t="s">
        <v>583</v>
      </c>
      <c r="R11" s="149">
        <f ca="1">IFERROR(IF(AND(Критерий_Чувствительность[[#This Row],[ВидКритерий]]="Критерий",Критерий_Чувствительность[[#This Row],[Фкритерий]]="=Приведение"),1,-1),-1)</f>
        <v>1</v>
      </c>
      <c r="T11" s="131" t="str">
        <f ca="1">IF(AND(Свёртка_Чувствительность[[#This Row],[Свёртка]]&lt;&gt;"",Свёртка_Чувствительность[[#This Row],[O.K.Свёртка]]=1),ROW()-ROW(Свёртка_Чувствительность[[#Headers],[№]]),"")</f>
        <v/>
      </c>
      <c r="U11" s="153"/>
      <c r="V11" s="151" t="str">
        <f ca="1">IFERROR(IF(AND(Свёртка_Чувствительность[[#This Row],[Свёртка]]&gt;=1,Свёртка_Чувствительность[[#This Row],[Свёртка]]&lt;=4),IF(IFERROR(FIND("!",_xlfn.FORMULATEXT(Свёртка_Чувствительность[[#This Row],[Свёртка]])),"на странице")="на странице",CONCATENATE("R",ROW((INDIRECT(RIGHT(_xlfn.FORMULATEXT(Свёртка_Чувствительность[[#This Row],[Свёртка]]), LEN(_xlfn.FORMULATEXT(Свёртка_Чувствительность[[#This Row],[Свёртка]]))-1),FALSE))),"C",COLUMN((INDIRECT(RIGHT(_xlfn.FORMULATEXT(Свёртка_Чувствительность[[#This Row],[Свёртка]]), LEN(_xlfn.FORMULATEXT(Свёртка_Чувствительность[[#This Row],[Свёртка]]))-1),FALSE)))-V$6),CONCATENATE(RIGHT(LEFT(_xlfn.FORMULATEXT(Свёртка_Чувствительность[[#This Row],[Свёртка]]),FIND("!",_xlfn.FORMULATEXT(Свёртка_Чувствительность[[#This Row],[Свёртка]]))),LEN(LEFT(_xlfn.FORMULATEXT(Свёртка_Чувствительность[[#This Row],[Свёртка]]),FIND("!",_xlfn.FORMULATEXT(Свёртка_Чувствительность[[#This Row],[Свёртка]]))))-1),"R",ROW((INDIRECT(RIGHT(_xlfn.FORMULATEXT(Свёртка_Чувствительность[[#This Row],[Свёртка]]), LEN(_xlfn.FORMULATEXT(Свёртка_Чувствительность[[#This Row],[Свёртка]]))-1),FALSE))),"C",COLUMN((INDIRECT(RIGHT(_xlfn.FORMULATEXT(Свёртка_Чувствительность[[#This Row],[Свёртка]]), LEN(_xlfn.FORMULATEXT(Свёртка_Чувствительность[[#This Row],[Свёртка]]))-1),FALSE)))-V$6)),"ошибка"),"ошибка")</f>
        <v>ошибка</v>
      </c>
      <c r="W11" s="151" t="str">
        <f ca="1">IFERROR(_xlfn.FORMULATEXT(INDIRECT(Свёртка_Чувствительность[[#This Row],[ССвёртка]],FALSE)),"ошибка")</f>
        <v>ошибка</v>
      </c>
      <c r="X11" s="151" t="str">
        <f ca="1">IFERROR(IF(LEFT(Свёртка_Чувствительность[[#This Row],[ФСвёртка]],5)="=Прив","ошибка",IF(LEFT(Свёртка_Чувствительность[[#This Row],[ФСвёртка]],5)="=Матр","Свёртка","ошибка")),"ошибка")</f>
        <v>ошибка</v>
      </c>
      <c r="Y11" s="151" t="str">
        <f ca="1">IFERROR(IF(LEN((INDIRECT(Свёртка_Чувствительность[[#This Row],[СНаименование]],FALSE)))=0,"ошибка",IFERROR(INDIRECT(Свёртка_Чувствительность[[#This Row],[СНаименование]],FALSE),"ошибка")),"ошибка")</f>
        <v>ошибка</v>
      </c>
      <c r="Z11"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Row],[ССвёртка]])))+Z$7),FIND("R",Свёртка_Чувствительность[[#This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Row],[ССвёртка]])))+Z$6),"ошибка")</f>
        <v>ошибка</v>
      </c>
      <c r="AA11" s="152" t="str">
        <f ca="1">IFERROR(IF(LEN((INDIRECT(Свёртка_Чувствительность[[#This Row],[ССВ_1_1]],FALSE)))=0,"ошибка",IFERROR(INDIRECT(Свёртка_Чувствительность[[#This Row],[ССВ_1_1]],FALSE),"ошибка")),"ошибка")</f>
        <v>ошибка</v>
      </c>
      <c r="AB11"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Row],[ССвёртка]])))+AB$7),FIND("R",Свёртка_Чувствительность[[#This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Row],[ССвёртка]])))+AB$6),"ошибка")</f>
        <v>ошибка</v>
      </c>
      <c r="AC11" s="152" t="str">
        <f ca="1">IFERROR(IF(LEN((INDIRECT(Свёртка_Чувствительность[[#This Row],[ССВ_2_1]],FALSE)))=0,"ошибка",IFERROR(INDIRECT(Свёртка_Чувствительность[[#This Row],[ССВ_2_1]],FALSE),"ошибка")),"ошибка")</f>
        <v>ошибка</v>
      </c>
      <c r="AD11"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Row],[ССвёртка]])))+AD$7),FIND("R",Свёртка_Чувствительность[[#This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Row],[ССвёртка]])))+AD$6),"ошибка")</f>
        <v>ошибка</v>
      </c>
      <c r="AE11" s="152" t="str">
        <f ca="1">IFERROR(IF(LEN((INDIRECT(Свёртка_Чувствительность[[#This Row],[ССВ_1_2]],FALSE)))=0,"ошибка",IFERROR(INDIRECT(Свёртка_Чувствительность[[#This Row],[ССВ_1_2]],FALSE),"ошибка")),"ошибка")</f>
        <v>ошибка</v>
      </c>
      <c r="AF11"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Row],[ССвёртка]])))+AF$7),FIND("R",Свёртка_Чувствительность[[#This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Row],[ССвёртка]])))+AF$6),"ошибка")</f>
        <v>ошибка</v>
      </c>
      <c r="AG11" s="152" t="str">
        <f ca="1">IFERROR(IF(LEN((INDIRECT(Свёртка_Чувствительность[[#This Row],[ССВ_2_2]],FALSE)))=0,"ошибка",IFERROR(INDIRECT(Свёртка_Чувствительность[[#This Row],[ССВ_2_2]],FALSE),"ошибка")),"ошибка")</f>
        <v>ошибка</v>
      </c>
      <c r="AH11"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Row],[ССвёртка]])))+AH$7),FIND("R",Свёртка_Чувствительность[[#This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Row],[ССвёртка]])))+AH$6),"ошибка")</f>
        <v>ошибка</v>
      </c>
      <c r="AI11" s="152" t="str">
        <f ca="1">IFERROR(IF(LEN((INDIRECT(Свёртка_Чувствительность[[#This Row],[ССВ_3_1]],FALSE)))=0,"ошибка",IFERROR(INDIRECT(Свёртка_Чувствительность[[#This Row],[ССВ_3_1]],FALSE),"ошибка")),"ошибка")</f>
        <v>ошибка</v>
      </c>
      <c r="AJ11"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Row],[ССвёртка]])))+AJ$7),FIND("R",Свёртка_Чувствительность[[#This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Row],[ССвёртка]])))+AJ$6),"ошибка")</f>
        <v>ошибка</v>
      </c>
      <c r="AK11" s="152" t="str">
        <f ca="1">IFERROR(IF(LEN((INDIRECT(Свёртка_Чувствительность[[#This Row],[ССВ_1_3]],FALSE)))=0,"ошибка",IFERROR(INDIRECT(Свёртка_Чувствительность[[#This Row],[ССВ_1_3]],FALSE),"ошибка")),"ошибка")</f>
        <v>ошибка</v>
      </c>
      <c r="AL11"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Row],[ССвёртка]])))+AL$7),FIND("R",Свёртка_Чувствительность[[#This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Row],[ССвёртка]])))+AL$6),"ошибка")</f>
        <v>ошибка</v>
      </c>
      <c r="AM11" s="152" t="str">
        <f ca="1">IFERROR(IF(LEN((INDIRECT(Свёртка_Чувствительность[[#This Row],[ССВ_3_2]],FALSE)))=0,"ошибка",IFERROR(INDIRECT(Свёртка_Чувствительность[[#This Row],[ССВ_3_2]],FALSE),"ошибка")),"ошибка")</f>
        <v>ошибка</v>
      </c>
      <c r="AN11"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Row],[ССвёртка]])))+AN$7),FIND("R",Свёртка_Чувствительность[[#This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Row],[ССвёртка]])))+AN$6),"ошибка")</f>
        <v>ошибка</v>
      </c>
      <c r="AO11" s="152" t="str">
        <f ca="1">IFERROR(IF(LEN((INDIRECT(Свёртка_Чувствительность[[#This Row],[ССВ_2_3]],FALSE)))=0,"ошибка",IFERROR(INDIRECT(Свёртка_Чувствительность[[#This Row],[ССВ_2_3]],FALSE),"ошибка")),"ошибка")</f>
        <v>ошибка</v>
      </c>
      <c r="AP11"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Row],[ССвёртка]])))+AP$7),FIND("R",Свёртка_Чувствительность[[#This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Row],[ССвёртка]])))+AP$6),"ошибка")</f>
        <v>ошибка</v>
      </c>
      <c r="AQ11" s="152" t="str">
        <f ca="1">IFERROR(IF(LEN((INDIRECT(Свёртка_Чувствительность[[#This Row],[ССВ_3_3]],FALSE)))=0,"ошибка",IFERROR(INDIRECT(Свёртка_Чувствительность[[#This Row],[ССВ_3_3]],FALSE),"ошибка")),"ошибка")</f>
        <v>ошибка</v>
      </c>
      <c r="AR11"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Row],[ССвёртка]])))+AR$7),FIND("R",Свёртка_Чувствительность[[#This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Row],[ССвёртка]])))+AR$6),"ошибка")</f>
        <v>ошибка</v>
      </c>
      <c r="AS11" s="151" t="str">
        <f ca="1">IFERROR(IF(LEN((INDIRECT(Свёртка_Чувствительность[[#This Row],[СЛ]],FALSE)))=0,"ошибка",IFERROR(INDIRECT(Свёртка_Чувствительность[[#This Row],[СЛ]],FALSE),"ошибка")),"ошибка")</f>
        <v>ошибка</v>
      </c>
      <c r="AT11"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Row],[ССвёртка]])))+AT$7),FIND("R",Свёртка_Чувствительность[[#This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Row],[ССвёртка]])))+AT$6),"ошибка")</f>
        <v>ошибка</v>
      </c>
      <c r="AU11" s="151" t="str">
        <f ca="1">IFERROR(_xlfn.FORMULATEXT(INDIRECT(Свёртка_Чувствительность[[#This Row],[СЛ]],FALSE)),"ошибка")</f>
        <v>ошибка</v>
      </c>
      <c r="AV11" s="151" t="str">
        <f ca="1">IFERROR(IF(LEN((INDIRECT(Свёртка_Чувствительность[[#This Row],[СП]],FALSE)))=0,"ошибка",IFERROR(INDIRECT(Свёртка_Чувствительность[[#This Row],[СП]],FALSE),"ошибка")),"ошибка")</f>
        <v>ошибка</v>
      </c>
      <c r="AW11"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Row],[ССвёртка]])))+AW$7),FIND("R",Свёртка_Чувствительность[[#This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Row],[ССвёртка]])))+AW$6),"ошибка")</f>
        <v>ошибка</v>
      </c>
      <c r="AX11" s="151" t="str">
        <f ca="1">IFERROR(_xlfn.FORMULATEXT(INDIRECT(Свёртка_Чувствительность[[#This Row],[СП]],FALSE)),"ошибка")</f>
        <v>ошибка</v>
      </c>
      <c r="AY11" s="131">
        <f ca="1">IF(AND(Свёртка_Чувствительность[[#This Row],[ВидСвёртка]]="Свёртка",CONCATENATE(LEFT(Свёртка_Чувствительность[[#This Row],[СВ_1_1]],1),LEFT(Свёртка_Чувствительность[[#This Row],[СВ_2_1]],1),LEFT(Свёртка_Чувствительность[[#This Row],[СВ_1_2]],1),LEFT(Свёртка_Чувствительность[[#This Row],[СВ_2_2]],1),LEFT(Свёртка_Чувствительность[[#This Row],[СВ_3_1]],1),LEFT(Свёртка_Чувствительность[[#This Row],[СВ_1_3]],1),LEFT(Свёртка_Чувствительность[[#This Row],[СВ_3_2]],1),LEFT(Свёртка_Чувствительность[[#This Row],[СВ_2_3]],1),LEFT(Свёртка_Чувствительность[[#This Row],[СВ_3_3]],1))="FFFFFFFFF",AND(Свёртка_Чувствительность[[#This Row],[Л]]&gt;=1,Свёртка_Чувствительность[[#This Row],[Л]]&lt;=4),AND(Свёртка_Чувствительность[[#This Row],[П]]&gt;=1,Свёртка_Чувствительность[[#This Row],[П]]&lt;=4)),1,-1)</f>
        <v>-1</v>
      </c>
      <c r="AZ11" s="131"/>
      <c r="BA11" s="131"/>
      <c r="BC11" s="154" t="str">
        <f>IF(AND(Анализ_Чувствительность[[#This Row],[Y]]=1),ROW()-ROW(Анализ_Чувствительность[[#Headers],[№]]),"")</f>
        <v/>
      </c>
      <c r="BD11" s="5"/>
      <c r="BE11" s="149">
        <v>0.2</v>
      </c>
      <c r="BF11" s="149" t="s">
        <v>573</v>
      </c>
      <c r="BG11" s="5" t="s">
        <v>584</v>
      </c>
      <c r="BH11" s="131">
        <v>1</v>
      </c>
      <c r="BI11" s="131">
        <f>IF(LEN(Анализ_Чувствительность[[#This Row],[Свёртка]])&gt;0,1,-1)</f>
        <v>1</v>
      </c>
      <c r="BJ11" s="131">
        <v>2</v>
      </c>
      <c r="BK11" s="131">
        <f>IF(LEN(Анализ_Чувствительность[[#This Row],[Критерий]])&gt;0,1,-1)</f>
        <v>1</v>
      </c>
      <c r="BL11" s="131" t="s">
        <v>462</v>
      </c>
      <c r="BM11" s="131">
        <f>IF(LEN(Анализ_Чувствительность[[#This Row],[Критерии]])&gt;0,1,-1)</f>
        <v>1</v>
      </c>
      <c r="BN11" s="131">
        <f>IF(AND(LEN(Анализ_Чувствительность[[#This Row],[Свёртка]])&gt;0,LEN(Анализ_Чувствительность[[#This Row],[Критерии]])&gt;0,LEN(Анализ_Чувствительность[[#This Row],[Оценки]])&gt;0,LEN(Анализ_Чувствительность[[#This Row],[Представление]])&gt;0,LEN(Анализ_Чувствительность[[#This Row],[Критерий]])&gt;0,LEN(Анализ_Чувствительность[[#This Row],[Размещение]])&gt;0,LEN(Анализ_Чувствительность[[#This Row],[Шаг]])&gt;0,LEN(Анализ_Чувствительность[[#This Row],[min]])&gt;0,LEN(Анализ_Чувствительность[[#This Row],[max]])&gt;0,(Анализ_Чувствительность[[#This Row],[min]]&lt;&gt;Анализ_Чувствительность[[#This Row],[max]])),1,-1)</f>
        <v>-1</v>
      </c>
      <c r="BO11" s="131">
        <v>0</v>
      </c>
      <c r="BP11" s="131">
        <v>100</v>
      </c>
      <c r="BT11" s="148">
        <v>2.2000000000000002</v>
      </c>
    </row>
    <row r="12" spans="1:93" x14ac:dyDescent="0.25">
      <c r="A12" s="131">
        <f ca="1">IF(AND(Критерий_Чувствительность[[#This Row],[Критерий]]&lt;&gt;"",Критерий_Чувствительность[[#This Row],[O.K.Критерий]]=1),ROW()-ROW(Критерий_Чувствительность[[#Headers],[№]]),"")</f>
        <v>3</v>
      </c>
      <c r="B12" s="150">
        <f>Модель!U27</f>
        <v>1.75</v>
      </c>
      <c r="C12" s="151" t="str">
        <f ca="1">IFERROR(IF(AND(Критерий_Чувствительность[[#This Row],[Критерий]]&gt;=1,Критерий_Чувствительность[[#This Row],[Критерий]]&lt;=4),IF(IFERROR(FIND("!",_xlfn.FORMULATEXT(Критерий_Чувствительность[[#This Row],[Критерий]])),"на странице")="на странице",CONCATENATE("R",ROW((INDIRECT(RIGHT(_xlfn.FORMULATEXT(Критерий_Чувствительность[[#This Row],[Критерий]]), LEN(_xlfn.FORMULATEXT(Критерий_Чувствительность[[#This Row],[Критерий]]))-1),FALSE))),"C",COLUMN((INDIRECT(RIGHT(_xlfn.FORMULATEXT(Критерий_Чувствительность[[#This Row],[Критерий]]), LEN(_xlfn.FORMULATEXT(Критерий_Чувствительность[[#This Row],[Критерий]]))-1),FALSE)))-C$8),CONCATENATE(RIGHT(LEFT(_xlfn.FORMULATEXT(Критерий_Чувствительность[[#This Row],[Критерий]]),FIND("!",_xlfn.FORMULATEXT(Критерий_Чувствительность[[#This Row],[Критерий]]))),LEN(LEFT(_xlfn.FORMULATEXT(Критерий_Чувствительность[[#This Row],[Критерий]]),FIND("!",_xlfn.FORMULATEXT(Критерий_Чувствительность[[#This Row],[Критерий]]))))-1),"R",ROW((INDIRECT(RIGHT(_xlfn.FORMULATEXT(Критерий_Чувствительность[[#This Row],[Критерий]]), LEN(_xlfn.FORMULATEXT(Критерий_Чувствительность[[#This Row],[Критерий]]))-1),FALSE))),"C",COLUMN((INDIRECT(RIGHT(_xlfn.FORMULATEXT(Критерий_Чувствительность[[#This Row],[Критерий]]), LEN(_xlfn.FORMULATEXT(Критерий_Чувствительность[[#This Row],[Критерий]]))-1),FALSE)))-C$8)),"ошибка"),"ошибка")</f>
        <v>Модель!R27C21</v>
      </c>
      <c r="D12" s="151" t="str">
        <f ca="1">IFERROR(IF(LEFT(Критерий_Чувствительность[[#This Row],[Фкритерий]],5)="=Прив","Критерий",IF(LEFT(Критерий_Чувствительность[[#This Row],[Фкритерий]],5)="=Матр","ошибка","ошибка")),"ошибка")</f>
        <v>Критерий</v>
      </c>
      <c r="E12" s="151" t="str">
        <f ca="1">IFERROR(IF(LEN((INDIRECT(Критерий_Чувствительность[[#This Row],[СНаименование]],FALSE)))=0,"ошибка",IFERROR(INDIRECT(Критерий_Чувствительность[[#This Row],[СНаименование]],FALSE),"ошибка")),"ошибка")</f>
        <v>Перспективы рынка</v>
      </c>
      <c r="F12"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Row],[Скритерий]])))+F$7),FIND("R",Критерий_Чувствительность[[#This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Row],[Скритерий]])))+F$6),"ошибка")</f>
        <v>Модель!R25C18</v>
      </c>
      <c r="G12" s="152">
        <f ca="1">IFERROR(IF(N(INDIRECT(Критерий_Чувствительность[[#This Row],[СФизКритерий]],FALSE))=0,"ошибка",IFERROR(INDIRECT(Критерий_Чувствительность[[#This Row],[СФизКритерий]],FALSE),"ошибка")),"ошибка")</f>
        <v>2</v>
      </c>
      <c r="H12"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Row],[Скритерий]])))+H$7),FIND("R",Критерий_Чувствительность[[#This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Row],[Скритерий]])))+H$6),"ошибка")</f>
        <v>Модель!R28C21</v>
      </c>
      <c r="I12" s="151" t="s">
        <v>359</v>
      </c>
      <c r="J12"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Row],[Скритерий]])))+J$7),FIND("R",Критерий_Чувствительность[[#This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Row],[Скритерий]])))+J$6),"ошибка")</f>
        <v>Модель!R26C18</v>
      </c>
      <c r="K12" s="151" t="str">
        <f ca="1">IFERROR(_xlfn.FORMULATEXT(INDIRECT(Критерий_Чувствительность[[#This Row],[Скритерий]],FALSE)),"ошибка")</f>
        <v>=Приведение</v>
      </c>
      <c r="L12" s="152">
        <f ca="1">IFERROR(IF(N(INDIRECT(Критерий_Чувствительность[[#This Row],[СМинФизКритерий]],FALSE))="","ошибка",IFERROR(INDIRECT(Критерий_Чувствительность[[#This Row],[СМинФизКритерий]],FALSE),"ошибка")),"ошибка")</f>
        <v>1</v>
      </c>
      <c r="M12"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Row],[Скритерий]])))+M$7),FIND("R",Критерий_Чувствительность[[#This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Row],[Скритерий]])))+M$6),"ошибка")</f>
        <v>Модель!R28C18</v>
      </c>
      <c r="N12" s="152">
        <f ca="1">IFERROR(IF(N(INDIRECT(Критерий_Чувствительность[[#This Row],[СМаксФизКритерий]],FALSE))="","ошибка",IFERROR(INDIRECT(Критерий_Чувствительность[[#This Row],[СМаксФизКритерий]],FALSE),"ошибка")),"ошибка")</f>
        <v>5</v>
      </c>
      <c r="O12"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Row],[Скритерий]])))+O$7),FIND("R",Критерий_Чувствительность[[#This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Row],[Скритерий]])))+O$6),"ошибка")</f>
        <v>Модель!R28C20</v>
      </c>
      <c r="P12" s="152" t="str">
        <f ca="1">IFERROR(IF(N(INDIRECT(Критерий_Чувствительность[[#This Row],[ССрФизКритерий]],FALSE))=0,"ошибка",IFERROR(INDIRECT(Критерий_Чувствительность[[#This Row],[ССрФизКритерий]],FALSE),"ошибка")),"")</f>
        <v>ошибка</v>
      </c>
      <c r="Q12" s="151" t="s">
        <v>585</v>
      </c>
      <c r="R12" s="149">
        <f ca="1">IFERROR(IF(AND(Критерий_Чувствительность[[#This Row],[ВидКритерий]]="Критерий",Критерий_Чувствительность[[#This Row],[Фкритерий]]="=Приведение"),1,-1),-1)</f>
        <v>1</v>
      </c>
      <c r="T12" s="131" t="str">
        <f ca="1">IF(AND(Свёртка_Чувствительность[[#This Row],[Свёртка]]&lt;&gt;"",Свёртка_Чувствительность[[#This Row],[O.K.Свёртка]]=1),ROW()-ROW(Свёртка_Чувствительность[[#Headers],[№]]),"")</f>
        <v/>
      </c>
      <c r="U12" s="153"/>
      <c r="V12" s="151" t="str">
        <f ca="1">IFERROR(IF(AND(Свёртка_Чувствительность[[#This Row],[Свёртка]]&gt;=1,Свёртка_Чувствительность[[#This Row],[Свёртка]]&lt;=4),IF(IFERROR(FIND("!",_xlfn.FORMULATEXT(Свёртка_Чувствительность[[#This Row],[Свёртка]])),"на странице")="на странице",CONCATENATE("R",ROW((INDIRECT(RIGHT(_xlfn.FORMULATEXT(Свёртка_Чувствительность[[#This Row],[Свёртка]]), LEN(_xlfn.FORMULATEXT(Свёртка_Чувствительность[[#This Row],[Свёртка]]))-1),FALSE))),"C",COLUMN((INDIRECT(RIGHT(_xlfn.FORMULATEXT(Свёртка_Чувствительность[[#This Row],[Свёртка]]), LEN(_xlfn.FORMULATEXT(Свёртка_Чувствительность[[#This Row],[Свёртка]]))-1),FALSE)))-V$6),CONCATENATE(RIGHT(LEFT(_xlfn.FORMULATEXT(Свёртка_Чувствительность[[#This Row],[Свёртка]]),FIND("!",_xlfn.FORMULATEXT(Свёртка_Чувствительность[[#This Row],[Свёртка]]))),LEN(LEFT(_xlfn.FORMULATEXT(Свёртка_Чувствительность[[#This Row],[Свёртка]]),FIND("!",_xlfn.FORMULATEXT(Свёртка_Чувствительность[[#This Row],[Свёртка]]))))-1),"R",ROW((INDIRECT(RIGHT(_xlfn.FORMULATEXT(Свёртка_Чувствительность[[#This Row],[Свёртка]]), LEN(_xlfn.FORMULATEXT(Свёртка_Чувствительность[[#This Row],[Свёртка]]))-1),FALSE))),"C",COLUMN((INDIRECT(RIGHT(_xlfn.FORMULATEXT(Свёртка_Чувствительность[[#This Row],[Свёртка]]), LEN(_xlfn.FORMULATEXT(Свёртка_Чувствительность[[#This Row],[Свёртка]]))-1),FALSE)))-V$6)),"ошибка"),"ошибка")</f>
        <v>ошибка</v>
      </c>
      <c r="W12" s="151" t="str">
        <f ca="1">IFERROR(_xlfn.FORMULATEXT(INDIRECT(Свёртка_Чувствительность[[#This Row],[ССвёртка]],FALSE)),"ошибка")</f>
        <v>ошибка</v>
      </c>
      <c r="X12" s="151" t="str">
        <f ca="1">IFERROR(IF(LEFT(Свёртка_Чувствительность[[#This Row],[ФСвёртка]],5)="=Прив","ошибка",IF(LEFT(Свёртка_Чувствительность[[#This Row],[ФСвёртка]],5)="=Матр","Свёртка","ошибка")),"ошибка")</f>
        <v>ошибка</v>
      </c>
      <c r="Y12" s="151" t="str">
        <f ca="1">IFERROR(IF(LEN((INDIRECT(Свёртка_Чувствительность[[#This Row],[СНаименование]],FALSE)))=0,"ошибка",IFERROR(INDIRECT(Свёртка_Чувствительность[[#This Row],[СНаименование]],FALSE),"ошибка")),"ошибка")</f>
        <v>ошибка</v>
      </c>
      <c r="Z12"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Row],[ССвёртка]])))+Z$7),FIND("R",Свёртка_Чувствительность[[#This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Row],[ССвёртка]])))+Z$6),"ошибка")</f>
        <v>ошибка</v>
      </c>
      <c r="AA12" s="152" t="str">
        <f ca="1">IFERROR(IF(LEN((INDIRECT(Свёртка_Чувствительность[[#This Row],[ССВ_1_1]],FALSE)))=0,"ошибка",IFERROR(INDIRECT(Свёртка_Чувствительность[[#This Row],[ССВ_1_1]],FALSE),"ошибка")),"ошибка")</f>
        <v>ошибка</v>
      </c>
      <c r="AB12"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Row],[ССвёртка]])))+AB$7),FIND("R",Свёртка_Чувствительность[[#This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Row],[ССвёртка]])))+AB$6),"ошибка")</f>
        <v>ошибка</v>
      </c>
      <c r="AC12" s="152" t="str">
        <f ca="1">IFERROR(IF(LEN((INDIRECT(Свёртка_Чувствительность[[#This Row],[ССВ_2_1]],FALSE)))=0,"ошибка",IFERROR(INDIRECT(Свёртка_Чувствительность[[#This Row],[ССВ_2_1]],FALSE),"ошибка")),"ошибка")</f>
        <v>ошибка</v>
      </c>
      <c r="AD12"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Row],[ССвёртка]])))+AD$7),FIND("R",Свёртка_Чувствительность[[#This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Row],[ССвёртка]])))+AD$6),"ошибка")</f>
        <v>ошибка</v>
      </c>
      <c r="AE12" s="152" t="str">
        <f ca="1">IFERROR(IF(LEN((INDIRECT(Свёртка_Чувствительность[[#This Row],[ССВ_1_2]],FALSE)))=0,"ошибка",IFERROR(INDIRECT(Свёртка_Чувствительность[[#This Row],[ССВ_1_2]],FALSE),"ошибка")),"ошибка")</f>
        <v>ошибка</v>
      </c>
      <c r="AF12"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Row],[ССвёртка]])))+AF$7),FIND("R",Свёртка_Чувствительность[[#This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Row],[ССвёртка]])))+AF$6),"ошибка")</f>
        <v>ошибка</v>
      </c>
      <c r="AG12" s="152" t="str">
        <f ca="1">IFERROR(IF(LEN((INDIRECT(Свёртка_Чувствительность[[#This Row],[ССВ_2_2]],FALSE)))=0,"ошибка",IFERROR(INDIRECT(Свёртка_Чувствительность[[#This Row],[ССВ_2_2]],FALSE),"ошибка")),"ошибка")</f>
        <v>ошибка</v>
      </c>
      <c r="AH12"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Row],[ССвёртка]])))+AH$7),FIND("R",Свёртка_Чувствительность[[#This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Row],[ССвёртка]])))+AH$6),"ошибка")</f>
        <v>ошибка</v>
      </c>
      <c r="AI12" s="152" t="str">
        <f ca="1">IFERROR(IF(LEN((INDIRECT(Свёртка_Чувствительность[[#This Row],[ССВ_3_1]],FALSE)))=0,"ошибка",IFERROR(INDIRECT(Свёртка_Чувствительность[[#This Row],[ССВ_3_1]],FALSE),"ошибка")),"ошибка")</f>
        <v>ошибка</v>
      </c>
      <c r="AJ12"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Row],[ССвёртка]])))+AJ$7),FIND("R",Свёртка_Чувствительность[[#This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Row],[ССвёртка]])))+AJ$6),"ошибка")</f>
        <v>ошибка</v>
      </c>
      <c r="AK12" s="152" t="str">
        <f ca="1">IFERROR(IF(LEN((INDIRECT(Свёртка_Чувствительность[[#This Row],[ССВ_1_3]],FALSE)))=0,"ошибка",IFERROR(INDIRECT(Свёртка_Чувствительность[[#This Row],[ССВ_1_3]],FALSE),"ошибка")),"ошибка")</f>
        <v>ошибка</v>
      </c>
      <c r="AL12"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Row],[ССвёртка]])))+AL$7),FIND("R",Свёртка_Чувствительность[[#This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Row],[ССвёртка]])))+AL$6),"ошибка")</f>
        <v>ошибка</v>
      </c>
      <c r="AM12" s="152" t="str">
        <f ca="1">IFERROR(IF(LEN((INDIRECT(Свёртка_Чувствительность[[#This Row],[ССВ_3_2]],FALSE)))=0,"ошибка",IFERROR(INDIRECT(Свёртка_Чувствительность[[#This Row],[ССВ_3_2]],FALSE),"ошибка")),"ошибка")</f>
        <v>ошибка</v>
      </c>
      <c r="AN12"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Row],[ССвёртка]])))+AN$7),FIND("R",Свёртка_Чувствительность[[#This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Row],[ССвёртка]])))+AN$6),"ошибка")</f>
        <v>ошибка</v>
      </c>
      <c r="AO12" s="152" t="str">
        <f ca="1">IFERROR(IF(LEN((INDIRECT(Свёртка_Чувствительность[[#This Row],[ССВ_2_3]],FALSE)))=0,"ошибка",IFERROR(INDIRECT(Свёртка_Чувствительность[[#This Row],[ССВ_2_3]],FALSE),"ошибка")),"ошибка")</f>
        <v>ошибка</v>
      </c>
      <c r="AP12"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Row],[ССвёртка]])))+AP$7),FIND("R",Свёртка_Чувствительность[[#This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Row],[ССвёртка]])))+AP$6),"ошибка")</f>
        <v>ошибка</v>
      </c>
      <c r="AQ12" s="152" t="str">
        <f ca="1">IFERROR(IF(LEN((INDIRECT(Свёртка_Чувствительность[[#This Row],[ССВ_3_3]],FALSE)))=0,"ошибка",IFERROR(INDIRECT(Свёртка_Чувствительность[[#This Row],[ССВ_3_3]],FALSE),"ошибка")),"ошибка")</f>
        <v>ошибка</v>
      </c>
      <c r="AR12"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Row],[ССвёртка]])))+AR$7),FIND("R",Свёртка_Чувствительность[[#This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Row],[ССвёртка]])))+AR$6),"ошибка")</f>
        <v>ошибка</v>
      </c>
      <c r="AS12" s="151" t="str">
        <f ca="1">IFERROR(IF(LEN((INDIRECT(Свёртка_Чувствительность[[#This Row],[СЛ]],FALSE)))=0,"ошибка",IFERROR(INDIRECT(Свёртка_Чувствительность[[#This Row],[СЛ]],FALSE),"ошибка")),"ошибка")</f>
        <v>ошибка</v>
      </c>
      <c r="AT12"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Row],[ССвёртка]])))+AT$7),FIND("R",Свёртка_Чувствительность[[#This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Row],[ССвёртка]])))+AT$6),"ошибка")</f>
        <v>ошибка</v>
      </c>
      <c r="AU12" s="151" t="str">
        <f ca="1">IFERROR(_xlfn.FORMULATEXT(INDIRECT(Свёртка_Чувствительность[[#This Row],[СЛ]],FALSE)),"ошибка")</f>
        <v>ошибка</v>
      </c>
      <c r="AV12" s="151" t="str">
        <f ca="1">IFERROR(IF(LEN((INDIRECT(Свёртка_Чувствительность[[#This Row],[СП]],FALSE)))=0,"ошибка",IFERROR(INDIRECT(Свёртка_Чувствительность[[#This Row],[СП]],FALSE),"ошибка")),"ошибка")</f>
        <v>ошибка</v>
      </c>
      <c r="AW12"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Row],[ССвёртка]])))+AW$7),FIND("R",Свёртка_Чувствительность[[#This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Row],[ССвёртка]])))+AW$6),"ошибка")</f>
        <v>ошибка</v>
      </c>
      <c r="AX12" s="151" t="str">
        <f ca="1">IFERROR(_xlfn.FORMULATEXT(INDIRECT(Свёртка_Чувствительность[[#This Row],[СП]],FALSE)),"ошибка")</f>
        <v>ошибка</v>
      </c>
      <c r="AY12" s="131">
        <f ca="1">IF(AND(Свёртка_Чувствительность[[#This Row],[ВидСвёртка]]="Свёртка",CONCATENATE(LEFT(Свёртка_Чувствительность[[#This Row],[СВ_1_1]],1),LEFT(Свёртка_Чувствительность[[#This Row],[СВ_2_1]],1),LEFT(Свёртка_Чувствительность[[#This Row],[СВ_1_2]],1),LEFT(Свёртка_Чувствительность[[#This Row],[СВ_2_2]],1),LEFT(Свёртка_Чувствительность[[#This Row],[СВ_3_1]],1),LEFT(Свёртка_Чувствительность[[#This Row],[СВ_1_3]],1),LEFT(Свёртка_Чувствительность[[#This Row],[СВ_3_2]],1),LEFT(Свёртка_Чувствительность[[#This Row],[СВ_2_3]],1),LEFT(Свёртка_Чувствительность[[#This Row],[СВ_3_3]],1))="FFFFFFFFF",AND(Свёртка_Чувствительность[[#This Row],[Л]]&gt;=1,Свёртка_Чувствительность[[#This Row],[Л]]&lt;=4),AND(Свёртка_Чувствительность[[#This Row],[П]]&gt;=1,Свёртка_Чувствительность[[#This Row],[П]]&lt;=4)),1,-1)</f>
        <v>-1</v>
      </c>
      <c r="AZ12" s="131"/>
      <c r="BA12" s="131"/>
      <c r="BC12" s="154" t="str">
        <f>IF(AND(Анализ_Чувствительность[[#This Row],[Y]]=1),ROW()-ROW(Анализ_Чувствительность[[#Headers],[№]]),"")</f>
        <v/>
      </c>
      <c r="BD12" s="5"/>
      <c r="BE12" s="149">
        <v>0.2</v>
      </c>
      <c r="BF12" s="149" t="s">
        <v>573</v>
      </c>
      <c r="BG12" s="5" t="s">
        <v>584</v>
      </c>
      <c r="BH12" s="131">
        <v>1</v>
      </c>
      <c r="BI12" s="131">
        <f>IF(LEN(Анализ_Чувствительность[[#This Row],[Свёртка]])&gt;0,1,-1)</f>
        <v>1</v>
      </c>
      <c r="BJ12" s="131">
        <v>3</v>
      </c>
      <c r="BK12" s="131">
        <f>IF(LEN(Анализ_Чувствительность[[#This Row],[Критерий]])&gt;0,1,-1)</f>
        <v>1</v>
      </c>
      <c r="BL12" s="131" t="s">
        <v>462</v>
      </c>
      <c r="BM12" s="131">
        <f>IF(LEN(Анализ_Чувствительность[[#This Row],[Критерии]])&gt;0,1,-1)</f>
        <v>1</v>
      </c>
      <c r="BN12" s="131">
        <f>IF(AND(LEN(Анализ_Чувствительность[[#This Row],[Свёртка]])&gt;0,LEN(Анализ_Чувствительность[[#This Row],[Критерии]])&gt;0,LEN(Анализ_Чувствительность[[#This Row],[Оценки]])&gt;0,LEN(Анализ_Чувствительность[[#This Row],[Представление]])&gt;0,LEN(Анализ_Чувствительность[[#This Row],[Критерий]])&gt;0,LEN(Анализ_Чувствительность[[#This Row],[Размещение]])&gt;0,LEN(Анализ_Чувствительность[[#This Row],[Шаг]])&gt;0,LEN(Анализ_Чувствительность[[#This Row],[min]])&gt;0,LEN(Анализ_Чувствительность[[#This Row],[max]])&gt;0,(Анализ_Чувствительность[[#This Row],[min]]&lt;&gt;Анализ_Чувствительность[[#This Row],[max]])),1,-1)</f>
        <v>-1</v>
      </c>
      <c r="BO12" s="131">
        <v>0</v>
      </c>
      <c r="BP12" s="131">
        <v>100</v>
      </c>
      <c r="BU12" s="155"/>
      <c r="BV12" s="155"/>
      <c r="BW12" s="155"/>
      <c r="BX12" s="155"/>
      <c r="BY12" s="155"/>
      <c r="BZ12" s="155"/>
      <c r="CA12" s="155"/>
      <c r="CB12" s="155"/>
      <c r="CC12" s="155"/>
      <c r="CD12" s="155"/>
      <c r="CE12" s="155"/>
      <c r="CF12" s="155"/>
      <c r="CG12" s="155"/>
      <c r="CH12" s="155"/>
      <c r="CI12" s="155"/>
      <c r="CJ12" s="155"/>
      <c r="CK12" s="155"/>
      <c r="CL12" s="155"/>
      <c r="CM12" s="155"/>
      <c r="CN12" s="155"/>
      <c r="CO12" s="155"/>
    </row>
    <row r="13" spans="1:93" x14ac:dyDescent="0.25">
      <c r="A13" s="66" t="str">
        <f ca="1">IF(AND(Критерий_Чувствительность[[#This Row],[Критерий]]&lt;&gt;"",Критерий_Чувствительность[[#This Row],[O.K.Критерий]]=1),ROW()-ROW(Критерий_Чувствительность[[#Headers],[№]]),"")</f>
        <v/>
      </c>
      <c r="B13" s="150"/>
      <c r="C13" t="str">
        <f ca="1">IFERROR(IF(AND(Критерий_Чувствительность[[#This Row],[Критерий]]&gt;=1,Критерий_Чувствительность[[#This Row],[Критерий]]&lt;=4),IF(IFERROR(FIND("!",_xlfn.FORMULATEXT(Критерий_Чувствительность[[#This Row],[Критерий]])),"на странице")="на странице",CONCATENATE("R",ROW((INDIRECT(RIGHT(_xlfn.FORMULATEXT(Критерий_Чувствительность[[#This Row],[Критерий]]), LEN(_xlfn.FORMULATEXT(Критерий_Чувствительность[[#This Row],[Критерий]]))-1),FALSE))),"C",COLUMN((INDIRECT(RIGHT(_xlfn.FORMULATEXT(Критерий_Чувствительность[[#This Row],[Критерий]]), LEN(_xlfn.FORMULATEXT(Критерий_Чувствительность[[#This Row],[Критерий]]))-1),FALSE)))-C$8),CONCATENATE(RIGHT(LEFT(_xlfn.FORMULATEXT(Критерий_Чувствительность[[#This Row],[Критерий]]),FIND("!",_xlfn.FORMULATEXT(Критерий_Чувствительность[[#This Row],[Критерий]]))),LEN(LEFT(_xlfn.FORMULATEXT(Критерий_Чувствительность[[#This Row],[Критерий]]),FIND("!",_xlfn.FORMULATEXT(Критерий_Чувствительность[[#This Row],[Критерий]]))))-1),"R",ROW((INDIRECT(RIGHT(_xlfn.FORMULATEXT(Критерий_Чувствительность[[#This Row],[Критерий]]), LEN(_xlfn.FORMULATEXT(Критерий_Чувствительность[[#This Row],[Критерий]]))-1),FALSE))),"C",COLUMN((INDIRECT(RIGHT(_xlfn.FORMULATEXT(Критерий_Чувствительность[[#This Row],[Критерий]]), LEN(_xlfn.FORMULATEXT(Критерий_Чувствительность[[#This Row],[Критерий]]))-1),FALSE)))-C$8)),"ошибка"),"ошибка")</f>
        <v>ошибка</v>
      </c>
      <c r="D13" t="str">
        <f ca="1">IFERROR(IF(LEFT(Критерий_Чувствительность[[#This Row],[Фкритерий]],5)="=Прив","Критерий",IF(LEFT(Критерий_Чувствительность[[#This Row],[Фкритерий]],5)="=Матр","ошибка","ошибка")),"ошибка")</f>
        <v>ошибка</v>
      </c>
      <c r="E13" t="str">
        <f ca="1">IFERROR(IF(LEN((INDIRECT(Критерий_Чувствительность[[#This Row],[СНаименование]],FALSE)))=0,"ошибка",IFERROR(INDIRECT(Критерий_Чувствительность[[#This Row],[СНаименование]],FALSE),"ошибка")),"ошибка")</f>
        <v>ошибка</v>
      </c>
      <c r="F13"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Row],[Скритерий]])))+F$7),FIND("R",Критерий_Чувствительность[[#This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Row],[Скритерий]])))+F$6),"ошибка")</f>
        <v>ошибка</v>
      </c>
      <c r="G13" t="str">
        <f ca="1">IFERROR(IF(N(INDIRECT(Критерий_Чувствительность[[#This Row],[СФизКритерий]],FALSE))=0,"ошибка",IFERROR(INDIRECT(Критерий_Чувствительность[[#This Row],[СФизКритерий]],FALSE),"ошибка")),"ошибка")</f>
        <v>ошибка</v>
      </c>
      <c r="H13"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Row],[Скритерий]])))+H$7),FIND("R",Критерий_Чувствительность[[#This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Row],[Скритерий]])))+H$6),"ошибка")</f>
        <v>ошибка</v>
      </c>
      <c r="I13"/>
      <c r="J13"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Row],[Скритерий]])))+J$7),FIND("R",Критерий_Чувствительность[[#This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Row],[Скритерий]])))+J$6),"ошибка")</f>
        <v>ошибка</v>
      </c>
      <c r="K13" t="str">
        <f ca="1">IFERROR(_xlfn.FORMULATEXT(INDIRECT(Критерий_Чувствительность[[#This Row],[Скритерий]],FALSE)),"ошибка")</f>
        <v>ошибка</v>
      </c>
      <c r="L13" t="str">
        <f ca="1">IFERROR(IF(N(INDIRECT(Критерий_Чувствительность[[#This Row],[СМинФизКритерий]],FALSE))="","ошибка",IFERROR(INDIRECT(Критерий_Чувствительность[[#This Row],[СМинФизКритерий]],FALSE),"ошибка")),"ошибка")</f>
        <v>ошибка</v>
      </c>
      <c r="M13"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Row],[Скритерий]])))+M$7),FIND("R",Критерий_Чувствительность[[#This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Row],[Скритерий]])))+M$6),"ошибка")</f>
        <v>ошибка</v>
      </c>
      <c r="N13" t="str">
        <f ca="1">IFERROR(IF(N(INDIRECT(Критерий_Чувствительность[[#This Row],[СМаксФизКритерий]],FALSE))="","ошибка",IFERROR(INDIRECT(Критерий_Чувствительность[[#This Row],[СМаксФизКритерий]],FALSE),"ошибка")),"ошибка")</f>
        <v>ошибка</v>
      </c>
      <c r="O13"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Row],[Скритерий]])))+O$7),FIND("R",Критерий_Чувствительность[[#This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Row],[Скритерий]])))+O$6),"ошибка")</f>
        <v>ошибка</v>
      </c>
      <c r="P13" t="str">
        <f ca="1">IFERROR(IF(N(INDIRECT(Критерий_Чувствительность[[#This Row],[ССрФизКритерий]],FALSE))=0,"ошибка",IFERROR(INDIRECT(Критерий_Чувствительность[[#This Row],[ССрФизКритерий]],FALSE),"ошибка")),"")</f>
        <v/>
      </c>
      <c r="Q13"/>
      <c r="R13" s="149">
        <f ca="1">IFERROR(IF(AND(Критерий_Чувствительность[[#This Row],[ВидКритерий]]="Критерий",Критерий_Чувствительность[[#This Row],[Фкритерий]]="=Приведение"),1,-1),-1)</f>
        <v>-1</v>
      </c>
      <c r="T13" s="66" t="str">
        <f ca="1">IF(AND(Свёртка_Чувствительность[[#This Row],[Свёртка]]&lt;&gt;"",Свёртка_Чувствительность[[#This Row],[O.K.Свёртка]]=1),ROW()-ROW(Свёртка_Чувствительность[[#Headers],[№]]),"")</f>
        <v/>
      </c>
      <c r="U13" s="153"/>
      <c r="V13" t="str">
        <f ca="1">IFERROR(IF(AND(Свёртка_Чувствительность[[#This Row],[Свёртка]]&gt;=1,Свёртка_Чувствительность[[#This Row],[Свёртка]]&lt;=4),IF(IFERROR(FIND("!",_xlfn.FORMULATEXT(Свёртка_Чувствительность[[#This Row],[Свёртка]])),"на странице")="на странице",CONCATENATE("R",ROW((INDIRECT(RIGHT(_xlfn.FORMULATEXT(Свёртка_Чувствительность[[#This Row],[Свёртка]]), LEN(_xlfn.FORMULATEXT(Свёртка_Чувствительность[[#This Row],[Свёртка]]))-1),FALSE))),"C",COLUMN((INDIRECT(RIGHT(_xlfn.FORMULATEXT(Свёртка_Чувствительность[[#This Row],[Свёртка]]), LEN(_xlfn.FORMULATEXT(Свёртка_Чувствительность[[#This Row],[Свёртка]]))-1),FALSE)))-V$6),CONCATENATE(RIGHT(LEFT(_xlfn.FORMULATEXT(Свёртка_Чувствительность[[#This Row],[Свёртка]]),FIND("!",_xlfn.FORMULATEXT(Свёртка_Чувствительность[[#This Row],[Свёртка]]))),LEN(LEFT(_xlfn.FORMULATEXT(Свёртка_Чувствительность[[#This Row],[Свёртка]]),FIND("!",_xlfn.FORMULATEXT(Свёртка_Чувствительность[[#This Row],[Свёртка]]))))-1),"R",ROW((INDIRECT(RIGHT(_xlfn.FORMULATEXT(Свёртка_Чувствительность[[#This Row],[Свёртка]]), LEN(_xlfn.FORMULATEXT(Свёртка_Чувствительность[[#This Row],[Свёртка]]))-1),FALSE))),"C",COLUMN((INDIRECT(RIGHT(_xlfn.FORMULATEXT(Свёртка_Чувствительность[[#This Row],[Свёртка]]), LEN(_xlfn.FORMULATEXT(Свёртка_Чувствительность[[#This Row],[Свёртка]]))-1),FALSE)))-V$6)),"ошибка"),"ошибка")</f>
        <v>ошибка</v>
      </c>
      <c r="W13" t="str">
        <f ca="1">IFERROR(_xlfn.FORMULATEXT(INDIRECT(Свёртка_Чувствительность[[#This Row],[ССвёртка]],FALSE)),"ошибка")</f>
        <v>ошибка</v>
      </c>
      <c r="X13" t="str">
        <f ca="1">IFERROR(IF(LEFT(Свёртка_Чувствительность[[#This Row],[ФСвёртка]],5)="=Прив","ошибка",IF(LEFT(Свёртка_Чувствительность[[#This Row],[ФСвёртка]],5)="=Матр","Свёртка","ошибка")),"ошибка")</f>
        <v>ошибка</v>
      </c>
      <c r="Y13" t="str">
        <f ca="1">IFERROR(IF(LEN((INDIRECT(Свёртка_Чувствительность[[#This Row],[СНаименование]],FALSE)))=0,"ошибка",IFERROR(INDIRECT(Свёртка_Чувствительность[[#This Row],[СНаименование]],FALSE),"ошибка")),"ошибка")</f>
        <v>ошибка</v>
      </c>
      <c r="Z13"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Row],[ССвёртка]])))+Z$7),FIND("R",Свёртка_Чувствительность[[#This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Row],[ССвёртка]])))+Z$6),"ошибка")</f>
        <v>ошибка</v>
      </c>
      <c r="AA13" s="5" t="str">
        <f ca="1">IFERROR(IF(LEN((INDIRECT(Свёртка_Чувствительность[[#This Row],[ССВ_1_1]],FALSE)))=0,"ошибка",IFERROR(INDIRECT(Свёртка_Чувствительность[[#This Row],[ССВ_1_1]],FALSE),"ошибка")),"ошибка")</f>
        <v>ошибка</v>
      </c>
      <c r="AB13"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Row],[ССвёртка]])))+AB$7),FIND("R",Свёртка_Чувствительность[[#This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Row],[ССвёртка]])))+AB$6),"ошибка")</f>
        <v>ошибка</v>
      </c>
      <c r="AC13" s="5" t="str">
        <f ca="1">IFERROR(IF(LEN((INDIRECT(Свёртка_Чувствительность[[#This Row],[ССВ_2_1]],FALSE)))=0,"ошибка",IFERROR(INDIRECT(Свёртка_Чувствительность[[#This Row],[ССВ_2_1]],FALSE),"ошибка")),"ошибка")</f>
        <v>ошибка</v>
      </c>
      <c r="AD13"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Row],[ССвёртка]])))+AD$7),FIND("R",Свёртка_Чувствительность[[#This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Row],[ССвёртка]])))+AD$6),"ошибка")</f>
        <v>ошибка</v>
      </c>
      <c r="AE13" s="5" t="str">
        <f ca="1">IFERROR(IF(LEN((INDIRECT(Свёртка_Чувствительность[[#This Row],[ССВ_1_2]],FALSE)))=0,"ошибка",IFERROR(INDIRECT(Свёртка_Чувствительность[[#This Row],[ССВ_1_2]],FALSE),"ошибка")),"ошибка")</f>
        <v>ошибка</v>
      </c>
      <c r="AF13"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Row],[ССвёртка]])))+AF$7),FIND("R",Свёртка_Чувствительность[[#This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Row],[ССвёртка]])))+AF$6),"ошибка")</f>
        <v>ошибка</v>
      </c>
      <c r="AG13" s="5" t="str">
        <f ca="1">IFERROR(IF(LEN((INDIRECT(Свёртка_Чувствительность[[#This Row],[ССВ_2_2]],FALSE)))=0,"ошибка",IFERROR(INDIRECT(Свёртка_Чувствительность[[#This Row],[ССВ_2_2]],FALSE),"ошибка")),"ошибка")</f>
        <v>ошибка</v>
      </c>
      <c r="AH13"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Row],[ССвёртка]])))+AH$7),FIND("R",Свёртка_Чувствительность[[#This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Row],[ССвёртка]])))+AH$6),"ошибка")</f>
        <v>ошибка</v>
      </c>
      <c r="AI13" s="5" t="str">
        <f ca="1">IFERROR(IF(LEN((INDIRECT(Свёртка_Чувствительность[[#This Row],[ССВ_3_1]],FALSE)))=0,"ошибка",IFERROR(INDIRECT(Свёртка_Чувствительность[[#This Row],[ССВ_3_1]],FALSE),"ошибка")),"ошибка")</f>
        <v>ошибка</v>
      </c>
      <c r="AJ13"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Row],[ССвёртка]])))+AJ$7),FIND("R",Свёртка_Чувствительность[[#This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Row],[ССвёртка]])))+AJ$6),"ошибка")</f>
        <v>ошибка</v>
      </c>
      <c r="AK13" s="5" t="str">
        <f ca="1">IFERROR(IF(LEN((INDIRECT(Свёртка_Чувствительность[[#This Row],[ССВ_1_3]],FALSE)))=0,"ошибка",IFERROR(INDIRECT(Свёртка_Чувствительность[[#This Row],[ССВ_1_3]],FALSE),"ошибка")),"ошибка")</f>
        <v>ошибка</v>
      </c>
      <c r="AL13"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Row],[ССвёртка]])))+AL$7),FIND("R",Свёртка_Чувствительность[[#This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Row],[ССвёртка]])))+AL$6),"ошибка")</f>
        <v>ошибка</v>
      </c>
      <c r="AM13" s="5" t="str">
        <f ca="1">IFERROR(IF(LEN((INDIRECT(Свёртка_Чувствительность[[#This Row],[ССВ_3_2]],FALSE)))=0,"ошибка",IFERROR(INDIRECT(Свёртка_Чувствительность[[#This Row],[ССВ_3_2]],FALSE),"ошибка")),"ошибка")</f>
        <v>ошибка</v>
      </c>
      <c r="AN13"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Row],[ССвёртка]])))+AN$7),FIND("R",Свёртка_Чувствительность[[#This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Row],[ССвёртка]])))+AN$6),"ошибка")</f>
        <v>ошибка</v>
      </c>
      <c r="AO13" s="5" t="str">
        <f ca="1">IFERROR(IF(LEN((INDIRECT(Свёртка_Чувствительность[[#This Row],[ССВ_2_3]],FALSE)))=0,"ошибка",IFERROR(INDIRECT(Свёртка_Чувствительность[[#This Row],[ССВ_2_3]],FALSE),"ошибка")),"ошибка")</f>
        <v>ошибка</v>
      </c>
      <c r="AP13"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Row],[ССвёртка]])))+AP$7),FIND("R",Свёртка_Чувствительность[[#This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Row],[ССвёртка]])))+AP$6),"ошибка")</f>
        <v>ошибка</v>
      </c>
      <c r="AQ13" s="5" t="str">
        <f ca="1">IFERROR(IF(LEN((INDIRECT(Свёртка_Чувствительность[[#This Row],[ССВ_3_3]],FALSE)))=0,"ошибка",IFERROR(INDIRECT(Свёртка_Чувствительность[[#This Row],[ССВ_3_3]],FALSE),"ошибка")),"ошибка")</f>
        <v>ошибка</v>
      </c>
      <c r="AR13"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Row],[ССвёртка]])))+AR$7),FIND("R",Свёртка_Чувствительность[[#This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Row],[ССвёртка]])))+AR$6),"ошибка")</f>
        <v>ошибка</v>
      </c>
      <c r="AS13" t="str">
        <f ca="1">IFERROR(IF(LEN((INDIRECT(Свёртка_Чувствительность[[#This Row],[СЛ]],FALSE)))=0,"ошибка",IFERROR(INDIRECT(Свёртка_Чувствительность[[#This Row],[СЛ]],FALSE),"ошибка")),"ошибка")</f>
        <v>ошибка</v>
      </c>
      <c r="AT13"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Row],[ССвёртка]])))+AT$7),FIND("R",Свёртка_Чувствительность[[#This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Row],[ССвёртка]])))+AT$6),"ошибка")</f>
        <v>ошибка</v>
      </c>
      <c r="AU13" t="str">
        <f ca="1">IFERROR(_xlfn.FORMULATEXT(INDIRECT(Свёртка_Чувствительность[[#This Row],[СЛ]],FALSE)),"ошибка")</f>
        <v>ошибка</v>
      </c>
      <c r="AV13" t="str">
        <f ca="1">IFERROR(IF(LEN((INDIRECT(Свёртка_Чувствительность[[#This Row],[СП]],FALSE)))=0,"ошибка",IFERROR(INDIRECT(Свёртка_Чувствительность[[#This Row],[СП]],FALSE),"ошибка")),"ошибка")</f>
        <v>ошибка</v>
      </c>
      <c r="AW13"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Row],[ССвёртка]])))+AW$7),FIND("R",Свёртка_Чувствительность[[#This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Row],[ССвёртка]])))+AW$6),"ошибка")</f>
        <v>ошибка</v>
      </c>
      <c r="AX13" t="str">
        <f ca="1">IFERROR(_xlfn.FORMULATEXT(INDIRECT(Свёртка_Чувствительность[[#This Row],[СП]],FALSE)),"ошибка")</f>
        <v>ошибка</v>
      </c>
      <c r="AY13" s="131">
        <f ca="1">IF(AND(Свёртка_Чувствительность[[#This Row],[ВидСвёртка]]="Свёртка",CONCATENATE(LEFT(Свёртка_Чувствительность[[#This Row],[СВ_1_1]],1),LEFT(Свёртка_Чувствительность[[#This Row],[СВ_2_1]],1),LEFT(Свёртка_Чувствительность[[#This Row],[СВ_1_2]],1),LEFT(Свёртка_Чувствительность[[#This Row],[СВ_2_2]],1),LEFT(Свёртка_Чувствительность[[#This Row],[СВ_3_1]],1),LEFT(Свёртка_Чувствительность[[#This Row],[СВ_1_3]],1),LEFT(Свёртка_Чувствительность[[#This Row],[СВ_3_2]],1),LEFT(Свёртка_Чувствительность[[#This Row],[СВ_2_3]],1),LEFT(Свёртка_Чувствительность[[#This Row],[СВ_3_3]],1))="FFFFFFFFF",AND(Свёртка_Чувствительность[[#This Row],[Л]]&gt;=1,Свёртка_Чувствительность[[#This Row],[Л]]&lt;=4),AND(Свёртка_Чувствительность[[#This Row],[П]]&gt;=1,Свёртка_Чувствительность[[#This Row],[П]]&lt;=4)),1,-1)</f>
        <v>-1</v>
      </c>
      <c r="AZ13" s="131"/>
      <c r="BA13" s="131"/>
      <c r="BB13" t="s">
        <v>586</v>
      </c>
      <c r="BC13" s="154" t="str">
        <f>IF(AND(Анализ_Чувствительность[[#This Row],[Y]]=1),ROW()-ROW(Анализ_Чувствительность[[#Headers],[№]]),"")</f>
        <v/>
      </c>
      <c r="BD13" s="5"/>
      <c r="BE13" s="149">
        <v>0.2</v>
      </c>
      <c r="BF13" s="149" t="s">
        <v>573</v>
      </c>
      <c r="BG13" s="5" t="s">
        <v>587</v>
      </c>
      <c r="BH13" s="131"/>
      <c r="BI13" s="131">
        <f>IF(LEN(Анализ_Чувствительность[[#This Row],[Свёртка]])&gt;0,1,-1)</f>
        <v>-1</v>
      </c>
      <c r="BJ13" s="131"/>
      <c r="BK13" s="154">
        <f>IF(LEN(Анализ_Чувствительность[[#This Row],[Критерий]])&gt;0,1,-1)</f>
        <v>-1</v>
      </c>
      <c r="BL13" s="131"/>
      <c r="BM13" s="154">
        <f>IF(LEN(Анализ_Чувствительность[[#This Row],[Критерии]])&gt;0,1,-1)</f>
        <v>-1</v>
      </c>
      <c r="BN13" s="154">
        <f>IF(AND(LEN(Анализ_Чувствительность[[#This Row],[Свёртка]])&gt;0,LEN(Анализ_Чувствительность[[#This Row],[Критерии]])&gt;0,LEN(Анализ_Чувствительность[[#This Row],[Оценки]])&gt;0,LEN(Анализ_Чувствительность[[#This Row],[Представление]])&gt;0,LEN(Анализ_Чувствительность[[#This Row],[Критерий]])&gt;0,LEN(Анализ_Чувствительность[[#This Row],[Размещение]])&gt;0,LEN(Анализ_Чувствительность[[#This Row],[Шаг]])&gt;0,LEN(Анализ_Чувствительность[[#This Row],[min]])&gt;0,LEN(Анализ_Чувствительность[[#This Row],[max]])&gt;0,(Анализ_Чувствительность[[#This Row],[min]]&lt;&gt;Анализ_Чувствительность[[#This Row],[max]])),1,-1)</f>
        <v>-1</v>
      </c>
      <c r="BO13" s="131"/>
      <c r="BP13" s="131"/>
      <c r="BU13" s="155"/>
      <c r="BV13" s="155"/>
      <c r="BW13" s="155"/>
      <c r="BX13" s="155"/>
      <c r="BY13" s="155"/>
      <c r="BZ13" s="155"/>
      <c r="CA13" s="155"/>
      <c r="CB13" s="155"/>
      <c r="CC13" s="155"/>
      <c r="CD13" s="155"/>
      <c r="CE13" s="155"/>
      <c r="CF13" s="155"/>
      <c r="CG13" s="155"/>
      <c r="CH13" s="155"/>
      <c r="CI13" s="155"/>
      <c r="CJ13" s="155"/>
      <c r="CK13" s="155"/>
      <c r="CL13" s="155"/>
      <c r="CM13" s="155"/>
      <c r="CN13" s="155"/>
      <c r="CO13" s="155"/>
    </row>
    <row r="14" spans="1:93" x14ac:dyDescent="0.25">
      <c r="A14" s="66" t="str">
        <f ca="1">IF(AND(Критерий_Чувствительность[[#This Row],[Критерий]]&lt;&gt;"",Критерий_Чувствительность[[#This Row],[O.K.Критерий]]=1),ROW()-ROW(Критерий_Чувствительность[[#Headers],[№]]),"")</f>
        <v/>
      </c>
      <c r="B14" s="150"/>
      <c r="C14" t="str">
        <f ca="1">IFERROR(IF(AND(Критерий_Чувствительность[[#This Row],[Критерий]]&gt;=1,Критерий_Чувствительность[[#This Row],[Критерий]]&lt;=4),IF(IFERROR(FIND("!",_xlfn.FORMULATEXT(Критерий_Чувствительность[[#This Row],[Критерий]])),"на странице")="на странице",CONCATENATE("R",ROW((INDIRECT(RIGHT(_xlfn.FORMULATEXT(Критерий_Чувствительность[[#This Row],[Критерий]]), LEN(_xlfn.FORMULATEXT(Критерий_Чувствительность[[#This Row],[Критерий]]))-1),FALSE))),"C",COLUMN((INDIRECT(RIGHT(_xlfn.FORMULATEXT(Критерий_Чувствительность[[#This Row],[Критерий]]), LEN(_xlfn.FORMULATEXT(Критерий_Чувствительность[[#This Row],[Критерий]]))-1),FALSE)))-C$8),CONCATENATE(RIGHT(LEFT(_xlfn.FORMULATEXT(Критерий_Чувствительность[[#This Row],[Критерий]]),FIND("!",_xlfn.FORMULATEXT(Критерий_Чувствительность[[#This Row],[Критерий]]))),LEN(LEFT(_xlfn.FORMULATEXT(Критерий_Чувствительность[[#This Row],[Критерий]]),FIND("!",_xlfn.FORMULATEXT(Критерий_Чувствительность[[#This Row],[Критерий]]))))-1),"R",ROW((INDIRECT(RIGHT(_xlfn.FORMULATEXT(Критерий_Чувствительность[[#This Row],[Критерий]]), LEN(_xlfn.FORMULATEXT(Критерий_Чувствительность[[#This Row],[Критерий]]))-1),FALSE))),"C",COLUMN((INDIRECT(RIGHT(_xlfn.FORMULATEXT(Критерий_Чувствительность[[#This Row],[Критерий]]), LEN(_xlfn.FORMULATEXT(Критерий_Чувствительность[[#This Row],[Критерий]]))-1),FALSE)))-C$8)),"ошибка"),"ошибка")</f>
        <v>ошибка</v>
      </c>
      <c r="D14" t="str">
        <f ca="1">IFERROR(IF(LEFT(Критерий_Чувствительность[[#This Row],[Фкритерий]],5)="=Прив","Критерий",IF(LEFT(Критерий_Чувствительность[[#This Row],[Фкритерий]],5)="=Матр","ошибка","ошибка")),"ошибка")</f>
        <v>ошибка</v>
      </c>
      <c r="E14" t="str">
        <f ca="1">IFERROR(IF(LEN((INDIRECT(Критерий_Чувствительность[[#This Row],[СНаименование]],FALSE)))=0,"ошибка",IFERROR(INDIRECT(Критерий_Чувствительность[[#This Row],[СНаименование]],FALSE),"ошибка")),"ошибка")</f>
        <v>ошибка</v>
      </c>
      <c r="F14"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Row],[Скритерий]])))+F$7),FIND("R",Критерий_Чувствительность[[#This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Row],[Скритерий]])))+F$6),"ошибка")</f>
        <v>ошибка</v>
      </c>
      <c r="G14" t="str">
        <f ca="1">IFERROR(IF(N(INDIRECT(Критерий_Чувствительность[[#This Row],[СФизКритерий]],FALSE))=0,"ошибка",IFERROR(INDIRECT(Критерий_Чувствительность[[#This Row],[СФизКритерий]],FALSE),"ошибка")),"ошибка")</f>
        <v>ошибка</v>
      </c>
      <c r="H14"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Row],[Скритерий]])))+H$7),FIND("R",Критерий_Чувствительность[[#This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Row],[Скритерий]])))+H$6),"ошибка")</f>
        <v>ошибка</v>
      </c>
      <c r="I14"/>
      <c r="J14"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Row],[Скритерий]])))+J$7),FIND("R",Критерий_Чувствительность[[#This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Row],[Скритерий]])))+J$6),"ошибка")</f>
        <v>ошибка</v>
      </c>
      <c r="K14" t="str">
        <f ca="1">IFERROR(_xlfn.FORMULATEXT(INDIRECT(Критерий_Чувствительность[[#This Row],[Скритерий]],FALSE)),"ошибка")</f>
        <v>ошибка</v>
      </c>
      <c r="L14" t="str">
        <f ca="1">IFERROR(IF(N(INDIRECT(Критерий_Чувствительность[[#This Row],[СМинФизКритерий]],FALSE))="","ошибка",IFERROR(INDIRECT(Критерий_Чувствительность[[#This Row],[СМинФизКритерий]],FALSE),"ошибка")),"ошибка")</f>
        <v>ошибка</v>
      </c>
      <c r="M14"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Row],[Скритерий]])))+M$7),FIND("R",Критерий_Чувствительность[[#This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Row],[Скритерий]])))+M$6),"ошибка")</f>
        <v>ошибка</v>
      </c>
      <c r="N14" t="str">
        <f ca="1">IFERROR(IF(N(INDIRECT(Критерий_Чувствительность[[#This Row],[СМаксФизКритерий]],FALSE))="","ошибка",IFERROR(INDIRECT(Критерий_Чувствительность[[#This Row],[СМаксФизКритерий]],FALSE),"ошибка")),"ошибка")</f>
        <v>ошибка</v>
      </c>
      <c r="O14"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Row],[Скритерий]])))+O$7),FIND("R",Критерий_Чувствительность[[#This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Row],[Скритерий]])))+O$6),"ошибка")</f>
        <v>ошибка</v>
      </c>
      <c r="P14" t="str">
        <f ca="1">IFERROR(IF(N(INDIRECT(Критерий_Чувствительность[[#This Row],[ССрФизКритерий]],FALSE))=0,"ошибка",IFERROR(INDIRECT(Критерий_Чувствительность[[#This Row],[ССрФизКритерий]],FALSE),"ошибка")),"")</f>
        <v/>
      </c>
      <c r="Q14"/>
      <c r="R14" s="149">
        <f ca="1">IFERROR(IF(AND(Критерий_Чувствительность[[#This Row],[ВидКритерий]]="Критерий",Критерий_Чувствительность[[#This Row],[Фкритерий]]="=Приведение"),1,-1),-1)</f>
        <v>-1</v>
      </c>
      <c r="T14"/>
      <c r="U14"/>
      <c r="V14"/>
      <c r="W14"/>
      <c r="X14"/>
      <c r="Y14"/>
      <c r="Z14"/>
      <c r="AA14"/>
      <c r="AB14"/>
      <c r="AC14"/>
      <c r="AD14"/>
      <c r="AE14"/>
      <c r="AF14"/>
      <c r="AG14"/>
      <c r="AH14"/>
      <c r="AI14"/>
      <c r="AJ14"/>
      <c r="AK14"/>
      <c r="AL14"/>
      <c r="AM14"/>
      <c r="AN14"/>
      <c r="AO14"/>
      <c r="AP14"/>
      <c r="AQ14"/>
      <c r="AR14"/>
      <c r="AS14"/>
      <c r="AT14"/>
      <c r="AU14"/>
      <c r="AV14"/>
      <c r="AW14"/>
      <c r="AX14"/>
      <c r="AZ14" s="131"/>
      <c r="BA14" s="131"/>
      <c r="BC14" s="154" t="str">
        <f>IF(AND(Анализ_Чувствительность[[#This Row],[Y]]=1),ROW()-ROW(Анализ_Чувствительность[[#Headers],[№]]),"")</f>
        <v/>
      </c>
      <c r="BD14" s="5"/>
      <c r="BE14" s="149">
        <v>0.2</v>
      </c>
      <c r="BF14" s="149" t="s">
        <v>573</v>
      </c>
      <c r="BG14" s="5" t="s">
        <v>588</v>
      </c>
      <c r="BH14" s="131"/>
      <c r="BI14" s="131">
        <f>IF(LEN(Анализ_Чувствительность[[#This Row],[Свёртка]])&gt;0,1,-1)</f>
        <v>-1</v>
      </c>
      <c r="BJ14" s="131"/>
      <c r="BK14" s="154">
        <f>IF(LEN(Анализ_Чувствительность[[#This Row],[Критерий]])&gt;0,1,-1)</f>
        <v>-1</v>
      </c>
      <c r="BL14" s="131"/>
      <c r="BM14" s="154">
        <f>IF(LEN(Анализ_Чувствительность[[#This Row],[Критерии]])&gt;0,1,-1)</f>
        <v>-1</v>
      </c>
      <c r="BN14" s="154">
        <f>IF(AND(LEN(Анализ_Чувствительность[[#This Row],[Свёртка]])&gt;0,LEN(Анализ_Чувствительность[[#This Row],[Критерии]])&gt;0,LEN(Анализ_Чувствительность[[#This Row],[Оценки]])&gt;0,LEN(Анализ_Чувствительность[[#This Row],[Представление]])&gt;0,LEN(Анализ_Чувствительность[[#This Row],[Критерий]])&gt;0,LEN(Анализ_Чувствительность[[#This Row],[Размещение]])&gt;0,LEN(Анализ_Чувствительность[[#This Row],[Шаг]])&gt;0,LEN(Анализ_Чувствительность[[#This Row],[min]])&gt;0,LEN(Анализ_Чувствительность[[#This Row],[max]])&gt;0,(Анализ_Чувствительность[[#This Row],[min]]&lt;&gt;Анализ_Чувствительность[[#This Row],[max]])),1,-1)</f>
        <v>-1</v>
      </c>
      <c r="BO14" s="131"/>
      <c r="BP14" s="131"/>
      <c r="BU14" s="155"/>
      <c r="BV14" s="155"/>
      <c r="BW14" s="155"/>
      <c r="BX14" s="155"/>
      <c r="BY14" s="155"/>
      <c r="BZ14" s="155"/>
      <c r="CA14" s="155"/>
      <c r="CB14" s="155"/>
      <c r="CC14" s="155"/>
      <c r="CD14" s="155"/>
      <c r="CE14" s="155"/>
      <c r="CF14" s="155"/>
      <c r="CG14" s="155"/>
      <c r="CH14" s="155"/>
      <c r="CI14" s="155"/>
      <c r="CJ14" s="155"/>
      <c r="CK14" s="155"/>
      <c r="CL14" s="155"/>
      <c r="CM14" s="155"/>
      <c r="CN14" s="155"/>
      <c r="CO14" s="155"/>
    </row>
    <row r="15" spans="1:93" x14ac:dyDescent="0.25">
      <c r="A15" s="66" t="str">
        <f ca="1">IF(AND(Критерий_Чувствительность[[#This Row],[Критерий]]&lt;&gt;"",Критерий_Чувствительность[[#This Row],[O.K.Критерий]]=1),ROW()-ROW(Критерий_Чувствительность[[#Headers],[№]]),"")</f>
        <v/>
      </c>
      <c r="B15" s="138"/>
      <c r="C15" t="str">
        <f ca="1">IFERROR(IF(AND(Критерий_Чувствительность[[#This Row],[Критерий]]&gt;=1,Критерий_Чувствительность[[#This Row],[Критерий]]&lt;=4),IF(IFERROR(FIND("!",_xlfn.FORMULATEXT(Критерий_Чувствительность[[#This Row],[Критерий]])),"на странице")="на странице",CONCATENATE("R",ROW((INDIRECT(RIGHT(_xlfn.FORMULATEXT(Критерий_Чувствительность[[#This Row],[Критерий]]), LEN(_xlfn.FORMULATEXT(Критерий_Чувствительность[[#This Row],[Критерий]]))-1),FALSE))),"C",COLUMN((INDIRECT(RIGHT(_xlfn.FORMULATEXT(Критерий_Чувствительность[[#This Row],[Критерий]]), LEN(_xlfn.FORMULATEXT(Критерий_Чувствительность[[#This Row],[Критерий]]))-1),FALSE)))-C$8),CONCATENATE(RIGHT(LEFT(_xlfn.FORMULATEXT(Критерий_Чувствительность[[#This Row],[Критерий]]),FIND("!",_xlfn.FORMULATEXT(Критерий_Чувствительность[[#This Row],[Критерий]]))),LEN(LEFT(_xlfn.FORMULATEXT(Критерий_Чувствительность[[#This Row],[Критерий]]),FIND("!",_xlfn.FORMULATEXT(Критерий_Чувствительность[[#This Row],[Критерий]]))))-1),"R",ROW((INDIRECT(RIGHT(_xlfn.FORMULATEXT(Критерий_Чувствительность[[#This Row],[Критерий]]), LEN(_xlfn.FORMULATEXT(Критерий_Чувствительность[[#This Row],[Критерий]]))-1),FALSE))),"C",COLUMN((INDIRECT(RIGHT(_xlfn.FORMULATEXT(Критерий_Чувствительность[[#This Row],[Критерий]]), LEN(_xlfn.FORMULATEXT(Критерий_Чувствительность[[#This Row],[Критерий]]))-1),FALSE)))-C$8)),"ошибка"),"ошибка")</f>
        <v>ошибка</v>
      </c>
      <c r="D15" t="str">
        <f ca="1">IFERROR(IF(LEFT(Критерий_Чувствительность[[#This Row],[Фкритерий]],5)="=Прив","Критерий",IF(LEFT(Критерий_Чувствительность[[#This Row],[Фкритерий]],5)="=Матр","ошибка","ошибка")),"ошибка")</f>
        <v>ошибка</v>
      </c>
      <c r="E15" t="str">
        <f ca="1">IFERROR(IF(LEN((INDIRECT(Критерий_Чувствительность[[#This Row],[СНаименование]],FALSE)))=0,"ошибка",IFERROR(INDIRECT(Критерий_Чувствительность[[#This Row],[СНаименование]],FALSE),"ошибка")),"ошибка")</f>
        <v>ошибка</v>
      </c>
      <c r="F15"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Row],[Скритерий]])))+F$7),FIND("R",Критерий_Чувствительность[[#This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Row],[Скритерий]])))+F$6),"ошибка")</f>
        <v>ошибка</v>
      </c>
      <c r="G15" t="str">
        <f ca="1">IFERROR(IF(N(INDIRECT(Критерий_Чувствительность[[#This Row],[СФизКритерий]],FALSE))=0,"ошибка",IFERROR(INDIRECT(Критерий_Чувствительность[[#This Row],[СФизКритерий]],FALSE),"ошибка")),"ошибка")</f>
        <v>ошибка</v>
      </c>
      <c r="H15"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Row],[Скритерий]])))+H$7),FIND("R",Критерий_Чувствительность[[#This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Row],[Скритерий]])))+H$6),"ошибка")</f>
        <v>ошибка</v>
      </c>
      <c r="I15"/>
      <c r="J15"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Row],[Скритерий]])))+J$7),FIND("R",Критерий_Чувствительность[[#This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Row],[Скритерий]])))+J$6),"ошибка")</f>
        <v>ошибка</v>
      </c>
      <c r="K15" t="str">
        <f ca="1">IFERROR(_xlfn.FORMULATEXT(INDIRECT(Критерий_Чувствительность[[#This Row],[Скритерий]],FALSE)),"ошибка")</f>
        <v>ошибка</v>
      </c>
      <c r="L15" t="str">
        <f ca="1">IFERROR(IF(N(INDIRECT(Критерий_Чувствительность[[#This Row],[СМинФизКритерий]],FALSE))="","ошибка",IFERROR(INDIRECT(Критерий_Чувствительность[[#This Row],[СМинФизКритерий]],FALSE),"ошибка")),"ошибка")</f>
        <v>ошибка</v>
      </c>
      <c r="M15"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Row],[Скритерий]])))+M$7),FIND("R",Критерий_Чувствительность[[#This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Row],[Скритерий]])))+M$6),"ошибка")</f>
        <v>ошибка</v>
      </c>
      <c r="N15" t="str">
        <f ca="1">IFERROR(IF(N(INDIRECT(Критерий_Чувствительность[[#This Row],[СМаксФизКритерий]],FALSE))="","ошибка",IFERROR(INDIRECT(Критерий_Чувствительность[[#This Row],[СМаксФизКритерий]],FALSE),"ошибка")),"ошибка")</f>
        <v>ошибка</v>
      </c>
      <c r="O15"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Row],[Скритерий]])))+O$7),FIND("R",Критерий_Чувствительность[[#This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Row],[Скритерий]])))+O$6),"ошибка")</f>
        <v>ошибка</v>
      </c>
      <c r="P15" t="str">
        <f ca="1">IFERROR(IF(N(INDIRECT(Критерий_Чувствительность[[#This Row],[ССрФизКритерий]],FALSE))=0,"ошибка",IFERROR(INDIRECT(Критерий_Чувствительность[[#This Row],[ССрФизКритерий]],FALSE),"ошибка")),"")</f>
        <v/>
      </c>
      <c r="Q15"/>
      <c r="R15" s="149">
        <f ca="1">IFERROR(IF(AND(Критерий_Чувствительность[[#This Row],[ВидКритерий]]="Критерий",Критерий_Чувствительность[[#This Row],[Фкритерий]]="=Приведение"),1,-1),-1)</f>
        <v>-1</v>
      </c>
      <c r="T15"/>
      <c r="U15"/>
      <c r="V15"/>
      <c r="W15"/>
      <c r="X15"/>
      <c r="Y15"/>
      <c r="Z15"/>
      <c r="AA15"/>
      <c r="AB15"/>
      <c r="AC15"/>
      <c r="AD15"/>
      <c r="AE15"/>
      <c r="AF15"/>
      <c r="AG15"/>
      <c r="AH15"/>
      <c r="AI15"/>
      <c r="AJ15"/>
      <c r="AK15"/>
      <c r="AL15"/>
      <c r="AM15"/>
      <c r="AN15"/>
      <c r="AO15"/>
      <c r="AP15"/>
      <c r="AQ15"/>
      <c r="AR15"/>
      <c r="AS15"/>
      <c r="AT15"/>
      <c r="AU15"/>
      <c r="AV15"/>
      <c r="AW15"/>
      <c r="AX15"/>
      <c r="AZ15" s="131"/>
      <c r="BA15" s="131"/>
      <c r="BC15" s="154" t="str">
        <f>IF(AND(Анализ_Чувствительность[[#This Row],[Y]]=1),ROW()-ROW(Анализ_Чувствительность[[#Headers],[№]]),"")</f>
        <v/>
      </c>
      <c r="BD15" s="5"/>
      <c r="BE15" s="149">
        <v>0.2</v>
      </c>
      <c r="BF15" s="149" t="s">
        <v>573</v>
      </c>
      <c r="BG15" s="5" t="s">
        <v>589</v>
      </c>
      <c r="BH15" s="131"/>
      <c r="BI15" s="131">
        <f>IF(LEN(Анализ_Чувствительность[[#This Row],[Свёртка]])&gt;0,1,-1)</f>
        <v>-1</v>
      </c>
      <c r="BJ15" s="131"/>
      <c r="BK15" s="154">
        <f>IF(LEN(Анализ_Чувствительность[[#This Row],[Критерий]])&gt;0,1,-1)</f>
        <v>-1</v>
      </c>
      <c r="BL15" s="131"/>
      <c r="BM15" s="154">
        <f>IF(LEN(Анализ_Чувствительность[[#This Row],[Критерии]])&gt;0,1,-1)</f>
        <v>-1</v>
      </c>
      <c r="BN15" s="154">
        <f>IF(AND(LEN(Анализ_Чувствительность[[#This Row],[Свёртка]])&gt;0,LEN(Анализ_Чувствительность[[#This Row],[Критерии]])&gt;0,LEN(Анализ_Чувствительность[[#This Row],[Оценки]])&gt;0,LEN(Анализ_Чувствительность[[#This Row],[Представление]])&gt;0,LEN(Анализ_Чувствительность[[#This Row],[Критерий]])&gt;0,LEN(Анализ_Чувствительность[[#This Row],[Размещение]])&gt;0,LEN(Анализ_Чувствительность[[#This Row],[Шаг]])&gt;0,LEN(Анализ_Чувствительность[[#This Row],[min]])&gt;0,LEN(Анализ_Чувствительность[[#This Row],[max]])&gt;0,(Анализ_Чувствительность[[#This Row],[min]]&lt;&gt;Анализ_Чувствительность[[#This Row],[max]])),1,-1)</f>
        <v>-1</v>
      </c>
      <c r="BO15" s="131"/>
      <c r="BP15" s="131"/>
      <c r="BU15" s="155"/>
      <c r="BV15" s="155"/>
      <c r="BW15" s="155"/>
      <c r="BX15" s="155"/>
      <c r="BY15" s="155"/>
      <c r="BZ15" s="155"/>
      <c r="CA15" s="155"/>
      <c r="CB15" s="155"/>
      <c r="CC15" s="155"/>
      <c r="CD15" s="155"/>
      <c r="CE15" s="155"/>
      <c r="CF15" s="155"/>
      <c r="CG15" s="155"/>
      <c r="CH15" s="155"/>
      <c r="CI15" s="155"/>
      <c r="CJ15" s="155"/>
      <c r="CK15" s="155"/>
      <c r="CL15" s="155"/>
      <c r="CM15" s="155"/>
      <c r="CN15" s="155"/>
      <c r="CO15" s="155"/>
    </row>
    <row r="16" spans="1:93" x14ac:dyDescent="0.25">
      <c r="A16"/>
      <c r="B16"/>
      <c r="C16"/>
      <c r="D16"/>
      <c r="E16"/>
      <c r="F16"/>
      <c r="G16"/>
      <c r="H16"/>
      <c r="I16"/>
      <c r="J16"/>
      <c r="K16"/>
      <c r="L16"/>
      <c r="M16"/>
      <c r="N16"/>
      <c r="O16"/>
      <c r="P16"/>
      <c r="Q16"/>
      <c r="T16"/>
      <c r="U16"/>
      <c r="V16"/>
      <c r="W16"/>
      <c r="X16"/>
      <c r="Y16"/>
      <c r="Z16"/>
      <c r="AA16"/>
      <c r="AB16"/>
      <c r="AC16"/>
      <c r="AD16"/>
      <c r="AE16"/>
      <c r="AF16"/>
      <c r="AG16"/>
      <c r="AH16"/>
      <c r="AI16"/>
      <c r="AJ16"/>
      <c r="AK16"/>
      <c r="AL16"/>
      <c r="AM16"/>
      <c r="AN16"/>
      <c r="AO16"/>
      <c r="AP16"/>
      <c r="AQ16"/>
      <c r="AR16"/>
      <c r="AS16"/>
      <c r="AT16"/>
      <c r="AU16"/>
      <c r="AV16"/>
      <c r="AW16"/>
      <c r="AX16"/>
      <c r="AZ16" s="131"/>
      <c r="BA16" s="131"/>
      <c r="BC16" s="154" t="str">
        <f>IF(AND(Анализ_Чувствительность[[#This Row],[Y]]=1),ROW()-ROW(Анализ_Чувствительность[[#Headers],[№]]),"")</f>
        <v/>
      </c>
      <c r="BD16" s="5"/>
      <c r="BE16" s="149">
        <v>0.2</v>
      </c>
      <c r="BF16" s="149" t="s">
        <v>573</v>
      </c>
      <c r="BG16" s="5" t="s">
        <v>590</v>
      </c>
      <c r="BH16" s="131"/>
      <c r="BI16" s="131">
        <f>IF(LEN(Анализ_Чувствительность[[#This Row],[Свёртка]])&gt;0,1,-1)</f>
        <v>-1</v>
      </c>
      <c r="BJ16" s="131"/>
      <c r="BK16" s="154">
        <f>IF(LEN(Анализ_Чувствительность[[#This Row],[Критерий]])&gt;0,1,-1)</f>
        <v>-1</v>
      </c>
      <c r="BL16" s="131"/>
      <c r="BM16" s="154">
        <f>IF(LEN(Анализ_Чувствительность[[#This Row],[Критерии]])&gt;0,1,-1)</f>
        <v>-1</v>
      </c>
      <c r="BN16" s="154">
        <f>IF(AND(LEN(Анализ_Чувствительность[[#This Row],[Свёртка]])&gt;0,LEN(Анализ_Чувствительность[[#This Row],[Критерии]])&gt;0,LEN(Анализ_Чувствительность[[#This Row],[Оценки]])&gt;0,LEN(Анализ_Чувствительность[[#This Row],[Представление]])&gt;0,LEN(Анализ_Чувствительность[[#This Row],[Критерий]])&gt;0,LEN(Анализ_Чувствительность[[#This Row],[Размещение]])&gt;0,LEN(Анализ_Чувствительность[[#This Row],[Шаг]])&gt;0,LEN(Анализ_Чувствительность[[#This Row],[min]])&gt;0,LEN(Анализ_Чувствительность[[#This Row],[max]])&gt;0,(Анализ_Чувствительность[[#This Row],[min]]&lt;&gt;Анализ_Чувствительность[[#This Row],[max]])),1,-1)</f>
        <v>-1</v>
      </c>
      <c r="BO16" s="131"/>
      <c r="BP16" s="131"/>
      <c r="BU16" s="155"/>
      <c r="BV16" s="155"/>
      <c r="BW16" s="155"/>
      <c r="BX16" s="155"/>
      <c r="BY16" s="155"/>
      <c r="BZ16" s="155"/>
      <c r="CA16" s="155"/>
      <c r="CB16" s="155"/>
      <c r="CC16" s="155"/>
      <c r="CD16" s="155"/>
      <c r="CE16" s="155"/>
      <c r="CF16" s="155"/>
      <c r="CG16" s="155"/>
      <c r="CH16" s="155"/>
      <c r="CI16" s="155"/>
      <c r="CJ16" s="155"/>
      <c r="CK16" s="155"/>
      <c r="CL16" s="155"/>
      <c r="CM16" s="155"/>
      <c r="CN16" s="155"/>
      <c r="CO16" s="155"/>
    </row>
    <row r="17" spans="1:93" x14ac:dyDescent="0.25">
      <c r="A17"/>
      <c r="B17"/>
      <c r="C17"/>
      <c r="D17"/>
      <c r="E17"/>
      <c r="F17"/>
      <c r="G17"/>
      <c r="H17"/>
      <c r="I17"/>
      <c r="J17"/>
      <c r="K17"/>
      <c r="L17"/>
      <c r="M17"/>
      <c r="N17"/>
      <c r="O17"/>
      <c r="P17"/>
      <c r="Q17"/>
      <c r="T17"/>
      <c r="U17"/>
      <c r="V17"/>
      <c r="W17"/>
      <c r="X17"/>
      <c r="Y17"/>
      <c r="Z17"/>
      <c r="AA17"/>
      <c r="AB17"/>
      <c r="AC17"/>
      <c r="AD17"/>
      <c r="AE17"/>
      <c r="AF17"/>
      <c r="AG17"/>
      <c r="AH17"/>
      <c r="AI17"/>
      <c r="AJ17"/>
      <c r="AK17"/>
      <c r="AL17"/>
      <c r="AM17"/>
      <c r="AN17"/>
      <c r="AO17"/>
      <c r="AP17"/>
      <c r="AQ17"/>
      <c r="AR17"/>
      <c r="AS17"/>
      <c r="AT17"/>
      <c r="AU17"/>
      <c r="AV17"/>
      <c r="AW17"/>
      <c r="AX17"/>
      <c r="AZ17" s="131"/>
      <c r="BA17" s="131"/>
      <c r="BC17" s="154" t="str">
        <f>IF(AND(Анализ_Чувствительность[[#This Row],[Y]]=1),ROW()-ROW(Анализ_Чувствительность[[#Headers],[№]]),"")</f>
        <v/>
      </c>
      <c r="BD17" s="5"/>
      <c r="BE17" s="149">
        <v>0.2</v>
      </c>
      <c r="BF17" s="149" t="s">
        <v>573</v>
      </c>
      <c r="BG17" s="5" t="s">
        <v>591</v>
      </c>
      <c r="BH17" s="131"/>
      <c r="BI17" s="131">
        <f>IF(LEN(Анализ_Чувствительность[[#This Row],[Свёртка]])&gt;0,1,-1)</f>
        <v>-1</v>
      </c>
      <c r="BJ17" s="131"/>
      <c r="BK17" s="154">
        <f>IF(LEN(Анализ_Чувствительность[[#This Row],[Критерий]])&gt;0,1,-1)</f>
        <v>-1</v>
      </c>
      <c r="BL17" s="131"/>
      <c r="BM17" s="154">
        <f>IF(LEN(Анализ_Чувствительность[[#This Row],[Критерии]])&gt;0,1,-1)</f>
        <v>-1</v>
      </c>
      <c r="BN17" s="154">
        <f>IF(AND(LEN(Анализ_Чувствительность[[#This Row],[Свёртка]])&gt;0,LEN(Анализ_Чувствительность[[#This Row],[Критерии]])&gt;0,LEN(Анализ_Чувствительность[[#This Row],[Оценки]])&gt;0,LEN(Анализ_Чувствительность[[#This Row],[Представление]])&gt;0,LEN(Анализ_Чувствительность[[#This Row],[Критерий]])&gt;0,LEN(Анализ_Чувствительность[[#This Row],[Размещение]])&gt;0,LEN(Анализ_Чувствительность[[#This Row],[Шаг]])&gt;0,LEN(Анализ_Чувствительность[[#This Row],[min]])&gt;0,LEN(Анализ_Чувствительность[[#This Row],[max]])&gt;0,(Анализ_Чувствительность[[#This Row],[min]]&lt;&gt;Анализ_Чувствительность[[#This Row],[max]])),1,-1)</f>
        <v>-1</v>
      </c>
      <c r="BO17" s="131"/>
      <c r="BP17" s="131"/>
      <c r="BU17" s="155"/>
      <c r="BV17" s="155"/>
      <c r="BW17" s="155"/>
      <c r="BX17" s="155"/>
      <c r="BY17" s="155"/>
      <c r="BZ17" s="155"/>
      <c r="CA17" s="155"/>
      <c r="CB17" s="155"/>
      <c r="CC17" s="155"/>
      <c r="CD17" s="155"/>
      <c r="CE17" s="155"/>
      <c r="CF17" s="155"/>
      <c r="CG17" s="155"/>
      <c r="CH17" s="155"/>
      <c r="CI17" s="155"/>
      <c r="CJ17" s="155"/>
      <c r="CK17" s="155"/>
      <c r="CL17" s="155"/>
      <c r="CM17" s="155"/>
      <c r="CN17" s="155"/>
      <c r="CO17" s="155"/>
    </row>
    <row r="23" spans="1:93" x14ac:dyDescent="0.25">
      <c r="G23" s="148">
        <v>100</v>
      </c>
    </row>
  </sheetData>
  <dataConsolidate link="1"/>
  <conditionalFormatting sqref="R1:R1048576">
    <cfRule type="iconSet" priority="35">
      <iconSet showValue="0">
        <cfvo type="percent" val="0"/>
        <cfvo type="num" val="0"/>
        <cfvo type="num" val="1"/>
      </iconSet>
    </cfRule>
  </conditionalFormatting>
  <conditionalFormatting sqref="AY10:BA10 AY1:AY1048576">
    <cfRule type="iconSet" priority="37">
      <iconSet showValue="0">
        <cfvo type="percent" val="0"/>
        <cfvo type="num" val="0"/>
        <cfvo type="num" val="1"/>
      </iconSet>
    </cfRule>
  </conditionalFormatting>
  <conditionalFormatting sqref="BQ13:CO17 BT10:CO12">
    <cfRule type="expression" dxfId="1799" priority="31">
      <formula>IF(AND(LEN($BL10)&gt;0,LEN($BL10)-LEN(SUBSTITUTE($BL10,";",""))+1&gt;=COLUMN()-68),0,1)</formula>
    </cfRule>
  </conditionalFormatting>
  <conditionalFormatting sqref="BL13:BL17 BJ13:BJ17 BG13:BH17">
    <cfRule type="containsBlanks" dxfId="1798" priority="38">
      <formula>LEN(TRIM(BG13))=0</formula>
    </cfRule>
  </conditionalFormatting>
  <conditionalFormatting sqref="BH13:BH17 BJ13:BJ17">
    <cfRule type="containsBlanks" dxfId="1797" priority="27">
      <formula>LEN(TRIM(BH13))=0</formula>
    </cfRule>
  </conditionalFormatting>
  <conditionalFormatting sqref="BF13:BF17">
    <cfRule type="containsBlanks" dxfId="1796" priority="24">
      <formula>LEN(TRIM(BF13))=0</formula>
    </cfRule>
  </conditionalFormatting>
  <conditionalFormatting sqref="BD13:BE17">
    <cfRule type="containsBlanks" dxfId="1795" priority="25">
      <formula>LEN(TRIM(BD13))=0</formula>
    </cfRule>
  </conditionalFormatting>
  <conditionalFormatting sqref="B10:B15">
    <cfRule type="cellIs" dxfId="1794" priority="16" stopIfTrue="1" operator="notBetween">
      <formula>1</formula>
      <formula>4</formula>
    </cfRule>
  </conditionalFormatting>
  <conditionalFormatting sqref="B10">
    <cfRule type="cellIs" dxfId="1793" priority="15" stopIfTrue="1" operator="notBetween">
      <formula>1</formula>
      <formula>4</formula>
    </cfRule>
  </conditionalFormatting>
  <conditionalFormatting sqref="U10">
    <cfRule type="cellIs" dxfId="1792" priority="14" stopIfTrue="1" operator="notBetween">
      <formula>1</formula>
      <formula>4</formula>
    </cfRule>
  </conditionalFormatting>
  <conditionalFormatting sqref="U11:U12">
    <cfRule type="cellIs" dxfId="1791" priority="13" stopIfTrue="1" operator="notBetween">
      <formula>1</formula>
      <formula>4</formula>
    </cfRule>
  </conditionalFormatting>
  <conditionalFormatting sqref="BQ10:BS11">
    <cfRule type="expression" dxfId="1790" priority="10">
      <formula>IF(AND(LEN($BL10)&gt;0,LEN($BL10)-LEN(SUBSTITUTE($BL10,";",""))+1&gt;=COLUMN()-68),0,1)</formula>
    </cfRule>
  </conditionalFormatting>
  <conditionalFormatting sqref="BG10:BH11 BJ10:BJ11 BL10:BL12">
    <cfRule type="containsBlanks" dxfId="1789" priority="11">
      <formula>LEN(TRIM(BG10))=0</formula>
    </cfRule>
  </conditionalFormatting>
  <conditionalFormatting sqref="BD10:BE11 BE10:BE17 BD10:BD12">
    <cfRule type="containsBlanks" dxfId="1788" priority="9">
      <formula>LEN(TRIM(BD10))=0</formula>
    </cfRule>
  </conditionalFormatting>
  <conditionalFormatting sqref="BM10:BN11 BK10:BK11 BI10:BI11">
    <cfRule type="iconSet" priority="12">
      <iconSet showValue="0">
        <cfvo type="percent" val="0"/>
        <cfvo type="num" val="0"/>
        <cfvo type="num" val="0" gte="0"/>
      </iconSet>
    </cfRule>
  </conditionalFormatting>
  <conditionalFormatting sqref="BF11">
    <cfRule type="containsBlanks" dxfId="1787" priority="8">
      <formula>LEN(TRIM(BF11))=0</formula>
    </cfRule>
  </conditionalFormatting>
  <conditionalFormatting sqref="BF10:BF17">
    <cfRule type="containsBlanks" dxfId="1786" priority="7">
      <formula>LEN(TRIM(BF10))=0</formula>
    </cfRule>
  </conditionalFormatting>
  <conditionalFormatting sqref="AY11:BA12 AZ13:BA17">
    <cfRule type="iconSet" priority="55">
      <iconSet showValue="0">
        <cfvo type="percent" val="0"/>
        <cfvo type="num" val="0"/>
        <cfvo type="num" val="1"/>
      </iconSet>
    </cfRule>
  </conditionalFormatting>
  <conditionalFormatting sqref="BM13:BN17 BK13:BK17">
    <cfRule type="iconSet" priority="58">
      <iconSet showValue="0">
        <cfvo type="percent" val="0"/>
        <cfvo type="num" val="0"/>
        <cfvo type="num" val="0" gte="0"/>
      </iconSet>
    </cfRule>
  </conditionalFormatting>
  <conditionalFormatting sqref="BI13:BI17">
    <cfRule type="iconSet" priority="60">
      <iconSet showValue="0">
        <cfvo type="percent" val="0"/>
        <cfvo type="num" val="0"/>
        <cfvo type="num" val="0" gte="0"/>
      </iconSet>
    </cfRule>
  </conditionalFormatting>
  <conditionalFormatting sqref="BQ12:BS12">
    <cfRule type="expression" dxfId="1785" priority="4">
      <formula>IF(AND(LEN($BL12)&gt;0,LEN($BL12)-LEN(SUBSTITUTE($BL12,";",""))+1&gt;=COLUMN()-68),0,1)</formula>
    </cfRule>
  </conditionalFormatting>
  <conditionalFormatting sqref="BG12:BH12 BJ12 BL12">
    <cfRule type="containsBlanks" dxfId="1784" priority="5">
      <formula>LEN(TRIM(BG12))=0</formula>
    </cfRule>
  </conditionalFormatting>
  <conditionalFormatting sqref="BD12:BE12">
    <cfRule type="containsBlanks" dxfId="1783" priority="3">
      <formula>LEN(TRIM(BD12))=0</formula>
    </cfRule>
  </conditionalFormatting>
  <conditionalFormatting sqref="BM12:BN12 BK12 BI12">
    <cfRule type="iconSet" priority="6">
      <iconSet showValue="0">
        <cfvo type="percent" val="0"/>
        <cfvo type="num" val="0"/>
        <cfvo type="num" val="0" gte="0"/>
      </iconSet>
    </cfRule>
  </conditionalFormatting>
  <conditionalFormatting sqref="BF12">
    <cfRule type="containsBlanks" dxfId="1782" priority="2">
      <formula>LEN(TRIM(BF12))=0</formula>
    </cfRule>
  </conditionalFormatting>
  <conditionalFormatting sqref="U13">
    <cfRule type="cellIs" dxfId="1781" priority="1" stopIfTrue="1" operator="notBetween">
      <formula>1</formula>
      <formula>4</formula>
    </cfRule>
  </conditionalFormatting>
  <dataValidations count="7">
    <dataValidation type="list" allowBlank="1" showInputMessage="1" showErrorMessage="1" sqref="BH10:BH17" xr:uid="{00000000-0002-0000-0200-000000000000}">
      <formula1>INDIRECT("Свёртка_Чувствительность[№]")</formula1>
    </dataValidation>
    <dataValidation type="list" allowBlank="1" showInputMessage="1" showErrorMessage="1" sqref="BD10:BD17" xr:uid="{00000000-0002-0000-0200-000001000000}">
      <formula1>"Качественные, Количественные"</formula1>
    </dataValidation>
    <dataValidation type="list" allowBlank="1" showInputMessage="1" showErrorMessage="1" sqref="BJ10:BJ17 BL10:BL17" xr:uid="{00000000-0002-0000-0200-000002000000}">
      <formula1>INDIRECT("Критерий_Чувствительность[№]")</formula1>
    </dataValidation>
    <dataValidation type="list" allowBlank="1" showInputMessage="1" showErrorMessage="1" sqref="BF10:BF17" xr:uid="{00000000-0002-0000-0200-000003000000}">
      <formula1>INDIRECT("Rotate_Reflex[Данные]")</formula1>
    </dataValidation>
    <dataValidation type="whole" allowBlank="1" showInputMessage="1" showErrorMessage="1" sqref="BM10:BN17 BI10:BI17 BK10:BK17" xr:uid="{00000000-0002-0000-0200-000004000000}">
      <formula1>-1</formula1>
      <formula2>1</formula2>
    </dataValidation>
    <dataValidation type="decimal" allowBlank="1" showInputMessage="1" showErrorMessage="1" sqref="BE10:BE17" xr:uid="{00000000-0002-0000-0200-000005000000}">
      <formula1>-1E+25</formula1>
      <formula2>1E+24</formula2>
    </dataValidation>
    <dataValidation type="decimal" allowBlank="1" showInputMessage="1" showErrorMessage="1" sqref="BO10:BP17" xr:uid="{00000000-0002-0000-0200-000006000000}">
      <formula1>-1E+37</formula1>
      <formula2>1E+38</formula2>
    </dataValidation>
  </dataValidations>
  <pageMargins left="0.7" right="0.7" top="0.75" bottom="0.75" header="0.3" footer="0.3"/>
  <pageSetup paperSize="9" orientation="portrait" horizontalDpi="4294967295" verticalDpi="4294967295" r:id="rId1"/>
  <drawing r:id="rId2"/>
  <tableParts count="3">
    <tablePart r:id="rId3"/>
    <tablePart r:id="rId4"/>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311"/>
  <dimension ref="A1:X25"/>
  <sheetViews>
    <sheetView topLeftCell="A8" zoomScaleNormal="100" workbookViewId="0">
      <selection activeCell="O39" sqref="O39"/>
    </sheetView>
  </sheetViews>
  <sheetFormatPr defaultRowHeight="15" outlineLevelRow="1" x14ac:dyDescent="0.25"/>
  <cols>
    <col min="1" max="1" width="26.5703125" customWidth="1"/>
    <col min="2" max="2" width="27.7109375" hidden="1" customWidth="1"/>
    <col min="3" max="3" width="17" customWidth="1"/>
    <col min="4" max="4" width="17.28515625" hidden="1" customWidth="1"/>
    <col min="5" max="5" width="20.5703125" hidden="1" customWidth="1"/>
    <col min="6" max="6" width="18" hidden="1" customWidth="1"/>
    <col min="7" max="8" width="8.85546875" hidden="1" customWidth="1"/>
    <col min="9" max="9" width="9.85546875" hidden="1" customWidth="1"/>
    <col min="10" max="14" width="8.85546875" hidden="1" customWidth="1"/>
    <col min="15" max="15" width="18.85546875" customWidth="1"/>
    <col min="16" max="17" width="8.85546875" hidden="1" customWidth="1"/>
    <col min="18" max="18" width="21.7109375" customWidth="1"/>
    <col min="19" max="19" width="21.5703125" hidden="1" customWidth="1"/>
    <col min="20" max="20" width="4.42578125" style="66" customWidth="1"/>
    <col min="21" max="21" width="19.140625" customWidth="1"/>
  </cols>
  <sheetData>
    <row r="1" spans="1:24" hidden="1" outlineLevel="1" x14ac:dyDescent="0.25">
      <c r="A1" t="s">
        <v>364</v>
      </c>
      <c r="C1">
        <f>ROWS(Измен_Отслеж[])</f>
        <v>11</v>
      </c>
    </row>
    <row r="2" spans="1:24" hidden="1" outlineLevel="1" x14ac:dyDescent="0.25">
      <c r="A2" t="s">
        <v>365</v>
      </c>
      <c r="C2">
        <f>COUNTIF(Измен_Отслеж[Изменяем],"&gt;=1")-COUNTIF(Измен_Отслеж[Изменяем],"&gt;4")</f>
        <v>0</v>
      </c>
      <c r="O2">
        <f>COUNTIF(Измен_Отслеж[Отслеживаем],"&gt;=1")-COUNTIF(Измен_Отслеж[Отслеживаем],"&gt;4")</f>
        <v>0</v>
      </c>
    </row>
    <row r="3" spans="1:24" hidden="1" outlineLevel="1" x14ac:dyDescent="0.25">
      <c r="A3" t="s">
        <v>366</v>
      </c>
      <c r="C3">
        <f>COUNTA(Измен_Отслеж[Изменяем])</f>
        <v>1</v>
      </c>
      <c r="O3">
        <f>COUNTA(Измен_Отслеж[Отслеживаем])</f>
        <v>1</v>
      </c>
      <c r="R3">
        <f ca="1">SUMIF(Измен_Отслеж[O.K.],"&gt;0")</f>
        <v>0</v>
      </c>
    </row>
    <row r="4" spans="1:24" hidden="1" outlineLevel="1" x14ac:dyDescent="0.25">
      <c r="A4" t="s">
        <v>369</v>
      </c>
      <c r="E4">
        <v>1</v>
      </c>
      <c r="G4">
        <v>-1</v>
      </c>
      <c r="J4">
        <v>1</v>
      </c>
      <c r="L4">
        <v>1</v>
      </c>
      <c r="N4">
        <v>1</v>
      </c>
    </row>
    <row r="5" spans="1:24" hidden="1" outlineLevel="1" x14ac:dyDescent="0.25">
      <c r="A5" t="s">
        <v>370</v>
      </c>
      <c r="E5">
        <v>0</v>
      </c>
      <c r="G5">
        <v>-3</v>
      </c>
      <c r="J5">
        <v>-1</v>
      </c>
      <c r="L5">
        <v>-3</v>
      </c>
      <c r="N5">
        <v>-2</v>
      </c>
    </row>
    <row r="6" spans="1:24" hidden="1" outlineLevel="1" x14ac:dyDescent="0.25">
      <c r="A6">
        <v>0</v>
      </c>
      <c r="B6">
        <f>A6+1</f>
        <v>1</v>
      </c>
      <c r="C6">
        <f t="shared" ref="C6:P6" si="0">B6+1</f>
        <v>2</v>
      </c>
      <c r="D6">
        <f t="shared" si="0"/>
        <v>3</v>
      </c>
      <c r="E6">
        <f t="shared" si="0"/>
        <v>4</v>
      </c>
      <c r="F6">
        <f t="shared" si="0"/>
        <v>5</v>
      </c>
      <c r="G6">
        <f>F6+1</f>
        <v>6</v>
      </c>
      <c r="H6">
        <f t="shared" si="0"/>
        <v>7</v>
      </c>
      <c r="I6">
        <f t="shared" si="0"/>
        <v>8</v>
      </c>
      <c r="J6">
        <f t="shared" si="0"/>
        <v>9</v>
      </c>
      <c r="K6">
        <f t="shared" si="0"/>
        <v>10</v>
      </c>
      <c r="L6">
        <f t="shared" si="0"/>
        <v>11</v>
      </c>
      <c r="M6">
        <f t="shared" si="0"/>
        <v>12</v>
      </c>
      <c r="N6">
        <f t="shared" si="0"/>
        <v>13</v>
      </c>
      <c r="O6">
        <v>0</v>
      </c>
      <c r="P6">
        <f t="shared" si="0"/>
        <v>1</v>
      </c>
      <c r="Q6">
        <f>P6+1</f>
        <v>2</v>
      </c>
      <c r="R6">
        <f>Q6+1</f>
        <v>3</v>
      </c>
      <c r="S6">
        <f>R6+1</f>
        <v>4</v>
      </c>
      <c r="T6">
        <f>S6+1</f>
        <v>5</v>
      </c>
    </row>
    <row r="7" spans="1:24" hidden="1" outlineLevel="1" x14ac:dyDescent="0.25"/>
    <row r="8" spans="1:24" s="5" customFormat="1" collapsed="1" x14ac:dyDescent="0.25">
      <c r="A8" s="5" t="s">
        <v>367</v>
      </c>
      <c r="B8" s="5" t="s">
        <v>371</v>
      </c>
      <c r="C8" s="5" t="s">
        <v>383</v>
      </c>
      <c r="D8" s="5" t="s">
        <v>372</v>
      </c>
      <c r="E8" s="5" t="s">
        <v>373</v>
      </c>
      <c r="F8" s="5" t="s">
        <v>374</v>
      </c>
      <c r="G8" s="5" t="s">
        <v>375</v>
      </c>
      <c r="H8" s="5" t="s">
        <v>376</v>
      </c>
      <c r="I8" s="5" t="s">
        <v>378</v>
      </c>
      <c r="J8" s="5" t="s">
        <v>379</v>
      </c>
      <c r="K8" s="5" t="s">
        <v>380</v>
      </c>
      <c r="L8" s="5" t="s">
        <v>381</v>
      </c>
      <c r="M8" s="5" t="s">
        <v>382</v>
      </c>
      <c r="N8" s="5" t="s">
        <v>377</v>
      </c>
      <c r="O8" s="5" t="s">
        <v>368</v>
      </c>
      <c r="P8" s="5" t="s">
        <v>384</v>
      </c>
      <c r="Q8" s="5" t="s">
        <v>388</v>
      </c>
      <c r="R8" s="5" t="s">
        <v>385</v>
      </c>
      <c r="S8" s="5" t="s">
        <v>386</v>
      </c>
      <c r="T8" s="5" t="s">
        <v>387</v>
      </c>
    </row>
    <row r="9" spans="1:24" x14ac:dyDescent="0.25">
      <c r="A9" s="37">
        <f>Модель!K19</f>
        <v>0</v>
      </c>
      <c r="B9" s="38" t="str">
        <f ca="1">IFERROR(IF(AND(Измен_Отслеж[[#This Row],[Изменяем]]&gt;=1,Измен_Отслеж[[#This Row],[Изменяем]]&lt;=4),IF(IFERROR(FIND("!",_xlfn.FORMULATEXT(Измен_Отслеж[[#This Row],[Изменяем]])),"на странице")="на странице",CONCATENATE("R",ROW((INDIRECT(RIGHT(_xlfn.FORMULATEXT(Измен_Отслеж[[#This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Row],[Изменяем]]))-1),FALSE)))-B$6),CONCATENATE(RIGHT(LEFT(_xlfn.FORMULATEXT(Измен_Отслеж[[#This Row],[Изменяем]]),FIND("!",_xlfn.FORMULATEXT(Измен_Отслеж[[#This Row],[Изменяем]]))),LEN(LEFT(_xlfn.FORMULATEXT(Измен_Отслеж[[#This Row],[Изменяем]]),FIND("!",_xlfn.FORMULATEXT(Измен_Отслеж[[#This Row],[Изменяем]]))))-1),"R",ROW((INDIRECT(RIGHT(_xlfn.FORMULATEXT(Измен_Отслеж[[#This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Row],[Изменяем]]))-1),FALSE)))-B$6)),"ошибка"),"ошибка")</f>
        <v>ошибка</v>
      </c>
      <c r="C9" s="38" t="str">
        <f ca="1">IFERROR(IF(LEFT(Измен_Отслеж[[#This Row],[ФИзменяем]],5)="=Прив","Критерий",IF(LEFT(Измен_Отслеж[[#This Row],[ФИзменяем]],5)="=Матр","Матрица","ошибка")),"ошибка")</f>
        <v>ошибка</v>
      </c>
      <c r="D9" s="38" t="str">
        <f ca="1">IFERROR(IF(N(INDIRECT(Измен_Отслеж[[#This Row],[СФизИзменяем]],FALSE))=0,"ошибка",IFERROR(INDIRECT(Измен_Отслеж[[#This Row],[СФизИзменяем]],FALSE),"ошибка")),"ошибка")</f>
        <v>ошибка</v>
      </c>
      <c r="E9"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Row],[СИзменяем]])))+E$5),FIND("R",Измен_Отслеж[[#This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Row],[СИзменяем]])))+E$4),"ошибка")</f>
        <v>ошибка</v>
      </c>
      <c r="F9" s="38" t="str">
        <f ca="1">IFERROR(IF(
                OR(
                    INDIRECT(Измен_Отслеж[[#This Row],[СТипИзменяем]],FALSE)=Перебор!$N$58,
                    INDIRECT(Измен_Отслеж[[#This Row],[СТипИзменяем]],FALSE)=Перебор!$N$59,
                    INDIRECT(Измен_Отслеж[[#This Row],[СТипИзменяем]],FALSE)=Перебор!$N$60,
                    INDIRECT(Измен_Отслеж[[#This Row],[СТипИзменяем]],FALSE)=Перебор!$N$61),
                    INDIRECT(Измен_Отслеж[[#This Row],[СТипИзменяем]],FALSE),
                "ошибка"),"ошибка")</f>
        <v>ошибка</v>
      </c>
      <c r="G9"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Row],[СИзменяем]])))+G$5),FIND("R",Измен_Отслеж[[#This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Row],[СИзменяем]])))+G$4),"ошибка")</f>
        <v>ошибка</v>
      </c>
      <c r="H9" s="38" t="str">
        <f ca="1">IFERROR(_xlfn.FORMULATEXT(INDIRECT(Измен_Отслеж[[#This Row],[СИзменяем]],FALSE)),"ошибка")</f>
        <v>ошибка</v>
      </c>
      <c r="I9" s="38" t="str">
        <f ca="1">IFERROR(IF(N(INDIRECT(Измен_Отслеж[[#This Row],[СМинФизИзменяем]],FALSE))=0,"ошибка",IFERROR(INDIRECT(Измен_Отслеж[[#This Row],[СМинФизИзменяем]],FALSE),"ошибка")),"ошибка")</f>
        <v>ошибка</v>
      </c>
      <c r="J9"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Row],[СИзменяем]])))+J$5),FIND("R",Измен_Отслеж[[#This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Row],[СИзменяем]])))+J$4),"ошибка")</f>
        <v>ошибка</v>
      </c>
      <c r="K9" s="38" t="str">
        <f ca="1">IFERROR(IF(N(INDIRECT(Измен_Отслеж[[#This Row],[СМаксФизИзменяем]],FALSE))=0,"ошибка",IFERROR(INDIRECT(Измен_Отслеж[[#This Row],[СМаксФизИзменяем]],FALSE),"ошибка")),"ошибка")</f>
        <v>ошибка</v>
      </c>
      <c r="L9"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Row],[СИзменяем]])))+L$5),FIND("R",Измен_Отслеж[[#This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Row],[СИзменяем]])))+L$4),"ошибка")</f>
        <v>ошибка</v>
      </c>
      <c r="M9" s="38" t="str">
        <f ca="1">IFERROR(IF(N(INDIRECT(Измен_Отслеж[[#This Row],[ССрФизИзменяем]],FALSE))=0,"ошибка",IFERROR(INDIRECT(Измен_Отслеж[[#This Row],[ССрФизИзменяем]],FALSE),"ошибка")),"ошибка")</f>
        <v>ошибка</v>
      </c>
      <c r="N9" s="38" t="str">
        <f ca="1">IF(OR(Измен_Отслеж[[#This Row],[ТипИзменяем]]=Перебор!$N$60,Измен_Отслеж[[#This Row],[ТипИзменяем]]=Перебор!$N$61),IFERROR(REPLACE(REPLACE(Измен_Отслеж[[#This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Row],[СИзменяем]])))+N$5),FIND("R",Измен_Отслеж[[#This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Row],[СИзменяем]])))+N$4),"ошибка"),"ошибка")</f>
        <v>ошибка</v>
      </c>
      <c r="O9" s="37" t="str">
        <f>Модель!P10</f>
        <v>T</v>
      </c>
      <c r="P9" s="38" t="str">
        <f ca="1">IFERROR(IF(AND(Измен_Отслеж[[#This Row],[Отслеживаем]]&gt;=1,Измен_Отслеж[[#This Row],[Отслеживаем]]&lt;=4),IF(IFERROR(FIND("!",_xlfn.FORMULATEXT(Измен_Отслеж[[#This Row],[Отслеживаем]])),"на странице")="на странице",CONCATENATE("R",ROW((INDIRECT(RIGHT(_xlfn.FORMULATEXT(Измен_Отслеж[[#This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Row],[Отслеживаем]]))-1),FALSE)))-P$6),CONCATENATE(RIGHT(LEFT(_xlfn.FORMULATEXT(Измен_Отслеж[[#This Row],[Отслеживаем]]),FIND("!",_xlfn.FORMULATEXT(Измен_Отслеж[[#This Row],[Отслеживаем]]))),LEN(LEFT(_xlfn.FORMULATEXT(Измен_Отслеж[[#This Row],[Отслеживаем]]),FIND("!",_xlfn.FORMULATEXT(Измен_Отслеж[[#This Row],[Отслеживаем]]))))-1),"R",ROW((INDIRECT(RIGHT(_xlfn.FORMULATEXT(Измен_Отслеж[[#This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Row],[Отслеживаем]]))-1),FALSE)))-P$6)),"ошибка"),"ошибка")</f>
        <v>ошибка</v>
      </c>
      <c r="Q9" s="38" t="str">
        <f ca="1">IFERROR(_xlfn.FORMULATEXT(INDIRECT(Измен_Отслеж[[#This Row],[СОтслеживаем]],FALSE)),"ошибка")</f>
        <v>ошибка</v>
      </c>
      <c r="R9" s="38" t="str">
        <f ca="1">IFERROR(IF(LEFT(Измен_Отслеж[[#This Row],[ФОтслеживаем]],5)="=Прив","Критерий",IF(LEFT(Измен_Отслеж[[#This Row],[ФОтслеживаем]],5)="=Матр","Матрица","ошибка")),"ошибка")</f>
        <v>ошибка</v>
      </c>
      <c r="S9" s="38" t="str">
        <f ca="1">IF(OR(AND(Измен_Отслеж[[#This Row],[ВидИзменяем]]="Критерий",Измен_Отслеж[[#This Row],[ВидОтслеживаем]]="Матрица"),AND(Измен_Отслеж[[#This Row],[ВидИзменяем]]="Матрица",Измен_Отслеж[[#This Row],[ВидОтслеживаем]]="Матрица")),"Отслеживаем","ошибка")</f>
        <v>ошибка</v>
      </c>
      <c r="T9" s="67">
        <f ca="1">IF(Измен_Отслеж[[#This Row],[Сопоставление]]="Отслеживаем",1,-1)</f>
        <v>-1</v>
      </c>
    </row>
    <row r="10" spans="1:24" ht="15.75" thickBot="1" x14ac:dyDescent="0.3">
      <c r="A10" s="37"/>
      <c r="B10" s="38" t="str">
        <f ca="1">IFERROR(IF(AND(Измен_Отслеж[[#This Row],[Изменяем]]&gt;=1,Измен_Отслеж[[#This Row],[Изменяем]]&lt;=4),IF(IFERROR(FIND("!",_xlfn.FORMULATEXT(Измен_Отслеж[[#This Row],[Изменяем]])),"на странице")="на странице",CONCATENATE("R",ROW((INDIRECT(RIGHT(_xlfn.FORMULATEXT(Измен_Отслеж[[#This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Row],[Изменяем]]))-1),FALSE)))-B$6),CONCATENATE(RIGHT(LEFT(_xlfn.FORMULATEXT(Измен_Отслеж[[#This Row],[Изменяем]]),FIND("!",_xlfn.FORMULATEXT(Измен_Отслеж[[#This Row],[Изменяем]]))),LEN(LEFT(_xlfn.FORMULATEXT(Измен_Отслеж[[#This Row],[Изменяем]]),FIND("!",_xlfn.FORMULATEXT(Измен_Отслеж[[#This Row],[Изменяем]]))))-1),"R",ROW((INDIRECT(RIGHT(_xlfn.FORMULATEXT(Измен_Отслеж[[#This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Row],[Изменяем]]))-1),FALSE)))-B$6)),"ошибка"),"ошибка")</f>
        <v>ошибка</v>
      </c>
      <c r="C10" s="38" t="str">
        <f ca="1">IFERROR(IF(LEFT(Измен_Отслеж[[#This Row],[ФИзменяем]],5)="=Прив","Критерий",IF(LEFT(Измен_Отслеж[[#This Row],[ФИзменяем]],5)="=Матр","Матрица","ошибка")),"ошибка")</f>
        <v>ошибка</v>
      </c>
      <c r="D10" s="38" t="str">
        <f ca="1">IFERROR(IF(N(INDIRECT(Измен_Отслеж[[#This Row],[СФизИзменяем]],FALSE))=0,"ошибка",IFERROR(INDIRECT(Измен_Отслеж[[#This Row],[СФизИзменяем]],FALSE),"ошибка")),"ошибка")</f>
        <v>ошибка</v>
      </c>
      <c r="E10"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Row],[СИзменяем]])))+E$5),FIND("R",Измен_Отслеж[[#This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Row],[СИзменяем]])))+E$4),"ошибка")</f>
        <v>ошибка</v>
      </c>
      <c r="F10" s="38" t="str">
        <f ca="1">IFERROR(IF(
                OR(
                    INDIRECT(Измен_Отслеж[[#This Row],[СТипИзменяем]],FALSE)=Перебор!$N$58,
                    INDIRECT(Измен_Отслеж[[#This Row],[СТипИзменяем]],FALSE)=Перебор!$N$59,
                    INDIRECT(Измен_Отслеж[[#This Row],[СТипИзменяем]],FALSE)=Перебор!$N$60,
                    INDIRECT(Измен_Отслеж[[#This Row],[СТипИзменяем]],FALSE)=Перебор!$N$61),
                    INDIRECT(Измен_Отслеж[[#This Row],[СТипИзменяем]],FALSE),
                "ошибка"),"ошибка")</f>
        <v>ошибка</v>
      </c>
      <c r="G10"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Row],[СИзменяем]])))+G$5),FIND("R",Измен_Отслеж[[#This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Row],[СИзменяем]])))+G$4),"ошибка")</f>
        <v>ошибка</v>
      </c>
      <c r="H10" s="38" t="str">
        <f ca="1">IFERROR(_xlfn.FORMULATEXT(INDIRECT(Измен_Отслеж[[#This Row],[СИзменяем]],FALSE)),"ошибка")</f>
        <v>ошибка</v>
      </c>
      <c r="I10" s="38" t="str">
        <f ca="1">IFERROR(IF(N(INDIRECT(Измен_Отслеж[[#This Row],[СМинФизИзменяем]],FALSE))=0,"ошибка",IFERROR(INDIRECT(Измен_Отслеж[[#This Row],[СМинФизИзменяем]],FALSE),"ошибка")),"ошибка")</f>
        <v>ошибка</v>
      </c>
      <c r="J10"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Row],[СИзменяем]])))+J$5),FIND("R",Измен_Отслеж[[#This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Row],[СИзменяем]])))+J$4),"ошибка")</f>
        <v>ошибка</v>
      </c>
      <c r="K10" s="38" t="str">
        <f ca="1">IFERROR(IF(N(INDIRECT(Измен_Отслеж[[#This Row],[СМаксФизИзменяем]],FALSE))=0,"ошибка",IFERROR(INDIRECT(Измен_Отслеж[[#This Row],[СМаксФизИзменяем]],FALSE),"ошибка")),"ошибка")</f>
        <v>ошибка</v>
      </c>
      <c r="L10"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Row],[СИзменяем]])))+L$5),FIND("R",Измен_Отслеж[[#This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Row],[СИзменяем]])))+L$4),"ошибка")</f>
        <v>ошибка</v>
      </c>
      <c r="M10" s="38" t="str">
        <f ca="1">IFERROR(IF(N(INDIRECT(Измен_Отслеж[[#This Row],[ССрФизИзменяем]],FALSE))=0,"ошибка",IFERROR(INDIRECT(Измен_Отслеж[[#This Row],[ССрФизИзменяем]],FALSE),"ошибка")),"ошибка")</f>
        <v>ошибка</v>
      </c>
      <c r="N10" s="38" t="str">
        <f ca="1">IF(OR(Измен_Отслеж[[#This Row],[ТипИзменяем]]=Перебор!$N$60,Измен_Отслеж[[#This Row],[ТипИзменяем]]=Перебор!$N$61),IFERROR(REPLACE(REPLACE(Измен_Отслеж[[#This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Row],[СИзменяем]])))+N$5),FIND("R",Измен_Отслеж[[#This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Row],[СИзменяем]])))+N$4),"ошибка"),"ошибка")</f>
        <v>ошибка</v>
      </c>
      <c r="O10" s="37"/>
      <c r="P10" s="38" t="str">
        <f ca="1">IFERROR(IF(AND(Измен_Отслеж[[#This Row],[Отслеживаем]]&gt;=1,Измен_Отслеж[[#This Row],[Отслеживаем]]&lt;=4),IF(IFERROR(FIND("!",_xlfn.FORMULATEXT(Измен_Отслеж[[#This Row],[Отслеживаем]])),"на странице")="на странице",CONCATENATE("R",ROW((INDIRECT(RIGHT(_xlfn.FORMULATEXT(Измен_Отслеж[[#This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Row],[Отслеживаем]]))-1),FALSE)))-P$6),CONCATENATE(RIGHT(LEFT(_xlfn.FORMULATEXT(Измен_Отслеж[[#This Row],[Отслеживаем]]),FIND("!",_xlfn.FORMULATEXT(Измен_Отслеж[[#This Row],[Отслеживаем]]))),LEN(LEFT(_xlfn.FORMULATEXT(Измен_Отслеж[[#This Row],[Отслеживаем]]),FIND("!",_xlfn.FORMULATEXT(Измен_Отслеж[[#This Row],[Отслеживаем]]))))-1),"R",ROW((INDIRECT(RIGHT(_xlfn.FORMULATEXT(Измен_Отслеж[[#This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Row],[Отслеживаем]]))-1),FALSE)))-P$6)),"ошибка"),"ошибка")</f>
        <v>ошибка</v>
      </c>
      <c r="Q10" s="38" t="str">
        <f ca="1">IFERROR(_xlfn.FORMULATEXT(INDIRECT(Измен_Отслеж[[#This Row],[СОтслеживаем]],FALSE)),"ошибка")</f>
        <v>ошибка</v>
      </c>
      <c r="R10" s="38" t="str">
        <f ca="1">IFERROR(IF(LEFT(Измен_Отслеж[[#This Row],[ФОтслеживаем]],5)="=Прив","Критерий",IF(LEFT(Измен_Отслеж[[#This Row],[ФОтслеживаем]],5)="=Матр","Матрица","ошибка")),"ошибка")</f>
        <v>ошибка</v>
      </c>
      <c r="S10" s="38" t="str">
        <f ca="1">IF(OR(AND(Измен_Отслеж[[#This Row],[ВидИзменяем]]="Критерий",Измен_Отслеж[[#This Row],[ВидОтслеживаем]]="Матрица"),AND(Измен_Отслеж[[#This Row],[ВидИзменяем]]="Матрица",Измен_Отслеж[[#This Row],[ВидОтслеживаем]]="Матрица")),"Отслеживаем","ошибка")</f>
        <v>ошибка</v>
      </c>
      <c r="T10" s="67">
        <f ca="1">IF(Измен_Отслеж[[#This Row],[Сопоставление]]="Отслеживаем",1,-1)</f>
        <v>-1</v>
      </c>
    </row>
    <row r="11" spans="1:24" x14ac:dyDescent="0.25">
      <c r="A11" s="37"/>
      <c r="B11" s="38" t="str">
        <f ca="1">IFERROR(IF(AND(Измен_Отслеж[[#This Row],[Изменяем]]&gt;=1,Измен_Отслеж[[#This Row],[Изменяем]]&lt;=4),IF(IFERROR(FIND("!",_xlfn.FORMULATEXT(Измен_Отслеж[[#This Row],[Изменяем]])),"на странице")="на странице",CONCATENATE("R",ROW((INDIRECT(RIGHT(_xlfn.FORMULATEXT(Измен_Отслеж[[#This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Row],[Изменяем]]))-1),FALSE)))-B$6),CONCATENATE(RIGHT(LEFT(_xlfn.FORMULATEXT(Измен_Отслеж[[#This Row],[Изменяем]]),FIND("!",_xlfn.FORMULATEXT(Измен_Отслеж[[#This Row],[Изменяем]]))),LEN(LEFT(_xlfn.FORMULATEXT(Измен_Отслеж[[#This Row],[Изменяем]]),FIND("!",_xlfn.FORMULATEXT(Измен_Отслеж[[#This Row],[Изменяем]]))))-1),"R",ROW((INDIRECT(RIGHT(_xlfn.FORMULATEXT(Измен_Отслеж[[#This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Row],[Изменяем]]))-1),FALSE)))-B$6)),"ошибка"),"ошибка")</f>
        <v>ошибка</v>
      </c>
      <c r="C11" s="38" t="str">
        <f ca="1">IFERROR(IF(LEFT(Измен_Отслеж[[#This Row],[ФИзменяем]],5)="=Прив","Критерий",IF(LEFT(Измен_Отслеж[[#This Row],[ФИзменяем]],5)="=Матр","Матрица","ошибка")),"ошибка")</f>
        <v>ошибка</v>
      </c>
      <c r="D11" s="38" t="str">
        <f ca="1">IFERROR(IF(N(INDIRECT(Измен_Отслеж[[#This Row],[СФизИзменяем]],FALSE))=0,"ошибка",IFERROR(INDIRECT(Измен_Отслеж[[#This Row],[СФизИзменяем]],FALSE),"ошибка")),"ошибка")</f>
        <v>ошибка</v>
      </c>
      <c r="E11"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Row],[СИзменяем]])))+E$5),FIND("R",Измен_Отслеж[[#This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Row],[СИзменяем]])))+E$4),"ошибка")</f>
        <v>ошибка</v>
      </c>
      <c r="F11" s="38" t="str">
        <f ca="1">IFERROR(IF(
                OR(
                    INDIRECT(Измен_Отслеж[[#This Row],[СТипИзменяем]],FALSE)=Перебор!$N$58,
                    INDIRECT(Измен_Отслеж[[#This Row],[СТипИзменяем]],FALSE)=Перебор!$N$59,
                    INDIRECT(Измен_Отслеж[[#This Row],[СТипИзменяем]],FALSE)=Перебор!$N$60,
                    INDIRECT(Измен_Отслеж[[#This Row],[СТипИзменяем]],FALSE)=Перебор!$N$61),
                    INDIRECT(Измен_Отслеж[[#This Row],[СТипИзменяем]],FALSE),
                "ошибка"),"ошибка")</f>
        <v>ошибка</v>
      </c>
      <c r="G11"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Row],[СИзменяем]])))+G$5),FIND("R",Измен_Отслеж[[#This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Row],[СИзменяем]])))+G$4),"ошибка")</f>
        <v>ошибка</v>
      </c>
      <c r="H11" s="38" t="str">
        <f ca="1">IFERROR(_xlfn.FORMULATEXT(INDIRECT(Измен_Отслеж[[#This Row],[СИзменяем]],FALSE)),"ошибка")</f>
        <v>ошибка</v>
      </c>
      <c r="I11" s="38" t="str">
        <f ca="1">IFERROR(IF(N(INDIRECT(Измен_Отслеж[[#This Row],[СМинФизИзменяем]],FALSE))=0,"ошибка",IFERROR(INDIRECT(Измен_Отслеж[[#This Row],[СМинФизИзменяем]],FALSE),"ошибка")),"ошибка")</f>
        <v>ошибка</v>
      </c>
      <c r="J11"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Row],[СИзменяем]])))+J$5),FIND("R",Измен_Отслеж[[#This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Row],[СИзменяем]])))+J$4),"ошибка")</f>
        <v>ошибка</v>
      </c>
      <c r="K11" s="38" t="str">
        <f ca="1">IFERROR(IF(N(INDIRECT(Измен_Отслеж[[#This Row],[СМаксФизИзменяем]],FALSE))=0,"ошибка",IFERROR(INDIRECT(Измен_Отслеж[[#This Row],[СМаксФизИзменяем]],FALSE),"ошибка")),"ошибка")</f>
        <v>ошибка</v>
      </c>
      <c r="L11"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Row],[СИзменяем]])))+L$5),FIND("R",Измен_Отслеж[[#This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Row],[СИзменяем]])))+L$4),"ошибка")</f>
        <v>ошибка</v>
      </c>
      <c r="M11" s="38" t="str">
        <f ca="1">IFERROR(IF(N(INDIRECT(Измен_Отслеж[[#This Row],[ССрФизИзменяем]],FALSE))=0,"ошибка",IFERROR(INDIRECT(Измен_Отслеж[[#This Row],[ССрФизИзменяем]],FALSE),"ошибка")),"ошибка")</f>
        <v>ошибка</v>
      </c>
      <c r="N11" s="38" t="str">
        <f ca="1">IF(OR(Измен_Отслеж[[#This Row],[ТипИзменяем]]=Перебор!$N$60,Измен_Отслеж[[#This Row],[ТипИзменяем]]=Перебор!$N$61),IFERROR(REPLACE(REPLACE(Измен_Отслеж[[#This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Row],[СИзменяем]])))+N$5),FIND("R",Измен_Отслеж[[#This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Row],[СИзменяем]])))+N$4),"ошибка"),"ошибка")</f>
        <v>ошибка</v>
      </c>
      <c r="O11" s="37"/>
      <c r="P11" s="38" t="str">
        <f ca="1">IFERROR(IF(AND(Измен_Отслеж[[#This Row],[Отслеживаем]]&gt;=1,Измен_Отслеж[[#This Row],[Отслеживаем]]&lt;=4),IF(IFERROR(FIND("!",_xlfn.FORMULATEXT(Измен_Отслеж[[#This Row],[Отслеживаем]])),"на странице")="на странице",CONCATENATE("R",ROW((INDIRECT(RIGHT(_xlfn.FORMULATEXT(Измен_Отслеж[[#This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Row],[Отслеживаем]]))-1),FALSE)))-P$6),CONCATENATE(RIGHT(LEFT(_xlfn.FORMULATEXT(Измен_Отслеж[[#This Row],[Отслеживаем]]),FIND("!",_xlfn.FORMULATEXT(Измен_Отслеж[[#This Row],[Отслеживаем]]))),LEN(LEFT(_xlfn.FORMULATEXT(Измен_Отслеж[[#This Row],[Отслеживаем]]),FIND("!",_xlfn.FORMULATEXT(Измен_Отслеж[[#This Row],[Отслеживаем]]))))-1),"R",ROW((INDIRECT(RIGHT(_xlfn.FORMULATEXT(Измен_Отслеж[[#This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Row],[Отслеживаем]]))-1),FALSE)))-P$6)),"ошибка"),"ошибка")</f>
        <v>ошибка</v>
      </c>
      <c r="Q11" s="38" t="str">
        <f ca="1">IFERROR(_xlfn.FORMULATEXT(INDIRECT(Измен_Отслеж[[#This Row],[СОтслеживаем]],FALSE)),"ошибка")</f>
        <v>ошибка</v>
      </c>
      <c r="R11" s="38" t="str">
        <f ca="1">IFERROR(IF(LEFT(Измен_Отслеж[[#This Row],[ФОтслеживаем]],5)="=Прив","Критерий",IF(LEFT(Измен_Отслеж[[#This Row],[ФОтслеживаем]],5)="=Матр","Матрица","ошибка")),"ошибка")</f>
        <v>ошибка</v>
      </c>
      <c r="S11" s="38" t="str">
        <f ca="1">IF(OR(AND(Измен_Отслеж[[#This Row],[ВидИзменяем]]="Критерий",Измен_Отслеж[[#This Row],[ВидОтслеживаем]]="Матрица"),AND(Измен_Отслеж[[#This Row],[ВидИзменяем]]="Матрица",Измен_Отслеж[[#This Row],[ВидОтслеживаем]]="Матрица")),"Отслеживаем","ошибка")</f>
        <v>ошибка</v>
      </c>
      <c r="T11" s="67">
        <f ca="1">IF(Измен_Отслеж[[#This Row],[Сопоставление]]="Отслеживаем",1,-1)</f>
        <v>-1</v>
      </c>
      <c r="U11" s="68"/>
      <c r="V11" s="69" t="s">
        <v>390</v>
      </c>
      <c r="W11" s="72" t="s">
        <v>391</v>
      </c>
      <c r="X11" s="73" t="s">
        <v>387</v>
      </c>
    </row>
    <row r="12" spans="1:24" x14ac:dyDescent="0.25">
      <c r="A12" s="37"/>
      <c r="B12" s="38" t="str">
        <f ca="1">IFERROR(IF(AND(Измен_Отслеж[[#This Row],[Изменяем]]&gt;=1,Измен_Отслеж[[#This Row],[Изменяем]]&lt;=4),IF(IFERROR(FIND("!",_xlfn.FORMULATEXT(Измен_Отслеж[[#This Row],[Изменяем]])),"на странице")="на странице",CONCATENATE("R",ROW((INDIRECT(RIGHT(_xlfn.FORMULATEXT(Измен_Отслеж[[#This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Row],[Изменяем]]))-1),FALSE)))-B$6),CONCATENATE(RIGHT(LEFT(_xlfn.FORMULATEXT(Измен_Отслеж[[#This Row],[Изменяем]]),FIND("!",_xlfn.FORMULATEXT(Измен_Отслеж[[#This Row],[Изменяем]]))),LEN(LEFT(_xlfn.FORMULATEXT(Измен_Отслеж[[#This Row],[Изменяем]]),FIND("!",_xlfn.FORMULATEXT(Измен_Отслеж[[#This Row],[Изменяем]]))))-1),"R",ROW((INDIRECT(RIGHT(_xlfn.FORMULATEXT(Измен_Отслеж[[#This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Row],[Изменяем]]))-1),FALSE)))-B$6)),"ошибка"),"ошибка")</f>
        <v>ошибка</v>
      </c>
      <c r="C12" s="38" t="str">
        <f ca="1">IFERROR(IF(LEFT(Измен_Отслеж[[#This Row],[ФИзменяем]],5)="=Прив","Критерий",IF(LEFT(Измен_Отслеж[[#This Row],[ФИзменяем]],5)="=Матр","Матрица","ошибка")),"ошибка")</f>
        <v>ошибка</v>
      </c>
      <c r="D12" s="38" t="str">
        <f ca="1">IFERROR(IF(N(INDIRECT(Измен_Отслеж[[#This Row],[СФизИзменяем]],FALSE))=0,"ошибка",IFERROR(INDIRECT(Измен_Отслеж[[#This Row],[СФизИзменяем]],FALSE),"ошибка")),"ошибка")</f>
        <v>ошибка</v>
      </c>
      <c r="E12"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Row],[СИзменяем]])))+E$5),FIND("R",Измен_Отслеж[[#This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Row],[СИзменяем]])))+E$4),"ошибка")</f>
        <v>ошибка</v>
      </c>
      <c r="F12" s="38" t="str">
        <f ca="1">IFERROR(IF(
                OR(
                    INDIRECT(Измен_Отслеж[[#This Row],[СТипИзменяем]],FALSE)=Перебор!$N$58,
                    INDIRECT(Измен_Отслеж[[#This Row],[СТипИзменяем]],FALSE)=Перебор!$N$59,
                    INDIRECT(Измен_Отслеж[[#This Row],[СТипИзменяем]],FALSE)=Перебор!$N$60,
                    INDIRECT(Измен_Отслеж[[#This Row],[СТипИзменяем]],FALSE)=Перебор!$N$61),
                    INDIRECT(Измен_Отслеж[[#This Row],[СТипИзменяем]],FALSE),
                "ошибка"),"ошибка")</f>
        <v>ошибка</v>
      </c>
      <c r="G12"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Row],[СИзменяем]])))+G$5),FIND("R",Измен_Отслеж[[#This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Row],[СИзменяем]])))+G$4),"ошибка")</f>
        <v>ошибка</v>
      </c>
      <c r="H12" s="38" t="str">
        <f ca="1">IFERROR(_xlfn.FORMULATEXT(INDIRECT(Измен_Отслеж[[#This Row],[СИзменяем]],FALSE)),"ошибка")</f>
        <v>ошибка</v>
      </c>
      <c r="I12" s="38" t="str">
        <f ca="1">IFERROR(IF(N(INDIRECT(Измен_Отслеж[[#This Row],[СМинФизИзменяем]],FALSE))=0,"ошибка",IFERROR(INDIRECT(Измен_Отслеж[[#This Row],[СМинФизИзменяем]],FALSE),"ошибка")),"ошибка")</f>
        <v>ошибка</v>
      </c>
      <c r="J12"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Row],[СИзменяем]])))+J$5),FIND("R",Измен_Отслеж[[#This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Row],[СИзменяем]])))+J$4),"ошибка")</f>
        <v>ошибка</v>
      </c>
      <c r="K12" s="38" t="str">
        <f ca="1">IFERROR(IF(N(INDIRECT(Измен_Отслеж[[#This Row],[СМаксФизИзменяем]],FALSE))=0,"ошибка",IFERROR(INDIRECT(Измен_Отслеж[[#This Row],[СМаксФизИзменяем]],FALSE),"ошибка")),"ошибка")</f>
        <v>ошибка</v>
      </c>
      <c r="L12"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Row],[СИзменяем]])))+L$5),FIND("R",Измен_Отслеж[[#This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Row],[СИзменяем]])))+L$4),"ошибка")</f>
        <v>ошибка</v>
      </c>
      <c r="M12" s="38" t="str">
        <f ca="1">IFERROR(IF(N(INDIRECT(Измен_Отслеж[[#This Row],[ССрФизИзменяем]],FALSE))=0,"ошибка",IFERROR(INDIRECT(Измен_Отслеж[[#This Row],[ССрФизИзменяем]],FALSE),"ошибка")),"ошибка")</f>
        <v>ошибка</v>
      </c>
      <c r="N12" s="38" t="str">
        <f ca="1">IF(OR(Измен_Отслеж[[#This Row],[ТипИзменяем]]=Перебор!$N$60,Измен_Отслеж[[#This Row],[ТипИзменяем]]=Перебор!$N$61),IFERROR(REPLACE(REPLACE(Измен_Отслеж[[#This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Row],[СИзменяем]])))+N$5),FIND("R",Измен_Отслеж[[#This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Row],[СИзменяем]])))+N$4),"ошибка"),"ошибка")</f>
        <v>ошибка</v>
      </c>
      <c r="O12" s="37"/>
      <c r="P12" s="38" t="str">
        <f ca="1">IFERROR(IF(AND(Измен_Отслеж[[#This Row],[Отслеживаем]]&gt;=1,Измен_Отслеж[[#This Row],[Отслеживаем]]&lt;=4),IF(IFERROR(FIND("!",_xlfn.FORMULATEXT(Измен_Отслеж[[#This Row],[Отслеживаем]])),"на странице")="на странице",CONCATENATE("R",ROW((INDIRECT(RIGHT(_xlfn.FORMULATEXT(Измен_Отслеж[[#This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Row],[Отслеживаем]]))-1),FALSE)))-P$6),CONCATENATE(RIGHT(LEFT(_xlfn.FORMULATEXT(Измен_Отслеж[[#This Row],[Отслеживаем]]),FIND("!",_xlfn.FORMULATEXT(Измен_Отслеж[[#This Row],[Отслеживаем]]))),LEN(LEFT(_xlfn.FORMULATEXT(Измен_Отслеж[[#This Row],[Отслеживаем]]),FIND("!",_xlfn.FORMULATEXT(Измен_Отслеж[[#This Row],[Отслеживаем]]))))-1),"R",ROW((INDIRECT(RIGHT(_xlfn.FORMULATEXT(Измен_Отслеж[[#This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Row],[Отслеживаем]]))-1),FALSE)))-P$6)),"ошибка"),"ошибка")</f>
        <v>ошибка</v>
      </c>
      <c r="Q12" s="38" t="str">
        <f ca="1">IFERROR(_xlfn.FORMULATEXT(INDIRECT(Измен_Отслеж[[#This Row],[СОтслеживаем]],FALSE)),"ошибка")</f>
        <v>ошибка</v>
      </c>
      <c r="R12" s="38" t="str">
        <f ca="1">IFERROR(IF(LEFT(Измен_Отслеж[[#This Row],[ФОтслеживаем]],5)="=Прив","Критерий",IF(LEFT(Измен_Отслеж[[#This Row],[ФОтслеживаем]],5)="=Матр","Матрица","ошибка")),"ошибка")</f>
        <v>ошибка</v>
      </c>
      <c r="S12" s="38" t="str">
        <f ca="1">IF(OR(AND(Измен_Отслеж[[#This Row],[ВидИзменяем]]="Критерий",Измен_Отслеж[[#This Row],[ВидОтслеживаем]]="Матрица"),AND(Измен_Отслеж[[#This Row],[ВидИзменяем]]="Матрица",Измен_Отслеж[[#This Row],[ВидОтслеживаем]]="Матрица")),"Отслеживаем","ошибка")</f>
        <v>ошибка</v>
      </c>
      <c r="T12" s="67">
        <f ca="1">IF(Измен_Отслеж[[#This Row],[Сопоставление]]="Отслеживаем",1,-1)</f>
        <v>-1</v>
      </c>
      <c r="U12" s="70" t="s">
        <v>389</v>
      </c>
      <c r="V12" s="74">
        <v>1</v>
      </c>
      <c r="W12" s="75">
        <v>4</v>
      </c>
      <c r="X12" s="237">
        <f>IFERROR(IF((W12-V12)/V13&gt;1,1,0),0)</f>
        <v>1</v>
      </c>
    </row>
    <row r="13" spans="1:24" ht="15.75" thickBot="1" x14ac:dyDescent="0.3">
      <c r="A13" s="37"/>
      <c r="B13" s="38" t="str">
        <f ca="1">IFERROR(IF(AND(Измен_Отслеж[[#This Row],[Изменяем]]&gt;=1,Измен_Отслеж[[#This Row],[Изменяем]]&lt;=4),IF(IFERROR(FIND("!",_xlfn.FORMULATEXT(Измен_Отслеж[[#This Row],[Изменяем]])),"на странице")="на странице",CONCATENATE("R",ROW((INDIRECT(RIGHT(_xlfn.FORMULATEXT(Измен_Отслеж[[#This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Row],[Изменяем]]))-1),FALSE)))-B$6),CONCATENATE(RIGHT(LEFT(_xlfn.FORMULATEXT(Измен_Отслеж[[#This Row],[Изменяем]]),FIND("!",_xlfn.FORMULATEXT(Измен_Отслеж[[#This Row],[Изменяем]]))),LEN(LEFT(_xlfn.FORMULATEXT(Измен_Отслеж[[#This Row],[Изменяем]]),FIND("!",_xlfn.FORMULATEXT(Измен_Отслеж[[#This Row],[Изменяем]]))))-1),"R",ROW((INDIRECT(RIGHT(_xlfn.FORMULATEXT(Измен_Отслеж[[#This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Row],[Изменяем]]))-1),FALSE)))-B$6)),"ошибка"),"ошибка")</f>
        <v>ошибка</v>
      </c>
      <c r="C13" s="38" t="str">
        <f ca="1">IFERROR(IF(LEFT(Измен_Отслеж[[#This Row],[ФИзменяем]],5)="=Прив","Критерий",IF(LEFT(Измен_Отслеж[[#This Row],[ФИзменяем]],5)="=Матр","Матрица","ошибка")),"ошибка")</f>
        <v>ошибка</v>
      </c>
      <c r="D13" s="38" t="str">
        <f ca="1">IFERROR(IF(N(INDIRECT(Измен_Отслеж[[#This Row],[СФизИзменяем]],FALSE))=0,"ошибка",IFERROR(INDIRECT(Измен_Отслеж[[#This Row],[СФизИзменяем]],FALSE),"ошибка")),"ошибка")</f>
        <v>ошибка</v>
      </c>
      <c r="E13"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Row],[СИзменяем]])))+E$5),FIND("R",Измен_Отслеж[[#This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Row],[СИзменяем]])))+E$4),"ошибка")</f>
        <v>ошибка</v>
      </c>
      <c r="F13" s="38" t="str">
        <f ca="1">IFERROR(IF(
                OR(
                    INDIRECT(Измен_Отслеж[[#This Row],[СТипИзменяем]],FALSE)=Перебор!$N$58,
                    INDIRECT(Измен_Отслеж[[#This Row],[СТипИзменяем]],FALSE)=Перебор!$N$59,
                    INDIRECT(Измен_Отслеж[[#This Row],[СТипИзменяем]],FALSE)=Перебор!$N$60,
                    INDIRECT(Измен_Отслеж[[#This Row],[СТипИзменяем]],FALSE)=Перебор!$N$61),
                    INDIRECT(Измен_Отслеж[[#This Row],[СТипИзменяем]],FALSE),
                "ошибка"),"ошибка")</f>
        <v>ошибка</v>
      </c>
      <c r="G13"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Row],[СИзменяем]])))+G$5),FIND("R",Измен_Отслеж[[#This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Row],[СИзменяем]])))+G$4),"ошибка")</f>
        <v>ошибка</v>
      </c>
      <c r="H13" s="38" t="str">
        <f ca="1">IFERROR(_xlfn.FORMULATEXT(INDIRECT(Измен_Отслеж[[#This Row],[СИзменяем]],FALSE)),"ошибка")</f>
        <v>ошибка</v>
      </c>
      <c r="I13" s="38" t="str">
        <f ca="1">IFERROR(IF(N(INDIRECT(Измен_Отслеж[[#This Row],[СМинФизИзменяем]],FALSE))=0,"ошибка",IFERROR(INDIRECT(Измен_Отслеж[[#This Row],[СМинФизИзменяем]],FALSE),"ошибка")),"ошибка")</f>
        <v>ошибка</v>
      </c>
      <c r="J13"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Row],[СИзменяем]])))+J$5),FIND("R",Измен_Отслеж[[#This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Row],[СИзменяем]])))+J$4),"ошибка")</f>
        <v>ошибка</v>
      </c>
      <c r="K13" s="38" t="str">
        <f ca="1">IFERROR(IF(N(INDIRECT(Измен_Отслеж[[#This Row],[СМаксФизИзменяем]],FALSE))=0,"ошибка",IFERROR(INDIRECT(Измен_Отслеж[[#This Row],[СМаксФизИзменяем]],FALSE),"ошибка")),"ошибка")</f>
        <v>ошибка</v>
      </c>
      <c r="L13"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Row],[СИзменяем]])))+L$5),FIND("R",Измен_Отслеж[[#This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Row],[СИзменяем]])))+L$4),"ошибка")</f>
        <v>ошибка</v>
      </c>
      <c r="M13" s="38" t="str">
        <f ca="1">IFERROR(IF(N(INDIRECT(Измен_Отслеж[[#This Row],[ССрФизИзменяем]],FALSE))=0,"ошибка",IFERROR(INDIRECT(Измен_Отслеж[[#This Row],[ССрФизИзменяем]],FALSE),"ошибка")),"ошибка")</f>
        <v>ошибка</v>
      </c>
      <c r="N13" s="38" t="str">
        <f ca="1">IF(OR(Измен_Отслеж[[#This Row],[ТипИзменяем]]=Перебор!$N$60,Измен_Отслеж[[#This Row],[ТипИзменяем]]=Перебор!$N$61),IFERROR(REPLACE(REPLACE(Измен_Отслеж[[#This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Row],[СИзменяем]])))+N$5),FIND("R",Измен_Отслеж[[#This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Row],[СИзменяем]])))+N$4),"ошибка"),"ошибка")</f>
        <v>ошибка</v>
      </c>
      <c r="O13" s="65"/>
      <c r="P13" s="38" t="str">
        <f ca="1">IFERROR(IF(AND(Измен_Отслеж[[#This Row],[Отслеживаем]]&gt;=1,Измен_Отслеж[[#This Row],[Отслеживаем]]&lt;=4),IF(IFERROR(FIND("!",_xlfn.FORMULATEXT(Измен_Отслеж[[#This Row],[Отслеживаем]])),"на странице")="на странице",CONCATENATE("R",ROW((INDIRECT(RIGHT(_xlfn.FORMULATEXT(Измен_Отслеж[[#This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Row],[Отслеживаем]]))-1),FALSE)))-P$6),CONCATENATE(RIGHT(LEFT(_xlfn.FORMULATEXT(Измен_Отслеж[[#This Row],[Отслеживаем]]),FIND("!",_xlfn.FORMULATEXT(Измен_Отслеж[[#This Row],[Отслеживаем]]))),LEN(LEFT(_xlfn.FORMULATEXT(Измен_Отслеж[[#This Row],[Отслеживаем]]),FIND("!",_xlfn.FORMULATEXT(Измен_Отслеж[[#This Row],[Отслеживаем]]))))-1),"R",ROW((INDIRECT(RIGHT(_xlfn.FORMULATEXT(Измен_Отслеж[[#This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Row],[Отслеживаем]]))-1),FALSE)))-P$6)),"ошибка"),"ошибка")</f>
        <v>ошибка</v>
      </c>
      <c r="Q13" s="38" t="str">
        <f ca="1">IFERROR(_xlfn.FORMULATEXT(INDIRECT(Измен_Отслеж[[#This Row],[СОтслеживаем]],FALSE)),"ошибка")</f>
        <v>ошибка</v>
      </c>
      <c r="R13" s="38" t="str">
        <f ca="1">IFERROR(IF(LEFT(Измен_Отслеж[[#This Row],[ФОтслеживаем]],5)="=Прив","Критерий",IF(LEFT(Измен_Отслеж[[#This Row],[ФОтслеживаем]],5)="=Матр","Матрица","ошибка")),"ошибка")</f>
        <v>ошибка</v>
      </c>
      <c r="S13" s="38" t="str">
        <f ca="1">IF(OR(AND(Измен_Отслеж[[#This Row],[ВидИзменяем]]="Критерий",Измен_Отслеж[[#This Row],[ВидОтслеживаем]]="Матрица"),AND(Измен_Отслеж[[#This Row],[ВидИзменяем]]="Матрица",Измен_Отслеж[[#This Row],[ВидОтслеживаем]]="Матрица")),"Отслеживаем","ошибка")</f>
        <v>ошибка</v>
      </c>
      <c r="T13" s="67">
        <f ca="1">IF(Измен_Отслеж[[#This Row],[Сопоставление]]="Отслеживаем",1,-1)</f>
        <v>-1</v>
      </c>
      <c r="U13" s="71" t="s">
        <v>392</v>
      </c>
      <c r="V13" s="235">
        <v>0.25</v>
      </c>
      <c r="W13" s="236"/>
      <c r="X13" s="238"/>
    </row>
    <row r="14" spans="1:24" x14ac:dyDescent="0.25">
      <c r="A14" s="37"/>
      <c r="B14" s="38" t="str">
        <f ca="1">IFERROR(IF(AND(Измен_Отслеж[[#This Row],[Изменяем]]&gt;=1,Измен_Отслеж[[#This Row],[Изменяем]]&lt;=4),IF(IFERROR(FIND("!",_xlfn.FORMULATEXT(Измен_Отслеж[[#This Row],[Изменяем]])),"на странице")="на странице",CONCATENATE("R",ROW((INDIRECT(RIGHT(_xlfn.FORMULATEXT(Измен_Отслеж[[#This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Row],[Изменяем]]))-1),FALSE)))-B$6),CONCATENATE(RIGHT(LEFT(_xlfn.FORMULATEXT(Измен_Отслеж[[#This Row],[Изменяем]]),FIND("!",_xlfn.FORMULATEXT(Измен_Отслеж[[#This Row],[Изменяем]]))),LEN(LEFT(_xlfn.FORMULATEXT(Измен_Отслеж[[#This Row],[Изменяем]]),FIND("!",_xlfn.FORMULATEXT(Измен_Отслеж[[#This Row],[Изменяем]]))))-1),"R",ROW((INDIRECT(RIGHT(_xlfn.FORMULATEXT(Измен_Отслеж[[#This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Row],[Изменяем]]))-1),FALSE)))-B$6)),"ошибка"),"ошибка")</f>
        <v>ошибка</v>
      </c>
      <c r="C14" s="38" t="str">
        <f ca="1">IFERROR(IF(LEFT(Измен_Отслеж[[#This Row],[ФИзменяем]],5)="=Прив","Критерий",IF(LEFT(Измен_Отслеж[[#This Row],[ФИзменяем]],5)="=Матр","Матрица","ошибка")),"ошибка")</f>
        <v>ошибка</v>
      </c>
      <c r="D14" s="38" t="str">
        <f ca="1">IFERROR(IF(N(INDIRECT(Измен_Отслеж[[#This Row],[СФизИзменяем]],FALSE))=0,"ошибка",IFERROR(INDIRECT(Измен_Отслеж[[#This Row],[СФизИзменяем]],FALSE),"ошибка")),"ошибка")</f>
        <v>ошибка</v>
      </c>
      <c r="E14"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Row],[СИзменяем]])))+E$5),FIND("R",Измен_Отслеж[[#This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Row],[СИзменяем]])))+E$4),"ошибка")</f>
        <v>ошибка</v>
      </c>
      <c r="F14" s="38" t="str">
        <f ca="1">IFERROR(IF(
                OR(
                    INDIRECT(Измен_Отслеж[[#This Row],[СТипИзменяем]],FALSE)=Перебор!$N$58,
                    INDIRECT(Измен_Отслеж[[#This Row],[СТипИзменяем]],FALSE)=Перебор!$N$59,
                    INDIRECT(Измен_Отслеж[[#This Row],[СТипИзменяем]],FALSE)=Перебор!$N$60,
                    INDIRECT(Измен_Отслеж[[#This Row],[СТипИзменяем]],FALSE)=Перебор!$N$61),
                    INDIRECT(Измен_Отслеж[[#This Row],[СТипИзменяем]],FALSE),
                "ошибка"),"ошибка")</f>
        <v>ошибка</v>
      </c>
      <c r="G14"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Row],[СИзменяем]])))+G$5),FIND("R",Измен_Отслеж[[#This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Row],[СИзменяем]])))+G$4),"ошибка")</f>
        <v>ошибка</v>
      </c>
      <c r="H14" s="38" t="str">
        <f ca="1">IFERROR(_xlfn.FORMULATEXT(INDIRECT(Измен_Отслеж[[#This Row],[СИзменяем]],FALSE)),"ошибка")</f>
        <v>ошибка</v>
      </c>
      <c r="I14" s="38" t="str">
        <f ca="1">IFERROR(IF(N(INDIRECT(Измен_Отслеж[[#This Row],[СМинФизИзменяем]],FALSE))=0,"ошибка",IFERROR(INDIRECT(Измен_Отслеж[[#This Row],[СМинФизИзменяем]],FALSE),"ошибка")),"ошибка")</f>
        <v>ошибка</v>
      </c>
      <c r="J14"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Row],[СИзменяем]])))+J$5),FIND("R",Измен_Отслеж[[#This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Row],[СИзменяем]])))+J$4),"ошибка")</f>
        <v>ошибка</v>
      </c>
      <c r="K14" s="38" t="str">
        <f ca="1">IFERROR(IF(N(INDIRECT(Измен_Отслеж[[#This Row],[СМаксФизИзменяем]],FALSE))=0,"ошибка",IFERROR(INDIRECT(Измен_Отслеж[[#This Row],[СМаксФизИзменяем]],FALSE),"ошибка")),"ошибка")</f>
        <v>ошибка</v>
      </c>
      <c r="L14"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Row],[СИзменяем]])))+L$5),FIND("R",Измен_Отслеж[[#This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Row],[СИзменяем]])))+L$4),"ошибка")</f>
        <v>ошибка</v>
      </c>
      <c r="M14" s="38" t="str">
        <f ca="1">IFERROR(IF(N(INDIRECT(Измен_Отслеж[[#This Row],[ССрФизИзменяем]],FALSE))=0,"ошибка",IFERROR(INDIRECT(Измен_Отслеж[[#This Row],[ССрФизИзменяем]],FALSE),"ошибка")),"ошибка")</f>
        <v>ошибка</v>
      </c>
      <c r="N14" s="38" t="str">
        <f ca="1">IF(OR(Измен_Отслеж[[#This Row],[ТипИзменяем]]=Перебор!$N$60,Измен_Отслеж[[#This Row],[ТипИзменяем]]=Перебор!$N$61),IFERROR(REPLACE(REPLACE(Измен_Отслеж[[#This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Row],[СИзменяем]])))+N$5),FIND("R",Измен_Отслеж[[#This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Row],[СИзменяем]])))+N$4),"ошибка"),"ошибка")</f>
        <v>ошибка</v>
      </c>
      <c r="O14" s="65"/>
      <c r="P14" s="38" t="str">
        <f ca="1">IFERROR(IF(AND(Измен_Отслеж[[#This Row],[Отслеживаем]]&gt;=1,Измен_Отслеж[[#This Row],[Отслеживаем]]&lt;=4),IF(IFERROR(FIND("!",_xlfn.FORMULATEXT(Измен_Отслеж[[#This Row],[Отслеживаем]])),"на странице")="на странице",CONCATENATE("R",ROW((INDIRECT(RIGHT(_xlfn.FORMULATEXT(Измен_Отслеж[[#This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Row],[Отслеживаем]]))-1),FALSE)))-P$6),CONCATENATE(RIGHT(LEFT(_xlfn.FORMULATEXT(Измен_Отслеж[[#This Row],[Отслеживаем]]),FIND("!",_xlfn.FORMULATEXT(Измен_Отслеж[[#This Row],[Отслеживаем]]))),LEN(LEFT(_xlfn.FORMULATEXT(Измен_Отслеж[[#This Row],[Отслеживаем]]),FIND("!",_xlfn.FORMULATEXT(Измен_Отслеж[[#This Row],[Отслеживаем]]))))-1),"R",ROW((INDIRECT(RIGHT(_xlfn.FORMULATEXT(Измен_Отслеж[[#This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Row],[Отслеживаем]]))-1),FALSE)))-P$6)),"ошибка"),"ошибка")</f>
        <v>ошибка</v>
      </c>
      <c r="Q14" s="38" t="str">
        <f ca="1">IFERROR(_xlfn.FORMULATEXT(INDIRECT(Измен_Отслеж[[#This Row],[СОтслеживаем]],FALSE)),"ошибка")</f>
        <v>ошибка</v>
      </c>
      <c r="R14" s="38" t="str">
        <f ca="1">IFERROR(IF(LEFT(Измен_Отслеж[[#This Row],[ФОтслеживаем]],5)="=Прив","Критерий",IF(LEFT(Измен_Отслеж[[#This Row],[ФОтслеживаем]],5)="=Матр","Матрица","ошибка")),"ошибка")</f>
        <v>ошибка</v>
      </c>
      <c r="S14" s="38" t="str">
        <f ca="1">IF(OR(AND(Измен_Отслеж[[#This Row],[ВидИзменяем]]="Критерий",Измен_Отслеж[[#This Row],[ВидОтслеживаем]]="Матрица"),AND(Измен_Отслеж[[#This Row],[ВидИзменяем]]="Матрица",Измен_Отслеж[[#This Row],[ВидОтслеживаем]]="Матрица")),"Отслеживаем","ошибка")</f>
        <v>ошибка</v>
      </c>
      <c r="T14" s="67">
        <f ca="1">IF(Измен_Отслеж[[#This Row],[Сопоставление]]="Отслеживаем",1,-1)</f>
        <v>-1</v>
      </c>
    </row>
    <row r="15" spans="1:24" x14ac:dyDescent="0.25">
      <c r="A15" s="37"/>
      <c r="B15" s="38" t="str">
        <f ca="1">IFERROR(IF(AND(Измен_Отслеж[[#This Row],[Изменяем]]&gt;=1,Измен_Отслеж[[#This Row],[Изменяем]]&lt;=4),IF(IFERROR(FIND("!",_xlfn.FORMULATEXT(Измен_Отслеж[[#This Row],[Изменяем]])),"на странице")="на странице",CONCATENATE("R",ROW((INDIRECT(RIGHT(_xlfn.FORMULATEXT(Измен_Отслеж[[#This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Row],[Изменяем]]))-1),FALSE)))-B$6),CONCATENATE(RIGHT(LEFT(_xlfn.FORMULATEXT(Измен_Отслеж[[#This Row],[Изменяем]]),FIND("!",_xlfn.FORMULATEXT(Измен_Отслеж[[#This Row],[Изменяем]]))),LEN(LEFT(_xlfn.FORMULATEXT(Измен_Отслеж[[#This Row],[Изменяем]]),FIND("!",_xlfn.FORMULATEXT(Измен_Отслеж[[#This Row],[Изменяем]]))))-1),"R",ROW((INDIRECT(RIGHT(_xlfn.FORMULATEXT(Измен_Отслеж[[#This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Row],[Изменяем]]))-1),FALSE)))-B$6)),"ошибка"),"ошибка")</f>
        <v>ошибка</v>
      </c>
      <c r="C15" s="38" t="str">
        <f ca="1">IFERROR(IF(LEFT(Измен_Отслеж[[#This Row],[ФИзменяем]],5)="=Прив","Критерий",IF(LEFT(Измен_Отслеж[[#This Row],[ФИзменяем]],5)="=Матр","Матрица","ошибка")),"ошибка")</f>
        <v>ошибка</v>
      </c>
      <c r="D15" s="38" t="str">
        <f ca="1">IFERROR(IF(N(INDIRECT(Измен_Отслеж[[#This Row],[СФизИзменяем]],FALSE))=0,"ошибка",IFERROR(INDIRECT(Измен_Отслеж[[#This Row],[СФизИзменяем]],FALSE),"ошибка")),"ошибка")</f>
        <v>ошибка</v>
      </c>
      <c r="E15"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Row],[СИзменяем]])))+E$5),FIND("R",Измен_Отслеж[[#This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Row],[СИзменяем]])))+E$4),"ошибка")</f>
        <v>ошибка</v>
      </c>
      <c r="F15" s="38" t="str">
        <f ca="1">IFERROR(IF(
                OR(
                    INDIRECT(Измен_Отслеж[[#This Row],[СТипИзменяем]],FALSE)=Перебор!$N$58,
                    INDIRECT(Измен_Отслеж[[#This Row],[СТипИзменяем]],FALSE)=Перебор!$N$59,
                    INDIRECT(Измен_Отслеж[[#This Row],[СТипИзменяем]],FALSE)=Перебор!$N$60,
                    INDIRECT(Измен_Отслеж[[#This Row],[СТипИзменяем]],FALSE)=Перебор!$N$61),
                    INDIRECT(Измен_Отслеж[[#This Row],[СТипИзменяем]],FALSE),
                "ошибка"),"ошибка")</f>
        <v>ошибка</v>
      </c>
      <c r="G15"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Row],[СИзменяем]])))+G$5),FIND("R",Измен_Отслеж[[#This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Row],[СИзменяем]])))+G$4),"ошибка")</f>
        <v>ошибка</v>
      </c>
      <c r="H15" s="38" t="str">
        <f ca="1">IFERROR(_xlfn.FORMULATEXT(INDIRECT(Измен_Отслеж[[#This Row],[СИзменяем]],FALSE)),"ошибка")</f>
        <v>ошибка</v>
      </c>
      <c r="I15" s="38" t="str">
        <f ca="1">IFERROR(IF(N(INDIRECT(Измен_Отслеж[[#This Row],[СМинФизИзменяем]],FALSE))=0,"ошибка",IFERROR(INDIRECT(Измен_Отслеж[[#This Row],[СМинФизИзменяем]],FALSE),"ошибка")),"ошибка")</f>
        <v>ошибка</v>
      </c>
      <c r="J15"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Row],[СИзменяем]])))+J$5),FIND("R",Измен_Отслеж[[#This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Row],[СИзменяем]])))+J$4),"ошибка")</f>
        <v>ошибка</v>
      </c>
      <c r="K15" s="38" t="str">
        <f ca="1">IFERROR(IF(N(INDIRECT(Измен_Отслеж[[#This Row],[СМаксФизИзменяем]],FALSE))=0,"ошибка",IFERROR(INDIRECT(Измен_Отслеж[[#This Row],[СМаксФизИзменяем]],FALSE),"ошибка")),"ошибка")</f>
        <v>ошибка</v>
      </c>
      <c r="L15"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Row],[СИзменяем]])))+L$5),FIND("R",Измен_Отслеж[[#This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Row],[СИзменяем]])))+L$4),"ошибка")</f>
        <v>ошибка</v>
      </c>
      <c r="M15" s="38" t="str">
        <f ca="1">IFERROR(IF(N(INDIRECT(Измен_Отслеж[[#This Row],[ССрФизИзменяем]],FALSE))=0,"ошибка",IFERROR(INDIRECT(Измен_Отслеж[[#This Row],[ССрФизИзменяем]],FALSE),"ошибка")),"ошибка")</f>
        <v>ошибка</v>
      </c>
      <c r="N15" s="38" t="str">
        <f ca="1">IF(OR(Измен_Отслеж[[#This Row],[ТипИзменяем]]=Перебор!$N$60,Измен_Отслеж[[#This Row],[ТипИзменяем]]=Перебор!$N$61),IFERROR(REPLACE(REPLACE(Измен_Отслеж[[#This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Row],[СИзменяем]])))+N$5),FIND("R",Измен_Отслеж[[#This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Row],[СИзменяем]])))+N$4),"ошибка"),"ошибка")</f>
        <v>ошибка</v>
      </c>
      <c r="O15" s="65"/>
      <c r="P15" s="38" t="str">
        <f ca="1">IFERROR(IF(AND(Измен_Отслеж[[#This Row],[Отслеживаем]]&gt;=1,Измен_Отслеж[[#This Row],[Отслеживаем]]&lt;=4),IF(IFERROR(FIND("!",_xlfn.FORMULATEXT(Измен_Отслеж[[#This Row],[Отслеживаем]])),"на странице")="на странице",CONCATENATE("R",ROW((INDIRECT(RIGHT(_xlfn.FORMULATEXT(Измен_Отслеж[[#This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Row],[Отслеживаем]]))-1),FALSE)))-P$6),CONCATENATE(RIGHT(LEFT(_xlfn.FORMULATEXT(Измен_Отслеж[[#This Row],[Отслеживаем]]),FIND("!",_xlfn.FORMULATEXT(Измен_Отслеж[[#This Row],[Отслеживаем]]))),LEN(LEFT(_xlfn.FORMULATEXT(Измен_Отслеж[[#This Row],[Отслеживаем]]),FIND("!",_xlfn.FORMULATEXT(Измен_Отслеж[[#This Row],[Отслеживаем]]))))-1),"R",ROW((INDIRECT(RIGHT(_xlfn.FORMULATEXT(Измен_Отслеж[[#This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Row],[Отслеживаем]]))-1),FALSE)))-P$6)),"ошибка"),"ошибка")</f>
        <v>ошибка</v>
      </c>
      <c r="Q15" s="38" t="str">
        <f ca="1">IFERROR(_xlfn.FORMULATEXT(INDIRECT(Измен_Отслеж[[#This Row],[СОтслеживаем]],FALSE)),"ошибка")</f>
        <v>ошибка</v>
      </c>
      <c r="R15" s="38" t="str">
        <f ca="1">IFERROR(IF(LEFT(Измен_Отслеж[[#This Row],[ФОтслеживаем]],5)="=Прив","Критерий",IF(LEFT(Измен_Отслеж[[#This Row],[ФОтслеживаем]],5)="=Матр","Матрица","ошибка")),"ошибка")</f>
        <v>ошибка</v>
      </c>
      <c r="S15" s="38" t="str">
        <f ca="1">IF(OR(AND(Измен_Отслеж[[#This Row],[ВидИзменяем]]="Критерий",Измен_Отслеж[[#This Row],[ВидОтслеживаем]]="Матрица"),AND(Измен_Отслеж[[#This Row],[ВидИзменяем]]="Матрица",Измен_Отслеж[[#This Row],[ВидОтслеживаем]]="Матрица")),"Отслеживаем","ошибка")</f>
        <v>ошибка</v>
      </c>
      <c r="T15" s="67">
        <f ca="1">IF(Измен_Отслеж[[#This Row],[Сопоставление]]="Отслеживаем",1,-1)</f>
        <v>-1</v>
      </c>
    </row>
    <row r="16" spans="1:24" x14ac:dyDescent="0.25">
      <c r="A16" s="37"/>
      <c r="B16" s="38" t="str">
        <f ca="1">IFERROR(IF(AND(Измен_Отслеж[[#This Row],[Изменяем]]&gt;=1,Измен_Отслеж[[#This Row],[Изменяем]]&lt;=4),IF(IFERROR(FIND("!",_xlfn.FORMULATEXT(Измен_Отслеж[[#This Row],[Изменяем]])),"на странице")="на странице",CONCATENATE("R",ROW((INDIRECT(RIGHT(_xlfn.FORMULATEXT(Измен_Отслеж[[#This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Row],[Изменяем]]))-1),FALSE)))-B$6),CONCATENATE(RIGHT(LEFT(_xlfn.FORMULATEXT(Измен_Отслеж[[#This Row],[Изменяем]]),FIND("!",_xlfn.FORMULATEXT(Измен_Отслеж[[#This Row],[Изменяем]]))),LEN(LEFT(_xlfn.FORMULATEXT(Измен_Отслеж[[#This Row],[Изменяем]]),FIND("!",_xlfn.FORMULATEXT(Измен_Отслеж[[#This Row],[Изменяем]]))))-1),"R",ROW((INDIRECT(RIGHT(_xlfn.FORMULATEXT(Измен_Отслеж[[#This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Row],[Изменяем]]))-1),FALSE)))-B$6)),"ошибка"),"ошибка")</f>
        <v>ошибка</v>
      </c>
      <c r="C16" s="38" t="str">
        <f ca="1">IFERROR(IF(LEFT(Измен_Отслеж[[#This Row],[ФИзменяем]],5)="=Прив","Критерий",IF(LEFT(Измен_Отслеж[[#This Row],[ФИзменяем]],5)="=Матр","Матрица","ошибка")),"ошибка")</f>
        <v>ошибка</v>
      </c>
      <c r="D16" s="38" t="str">
        <f ca="1">IFERROR(IF(N(INDIRECT(Измен_Отслеж[[#This Row],[СФизИзменяем]],FALSE))=0,"ошибка",IFERROR(INDIRECT(Измен_Отслеж[[#This Row],[СФизИзменяем]],FALSE),"ошибка")),"ошибка")</f>
        <v>ошибка</v>
      </c>
      <c r="E16"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Row],[СИзменяем]])))+E$5),FIND("R",Измен_Отслеж[[#This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Row],[СИзменяем]])))+E$4),"ошибка")</f>
        <v>ошибка</v>
      </c>
      <c r="F16" s="38" t="str">
        <f ca="1">IFERROR(IF(
                OR(
                    INDIRECT(Измен_Отслеж[[#This Row],[СТипИзменяем]],FALSE)=Перебор!$N$58,
                    INDIRECT(Измен_Отслеж[[#This Row],[СТипИзменяем]],FALSE)=Перебор!$N$59,
                    INDIRECT(Измен_Отслеж[[#This Row],[СТипИзменяем]],FALSE)=Перебор!$N$60,
                    INDIRECT(Измен_Отслеж[[#This Row],[СТипИзменяем]],FALSE)=Перебор!$N$61),
                    INDIRECT(Измен_Отслеж[[#This Row],[СТипИзменяем]],FALSE),
                "ошибка"),"ошибка")</f>
        <v>ошибка</v>
      </c>
      <c r="G16"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Row],[СИзменяем]])))+G$5),FIND("R",Измен_Отслеж[[#This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Row],[СИзменяем]])))+G$4),"ошибка")</f>
        <v>ошибка</v>
      </c>
      <c r="H16" s="38" t="str">
        <f ca="1">IFERROR(_xlfn.FORMULATEXT(INDIRECT(Измен_Отслеж[[#This Row],[СИзменяем]],FALSE)),"ошибка")</f>
        <v>ошибка</v>
      </c>
      <c r="I16" s="38" t="str">
        <f ca="1">IFERROR(IF(N(INDIRECT(Измен_Отслеж[[#This Row],[СМинФизИзменяем]],FALSE))=0,"ошибка",IFERROR(INDIRECT(Измен_Отслеж[[#This Row],[СМинФизИзменяем]],FALSE),"ошибка")),"ошибка")</f>
        <v>ошибка</v>
      </c>
      <c r="J16"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Row],[СИзменяем]])))+J$5),FIND("R",Измен_Отслеж[[#This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Row],[СИзменяем]])))+J$4),"ошибка")</f>
        <v>ошибка</v>
      </c>
      <c r="K16" s="38" t="str">
        <f ca="1">IFERROR(IF(N(INDIRECT(Измен_Отслеж[[#This Row],[СМаксФизИзменяем]],FALSE))=0,"ошибка",IFERROR(INDIRECT(Измен_Отслеж[[#This Row],[СМаксФизИзменяем]],FALSE),"ошибка")),"ошибка")</f>
        <v>ошибка</v>
      </c>
      <c r="L16"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Row],[СИзменяем]])))+L$5),FIND("R",Измен_Отслеж[[#This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Row],[СИзменяем]])))+L$4),"ошибка")</f>
        <v>ошибка</v>
      </c>
      <c r="M16" s="38" t="str">
        <f ca="1">IFERROR(IF(N(INDIRECT(Измен_Отслеж[[#This Row],[ССрФизИзменяем]],FALSE))=0,"ошибка",IFERROR(INDIRECT(Измен_Отслеж[[#This Row],[ССрФизИзменяем]],FALSE),"ошибка")),"ошибка")</f>
        <v>ошибка</v>
      </c>
      <c r="N16" s="38" t="str">
        <f ca="1">IF(OR(Измен_Отслеж[[#This Row],[ТипИзменяем]]=Перебор!$N$60,Измен_Отслеж[[#This Row],[ТипИзменяем]]=Перебор!$N$61),IFERROR(REPLACE(REPLACE(Измен_Отслеж[[#This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Row],[СИзменяем]])))+N$5),FIND("R",Измен_Отслеж[[#This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Row],[СИзменяем]])))+N$4),"ошибка"),"ошибка")</f>
        <v>ошибка</v>
      </c>
      <c r="O16" s="65"/>
      <c r="P16" s="38" t="str">
        <f ca="1">IFERROR(IF(AND(Измен_Отслеж[[#This Row],[Отслеживаем]]&gt;=1,Измен_Отслеж[[#This Row],[Отслеживаем]]&lt;=4),IF(IFERROR(FIND("!",_xlfn.FORMULATEXT(Измен_Отслеж[[#This Row],[Отслеживаем]])),"на странице")="на странице",CONCATENATE("R",ROW((INDIRECT(RIGHT(_xlfn.FORMULATEXT(Измен_Отслеж[[#This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Row],[Отслеживаем]]))-1),FALSE)))-P$6),CONCATENATE(RIGHT(LEFT(_xlfn.FORMULATEXT(Измен_Отслеж[[#This Row],[Отслеживаем]]),FIND("!",_xlfn.FORMULATEXT(Измен_Отслеж[[#This Row],[Отслеживаем]]))),LEN(LEFT(_xlfn.FORMULATEXT(Измен_Отслеж[[#This Row],[Отслеживаем]]),FIND("!",_xlfn.FORMULATEXT(Измен_Отслеж[[#This Row],[Отслеживаем]]))))-1),"R",ROW((INDIRECT(RIGHT(_xlfn.FORMULATEXT(Измен_Отслеж[[#This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Row],[Отслеживаем]]))-1),FALSE)))-P$6)),"ошибка"),"ошибка")</f>
        <v>ошибка</v>
      </c>
      <c r="Q16" s="38" t="str">
        <f ca="1">IFERROR(_xlfn.FORMULATEXT(INDIRECT(Измен_Отслеж[[#This Row],[СОтслеживаем]],FALSE)),"ошибка")</f>
        <v>ошибка</v>
      </c>
      <c r="R16" s="38" t="str">
        <f ca="1">IFERROR(IF(LEFT(Измен_Отслеж[[#This Row],[ФОтслеживаем]],5)="=Прив","Критерий",IF(LEFT(Измен_Отслеж[[#This Row],[ФОтслеживаем]],5)="=Матр","Матрица","ошибка")),"ошибка")</f>
        <v>ошибка</v>
      </c>
      <c r="S16" s="38" t="str">
        <f ca="1">IF(OR(AND(Измен_Отслеж[[#This Row],[ВидИзменяем]]="Критерий",Измен_Отслеж[[#This Row],[ВидОтслеживаем]]="Матрица"),AND(Измен_Отслеж[[#This Row],[ВидИзменяем]]="Матрица",Измен_Отслеж[[#This Row],[ВидОтслеживаем]]="Матрица")),"Отслеживаем","ошибка")</f>
        <v>ошибка</v>
      </c>
      <c r="T16" s="67">
        <f ca="1">IF(Измен_Отслеж[[#This Row],[Сопоставление]]="Отслеживаем",1,-1)</f>
        <v>-1</v>
      </c>
    </row>
    <row r="17" spans="1:20" x14ac:dyDescent="0.25">
      <c r="A17" s="37"/>
      <c r="B17" s="38" t="str">
        <f ca="1">IFERROR(IF(AND(Измен_Отслеж[[#This Row],[Изменяем]]&gt;=1,Измен_Отслеж[[#This Row],[Изменяем]]&lt;=4),IF(IFERROR(FIND("!",_xlfn.FORMULATEXT(Измен_Отслеж[[#This Row],[Изменяем]])),"на странице")="на странице",CONCATENATE("R",ROW((INDIRECT(RIGHT(_xlfn.FORMULATEXT(Измен_Отслеж[[#This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Row],[Изменяем]]))-1),FALSE)))-B$6),CONCATENATE(RIGHT(LEFT(_xlfn.FORMULATEXT(Измен_Отслеж[[#This Row],[Изменяем]]),FIND("!",_xlfn.FORMULATEXT(Измен_Отслеж[[#This Row],[Изменяем]]))),LEN(LEFT(_xlfn.FORMULATEXT(Измен_Отслеж[[#This Row],[Изменяем]]),FIND("!",_xlfn.FORMULATEXT(Измен_Отслеж[[#This Row],[Изменяем]]))))-1),"R",ROW((INDIRECT(RIGHT(_xlfn.FORMULATEXT(Измен_Отслеж[[#This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Row],[Изменяем]]))-1),FALSE)))-B$6)),"ошибка"),"ошибка")</f>
        <v>ошибка</v>
      </c>
      <c r="C17" s="38" t="str">
        <f ca="1">IFERROR(IF(LEFT(Измен_Отслеж[[#This Row],[ФИзменяем]],5)="=Прив","Критерий",IF(LEFT(Измен_Отслеж[[#This Row],[ФИзменяем]],5)="=Матр","Матрица","ошибка")),"ошибка")</f>
        <v>ошибка</v>
      </c>
      <c r="D17" s="38" t="str">
        <f ca="1">IFERROR(IF(N(INDIRECT(Измен_Отслеж[[#This Row],[СФизИзменяем]],FALSE))=0,"ошибка",IFERROR(INDIRECT(Измен_Отслеж[[#This Row],[СФизИзменяем]],FALSE),"ошибка")),"ошибка")</f>
        <v>ошибка</v>
      </c>
      <c r="E17"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Row],[СИзменяем]])))+E$5),FIND("R",Измен_Отслеж[[#This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Row],[СИзменяем]])))+E$4),"ошибка")</f>
        <v>ошибка</v>
      </c>
      <c r="F17" s="38" t="str">
        <f ca="1">IFERROR(IF(
                OR(
                    INDIRECT(Измен_Отслеж[[#This Row],[СТипИзменяем]],FALSE)=Перебор!$N$58,
                    INDIRECT(Измен_Отслеж[[#This Row],[СТипИзменяем]],FALSE)=Перебор!$N$59,
                    INDIRECT(Измен_Отслеж[[#This Row],[СТипИзменяем]],FALSE)=Перебор!$N$60,
                    INDIRECT(Измен_Отслеж[[#This Row],[СТипИзменяем]],FALSE)=Перебор!$N$61),
                    INDIRECT(Измен_Отслеж[[#This Row],[СТипИзменяем]],FALSE),
                "ошибка"),"ошибка")</f>
        <v>ошибка</v>
      </c>
      <c r="G17"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Row],[СИзменяем]])))+G$5),FIND("R",Измен_Отслеж[[#This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Row],[СИзменяем]])))+G$4),"ошибка")</f>
        <v>ошибка</v>
      </c>
      <c r="H17" s="38" t="str">
        <f ca="1">IFERROR(_xlfn.FORMULATEXT(INDIRECT(Измен_Отслеж[[#This Row],[СИзменяем]],FALSE)),"ошибка")</f>
        <v>ошибка</v>
      </c>
      <c r="I17" s="38" t="str">
        <f ca="1">IFERROR(IF(N(INDIRECT(Измен_Отслеж[[#This Row],[СМинФизИзменяем]],FALSE))=0,"ошибка",IFERROR(INDIRECT(Измен_Отслеж[[#This Row],[СМинФизИзменяем]],FALSE),"ошибка")),"ошибка")</f>
        <v>ошибка</v>
      </c>
      <c r="J17"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Row],[СИзменяем]])))+J$5),FIND("R",Измен_Отслеж[[#This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Row],[СИзменяем]])))+J$4),"ошибка")</f>
        <v>ошибка</v>
      </c>
      <c r="K17" s="38" t="str">
        <f ca="1">IFERROR(IF(N(INDIRECT(Измен_Отслеж[[#This Row],[СМаксФизИзменяем]],FALSE))=0,"ошибка",IFERROR(INDIRECT(Измен_Отслеж[[#This Row],[СМаксФизИзменяем]],FALSE),"ошибка")),"ошибка")</f>
        <v>ошибка</v>
      </c>
      <c r="L17"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Row],[СИзменяем]])))+L$5),FIND("R",Измен_Отслеж[[#This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Row],[СИзменяем]])))+L$4),"ошибка")</f>
        <v>ошибка</v>
      </c>
      <c r="M17" s="38" t="str">
        <f ca="1">IFERROR(IF(N(INDIRECT(Измен_Отслеж[[#This Row],[ССрФизИзменяем]],FALSE))=0,"ошибка",IFERROR(INDIRECT(Измен_Отслеж[[#This Row],[ССрФизИзменяем]],FALSE),"ошибка")),"ошибка")</f>
        <v>ошибка</v>
      </c>
      <c r="N17" s="38" t="str">
        <f ca="1">IF(OR(Измен_Отслеж[[#This Row],[ТипИзменяем]]=Перебор!$N$60,Измен_Отслеж[[#This Row],[ТипИзменяем]]=Перебор!$N$61),IFERROR(REPLACE(REPLACE(Измен_Отслеж[[#This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Row],[СИзменяем]])))+N$5),FIND("R",Измен_Отслеж[[#This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Row],[СИзменяем]])))+N$4),"ошибка"),"ошибка")</f>
        <v>ошибка</v>
      </c>
      <c r="O17" s="65"/>
      <c r="P17" s="38" t="str">
        <f ca="1">IFERROR(IF(AND(Измен_Отслеж[[#This Row],[Отслеживаем]]&gt;=1,Измен_Отслеж[[#This Row],[Отслеживаем]]&lt;=4),IF(IFERROR(FIND("!",_xlfn.FORMULATEXT(Измен_Отслеж[[#This Row],[Отслеживаем]])),"на странице")="на странице",CONCATENATE("R",ROW((INDIRECT(RIGHT(_xlfn.FORMULATEXT(Измен_Отслеж[[#This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Row],[Отслеживаем]]))-1),FALSE)))-P$6),CONCATENATE(RIGHT(LEFT(_xlfn.FORMULATEXT(Измен_Отслеж[[#This Row],[Отслеживаем]]),FIND("!",_xlfn.FORMULATEXT(Измен_Отслеж[[#This Row],[Отслеживаем]]))),LEN(LEFT(_xlfn.FORMULATEXT(Измен_Отслеж[[#This Row],[Отслеживаем]]),FIND("!",_xlfn.FORMULATEXT(Измен_Отслеж[[#This Row],[Отслеживаем]]))))-1),"R",ROW((INDIRECT(RIGHT(_xlfn.FORMULATEXT(Измен_Отслеж[[#This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Row],[Отслеживаем]]))-1),FALSE)))-P$6)),"ошибка"),"ошибка")</f>
        <v>ошибка</v>
      </c>
      <c r="Q17" s="38" t="str">
        <f ca="1">IFERROR(_xlfn.FORMULATEXT(INDIRECT(Измен_Отслеж[[#This Row],[СОтслеживаем]],FALSE)),"ошибка")</f>
        <v>ошибка</v>
      </c>
      <c r="R17" s="38" t="str">
        <f ca="1">IFERROR(IF(LEFT(Измен_Отслеж[[#This Row],[ФОтслеживаем]],5)="=Прив","Критерий",IF(LEFT(Измен_Отслеж[[#This Row],[ФОтслеживаем]],5)="=Матр","Матрица","ошибка")),"ошибка")</f>
        <v>ошибка</v>
      </c>
      <c r="S17" s="38" t="str">
        <f ca="1">IF(OR(AND(Измен_Отслеж[[#This Row],[ВидИзменяем]]="Критерий",Измен_Отслеж[[#This Row],[ВидОтслеживаем]]="Матрица"),AND(Измен_Отслеж[[#This Row],[ВидИзменяем]]="Матрица",Измен_Отслеж[[#This Row],[ВидОтслеживаем]]="Матрица")),"Отслеживаем","ошибка")</f>
        <v>ошибка</v>
      </c>
      <c r="T17" s="67">
        <f ca="1">IF(Измен_Отслеж[[#This Row],[Сопоставление]]="Отслеживаем",1,-1)</f>
        <v>-1</v>
      </c>
    </row>
    <row r="18" spans="1:20" x14ac:dyDescent="0.25">
      <c r="A18" s="37"/>
      <c r="B18" s="38" t="str">
        <f ca="1">IFERROR(IF(AND(Измен_Отслеж[[#This Row],[Изменяем]]&gt;=1,Измен_Отслеж[[#This Row],[Изменяем]]&lt;=4),IF(IFERROR(FIND("!",_xlfn.FORMULATEXT(Измен_Отслеж[[#This Row],[Изменяем]])),"на странице")="на странице",CONCATENATE("R",ROW((INDIRECT(RIGHT(_xlfn.FORMULATEXT(Измен_Отслеж[[#This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Row],[Изменяем]]))-1),FALSE)))-B$6),CONCATENATE(RIGHT(LEFT(_xlfn.FORMULATEXT(Измен_Отслеж[[#This Row],[Изменяем]]),FIND("!",_xlfn.FORMULATEXT(Измен_Отслеж[[#This Row],[Изменяем]]))),LEN(LEFT(_xlfn.FORMULATEXT(Измен_Отслеж[[#This Row],[Изменяем]]),FIND("!",_xlfn.FORMULATEXT(Измен_Отслеж[[#This Row],[Изменяем]]))))-1),"R",ROW((INDIRECT(RIGHT(_xlfn.FORMULATEXT(Измен_Отслеж[[#This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Row],[Изменяем]]))-1),FALSE)))-B$6)),"ошибка"),"ошибка")</f>
        <v>ошибка</v>
      </c>
      <c r="C18" s="38" t="str">
        <f ca="1">IFERROR(IF(LEFT(Измен_Отслеж[[#This Row],[ФИзменяем]],5)="=Прив","Критерий",IF(LEFT(Измен_Отслеж[[#This Row],[ФИзменяем]],5)="=Матр","Матрица","ошибка")),"ошибка")</f>
        <v>ошибка</v>
      </c>
      <c r="D18" s="38" t="str">
        <f ca="1">IFERROR(IF(N(INDIRECT(Измен_Отслеж[[#This Row],[СФизИзменяем]],FALSE))=0,"ошибка",IFERROR(INDIRECT(Измен_Отслеж[[#This Row],[СФизИзменяем]],FALSE),"ошибка")),"ошибка")</f>
        <v>ошибка</v>
      </c>
      <c r="E18"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Row],[СИзменяем]])))+E$5),FIND("R",Измен_Отслеж[[#This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Row],[СИзменяем]])))+E$4),"ошибка")</f>
        <v>ошибка</v>
      </c>
      <c r="F18" s="38" t="str">
        <f ca="1">IFERROR(IF(
                OR(
                    INDIRECT(Измен_Отслеж[[#This Row],[СТипИзменяем]],FALSE)=Перебор!$N$58,
                    INDIRECT(Измен_Отслеж[[#This Row],[СТипИзменяем]],FALSE)=Перебор!$N$59,
                    INDIRECT(Измен_Отслеж[[#This Row],[СТипИзменяем]],FALSE)=Перебор!$N$60,
                    INDIRECT(Измен_Отслеж[[#This Row],[СТипИзменяем]],FALSE)=Перебор!$N$61),
                    INDIRECT(Измен_Отслеж[[#This Row],[СТипИзменяем]],FALSE),
                "ошибка"),"ошибка")</f>
        <v>ошибка</v>
      </c>
      <c r="G18"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Row],[СИзменяем]])))+G$5),FIND("R",Измен_Отслеж[[#This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Row],[СИзменяем]])))+G$4),"ошибка")</f>
        <v>ошибка</v>
      </c>
      <c r="H18" s="38" t="str">
        <f ca="1">IFERROR(_xlfn.FORMULATEXT(INDIRECT(Измен_Отслеж[[#This Row],[СИзменяем]],FALSE)),"ошибка")</f>
        <v>ошибка</v>
      </c>
      <c r="I18" s="38" t="str">
        <f ca="1">IFERROR(IF(N(INDIRECT(Измен_Отслеж[[#This Row],[СМинФизИзменяем]],FALSE))=0,"ошибка",IFERROR(INDIRECT(Измен_Отслеж[[#This Row],[СМинФизИзменяем]],FALSE),"ошибка")),"ошибка")</f>
        <v>ошибка</v>
      </c>
      <c r="J18"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Row],[СИзменяем]])))+J$5),FIND("R",Измен_Отслеж[[#This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Row],[СИзменяем]])))+J$4),"ошибка")</f>
        <v>ошибка</v>
      </c>
      <c r="K18" s="38" t="str">
        <f ca="1">IFERROR(IF(N(INDIRECT(Измен_Отслеж[[#This Row],[СМаксФизИзменяем]],FALSE))=0,"ошибка",IFERROR(INDIRECT(Измен_Отслеж[[#This Row],[СМаксФизИзменяем]],FALSE),"ошибка")),"ошибка")</f>
        <v>ошибка</v>
      </c>
      <c r="L18"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Row],[СИзменяем]])))+L$5),FIND("R",Измен_Отслеж[[#This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Row],[СИзменяем]])))+L$4),"ошибка")</f>
        <v>ошибка</v>
      </c>
      <c r="M18" s="38" t="str">
        <f ca="1">IFERROR(IF(N(INDIRECT(Измен_Отслеж[[#This Row],[ССрФизИзменяем]],FALSE))=0,"ошибка",IFERROR(INDIRECT(Измен_Отслеж[[#This Row],[ССрФизИзменяем]],FALSE),"ошибка")),"ошибка")</f>
        <v>ошибка</v>
      </c>
      <c r="N18" s="38" t="str">
        <f ca="1">IF(OR(Измен_Отслеж[[#This Row],[ТипИзменяем]]=Перебор!$N$60,Измен_Отслеж[[#This Row],[ТипИзменяем]]=Перебор!$N$61),IFERROR(REPLACE(REPLACE(Измен_Отслеж[[#This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Row],[СИзменяем]])))+N$5),FIND("R",Измен_Отслеж[[#This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Row],[СИзменяем]])))+N$4),"ошибка"),"ошибка")</f>
        <v>ошибка</v>
      </c>
      <c r="O18" s="65"/>
      <c r="P18" s="38" t="str">
        <f ca="1">IFERROR(IF(AND(Измен_Отслеж[[#This Row],[Отслеживаем]]&gt;=1,Измен_Отслеж[[#This Row],[Отслеживаем]]&lt;=4),IF(IFERROR(FIND("!",_xlfn.FORMULATEXT(Измен_Отслеж[[#This Row],[Отслеживаем]])),"на странице")="на странице",CONCATENATE("R",ROW((INDIRECT(RIGHT(_xlfn.FORMULATEXT(Измен_Отслеж[[#This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Row],[Отслеживаем]]))-1),FALSE)))-P$6),CONCATENATE(RIGHT(LEFT(_xlfn.FORMULATEXT(Измен_Отслеж[[#This Row],[Отслеживаем]]),FIND("!",_xlfn.FORMULATEXT(Измен_Отслеж[[#This Row],[Отслеживаем]]))),LEN(LEFT(_xlfn.FORMULATEXT(Измен_Отслеж[[#This Row],[Отслеживаем]]),FIND("!",_xlfn.FORMULATEXT(Измен_Отслеж[[#This Row],[Отслеживаем]]))))-1),"R",ROW((INDIRECT(RIGHT(_xlfn.FORMULATEXT(Измен_Отслеж[[#This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Row],[Отслеживаем]]))-1),FALSE)))-P$6)),"ошибка"),"ошибка")</f>
        <v>ошибка</v>
      </c>
      <c r="Q18" s="38" t="str">
        <f ca="1">IFERROR(_xlfn.FORMULATEXT(INDIRECT(Измен_Отслеж[[#This Row],[СОтслеживаем]],FALSE)),"ошибка")</f>
        <v>ошибка</v>
      </c>
      <c r="R18" s="38" t="str">
        <f ca="1">IFERROR(IF(LEFT(Измен_Отслеж[[#This Row],[ФОтслеживаем]],5)="=Прив","Критерий",IF(LEFT(Измен_Отслеж[[#This Row],[ФОтслеживаем]],5)="=Матр","Матрица","ошибка")),"ошибка")</f>
        <v>ошибка</v>
      </c>
      <c r="S18" s="38" t="str">
        <f ca="1">IF(OR(AND(Измен_Отслеж[[#This Row],[ВидИзменяем]]="Критерий",Измен_Отслеж[[#This Row],[ВидОтслеживаем]]="Матрица"),AND(Измен_Отслеж[[#This Row],[ВидИзменяем]]="Матрица",Измен_Отслеж[[#This Row],[ВидОтслеживаем]]="Матрица")),"Отслеживаем","ошибка")</f>
        <v>ошибка</v>
      </c>
      <c r="T18" s="67">
        <f ca="1">IF(Измен_Отслеж[[#This Row],[Сопоставление]]="Отслеживаем",1,-1)</f>
        <v>-1</v>
      </c>
    </row>
    <row r="19" spans="1:20" x14ac:dyDescent="0.25">
      <c r="A19" s="37"/>
      <c r="B19" s="38" t="str">
        <f ca="1">IFERROR(IF(AND(Измен_Отслеж[[#This Row],[Изменяем]]&gt;=1,Измен_Отслеж[[#This Row],[Изменяем]]&lt;=4),IF(IFERROR(FIND("!",_xlfn.FORMULATEXT(Измен_Отслеж[[#This Row],[Изменяем]])),"на странице")="на странице",CONCATENATE("R",ROW((INDIRECT(RIGHT(_xlfn.FORMULATEXT(Измен_Отслеж[[#This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Row],[Изменяем]]))-1),FALSE)))-B$6),CONCATENATE(RIGHT(LEFT(_xlfn.FORMULATEXT(Измен_Отслеж[[#This Row],[Изменяем]]),FIND("!",_xlfn.FORMULATEXT(Измен_Отслеж[[#This Row],[Изменяем]]))),LEN(LEFT(_xlfn.FORMULATEXT(Измен_Отслеж[[#This Row],[Изменяем]]),FIND("!",_xlfn.FORMULATEXT(Измен_Отслеж[[#This Row],[Изменяем]]))))-1),"R",ROW((INDIRECT(RIGHT(_xlfn.FORMULATEXT(Измен_Отслеж[[#This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Row],[Изменяем]]))-1),FALSE)))-B$6)),"ошибка"),"ошибка")</f>
        <v>ошибка</v>
      </c>
      <c r="C19" s="38" t="str">
        <f ca="1">IFERROR(IF(LEFT(Измен_Отслеж[[#This Row],[ФИзменяем]],5)="=Прив","Критерий",IF(LEFT(Измен_Отслеж[[#This Row],[ФИзменяем]],5)="=Матр","Матрица","ошибка")),"ошибка")</f>
        <v>ошибка</v>
      </c>
      <c r="D19" s="38" t="str">
        <f ca="1">IFERROR(IF(N(INDIRECT(Измен_Отслеж[[#This Row],[СФизИзменяем]],FALSE))=0,"ошибка",IFERROR(INDIRECT(Измен_Отслеж[[#This Row],[СФизИзменяем]],FALSE),"ошибка")),"ошибка")</f>
        <v>ошибка</v>
      </c>
      <c r="E19"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Row],[СИзменяем]])))+E$5),FIND("R",Измен_Отслеж[[#This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Row],[СИзменяем]])))+E$4),"ошибка")</f>
        <v>ошибка</v>
      </c>
      <c r="F19" s="38" t="str">
        <f ca="1">IFERROR(IF(
                OR(
                    INDIRECT(Измен_Отслеж[[#This Row],[СТипИзменяем]],FALSE)=Перебор!$N$58,
                    INDIRECT(Измен_Отслеж[[#This Row],[СТипИзменяем]],FALSE)=Перебор!$N$59,
                    INDIRECT(Измен_Отслеж[[#This Row],[СТипИзменяем]],FALSE)=Перебор!$N$60,
                    INDIRECT(Измен_Отслеж[[#This Row],[СТипИзменяем]],FALSE)=Перебор!$N$61),
                    INDIRECT(Измен_Отслеж[[#This Row],[СТипИзменяем]],FALSE),
                "ошибка"),"ошибка")</f>
        <v>ошибка</v>
      </c>
      <c r="G19"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Row],[СИзменяем]])))+G$5),FIND("R",Измен_Отслеж[[#This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Row],[СИзменяем]])))+G$4),"ошибка")</f>
        <v>ошибка</v>
      </c>
      <c r="H19" s="38" t="str">
        <f ca="1">IFERROR(_xlfn.FORMULATEXT(INDIRECT(Измен_Отслеж[[#This Row],[СИзменяем]],FALSE)),"ошибка")</f>
        <v>ошибка</v>
      </c>
      <c r="I19" s="38" t="str">
        <f ca="1">IFERROR(IF(N(INDIRECT(Измен_Отслеж[[#This Row],[СМинФизИзменяем]],FALSE))=0,"ошибка",IFERROR(INDIRECT(Измен_Отслеж[[#This Row],[СМинФизИзменяем]],FALSE),"ошибка")),"ошибка")</f>
        <v>ошибка</v>
      </c>
      <c r="J19"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Row],[СИзменяем]])))+J$5),FIND("R",Измен_Отслеж[[#This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Row],[СИзменяем]])))+J$4),"ошибка")</f>
        <v>ошибка</v>
      </c>
      <c r="K19" s="38" t="str">
        <f ca="1">IFERROR(IF(N(INDIRECT(Измен_Отслеж[[#This Row],[СМаксФизИзменяем]],FALSE))=0,"ошибка",IFERROR(INDIRECT(Измен_Отслеж[[#This Row],[СМаксФизИзменяем]],FALSE),"ошибка")),"ошибка")</f>
        <v>ошибка</v>
      </c>
      <c r="L19"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Row],[СИзменяем]])))+L$5),FIND("R",Измен_Отслеж[[#This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Row],[СИзменяем]])))+L$4),"ошибка")</f>
        <v>ошибка</v>
      </c>
      <c r="M19" s="38" t="str">
        <f ca="1">IFERROR(IF(N(INDIRECT(Измен_Отслеж[[#This Row],[ССрФизИзменяем]],FALSE))=0,"ошибка",IFERROR(INDIRECT(Измен_Отслеж[[#This Row],[ССрФизИзменяем]],FALSE),"ошибка")),"ошибка")</f>
        <v>ошибка</v>
      </c>
      <c r="N19" s="38" t="str">
        <f ca="1">IF(OR(Измен_Отслеж[[#This Row],[ТипИзменяем]]=Перебор!$N$60,Измен_Отслеж[[#This Row],[ТипИзменяем]]=Перебор!$N$61),IFERROR(REPLACE(REPLACE(Измен_Отслеж[[#This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Row],[СИзменяем]])))+N$5),FIND("R",Измен_Отслеж[[#This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Row],[СИзменяем]])))+N$4),"ошибка"),"ошибка")</f>
        <v>ошибка</v>
      </c>
      <c r="O19" s="65"/>
      <c r="P19" s="38" t="str">
        <f ca="1">IFERROR(IF(AND(Измен_Отслеж[[#This Row],[Отслеживаем]]&gt;=1,Измен_Отслеж[[#This Row],[Отслеживаем]]&lt;=4),IF(IFERROR(FIND("!",_xlfn.FORMULATEXT(Измен_Отслеж[[#This Row],[Отслеживаем]])),"на странице")="на странице",CONCATENATE("R",ROW((INDIRECT(RIGHT(_xlfn.FORMULATEXT(Измен_Отслеж[[#This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Row],[Отслеживаем]]))-1),FALSE)))-P$6),CONCATENATE(RIGHT(LEFT(_xlfn.FORMULATEXT(Измен_Отслеж[[#This Row],[Отслеживаем]]),FIND("!",_xlfn.FORMULATEXT(Измен_Отслеж[[#This Row],[Отслеживаем]]))),LEN(LEFT(_xlfn.FORMULATEXT(Измен_Отслеж[[#This Row],[Отслеживаем]]),FIND("!",_xlfn.FORMULATEXT(Измен_Отслеж[[#This Row],[Отслеживаем]]))))-1),"R",ROW((INDIRECT(RIGHT(_xlfn.FORMULATEXT(Измен_Отслеж[[#This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Row],[Отслеживаем]]))-1),FALSE)))-P$6)),"ошибка"),"ошибка")</f>
        <v>ошибка</v>
      </c>
      <c r="Q19" s="38" t="str">
        <f ca="1">IFERROR(_xlfn.FORMULATEXT(INDIRECT(Измен_Отслеж[[#This Row],[СОтслеживаем]],FALSE)),"ошибка")</f>
        <v>ошибка</v>
      </c>
      <c r="R19" s="38" t="str">
        <f ca="1">IFERROR(IF(LEFT(Измен_Отслеж[[#This Row],[ФОтслеживаем]],5)="=Прив","Критерий",IF(LEFT(Измен_Отслеж[[#This Row],[ФОтслеживаем]],5)="=Матр","Матрица","ошибка")),"ошибка")</f>
        <v>ошибка</v>
      </c>
      <c r="S19" s="38" t="str">
        <f ca="1">IF(OR(AND(Измен_Отслеж[[#This Row],[ВидИзменяем]]="Критерий",Измен_Отслеж[[#This Row],[ВидОтслеживаем]]="Матрица"),AND(Измен_Отслеж[[#This Row],[ВидИзменяем]]="Матрица",Измен_Отслеж[[#This Row],[ВидОтслеживаем]]="Матрица")),"Отслеживаем","ошибка")</f>
        <v>ошибка</v>
      </c>
      <c r="T19" s="67">
        <f ca="1">IF(Измен_Отслеж[[#This Row],[Сопоставление]]="Отслеживаем",1,-1)</f>
        <v>-1</v>
      </c>
    </row>
    <row r="25" spans="1:20" x14ac:dyDescent="0.25">
      <c r="C25" s="37"/>
    </row>
  </sheetData>
  <mergeCells count="2">
    <mergeCell ref="V13:W13"/>
    <mergeCell ref="X12:X13"/>
  </mergeCells>
  <conditionalFormatting sqref="A9:A19 O9:O19">
    <cfRule type="cellIs" dxfId="1685" priority="14" operator="notBetween">
      <formula>1</formula>
      <formula>4</formula>
    </cfRule>
  </conditionalFormatting>
  <conditionalFormatting sqref="T9:T19">
    <cfRule type="iconSet" priority="5">
      <iconSet showValue="0">
        <cfvo type="percent" val="0"/>
        <cfvo type="num" val="0"/>
        <cfvo type="num" val="1"/>
      </iconSet>
    </cfRule>
  </conditionalFormatting>
  <conditionalFormatting sqref="V12">
    <cfRule type="cellIs" dxfId="1684" priority="4" operator="notBetween">
      <formula>1</formula>
      <formula>4</formula>
    </cfRule>
  </conditionalFormatting>
  <conditionalFormatting sqref="W12">
    <cfRule type="cellIs" dxfId="1683" priority="3" operator="notBetween">
      <formula>1</formula>
      <formula>4</formula>
    </cfRule>
  </conditionalFormatting>
  <conditionalFormatting sqref="V13">
    <cfRule type="cellIs" dxfId="1682" priority="2" operator="notBetween">
      <formula>0</formula>
      <formula>1</formula>
    </cfRule>
  </conditionalFormatting>
  <dataValidations count="2">
    <dataValidation type="list" allowBlank="1" showInputMessage="1" showErrorMessage="1" sqref="V13:W13" xr:uid="{00000000-0002-0000-0300-000000000000}">
      <formula1>INDIRECT("Step[Шаг анализа]")</formula1>
    </dataValidation>
    <dataValidation type="decimal" allowBlank="1" showInputMessage="1" showErrorMessage="1" errorTitle="Требуется указать диапазон" error="Значение &gt;=1 и &lt;=4" sqref="V12:W12" xr:uid="{00000000-0002-0000-0300-000001000000}">
      <formula1>0.999999999999999</formula1>
      <formula2>4</formula2>
    </dataValidation>
  </dataValidations>
  <pageMargins left="0.7" right="0.7" top="0.75" bottom="0.75" header="0.3" footer="0.3"/>
  <pageSetup paperSize="9"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 id="{C7909D6B-EC4D-4EDD-AD44-0E73D28D4797}">
            <x14:iconSet showValue="0" custom="1">
              <x14:cfvo type="percent">
                <xm:f>0</xm:f>
              </x14:cfvo>
              <x14:cfvo type="num">
                <xm:f>0</xm:f>
              </x14:cfvo>
              <x14:cfvo type="num">
                <xm:f>1</xm:f>
              </x14:cfvo>
              <x14:cfIcon iconSet="3TrafficLights1" iconId="0"/>
              <x14:cfIcon iconSet="3TrafficLights1" iconId="0"/>
              <x14:cfIcon iconSet="3TrafficLights1" iconId="2"/>
            </x14:iconSet>
          </x14:cfRule>
          <xm:sqref>X12:X13</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Лист1711"/>
  <dimension ref="A1:CO21"/>
  <sheetViews>
    <sheetView topLeftCell="AN1" zoomScale="60" zoomScaleNormal="60" workbookViewId="0">
      <selection activeCell="AX45" sqref="AX45"/>
    </sheetView>
  </sheetViews>
  <sheetFormatPr defaultRowHeight="15" outlineLevelRow="2" x14ac:dyDescent="0.25"/>
  <cols>
    <col min="1" max="1" width="6.5703125" customWidth="1"/>
    <col min="2" max="2" width="8.28515625" customWidth="1"/>
    <col min="3" max="3" width="12.28515625" customWidth="1"/>
    <col min="4" max="4" width="13.85546875" customWidth="1"/>
    <col min="5" max="17" width="8.85546875" customWidth="1"/>
    <col min="18" max="18" width="16.140625" customWidth="1"/>
    <col min="20" max="20" width="11.140625" customWidth="1"/>
    <col min="22" max="23" width="8.85546875" customWidth="1"/>
    <col min="24" max="24" width="13.42578125" customWidth="1"/>
    <col min="25" max="26" width="8.85546875" customWidth="1"/>
    <col min="27" max="27" width="8.85546875" style="5" customWidth="1"/>
    <col min="28" max="28" width="8.85546875" customWidth="1"/>
    <col min="29" max="29" width="8.85546875" style="5" customWidth="1"/>
    <col min="30" max="30" width="8.85546875" customWidth="1"/>
    <col min="31" max="31" width="8.85546875" style="5" customWidth="1"/>
    <col min="32" max="32" width="8.85546875" customWidth="1"/>
    <col min="33" max="33" width="8.85546875" style="5" customWidth="1"/>
    <col min="34" max="34" width="8.85546875" customWidth="1"/>
    <col min="35" max="35" width="8.85546875" style="5" customWidth="1"/>
    <col min="36" max="36" width="8.85546875" customWidth="1"/>
    <col min="37" max="37" width="8.85546875" style="5" customWidth="1"/>
    <col min="38" max="38" width="8.85546875" customWidth="1"/>
    <col min="39" max="39" width="8.85546875" style="5" customWidth="1"/>
    <col min="40" max="40" width="8.85546875" customWidth="1"/>
    <col min="41" max="41" width="8.85546875" style="5" customWidth="1"/>
    <col min="42" max="42" width="8.85546875" customWidth="1"/>
    <col min="43" max="43" width="8.85546875" style="5" customWidth="1"/>
    <col min="44" max="50" width="8.85546875" customWidth="1"/>
    <col min="51" max="53" width="12.28515625" customWidth="1"/>
    <col min="56" max="59" width="16" customWidth="1"/>
    <col min="60" max="60" width="9.85546875" customWidth="1"/>
    <col min="61" max="61" width="2.7109375" customWidth="1"/>
    <col min="62" max="62" width="14.5703125" customWidth="1"/>
    <col min="63" max="63" width="2.7109375" customWidth="1"/>
    <col min="64" max="64" width="23.5703125" customWidth="1"/>
    <col min="65" max="66" width="2.7109375" customWidth="1"/>
    <col min="67" max="67" width="9.28515625" customWidth="1"/>
    <col min="68" max="68" width="10.85546875" customWidth="1"/>
  </cols>
  <sheetData>
    <row r="1" spans="1:93" outlineLevel="2" x14ac:dyDescent="0.25">
      <c r="C1" s="139" t="s">
        <v>461</v>
      </c>
      <c r="E1" s="139" t="s">
        <v>461</v>
      </c>
      <c r="F1" s="139" t="s">
        <v>461</v>
      </c>
      <c r="G1" s="139" t="s">
        <v>461</v>
      </c>
      <c r="H1" s="139" t="s">
        <v>461</v>
      </c>
      <c r="I1" s="139" t="s">
        <v>461</v>
      </c>
      <c r="J1" s="139" t="s">
        <v>461</v>
      </c>
      <c r="K1" s="139" t="s">
        <v>461</v>
      </c>
      <c r="L1" s="139" t="s">
        <v>461</v>
      </c>
      <c r="M1" s="139" t="s">
        <v>461</v>
      </c>
      <c r="N1" s="139" t="s">
        <v>461</v>
      </c>
      <c r="O1" s="139" t="s">
        <v>461</v>
      </c>
      <c r="P1" s="139" t="s">
        <v>461</v>
      </c>
      <c r="Q1" s="139" t="s">
        <v>461</v>
      </c>
      <c r="V1" s="139" t="s">
        <v>461</v>
      </c>
      <c r="W1" s="139" t="s">
        <v>461</v>
      </c>
      <c r="Y1" s="139" t="s">
        <v>461</v>
      </c>
      <c r="Z1" s="139" t="s">
        <v>461</v>
      </c>
      <c r="AA1" s="139" t="s">
        <v>461</v>
      </c>
      <c r="AB1" s="139" t="s">
        <v>461</v>
      </c>
      <c r="AC1" s="139" t="s">
        <v>461</v>
      </c>
      <c r="AD1" s="139" t="s">
        <v>461</v>
      </c>
      <c r="AE1" s="139" t="s">
        <v>461</v>
      </c>
      <c r="AF1" s="139" t="s">
        <v>461</v>
      </c>
      <c r="AG1" s="139" t="s">
        <v>461</v>
      </c>
      <c r="AH1" s="139" t="s">
        <v>461</v>
      </c>
      <c r="AI1" s="139" t="s">
        <v>461</v>
      </c>
      <c r="AJ1" s="139" t="s">
        <v>461</v>
      </c>
      <c r="AK1" s="139" t="s">
        <v>461</v>
      </c>
      <c r="AL1" s="139" t="s">
        <v>461</v>
      </c>
      <c r="AM1" s="139" t="s">
        <v>461</v>
      </c>
      <c r="AN1" s="139" t="s">
        <v>461</v>
      </c>
      <c r="AO1" s="139" t="s">
        <v>461</v>
      </c>
      <c r="AP1" s="139" t="s">
        <v>461</v>
      </c>
      <c r="AQ1" s="139" t="s">
        <v>461</v>
      </c>
      <c r="AR1" s="139" t="s">
        <v>461</v>
      </c>
      <c r="AS1" s="139" t="s">
        <v>461</v>
      </c>
      <c r="AT1" s="139" t="s">
        <v>461</v>
      </c>
      <c r="AU1" s="139" t="s">
        <v>461</v>
      </c>
      <c r="AV1" s="139" t="s">
        <v>461</v>
      </c>
      <c r="AW1" s="139" t="s">
        <v>461</v>
      </c>
      <c r="AX1" s="139" t="s">
        <v>461</v>
      </c>
      <c r="BH1" s="124"/>
      <c r="BI1" s="124" t="s">
        <v>461</v>
      </c>
      <c r="BJ1" s="124"/>
      <c r="BK1" s="124" t="s">
        <v>461</v>
      </c>
      <c r="BL1" s="124"/>
      <c r="BM1" s="124" t="s">
        <v>461</v>
      </c>
      <c r="BN1" s="124" t="s">
        <v>461</v>
      </c>
      <c r="BO1" s="124"/>
      <c r="BP1" s="124"/>
      <c r="BQ1" s="124"/>
    </row>
    <row r="2" spans="1:93" outlineLevel="2" x14ac:dyDescent="0.25">
      <c r="B2" t="s">
        <v>364</v>
      </c>
      <c r="D2">
        <f>ROWS(Критерий_Чувствительность_2[])</f>
        <v>12</v>
      </c>
      <c r="U2" t="s">
        <v>364</v>
      </c>
      <c r="W2">
        <f>ROWS(Свёртка_Чувствительность_2[])</f>
        <v>9</v>
      </c>
      <c r="BD2" t="s">
        <v>364</v>
      </c>
      <c r="BF2">
        <f>ROWS(Анализ_Чувствительность_2[])</f>
        <v>2</v>
      </c>
    </row>
    <row r="3" spans="1:93" outlineLevel="2" x14ac:dyDescent="0.25">
      <c r="B3" t="s">
        <v>365</v>
      </c>
      <c r="D3">
        <f>COUNTIF(Критерий_Чувствительность_2[Критерий],"&gt;=1")-COUNTIF(Критерий_Чувствительность_2[Критерий],"&gt;4")</f>
        <v>0</v>
      </c>
      <c r="U3" t="s">
        <v>365</v>
      </c>
      <c r="W3">
        <f>COUNTIF(Свёртка_Чувствительность_2[Свёртка],"&gt;=1")-COUNTIF(Свёртка_Чувствительность_2[Свёртка],"&gt;4")</f>
        <v>0</v>
      </c>
    </row>
    <row r="4" spans="1:93" outlineLevel="2" x14ac:dyDescent="0.25">
      <c r="B4" t="s">
        <v>447</v>
      </c>
      <c r="D4">
        <f ca="1">COUNTIF(Критерий_Чувствительность_2[O.K.Критерий],1)</f>
        <v>0</v>
      </c>
      <c r="U4" t="s">
        <v>447</v>
      </c>
      <c r="W4">
        <f ca="1">COUNTIF(Свёртка_Чувствительность_2[O.K.Свёртка],1)</f>
        <v>0</v>
      </c>
      <c r="BD4" t="s">
        <v>447</v>
      </c>
      <c r="BF4">
        <f>COUNTIF(Анализ_Чувствительность_2[Y],1)</f>
        <v>2</v>
      </c>
    </row>
    <row r="5" spans="1:93" outlineLevel="2" x14ac:dyDescent="0.25"/>
    <row r="6" spans="1:93" outlineLevel="2" x14ac:dyDescent="0.25">
      <c r="F6">
        <v>-2</v>
      </c>
      <c r="H6">
        <v>1</v>
      </c>
      <c r="J6">
        <v>-1</v>
      </c>
      <c r="M6">
        <v>1</v>
      </c>
      <c r="O6">
        <v>1</v>
      </c>
      <c r="Q6">
        <v>1</v>
      </c>
      <c r="V6">
        <v>1</v>
      </c>
      <c r="W6">
        <v>2</v>
      </c>
      <c r="X6">
        <v>3</v>
      </c>
      <c r="Y6">
        <v>4</v>
      </c>
      <c r="Z6">
        <v>-3</v>
      </c>
      <c r="AB6">
        <v>0</v>
      </c>
      <c r="AD6">
        <v>-1</v>
      </c>
      <c r="AF6">
        <v>0</v>
      </c>
      <c r="AH6">
        <v>-1</v>
      </c>
      <c r="AJ6">
        <v>-2</v>
      </c>
      <c r="AL6">
        <v>0</v>
      </c>
      <c r="AN6">
        <v>-2</v>
      </c>
      <c r="AP6">
        <v>-1</v>
      </c>
      <c r="AR6">
        <v>-2</v>
      </c>
      <c r="AT6">
        <v>-2</v>
      </c>
      <c r="AW6">
        <v>-1</v>
      </c>
    </row>
    <row r="7" spans="1:93" outlineLevel="2" x14ac:dyDescent="0.25">
      <c r="F7">
        <v>-3</v>
      </c>
      <c r="H7">
        <v>0</v>
      </c>
      <c r="J7">
        <v>-3</v>
      </c>
      <c r="M7">
        <v>-3</v>
      </c>
      <c r="O7">
        <v>-1</v>
      </c>
      <c r="Q7">
        <v>-2</v>
      </c>
      <c r="V7">
        <v>1</v>
      </c>
      <c r="W7">
        <v>2</v>
      </c>
      <c r="X7">
        <v>3</v>
      </c>
      <c r="Y7">
        <v>4</v>
      </c>
      <c r="Z7">
        <v>0</v>
      </c>
      <c r="AB7">
        <v>3</v>
      </c>
      <c r="AD7">
        <v>3</v>
      </c>
      <c r="AF7">
        <v>2</v>
      </c>
      <c r="AH7">
        <v>2</v>
      </c>
      <c r="AJ7">
        <v>3</v>
      </c>
      <c r="AL7">
        <v>1</v>
      </c>
      <c r="AN7">
        <v>2</v>
      </c>
      <c r="AP7">
        <v>1</v>
      </c>
      <c r="AR7">
        <v>1</v>
      </c>
      <c r="AT7">
        <v>0</v>
      </c>
      <c r="AW7">
        <v>0</v>
      </c>
    </row>
    <row r="8" spans="1:93" outlineLevel="2" x14ac:dyDescent="0.25">
      <c r="B8">
        <v>0</v>
      </c>
      <c r="C8">
        <v>1</v>
      </c>
      <c r="D8">
        <v>2</v>
      </c>
      <c r="E8">
        <v>3</v>
      </c>
      <c r="F8">
        <v>4</v>
      </c>
      <c r="G8">
        <v>5</v>
      </c>
      <c r="H8">
        <v>6</v>
      </c>
      <c r="I8">
        <v>7</v>
      </c>
      <c r="J8">
        <v>8</v>
      </c>
      <c r="K8">
        <v>9</v>
      </c>
      <c r="L8">
        <v>10</v>
      </c>
      <c r="M8">
        <v>11</v>
      </c>
      <c r="N8">
        <v>12</v>
      </c>
      <c r="O8">
        <v>13</v>
      </c>
      <c r="P8">
        <v>14</v>
      </c>
      <c r="Q8">
        <v>15</v>
      </c>
      <c r="R8">
        <v>16</v>
      </c>
      <c r="U8">
        <v>0</v>
      </c>
      <c r="V8">
        <v>1</v>
      </c>
      <c r="W8">
        <v>2</v>
      </c>
      <c r="X8">
        <v>3</v>
      </c>
      <c r="Y8">
        <v>4</v>
      </c>
      <c r="Z8">
        <v>5</v>
      </c>
      <c r="AA8" s="5">
        <v>6</v>
      </c>
      <c r="AB8">
        <v>7</v>
      </c>
      <c r="AC8" s="5">
        <v>8</v>
      </c>
      <c r="AD8">
        <v>9</v>
      </c>
      <c r="AE8" s="5">
        <v>10</v>
      </c>
      <c r="AF8">
        <v>11</v>
      </c>
      <c r="AG8" s="5">
        <v>12</v>
      </c>
      <c r="AH8">
        <v>13</v>
      </c>
      <c r="AI8" s="5">
        <v>14</v>
      </c>
      <c r="AJ8">
        <v>15</v>
      </c>
      <c r="AK8" s="5">
        <v>16</v>
      </c>
      <c r="AL8">
        <v>17</v>
      </c>
      <c r="AM8" s="5">
        <v>18</v>
      </c>
      <c r="AN8">
        <v>19</v>
      </c>
      <c r="AO8" s="5">
        <v>20</v>
      </c>
      <c r="AP8">
        <v>21</v>
      </c>
      <c r="AQ8" s="5">
        <v>22</v>
      </c>
      <c r="AR8">
        <v>23</v>
      </c>
      <c r="AS8">
        <v>24</v>
      </c>
      <c r="AT8">
        <v>25</v>
      </c>
      <c r="AU8">
        <v>26</v>
      </c>
      <c r="AV8">
        <v>27</v>
      </c>
      <c r="AW8">
        <v>28</v>
      </c>
      <c r="AX8">
        <v>29</v>
      </c>
      <c r="AY8">
        <v>30</v>
      </c>
      <c r="BD8">
        <v>0</v>
      </c>
      <c r="BE8">
        <v>1</v>
      </c>
      <c r="BF8">
        <v>2</v>
      </c>
      <c r="BG8">
        <v>3</v>
      </c>
      <c r="BH8">
        <v>4</v>
      </c>
      <c r="BI8">
        <v>5</v>
      </c>
      <c r="BJ8">
        <v>6</v>
      </c>
      <c r="BK8">
        <v>7</v>
      </c>
      <c r="BL8">
        <v>8</v>
      </c>
      <c r="BM8">
        <v>9</v>
      </c>
      <c r="BN8">
        <v>10</v>
      </c>
      <c r="BO8">
        <v>11</v>
      </c>
      <c r="BP8">
        <v>12</v>
      </c>
      <c r="BQ8">
        <v>13</v>
      </c>
      <c r="BR8">
        <v>14</v>
      </c>
      <c r="BS8">
        <v>15</v>
      </c>
      <c r="BT8">
        <v>16</v>
      </c>
      <c r="BU8">
        <v>17</v>
      </c>
      <c r="BV8">
        <v>18</v>
      </c>
      <c r="BW8">
        <v>19</v>
      </c>
      <c r="BX8">
        <v>20</v>
      </c>
      <c r="BY8">
        <v>21</v>
      </c>
      <c r="BZ8">
        <v>22</v>
      </c>
      <c r="CA8">
        <v>23</v>
      </c>
      <c r="CB8">
        <v>24</v>
      </c>
      <c r="CC8">
        <v>25</v>
      </c>
      <c r="CD8">
        <v>26</v>
      </c>
      <c r="CE8">
        <v>27</v>
      </c>
      <c r="CF8">
        <v>28</v>
      </c>
      <c r="CG8">
        <v>29</v>
      </c>
      <c r="CH8">
        <v>30</v>
      </c>
      <c r="CI8">
        <v>31</v>
      </c>
      <c r="CJ8">
        <v>32</v>
      </c>
      <c r="CK8">
        <v>33</v>
      </c>
      <c r="CL8">
        <v>34</v>
      </c>
      <c r="CM8">
        <v>35</v>
      </c>
      <c r="CN8">
        <v>36</v>
      </c>
      <c r="CO8">
        <v>37</v>
      </c>
    </row>
    <row r="9" spans="1:93" ht="15.75" thickBot="1" x14ac:dyDescent="0.3">
      <c r="A9" s="66" t="s">
        <v>395</v>
      </c>
      <c r="B9" s="66" t="s">
        <v>396</v>
      </c>
      <c r="C9" s="66" t="s">
        <v>397</v>
      </c>
      <c r="D9" s="66" t="s">
        <v>409</v>
      </c>
      <c r="E9" s="66" t="s">
        <v>456</v>
      </c>
      <c r="F9" s="66" t="s">
        <v>457</v>
      </c>
      <c r="G9" s="66" t="s">
        <v>398</v>
      </c>
      <c r="H9" s="66" t="s">
        <v>399</v>
      </c>
      <c r="I9" s="66" t="s">
        <v>400</v>
      </c>
      <c r="J9" s="66" t="s">
        <v>401</v>
      </c>
      <c r="K9" s="66" t="s">
        <v>402</v>
      </c>
      <c r="L9" s="66" t="s">
        <v>403</v>
      </c>
      <c r="M9" s="66" t="s">
        <v>404</v>
      </c>
      <c r="N9" s="66" t="s">
        <v>405</v>
      </c>
      <c r="O9" s="66" t="s">
        <v>406</v>
      </c>
      <c r="P9" s="66" t="s">
        <v>407</v>
      </c>
      <c r="Q9" s="66" t="s">
        <v>408</v>
      </c>
      <c r="R9" s="66" t="s">
        <v>410</v>
      </c>
      <c r="T9" s="66" t="s">
        <v>395</v>
      </c>
      <c r="U9" s="66" t="s">
        <v>411</v>
      </c>
      <c r="V9" s="66" t="s">
        <v>414</v>
      </c>
      <c r="W9" s="66" t="s">
        <v>412</v>
      </c>
      <c r="X9" s="66" t="s">
        <v>413</v>
      </c>
      <c r="Y9" s="66" t="s">
        <v>456</v>
      </c>
      <c r="Z9" s="66" t="s">
        <v>457</v>
      </c>
      <c r="AA9" s="5" t="s">
        <v>475</v>
      </c>
      <c r="AB9" s="66" t="s">
        <v>478</v>
      </c>
      <c r="AC9" s="5" t="s">
        <v>476</v>
      </c>
      <c r="AD9" s="66" t="s">
        <v>479</v>
      </c>
      <c r="AE9" s="5" t="s">
        <v>477</v>
      </c>
      <c r="AF9" s="66" t="s">
        <v>480</v>
      </c>
      <c r="AG9" s="5" t="s">
        <v>481</v>
      </c>
      <c r="AH9" s="66" t="s">
        <v>482</v>
      </c>
      <c r="AI9" s="5" t="s">
        <v>483</v>
      </c>
      <c r="AJ9" s="66" t="s">
        <v>484</v>
      </c>
      <c r="AK9" s="5" t="s">
        <v>485</v>
      </c>
      <c r="AL9" s="66" t="s">
        <v>486</v>
      </c>
      <c r="AM9" s="5" t="s">
        <v>487</v>
      </c>
      <c r="AN9" s="66" t="s">
        <v>488</v>
      </c>
      <c r="AO9" s="5" t="s">
        <v>489</v>
      </c>
      <c r="AP9" s="66" t="s">
        <v>490</v>
      </c>
      <c r="AQ9" s="5" t="s">
        <v>491</v>
      </c>
      <c r="AR9" s="66" t="s">
        <v>492</v>
      </c>
      <c r="AS9" s="66" t="s">
        <v>493</v>
      </c>
      <c r="AT9" s="66" t="s">
        <v>494</v>
      </c>
      <c r="AU9" s="66" t="s">
        <v>495</v>
      </c>
      <c r="AV9" s="66" t="s">
        <v>496</v>
      </c>
      <c r="AW9" s="66" t="s">
        <v>497</v>
      </c>
      <c r="AX9" s="66" t="s">
        <v>498</v>
      </c>
      <c r="AY9" s="66" t="s">
        <v>415</v>
      </c>
      <c r="AZ9" s="66"/>
      <c r="BA9" s="66"/>
      <c r="BC9" s="140" t="s">
        <v>395</v>
      </c>
      <c r="BD9" s="140" t="s">
        <v>416</v>
      </c>
      <c r="BE9" s="140" t="s">
        <v>392</v>
      </c>
      <c r="BF9" s="140" t="s">
        <v>459</v>
      </c>
      <c r="BG9" s="140" t="s">
        <v>550</v>
      </c>
      <c r="BH9" s="140" t="s">
        <v>411</v>
      </c>
      <c r="BI9" s="140" t="s">
        <v>441</v>
      </c>
      <c r="BJ9" s="140" t="s">
        <v>396</v>
      </c>
      <c r="BK9" s="140" t="s">
        <v>458</v>
      </c>
      <c r="BL9" s="140" t="s">
        <v>417</v>
      </c>
      <c r="BM9" s="140" t="s">
        <v>442</v>
      </c>
      <c r="BN9" s="140" t="s">
        <v>443</v>
      </c>
      <c r="BO9" s="140" t="s">
        <v>552</v>
      </c>
      <c r="BP9" s="140" t="s">
        <v>553</v>
      </c>
      <c r="BQ9" s="141" t="s">
        <v>100</v>
      </c>
      <c r="BR9" s="141" t="s">
        <v>101</v>
      </c>
      <c r="BS9" s="141" t="s">
        <v>418</v>
      </c>
      <c r="BT9" s="141" t="s">
        <v>419</v>
      </c>
      <c r="BU9" s="141" t="s">
        <v>420</v>
      </c>
      <c r="BV9" s="141" t="s">
        <v>421</v>
      </c>
      <c r="BW9" s="141" t="s">
        <v>422</v>
      </c>
      <c r="BX9" s="141" t="s">
        <v>423</v>
      </c>
      <c r="BY9" s="141" t="s">
        <v>424</v>
      </c>
      <c r="BZ9" s="141" t="s">
        <v>425</v>
      </c>
      <c r="CA9" s="141" t="s">
        <v>426</v>
      </c>
      <c r="CB9" s="141" t="s">
        <v>427</v>
      </c>
      <c r="CC9" s="141" t="s">
        <v>428</v>
      </c>
      <c r="CD9" s="141" t="s">
        <v>429</v>
      </c>
      <c r="CE9" s="141" t="s">
        <v>430</v>
      </c>
      <c r="CF9" s="141" t="s">
        <v>431</v>
      </c>
      <c r="CG9" s="141" t="s">
        <v>432</v>
      </c>
      <c r="CH9" s="141" t="s">
        <v>433</v>
      </c>
      <c r="CI9" s="141" t="s">
        <v>434</v>
      </c>
      <c r="CJ9" s="141" t="s">
        <v>435</v>
      </c>
      <c r="CK9" s="141" t="s">
        <v>436</v>
      </c>
      <c r="CL9" s="141" t="s">
        <v>437</v>
      </c>
      <c r="CM9" s="141" t="s">
        <v>438</v>
      </c>
      <c r="CN9" s="141" t="s">
        <v>439</v>
      </c>
      <c r="CO9" s="141" t="s">
        <v>440</v>
      </c>
    </row>
    <row r="10" spans="1:93" x14ac:dyDescent="0.25">
      <c r="A10" s="5" t="e">
        <f ca="1">IF(AND(Критерий_Чувствительность_2[[#This Row],[Критерий]]&lt;&gt;"",Критерий_Чувствительность_2[[#This Row],[O.K.Критерий]]=1),ROW()-ROW(Критерий_Чувствительность_2[[#Headers],[№]]),"")</f>
        <v>#REF!</v>
      </c>
      <c r="B10" s="138" t="e">
        <f>Модель!#REF!</f>
        <v>#REF!</v>
      </c>
      <c r="C10" s="135" t="str">
        <f ca="1">IFERROR(IF(AND(Критерий_Чувствительность_2[[#This Row],[Критерий]]&gt;=1,Критерий_Чувствительность_2[[#This Row],[Критерий]]&lt;=4),IF(IFERROR(FIND("!",_xlfn.FORMULATEXT(Критерий_Чувствительность_2[[#This Row],[Критерий]])),"на странице")="на странице",CONCATENATE("R",ROW((INDIRECT(RIGHT(_xlfn.FORMULATEXT(Критерий_Чувствительность_2[[#This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Row],[Критерий]]))-1),FALSE)))-C$8),CONCATENATE(RIGHT(LEFT(_xlfn.FORMULATEXT(Критерий_Чувствительность_2[[#This Row],[Критерий]]),FIND("!",_xlfn.FORMULATEXT(Критерий_Чувствительность_2[[#This Row],[Критерий]]))),LEN(LEFT(_xlfn.FORMULATEXT(Критерий_Чувствительность_2[[#This Row],[Критерий]]),FIND("!",_xlfn.FORMULATEXT(Критерий_Чувствительность_2[[#This Row],[Критерий]]))))-1),"R",ROW((INDIRECT(RIGHT(_xlfn.FORMULATEXT(Критерий_Чувствительность_2[[#This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Row],[Критерий]]))-1),FALSE)))-C$8)),"ошибка"),"ошибка")</f>
        <v>ошибка</v>
      </c>
      <c r="D10" s="135" t="str">
        <f ca="1">IFERROR(IF(LEFT(Критерий_Чувствительность_2[[#This Row],[Фкритерий]],5)="=Прив","Критерий",IF(LEFT(Критерий_Чувствительность_2[[#This Row],[Фкритерий]],5)="=Матр","ошибка","ошибка")),"ошибка")</f>
        <v>ошибка</v>
      </c>
      <c r="E10" s="135" t="str">
        <f ca="1">IFERROR(IF(LEN((INDIRECT(Критерий_Чувствительность_2[[#This Row],[СНаименование]],FALSE)))=0,"ошибка",IFERROR(INDIRECT(Критерий_Чувствительность_2[[#This Row],[СНаименование]],FALSE),"ошибка")),"ошибка")</f>
        <v>ошибка</v>
      </c>
      <c r="F10"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Row],[Скритерий]])))+F$7),FIND("R",Критерий_Чувствительность_2[[#This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Row],[Скритерий]])))+F$6),"ошибка")</f>
        <v>ошибка</v>
      </c>
      <c r="G10" s="136" t="str">
        <f ca="1">IFERROR(IF(N(INDIRECT(Критерий_Чувствительность_2[[#This Row],[СФизКритерий]],FALSE))=0,"ошибка",IFERROR(INDIRECT(Критерий_Чувствительность_2[[#This Row],[СФизКритерий]],FALSE),"ошибка")),"ошибка")</f>
        <v>ошибка</v>
      </c>
      <c r="H10"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Row],[Скритерий]])))+H$7),FIND("R",Критерий_Чувствительность_2[[#This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Row],[Скритерий]])))+H$6),"ошибка")</f>
        <v>ошибка</v>
      </c>
      <c r="I10" s="135" t="str">
        <f ca="1">IFERROR(IF(OR(INDIRECT(Критерий_Чувствительность_2[[#This Row],[СТипКритерий]],FALSE)=Перебор!$N$58,INDIRECT(Критерий_Чувствительность_2[[#This Row],[СТипКритерий]],FALSE)=Перебор!$N$59,INDIRECT(Критерий_Чувствительность_2[[#This Row],[СТипКритерий]],FALSE)=Перебор!$N$60,INDIRECT(Критерий_Чувствительность_2[[#This Row],[СТипКритерий]],FALSE)=Перебор!$N$61),INDIRECT(Критерий_Чувствительность_2[[#This Row],[СТипКритерий]],FALSE),"ошибка"),"ошибка")</f>
        <v>ошибка</v>
      </c>
      <c r="J10"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Row],[Скритерий]])))+J$7),FIND("R",Критерий_Чувствительность_2[[#This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Row],[Скритерий]])))+J$6),"ошибка")</f>
        <v>ошибка</v>
      </c>
      <c r="K10" s="135" t="str">
        <f ca="1">IFERROR(_xlfn.FORMULATEXT(INDIRECT(Критерий_Чувствительность_2[[#This Row],[Скритерий]],FALSE)),"ошибка")</f>
        <v>ошибка</v>
      </c>
      <c r="L10" s="136" t="str">
        <f ca="1">IFERROR(IF(N(INDIRECT(Критерий_Чувствительность_2[[#This Row],[СМинФизКритерий]],FALSE))="","ошибка",IFERROR(INDIRECT(Критерий_Чувствительность_2[[#This Row],[СМинФизКритерий]],FALSE),"ошибка")),"ошибка")</f>
        <v>ошибка</v>
      </c>
      <c r="M10"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Row],[Скритерий]])))+M$7),FIND("R",Критерий_Чувствительность_2[[#This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Row],[Скритерий]])))+M$6),"ошибка")</f>
        <v>ошибка</v>
      </c>
      <c r="N10" s="136" t="str">
        <f ca="1">IFERROR(IF(N(INDIRECT(Критерий_Чувствительность_2[[#This Row],[СМаксФизКритерий]],FALSE))="","ошибка",IFERROR(INDIRECT(Критерий_Чувствительность_2[[#This Row],[СМаксФизКритерий]],FALSE),"ошибка")),"ошибка")</f>
        <v>ошибка</v>
      </c>
      <c r="O10"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Row],[Скритерий]])))+O$7),FIND("R",Критерий_Чувствительность_2[[#This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Row],[Скритерий]])))+O$6),"ошибка")</f>
        <v>ошибка</v>
      </c>
      <c r="P10" s="136" t="str">
        <f ca="1">IFERROR(IF(N(INDIRECT(Критерий_Чувствительность_2[[#This Row],[ССрФизКритерий]],FALSE))=0,"ошибка",IFERROR(INDIRECT(Критерий_Чувствительность_2[[#This Row],[ССрФизКритерий]],FALSE),"ошибка")),"")</f>
        <v/>
      </c>
      <c r="Q10" s="135" t="str">
        <f ca="1">IF(OR(Критерий_Чувствительность_2[[#This Row],[ТипКритерий]]=Перебор!$N$60,Критерий_Чувствительность_2[[#This Row],[ТипКритерий]]=Перебор!$N$61),IFERROR(REPLACE(REPLACE(Критерий_Чувствительность_2[[#This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Row],[Скритерий]])))+Q$7),FIND("R",Критерий_Чувствительность_2[[#This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Row],[Скритерий]])))+Q$6),"ошибка"),"")</f>
        <v/>
      </c>
      <c r="R10" s="5">
        <f ca="1">IFERROR(IF(AND(Критерий_Чувствительность_2[[#This Row],[ВидКритерий]]="Критерий",Критерий_Чувствительность_2[[#This Row],[Фкритерий]]="=Приведение"),1,-1),-1)</f>
        <v>-1</v>
      </c>
      <c r="T10" s="66" t="e">
        <f ca="1">IF(AND(Свёртка_Чувствительность_2[[#This Row],[Свёртка]]&lt;&gt;"",Свёртка_Чувствительность_2[[#This Row],[O.K.Свёртка]]=1),ROW()-ROW(Свёртка_Чувствительность_2[[#Headers],[№]]),"")</f>
        <v>#REF!</v>
      </c>
      <c r="U10" s="137" t="e">
        <f>Модель!#REF!</f>
        <v>#REF!</v>
      </c>
      <c r="V10" s="135" t="str">
        <f ca="1">IFERROR(IF(AND(Свёртка_Чувствительность_2[[#This Row],[Свёртка]]&gt;=1,Свёртка_Чувствительность_2[[#This Row],[Свёртка]]&lt;=4),IF(IFERROR(FIND("!",_xlfn.FORMULATEXT(Свёртка_Чувствительность_2[[#This Row],[Свёртка]])),"на странице")="на странице",CONCATENATE("R",ROW((INDIRECT(RIGHT(_xlfn.FORMULATEXT(Свёртка_Чувствительность_2[[#This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Row],[Свёртка]]))-1),FALSE)))-V$6),CONCATENATE(RIGHT(LEFT(_xlfn.FORMULATEXT(Свёртка_Чувствительность_2[[#This Row],[Свёртка]]),FIND("!",_xlfn.FORMULATEXT(Свёртка_Чувствительность_2[[#This Row],[Свёртка]]))),LEN(LEFT(_xlfn.FORMULATEXT(Свёртка_Чувствительность_2[[#This Row],[Свёртка]]),FIND("!",_xlfn.FORMULATEXT(Свёртка_Чувствительность_2[[#This Row],[Свёртка]]))))-1),"R",ROW((INDIRECT(RIGHT(_xlfn.FORMULATEXT(Свёртка_Чувствительность_2[[#This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Row],[Свёртка]]))-1),FALSE)))-V$6)),"ошибка"),"ошибка")</f>
        <v>ошибка</v>
      </c>
      <c r="W10" s="135" t="str">
        <f ca="1">IFERROR(_xlfn.FORMULATEXT(INDIRECT(Свёртка_Чувствительность_2[[#This Row],[ССвёртка]],FALSE)),"ошибка")</f>
        <v>ошибка</v>
      </c>
      <c r="X10" s="135" t="str">
        <f ca="1">IFERROR(IF(LEFT(Свёртка_Чувствительность_2[[#This Row],[ФСвёртка]],5)="=Прив","ошибка",IF(LEFT(Свёртка_Чувствительность_2[[#This Row],[ФСвёртка]],5)="=Матр","Свёртка","ошибка")),"ошибка")</f>
        <v>ошибка</v>
      </c>
      <c r="Y10" s="135" t="str">
        <f ca="1">IFERROR(IF(LEN((INDIRECT(Свёртка_Чувствительность_2[[#This Row],[СНаименование]],FALSE)))=0,"ошибка",IFERROR(INDIRECT(Свёртка_Чувствительность_2[[#This Row],[СНаименование]],FALSE),"ошибка")),"ошибка")</f>
        <v>ошибка</v>
      </c>
      <c r="Z10"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Row],[ССвёртка]])))+Z$7),FIND("R",Свёртка_Чувствительность_2[[#This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Row],[ССвёртка]])))+Z$6),"ошибка")</f>
        <v>ошибка</v>
      </c>
      <c r="AA10" s="136" t="str">
        <f ca="1">IFERROR(IF(LEN((INDIRECT(Свёртка_Чувствительность_2[[#This Row],[ССВ_1_1]],FALSE)))=0,"ошибка",IFERROR(INDIRECT(Свёртка_Чувствительность_2[[#This Row],[ССВ_1_1]],FALSE),"ошибка")),"ошибка")</f>
        <v>ошибка</v>
      </c>
      <c r="AB10"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Row],[ССвёртка]])))+AB$7),FIND("R",Свёртка_Чувствительность_2[[#This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Row],[ССвёртка]])))+AB$6),"ошибка")</f>
        <v>ошибка</v>
      </c>
      <c r="AC10" s="136" t="str">
        <f ca="1">IFERROR(IF(LEN((INDIRECT(Свёртка_Чувствительность_2[[#This Row],[ССВ_2_1]],FALSE)))=0,"ошибка",IFERROR(INDIRECT(Свёртка_Чувствительность_2[[#This Row],[ССВ_2_1]],FALSE),"ошибка")),"ошибка")</f>
        <v>ошибка</v>
      </c>
      <c r="AD10"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Row],[ССвёртка]])))+AD$7),FIND("R",Свёртка_Чувствительность_2[[#This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Row],[ССвёртка]])))+AD$6),"ошибка")</f>
        <v>ошибка</v>
      </c>
      <c r="AE10" s="136" t="str">
        <f ca="1">IFERROR(IF(LEN((INDIRECT(Свёртка_Чувствительность_2[[#This Row],[ССВ_1_2]],FALSE)))=0,"ошибка",IFERROR(INDIRECT(Свёртка_Чувствительность_2[[#This Row],[ССВ_1_2]],FALSE),"ошибка")),"ошибка")</f>
        <v>ошибка</v>
      </c>
      <c r="AF10"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Row],[ССвёртка]])))+AF$7),FIND("R",Свёртка_Чувствительность_2[[#This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Row],[ССвёртка]])))+AF$6),"ошибка")</f>
        <v>ошибка</v>
      </c>
      <c r="AG10" s="136" t="str">
        <f ca="1">IFERROR(IF(LEN((INDIRECT(Свёртка_Чувствительность_2[[#This Row],[ССВ_2_2]],FALSE)))=0,"ошибка",IFERROR(INDIRECT(Свёртка_Чувствительность_2[[#This Row],[ССВ_2_2]],FALSE),"ошибка")),"ошибка")</f>
        <v>ошибка</v>
      </c>
      <c r="AH10"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Row],[ССвёртка]])))+AH$7),FIND("R",Свёртка_Чувствительность_2[[#This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Row],[ССвёртка]])))+AH$6),"ошибка")</f>
        <v>ошибка</v>
      </c>
      <c r="AI10" s="136" t="str">
        <f ca="1">IFERROR(IF(LEN((INDIRECT(Свёртка_Чувствительность_2[[#This Row],[ССВ_3_1]],FALSE)))=0,"ошибка",IFERROR(INDIRECT(Свёртка_Чувствительность_2[[#This Row],[ССВ_3_1]],FALSE),"ошибка")),"ошибка")</f>
        <v>ошибка</v>
      </c>
      <c r="AJ10"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Row],[ССвёртка]])))+AJ$7),FIND("R",Свёртка_Чувствительность_2[[#This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Row],[ССвёртка]])))+AJ$6),"ошибка")</f>
        <v>ошибка</v>
      </c>
      <c r="AK10" s="136" t="str">
        <f ca="1">IFERROR(IF(LEN((INDIRECT(Свёртка_Чувствительность_2[[#This Row],[ССВ_1_3]],FALSE)))=0,"ошибка",IFERROR(INDIRECT(Свёртка_Чувствительность_2[[#This Row],[ССВ_1_3]],FALSE),"ошибка")),"ошибка")</f>
        <v>ошибка</v>
      </c>
      <c r="AL10"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Row],[ССвёртка]])))+AL$7),FIND("R",Свёртка_Чувствительность_2[[#This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Row],[ССвёртка]])))+AL$6),"ошибка")</f>
        <v>ошибка</v>
      </c>
      <c r="AM10" s="136" t="str">
        <f ca="1">IFERROR(IF(LEN((INDIRECT(Свёртка_Чувствительность_2[[#This Row],[ССВ_3_2]],FALSE)))=0,"ошибка",IFERROR(INDIRECT(Свёртка_Чувствительность_2[[#This Row],[ССВ_3_2]],FALSE),"ошибка")),"ошибка")</f>
        <v>ошибка</v>
      </c>
      <c r="AN10"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Row],[ССвёртка]])))+AN$7),FIND("R",Свёртка_Чувствительность_2[[#This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Row],[ССвёртка]])))+AN$6),"ошибка")</f>
        <v>ошибка</v>
      </c>
      <c r="AO10" s="136" t="str">
        <f ca="1">IFERROR(IF(LEN((INDIRECT(Свёртка_Чувствительность_2[[#This Row],[ССВ_2_3]],FALSE)))=0,"ошибка",IFERROR(INDIRECT(Свёртка_Чувствительность_2[[#This Row],[ССВ_2_3]],FALSE),"ошибка")),"ошибка")</f>
        <v>ошибка</v>
      </c>
      <c r="AP10"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Row],[ССвёртка]])))+AP$7),FIND("R",Свёртка_Чувствительность_2[[#This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Row],[ССвёртка]])))+AP$6),"ошибка")</f>
        <v>ошибка</v>
      </c>
      <c r="AQ10" s="136" t="str">
        <f ca="1">IFERROR(IF(LEN((INDIRECT(Свёртка_Чувствительность_2[[#This Row],[ССВ_3_3]],FALSE)))=0,"ошибка",IFERROR(INDIRECT(Свёртка_Чувствительность_2[[#This Row],[ССВ_3_3]],FALSE),"ошибка")),"ошибка")</f>
        <v>ошибка</v>
      </c>
      <c r="AR10"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Row],[ССвёртка]])))+AR$7),FIND("R",Свёртка_Чувствительность_2[[#This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Row],[ССвёртка]])))+AR$6),"ошибка")</f>
        <v>ошибка</v>
      </c>
      <c r="AS10" s="135" t="str">
        <f ca="1">IFERROR(IF(LEN((INDIRECT(Свёртка_Чувствительность_2[[#This Row],[СЛ]],FALSE)))=0,"ошибка",IFERROR(INDIRECT(Свёртка_Чувствительность_2[[#This Row],[СЛ]],FALSE),"ошибка")),"ошибка")</f>
        <v>ошибка</v>
      </c>
      <c r="AT10"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Row],[ССвёртка]])))+AT$7),FIND("R",Свёртка_Чувствительность_2[[#This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Row],[ССвёртка]])))+AT$6),"ошибка")</f>
        <v>ошибка</v>
      </c>
      <c r="AU10" s="135" t="str">
        <f ca="1">IFERROR(_xlfn.FORMULATEXT(INDIRECT(Свёртка_Чувствительность_2[[#This Row],[СЛ]],FALSE)),"ошибка")</f>
        <v>ошибка</v>
      </c>
      <c r="AV10" s="135" t="str">
        <f ca="1">IFERROR(IF(LEN((INDIRECT(Свёртка_Чувствительность_2[[#This Row],[СП]],FALSE)))=0,"ошибка",IFERROR(INDIRECT(Свёртка_Чувствительность_2[[#This Row],[СП]],FALSE),"ошибка")),"ошибка")</f>
        <v>ошибка</v>
      </c>
      <c r="AW10"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Row],[ССвёртка]])))+AW$7),FIND("R",Свёртка_Чувствительность_2[[#This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Row],[ССвёртка]])))+AW$6),"ошибка")</f>
        <v>ошибка</v>
      </c>
      <c r="AX10" s="135" t="str">
        <f ca="1">IFERROR(_xlfn.FORMULATEXT(INDIRECT(Свёртка_Чувствительность_2[[#This Row],[СП]],FALSE)),"ошибка")</f>
        <v>ошибка</v>
      </c>
      <c r="AY10" s="66">
        <f ca="1">IF(AND(Свёртка_Чувствительность_2[[#This Row],[ВидСвёртка]]="Свёртка",CONCATENATE(LEFT(Свёртка_Чувствительность_2[[#This Row],[СВ_1_1]],1),LEFT(Свёртка_Чувствительность_2[[#This Row],[СВ_2_1]],1),LEFT(Свёртка_Чувствительность_2[[#This Row],[СВ_1_2]],1),LEFT(Свёртка_Чувствительность_2[[#This Row],[СВ_2_2]],1),LEFT(Свёртка_Чувствительность_2[[#This Row],[СВ_3_1]],1),LEFT(Свёртка_Чувствительность_2[[#This Row],[СВ_1_3]],1),LEFT(Свёртка_Чувствительность_2[[#This Row],[СВ_3_2]],1),LEFT(Свёртка_Чувствительность_2[[#This Row],[СВ_2_3]],1),LEFT(Свёртка_Чувствительность_2[[#This Row],[СВ_3_3]],1))="FFFFFFFFF",AND(Свёртка_Чувствительность_2[[#This Row],[Л]]&gt;=1,Свёртка_Чувствительность_2[[#This Row],[Л]]&lt;=4),AND(Свёртка_Чувствительность_2[[#This Row],[П]]&gt;=1,Свёртка_Чувствительность_2[[#This Row],[П]]&lt;=4)),1,-1)</f>
        <v>-1</v>
      </c>
      <c r="AZ10" s="66"/>
      <c r="BA10" s="66"/>
      <c r="BC10" s="134">
        <f>IF(AND(Множество[[#This Row],[Y]]=1),ROW()-ROW(Множество[[#Headers],[№]]),"")</f>
        <v>1</v>
      </c>
      <c r="BD10" s="142" t="s">
        <v>451</v>
      </c>
      <c r="BE10" s="142">
        <v>0.2</v>
      </c>
      <c r="BF10" s="142" t="s">
        <v>554</v>
      </c>
      <c r="BG10" s="142">
        <v>1</v>
      </c>
      <c r="BH10" s="134">
        <v>3</v>
      </c>
      <c r="BI10" s="134">
        <f>IF(LEN(Анализ_Чувствительность_2[[#This Row],[Свёртка]])&gt;0,1,-1)</f>
        <v>1</v>
      </c>
      <c r="BJ10" s="134">
        <v>7</v>
      </c>
      <c r="BK10" s="134">
        <f>IF(LEN(Анализ_Чувствительность_2[[#This Row],[Критерий]])&gt;0,1,-1)</f>
        <v>1</v>
      </c>
      <c r="BL10" s="134" t="s">
        <v>555</v>
      </c>
      <c r="BM10" s="134">
        <f>IF(LEN(Анализ_Чувствительность_2[[#This Row],[Критерии]])&gt;0,1,-1)</f>
        <v>1</v>
      </c>
      <c r="BN10" s="134">
        <f>IF(AND(LEN(Анализ_Чувствительность_2[[#This Row],[Свёртка]])&gt;0,LEN(Анализ_Чувствительность_2[[#This Row],[Критерии]])&gt;0,LEN(Анализ_Чувствительность_2[[#This Row],[Оценки]])&gt;0,LEN(Анализ_Чувствительность_2[[#This Row],[Представление]])&gt;0,LEN(Анализ_Чувствительность_2[[#This Row],[Критерий]])&gt;0,LEN(Анализ_Чувствительность_2[[#This Row],[Размещение]])&gt;0,LEN(Анализ_Чувствительность_2[[#This Row],[Шаг]])&gt;0,LEN(Анализ_Чувствительность_2[[#This Row],[min]])&gt;0,LEN(Анализ_Чувствительность_2[[#This Row],[max]])&gt;0,(Анализ_Чувствительность_2[[#This Row],[min]]&lt;&gt;Анализ_Чувствительность_2[[#This Row],[max]])),1,-1)</f>
        <v>1</v>
      </c>
      <c r="BO10" s="134">
        <v>1</v>
      </c>
      <c r="BP10" s="134">
        <v>31</v>
      </c>
      <c r="BQ10" s="133">
        <v>7</v>
      </c>
      <c r="BR10" s="133">
        <v>10</v>
      </c>
      <c r="BS10" s="133">
        <v>9</v>
      </c>
      <c r="BT10" s="133">
        <v>15</v>
      </c>
      <c r="BU10" s="133">
        <v>16</v>
      </c>
      <c r="BV10" s="133"/>
      <c r="BW10" s="133"/>
      <c r="BX10" s="133"/>
      <c r="BY10" s="133"/>
      <c r="BZ10" s="133"/>
      <c r="CA10" s="133"/>
      <c r="CB10" s="133"/>
      <c r="CC10" s="133"/>
      <c r="CD10" s="133"/>
      <c r="CE10" s="133"/>
      <c r="CF10" s="133"/>
      <c r="CG10" s="133"/>
      <c r="CH10" s="133"/>
      <c r="CI10" s="133"/>
      <c r="CJ10" s="133"/>
      <c r="CK10" s="133"/>
      <c r="CL10" s="133"/>
      <c r="CM10" s="133"/>
      <c r="CN10" s="133"/>
      <c r="CO10" s="133"/>
    </row>
    <row r="11" spans="1:93" x14ac:dyDescent="0.25">
      <c r="A11" s="66" t="e">
        <f ca="1">IF(AND(Критерий_Чувствительность_2[[#This Row],[Критерий]]&lt;&gt;"",Критерий_Чувствительность_2[[#This Row],[O.K.Критерий]]=1),ROW()-ROW(Критерий_Чувствительность_2[[#Headers],[№]]),"")</f>
        <v>#REF!</v>
      </c>
      <c r="B11" s="138" t="e">
        <f>Модель!#REF!</f>
        <v>#REF!</v>
      </c>
      <c r="C11" s="135" t="str">
        <f ca="1">IFERROR(IF(AND(Критерий_Чувствительность_2[[#This Row],[Критерий]]&gt;=1,Критерий_Чувствительность_2[[#This Row],[Критерий]]&lt;=4),IF(IFERROR(FIND("!",_xlfn.FORMULATEXT(Критерий_Чувствительность_2[[#This Row],[Критерий]])),"на странице")="на странице",CONCATENATE("R",ROW((INDIRECT(RIGHT(_xlfn.FORMULATEXT(Критерий_Чувствительность_2[[#This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Row],[Критерий]]))-1),FALSE)))-C$8),CONCATENATE(RIGHT(LEFT(_xlfn.FORMULATEXT(Критерий_Чувствительность_2[[#This Row],[Критерий]]),FIND("!",_xlfn.FORMULATEXT(Критерий_Чувствительность_2[[#This Row],[Критерий]]))),LEN(LEFT(_xlfn.FORMULATEXT(Критерий_Чувствительность_2[[#This Row],[Критерий]]),FIND("!",_xlfn.FORMULATEXT(Критерий_Чувствительность_2[[#This Row],[Критерий]]))))-1),"R",ROW((INDIRECT(RIGHT(_xlfn.FORMULATEXT(Критерий_Чувствительность_2[[#This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Row],[Критерий]]))-1),FALSE)))-C$8)),"ошибка"),"ошибка")</f>
        <v>ошибка</v>
      </c>
      <c r="D11" s="135" t="str">
        <f ca="1">IFERROR(IF(LEFT(Критерий_Чувствительность_2[[#This Row],[Фкритерий]],5)="=Прив","Критерий",IF(LEFT(Критерий_Чувствительность_2[[#This Row],[Фкритерий]],5)="=Матр","ошибка","ошибка")),"ошибка")</f>
        <v>ошибка</v>
      </c>
      <c r="E11" s="135" t="str">
        <f ca="1">IFERROR(IF(LEN((INDIRECT(Критерий_Чувствительность_2[[#This Row],[СНаименование]],FALSE)))=0,"ошибка",IFERROR(INDIRECT(Критерий_Чувствительность_2[[#This Row],[СНаименование]],FALSE),"ошибка")),"ошибка")</f>
        <v>ошибка</v>
      </c>
      <c r="F11"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Row],[Скритерий]])))+F$7),FIND("R",Критерий_Чувствительность_2[[#This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Row],[Скритерий]])))+F$6),"ошибка")</f>
        <v>ошибка</v>
      </c>
      <c r="G11" s="136" t="str">
        <f ca="1">IFERROR(IF(N(INDIRECT(Критерий_Чувствительность_2[[#This Row],[СФизКритерий]],FALSE))=0,"ошибка",IFERROR(INDIRECT(Критерий_Чувствительность_2[[#This Row],[СФизКритерий]],FALSE),"ошибка")),"ошибка")</f>
        <v>ошибка</v>
      </c>
      <c r="H11"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Row],[Скритерий]])))+H$7),FIND("R",Критерий_Чувствительность_2[[#This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Row],[Скритерий]])))+H$6),"ошибка")</f>
        <v>ошибка</v>
      </c>
      <c r="I11" s="135" t="str">
        <f ca="1">IFERROR(IF(OR(INDIRECT(Критерий_Чувствительность_2[[#This Row],[СТипКритерий]],FALSE)=Перебор!$N$58,INDIRECT(Критерий_Чувствительность_2[[#This Row],[СТипКритерий]],FALSE)=Перебор!$N$59,INDIRECT(Критерий_Чувствительность_2[[#This Row],[СТипКритерий]],FALSE)=Перебор!$N$60,INDIRECT(Критерий_Чувствительность_2[[#This Row],[СТипКритерий]],FALSE)=Перебор!$N$61),INDIRECT(Критерий_Чувствительность_2[[#This Row],[СТипКритерий]],FALSE),"ошибка"),"ошибка")</f>
        <v>ошибка</v>
      </c>
      <c r="J11"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Row],[Скритерий]])))+J$7),FIND("R",Критерий_Чувствительность_2[[#This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Row],[Скритерий]])))+J$6),"ошибка")</f>
        <v>ошибка</v>
      </c>
      <c r="K11" s="135" t="str">
        <f ca="1">IFERROR(_xlfn.FORMULATEXT(INDIRECT(Критерий_Чувствительность_2[[#This Row],[Скритерий]],FALSE)),"ошибка")</f>
        <v>ошибка</v>
      </c>
      <c r="L11" s="136" t="str">
        <f ca="1">IFERROR(IF(N(INDIRECT(Критерий_Чувствительность_2[[#This Row],[СМинФизКритерий]],FALSE))="","ошибка",IFERROR(INDIRECT(Критерий_Чувствительность_2[[#This Row],[СМинФизКритерий]],FALSE),"ошибка")),"ошибка")</f>
        <v>ошибка</v>
      </c>
      <c r="M11"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Row],[Скритерий]])))+M$7),FIND("R",Критерий_Чувствительность_2[[#This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Row],[Скритерий]])))+M$6),"ошибка")</f>
        <v>ошибка</v>
      </c>
      <c r="N11" s="136" t="str">
        <f ca="1">IFERROR(IF(N(INDIRECT(Критерий_Чувствительность_2[[#This Row],[СМаксФизКритерий]],FALSE))="","ошибка",IFERROR(INDIRECT(Критерий_Чувствительность_2[[#This Row],[СМаксФизКритерий]],FALSE),"ошибка")),"ошибка")</f>
        <v>ошибка</v>
      </c>
      <c r="O11"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Row],[Скритерий]])))+O$7),FIND("R",Критерий_Чувствительность_2[[#This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Row],[Скритерий]])))+O$6),"ошибка")</f>
        <v>ошибка</v>
      </c>
      <c r="P11" s="136" t="str">
        <f ca="1">IFERROR(IF(N(INDIRECT(Критерий_Чувствительность_2[[#This Row],[ССрФизКритерий]],FALSE))=0,"ошибка",IFERROR(INDIRECT(Критерий_Чувствительность_2[[#This Row],[ССрФизКритерий]],FALSE),"ошибка")),"")</f>
        <v/>
      </c>
      <c r="Q11" s="135" t="str">
        <f ca="1">IF(OR(Критерий_Чувствительность_2[[#This Row],[ТипКритерий]]=Перебор!$N$60,Критерий_Чувствительность_2[[#This Row],[ТипКритерий]]=Перебор!$N$61),IFERROR(REPLACE(REPLACE(Критерий_Чувствительность_2[[#This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Row],[Скритерий]])))+Q$7),FIND("R",Критерий_Чувствительность_2[[#This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Row],[Скритерий]])))+Q$6),"ошибка"),"")</f>
        <v/>
      </c>
      <c r="R11" s="66">
        <f ca="1">IFERROR(IF(AND(Критерий_Чувствительность_2[[#This Row],[ВидКритерий]]="Критерий",Критерий_Чувствительность_2[[#This Row],[Фкритерий]]="=Приведение"),1,-1),-1)</f>
        <v>-1</v>
      </c>
      <c r="T11" s="66" t="e">
        <f ca="1">IF(AND(Свёртка_Чувствительность_2[[#This Row],[Свёртка]]&lt;&gt;"",Свёртка_Чувствительность_2[[#This Row],[O.K.Свёртка]]=1),ROW()-ROW(Свёртка_Чувствительность_2[[#Headers],[№]]),"")</f>
        <v>#REF!</v>
      </c>
      <c r="U11" s="137" t="e">
        <f>Модель!#REF!</f>
        <v>#REF!</v>
      </c>
      <c r="V11" s="135" t="str">
        <f ca="1">IFERROR(IF(AND(Свёртка_Чувствительность_2[[#This Row],[Свёртка]]&gt;=1,Свёртка_Чувствительность_2[[#This Row],[Свёртка]]&lt;=4),IF(IFERROR(FIND("!",_xlfn.FORMULATEXT(Свёртка_Чувствительность_2[[#This Row],[Свёртка]])),"на странице")="на странице",CONCATENATE("R",ROW((INDIRECT(RIGHT(_xlfn.FORMULATEXT(Свёртка_Чувствительность_2[[#This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Row],[Свёртка]]))-1),FALSE)))-V$6),CONCATENATE(RIGHT(LEFT(_xlfn.FORMULATEXT(Свёртка_Чувствительность_2[[#This Row],[Свёртка]]),FIND("!",_xlfn.FORMULATEXT(Свёртка_Чувствительность_2[[#This Row],[Свёртка]]))),LEN(LEFT(_xlfn.FORMULATEXT(Свёртка_Чувствительность_2[[#This Row],[Свёртка]]),FIND("!",_xlfn.FORMULATEXT(Свёртка_Чувствительность_2[[#This Row],[Свёртка]]))))-1),"R",ROW((INDIRECT(RIGHT(_xlfn.FORMULATEXT(Свёртка_Чувствительность_2[[#This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Row],[Свёртка]]))-1),FALSE)))-V$6)),"ошибка"),"ошибка")</f>
        <v>ошибка</v>
      </c>
      <c r="W11" s="135" t="str">
        <f ca="1">IFERROR(_xlfn.FORMULATEXT(INDIRECT(Свёртка_Чувствительность_2[[#This Row],[ССвёртка]],FALSE)),"ошибка")</f>
        <v>ошибка</v>
      </c>
      <c r="X11" s="135" t="str">
        <f ca="1">IFERROR(IF(LEFT(Свёртка_Чувствительность_2[[#This Row],[ФСвёртка]],5)="=Прив","ошибка",IF(LEFT(Свёртка_Чувствительность_2[[#This Row],[ФСвёртка]],5)="=Матр","Свёртка","ошибка")),"ошибка")</f>
        <v>ошибка</v>
      </c>
      <c r="Y11" s="135" t="str">
        <f ca="1">IFERROR(IF(LEN((INDIRECT(Свёртка_Чувствительность_2[[#This Row],[СНаименование]],FALSE)))=0,"ошибка",IFERROR(INDIRECT(Свёртка_Чувствительность_2[[#This Row],[СНаименование]],FALSE),"ошибка")),"ошибка")</f>
        <v>ошибка</v>
      </c>
      <c r="Z11"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Row],[ССвёртка]])))+Z$7),FIND("R",Свёртка_Чувствительность_2[[#This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Row],[ССвёртка]])))+Z$6),"ошибка")</f>
        <v>ошибка</v>
      </c>
      <c r="AA11" s="136" t="str">
        <f ca="1">IFERROR(IF(LEN((INDIRECT(Свёртка_Чувствительность_2[[#This Row],[ССВ_1_1]],FALSE)))=0,"ошибка",IFERROR(INDIRECT(Свёртка_Чувствительность_2[[#This Row],[ССВ_1_1]],FALSE),"ошибка")),"ошибка")</f>
        <v>ошибка</v>
      </c>
      <c r="AB11"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Row],[ССвёртка]])))+AB$7),FIND("R",Свёртка_Чувствительность_2[[#This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Row],[ССвёртка]])))+AB$6),"ошибка")</f>
        <v>ошибка</v>
      </c>
      <c r="AC11" s="136" t="str">
        <f ca="1">IFERROR(IF(LEN((INDIRECT(Свёртка_Чувствительность_2[[#This Row],[ССВ_2_1]],FALSE)))=0,"ошибка",IFERROR(INDIRECT(Свёртка_Чувствительность_2[[#This Row],[ССВ_2_1]],FALSE),"ошибка")),"ошибка")</f>
        <v>ошибка</v>
      </c>
      <c r="AD11"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Row],[ССвёртка]])))+AD$7),FIND("R",Свёртка_Чувствительность_2[[#This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Row],[ССвёртка]])))+AD$6),"ошибка")</f>
        <v>ошибка</v>
      </c>
      <c r="AE11" s="136" t="str">
        <f ca="1">IFERROR(IF(LEN((INDIRECT(Свёртка_Чувствительность_2[[#This Row],[ССВ_1_2]],FALSE)))=0,"ошибка",IFERROR(INDIRECT(Свёртка_Чувствительность_2[[#This Row],[ССВ_1_2]],FALSE),"ошибка")),"ошибка")</f>
        <v>ошибка</v>
      </c>
      <c r="AF11"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Row],[ССвёртка]])))+AF$7),FIND("R",Свёртка_Чувствительность_2[[#This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Row],[ССвёртка]])))+AF$6),"ошибка")</f>
        <v>ошибка</v>
      </c>
      <c r="AG11" s="136" t="str">
        <f ca="1">IFERROR(IF(LEN((INDIRECT(Свёртка_Чувствительность_2[[#This Row],[ССВ_2_2]],FALSE)))=0,"ошибка",IFERROR(INDIRECT(Свёртка_Чувствительность_2[[#This Row],[ССВ_2_2]],FALSE),"ошибка")),"ошибка")</f>
        <v>ошибка</v>
      </c>
      <c r="AH11"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Row],[ССвёртка]])))+AH$7),FIND("R",Свёртка_Чувствительность_2[[#This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Row],[ССвёртка]])))+AH$6),"ошибка")</f>
        <v>ошибка</v>
      </c>
      <c r="AI11" s="136" t="str">
        <f ca="1">IFERROR(IF(LEN((INDIRECT(Свёртка_Чувствительность_2[[#This Row],[ССВ_3_1]],FALSE)))=0,"ошибка",IFERROR(INDIRECT(Свёртка_Чувствительность_2[[#This Row],[ССВ_3_1]],FALSE),"ошибка")),"ошибка")</f>
        <v>ошибка</v>
      </c>
      <c r="AJ11"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Row],[ССвёртка]])))+AJ$7),FIND("R",Свёртка_Чувствительность_2[[#This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Row],[ССвёртка]])))+AJ$6),"ошибка")</f>
        <v>ошибка</v>
      </c>
      <c r="AK11" s="136" t="str">
        <f ca="1">IFERROR(IF(LEN((INDIRECT(Свёртка_Чувствительность_2[[#This Row],[ССВ_1_3]],FALSE)))=0,"ошибка",IFERROR(INDIRECT(Свёртка_Чувствительность_2[[#This Row],[ССВ_1_3]],FALSE),"ошибка")),"ошибка")</f>
        <v>ошибка</v>
      </c>
      <c r="AL11"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Row],[ССвёртка]])))+AL$7),FIND("R",Свёртка_Чувствительность_2[[#This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Row],[ССвёртка]])))+AL$6),"ошибка")</f>
        <v>ошибка</v>
      </c>
      <c r="AM11" s="136" t="str">
        <f ca="1">IFERROR(IF(LEN((INDIRECT(Свёртка_Чувствительность_2[[#This Row],[ССВ_3_2]],FALSE)))=0,"ошибка",IFERROR(INDIRECT(Свёртка_Чувствительность_2[[#This Row],[ССВ_3_2]],FALSE),"ошибка")),"ошибка")</f>
        <v>ошибка</v>
      </c>
      <c r="AN11"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Row],[ССвёртка]])))+AN$7),FIND("R",Свёртка_Чувствительность_2[[#This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Row],[ССвёртка]])))+AN$6),"ошибка")</f>
        <v>ошибка</v>
      </c>
      <c r="AO11" s="136" t="str">
        <f ca="1">IFERROR(IF(LEN((INDIRECT(Свёртка_Чувствительность_2[[#This Row],[ССВ_2_3]],FALSE)))=0,"ошибка",IFERROR(INDIRECT(Свёртка_Чувствительность_2[[#This Row],[ССВ_2_3]],FALSE),"ошибка")),"ошибка")</f>
        <v>ошибка</v>
      </c>
      <c r="AP11"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Row],[ССвёртка]])))+AP$7),FIND("R",Свёртка_Чувствительность_2[[#This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Row],[ССвёртка]])))+AP$6),"ошибка")</f>
        <v>ошибка</v>
      </c>
      <c r="AQ11" s="136" t="str">
        <f ca="1">IFERROR(IF(LEN((INDIRECT(Свёртка_Чувствительность_2[[#This Row],[ССВ_3_3]],FALSE)))=0,"ошибка",IFERROR(INDIRECT(Свёртка_Чувствительность_2[[#This Row],[ССВ_3_3]],FALSE),"ошибка")),"ошибка")</f>
        <v>ошибка</v>
      </c>
      <c r="AR11"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Row],[ССвёртка]])))+AR$7),FIND("R",Свёртка_Чувствительность_2[[#This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Row],[ССвёртка]])))+AR$6),"ошибка")</f>
        <v>ошибка</v>
      </c>
      <c r="AS11" s="135" t="str">
        <f ca="1">IFERROR(IF(LEN((INDIRECT(Свёртка_Чувствительность_2[[#This Row],[СЛ]],FALSE)))=0,"ошибка",IFERROR(INDIRECT(Свёртка_Чувствительность_2[[#This Row],[СЛ]],FALSE),"ошибка")),"ошибка")</f>
        <v>ошибка</v>
      </c>
      <c r="AT11"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Row],[ССвёртка]])))+AT$7),FIND("R",Свёртка_Чувствительность_2[[#This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Row],[ССвёртка]])))+AT$6),"ошибка")</f>
        <v>ошибка</v>
      </c>
      <c r="AU11" s="135" t="str">
        <f ca="1">IFERROR(_xlfn.FORMULATEXT(INDIRECT(Свёртка_Чувствительность_2[[#This Row],[СЛ]],FALSE)),"ошибка")</f>
        <v>ошибка</v>
      </c>
      <c r="AV11" s="135" t="str">
        <f ca="1">IFERROR(IF(LEN((INDIRECT(Свёртка_Чувствительность_2[[#This Row],[СП]],FALSE)))=0,"ошибка",IFERROR(INDIRECT(Свёртка_Чувствительность_2[[#This Row],[СП]],FALSE),"ошибка")),"ошибка")</f>
        <v>ошибка</v>
      </c>
      <c r="AW11"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Row],[ССвёртка]])))+AW$7),FIND("R",Свёртка_Чувствительность_2[[#This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Row],[ССвёртка]])))+AW$6),"ошибка")</f>
        <v>ошибка</v>
      </c>
      <c r="AX11" s="135" t="str">
        <f ca="1">IFERROR(_xlfn.FORMULATEXT(INDIRECT(Свёртка_Чувствительность_2[[#This Row],[СП]],FALSE)),"ошибка")</f>
        <v>ошибка</v>
      </c>
      <c r="AY11" s="66">
        <f ca="1">IF(AND(Свёртка_Чувствительность_2[[#This Row],[ВидСвёртка]]="Свёртка",CONCATENATE(LEFT(Свёртка_Чувствительность_2[[#This Row],[СВ_1_1]],1),LEFT(Свёртка_Чувствительность_2[[#This Row],[СВ_2_1]],1),LEFT(Свёртка_Чувствительность_2[[#This Row],[СВ_1_2]],1),LEFT(Свёртка_Чувствительность_2[[#This Row],[СВ_2_2]],1),LEFT(Свёртка_Чувствительность_2[[#This Row],[СВ_3_1]],1),LEFT(Свёртка_Чувствительность_2[[#This Row],[СВ_1_3]],1),LEFT(Свёртка_Чувствительность_2[[#This Row],[СВ_3_2]],1),LEFT(Свёртка_Чувствительность_2[[#This Row],[СВ_2_3]],1),LEFT(Свёртка_Чувствительность_2[[#This Row],[СВ_3_3]],1))="FFFFFFFFF",AND(Свёртка_Чувствительность_2[[#This Row],[Л]]&gt;=1,Свёртка_Чувствительность_2[[#This Row],[Л]]&lt;=4),AND(Свёртка_Чувствительность_2[[#This Row],[П]]&gt;=1,Свёртка_Чувствительность_2[[#This Row],[П]]&lt;=4)),1,-1)</f>
        <v>-1</v>
      </c>
      <c r="AZ11" s="66"/>
      <c r="BA11" s="66"/>
      <c r="BC11" s="143">
        <f>IF(AND(Множество[[#This Row],[Y]]=1),ROW()-ROW(Множество[[#Headers],[№]]),"")</f>
        <v>2</v>
      </c>
      <c r="BD11" s="144" t="s">
        <v>451</v>
      </c>
      <c r="BE11" s="144">
        <v>0.2</v>
      </c>
      <c r="BF11" s="144" t="s">
        <v>460</v>
      </c>
      <c r="BG11" s="144">
        <v>1</v>
      </c>
      <c r="BH11" s="143">
        <v>2</v>
      </c>
      <c r="BI11" s="143">
        <f>IF(LEN(Анализ_Чувствительность_2[[#This Row],[Свёртка]])&gt;0,1,-1)</f>
        <v>1</v>
      </c>
      <c r="BJ11" s="143">
        <v>2</v>
      </c>
      <c r="BK11" s="143">
        <f>IF(LEN(Анализ_Чувствительность_2[[#This Row],[Критерий]])&gt;0,1,-1)</f>
        <v>1</v>
      </c>
      <c r="BL11" s="143" t="s">
        <v>551</v>
      </c>
      <c r="BM11" s="143">
        <f>IF(LEN(Анализ_Чувствительность_2[[#This Row],[Критерии]])&gt;0,1,-1)</f>
        <v>1</v>
      </c>
      <c r="BN11" s="143">
        <f>IF(AND(LEN(Анализ_Чувствительность_2[[#This Row],[Свёртка]])&gt;0,LEN(Анализ_Чувствительность_2[[#This Row],[Критерии]])&gt;0,LEN(Анализ_Чувствительность_2[[#This Row],[Оценки]])&gt;0,LEN(Анализ_Чувствительность_2[[#This Row],[Представление]])&gt;0,LEN(Анализ_Чувствительность_2[[#This Row],[Критерий]])&gt;0,LEN(Анализ_Чувствительность_2[[#This Row],[Размещение]])&gt;0,LEN(Анализ_Чувствительность_2[[#This Row],[Шаг]])&gt;0,LEN(Анализ_Чувствительность_2[[#This Row],[min]])&gt;0,LEN(Анализ_Чувствительность_2[[#This Row],[max]])&gt;0,(Анализ_Чувствительность_2[[#This Row],[min]]&lt;&gt;Анализ_Чувствительность_2[[#This Row],[max]])),1,-1)</f>
        <v>1</v>
      </c>
      <c r="BO11" s="143">
        <v>0</v>
      </c>
      <c r="BP11" s="143">
        <v>5</v>
      </c>
      <c r="BQ11" s="145">
        <v>2</v>
      </c>
      <c r="BR11" s="145">
        <v>3</v>
      </c>
      <c r="BS11" s="145">
        <v>4</v>
      </c>
      <c r="BT11" s="145">
        <v>1.5</v>
      </c>
      <c r="BU11" s="145">
        <v>2.5</v>
      </c>
      <c r="BV11" s="145"/>
      <c r="BW11" s="145"/>
      <c r="BX11" s="145"/>
      <c r="BY11" s="145"/>
      <c r="BZ11" s="145"/>
      <c r="CA11" s="145"/>
      <c r="CB11" s="145"/>
      <c r="CC11" s="145"/>
      <c r="CD11" s="145"/>
      <c r="CE11" s="145"/>
      <c r="CF11" s="145"/>
      <c r="CG11" s="145"/>
      <c r="CH11" s="145"/>
      <c r="CI11" s="145"/>
      <c r="CJ11" s="145"/>
      <c r="CK11" s="145"/>
      <c r="CL11" s="145"/>
      <c r="CM11" s="145"/>
      <c r="CN11" s="145"/>
      <c r="CO11" s="145"/>
    </row>
    <row r="12" spans="1:93" x14ac:dyDescent="0.25">
      <c r="A12" s="66" t="e">
        <f ca="1">IF(AND(Критерий_Чувствительность_2[[#This Row],[Критерий]]&lt;&gt;"",Критерий_Чувствительность_2[[#This Row],[O.K.Критерий]]=1),ROW()-ROW(Критерий_Чувствительность_2[[#Headers],[№]]),"")</f>
        <v>#REF!</v>
      </c>
      <c r="B12" s="138" t="e">
        <f>Модель!#REF!</f>
        <v>#REF!</v>
      </c>
      <c r="C12" s="135" t="str">
        <f ca="1">IFERROR(IF(AND(Критерий_Чувствительность_2[[#This Row],[Критерий]]&gt;=1,Критерий_Чувствительность_2[[#This Row],[Критерий]]&lt;=4),IF(IFERROR(FIND("!",_xlfn.FORMULATEXT(Критерий_Чувствительность_2[[#This Row],[Критерий]])),"на странице")="на странице",CONCATENATE("R",ROW((INDIRECT(RIGHT(_xlfn.FORMULATEXT(Критерий_Чувствительность_2[[#This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Row],[Критерий]]))-1),FALSE)))-C$8),CONCATENATE(RIGHT(LEFT(_xlfn.FORMULATEXT(Критерий_Чувствительность_2[[#This Row],[Критерий]]),FIND("!",_xlfn.FORMULATEXT(Критерий_Чувствительность_2[[#This Row],[Критерий]]))),LEN(LEFT(_xlfn.FORMULATEXT(Критерий_Чувствительность_2[[#This Row],[Критерий]]),FIND("!",_xlfn.FORMULATEXT(Критерий_Чувствительность_2[[#This Row],[Критерий]]))))-1),"R",ROW((INDIRECT(RIGHT(_xlfn.FORMULATEXT(Критерий_Чувствительность_2[[#This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Row],[Критерий]]))-1),FALSE)))-C$8)),"ошибка"),"ошибка")</f>
        <v>ошибка</v>
      </c>
      <c r="D12" s="135" t="str">
        <f ca="1">IFERROR(IF(LEFT(Критерий_Чувствительность_2[[#This Row],[Фкритерий]],5)="=Прив","Критерий",IF(LEFT(Критерий_Чувствительность_2[[#This Row],[Фкритерий]],5)="=Матр","ошибка","ошибка")),"ошибка")</f>
        <v>ошибка</v>
      </c>
      <c r="E12" s="135" t="str">
        <f ca="1">IFERROR(IF(LEN((INDIRECT(Критерий_Чувствительность_2[[#This Row],[СНаименование]],FALSE)))=0,"ошибка",IFERROR(INDIRECT(Критерий_Чувствительность_2[[#This Row],[СНаименование]],FALSE),"ошибка")),"ошибка")</f>
        <v>ошибка</v>
      </c>
      <c r="F12"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Row],[Скритерий]])))+F$7),FIND("R",Критерий_Чувствительность_2[[#This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Row],[Скритерий]])))+F$6),"ошибка")</f>
        <v>ошибка</v>
      </c>
      <c r="G12" s="136" t="str">
        <f ca="1">IFERROR(IF(N(INDIRECT(Критерий_Чувствительность_2[[#This Row],[СФизКритерий]],FALSE))=0,"ошибка",IFERROR(INDIRECT(Критерий_Чувствительность_2[[#This Row],[СФизКритерий]],FALSE),"ошибка")),"ошибка")</f>
        <v>ошибка</v>
      </c>
      <c r="H12"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Row],[Скритерий]])))+H$7),FIND("R",Критерий_Чувствительность_2[[#This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Row],[Скритерий]])))+H$6),"ошибка")</f>
        <v>ошибка</v>
      </c>
      <c r="I12" s="135" t="str">
        <f ca="1">IFERROR(IF(OR(INDIRECT(Критерий_Чувствительность_2[[#This Row],[СТипКритерий]],FALSE)=Перебор!$N$58,INDIRECT(Критерий_Чувствительность_2[[#This Row],[СТипКритерий]],FALSE)=Перебор!$N$59,INDIRECT(Критерий_Чувствительность_2[[#This Row],[СТипКритерий]],FALSE)=Перебор!$N$60,INDIRECT(Критерий_Чувствительность_2[[#This Row],[СТипКритерий]],FALSE)=Перебор!$N$61),INDIRECT(Критерий_Чувствительность_2[[#This Row],[СТипКритерий]],FALSE),"ошибка"),"ошибка")</f>
        <v>ошибка</v>
      </c>
      <c r="J12"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Row],[Скритерий]])))+J$7),FIND("R",Критерий_Чувствительность_2[[#This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Row],[Скритерий]])))+J$6),"ошибка")</f>
        <v>ошибка</v>
      </c>
      <c r="K12" s="135" t="str">
        <f ca="1">IFERROR(_xlfn.FORMULATEXT(INDIRECT(Критерий_Чувствительность_2[[#This Row],[Скритерий]],FALSE)),"ошибка")</f>
        <v>ошибка</v>
      </c>
      <c r="L12" s="136" t="str">
        <f ca="1">IFERROR(IF(N(INDIRECT(Критерий_Чувствительность_2[[#This Row],[СМинФизКритерий]],FALSE))="","ошибка",IFERROR(INDIRECT(Критерий_Чувствительность_2[[#This Row],[СМинФизКритерий]],FALSE),"ошибка")),"ошибка")</f>
        <v>ошибка</v>
      </c>
      <c r="M12"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Row],[Скритерий]])))+M$7),FIND("R",Критерий_Чувствительность_2[[#This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Row],[Скритерий]])))+M$6),"ошибка")</f>
        <v>ошибка</v>
      </c>
      <c r="N12" s="136" t="str">
        <f ca="1">IFERROR(IF(N(INDIRECT(Критерий_Чувствительность_2[[#This Row],[СМаксФизКритерий]],FALSE))="","ошибка",IFERROR(INDIRECT(Критерий_Чувствительность_2[[#This Row],[СМаксФизКритерий]],FALSE),"ошибка")),"ошибка")</f>
        <v>ошибка</v>
      </c>
      <c r="O12"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Row],[Скритерий]])))+O$7),FIND("R",Критерий_Чувствительность_2[[#This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Row],[Скритерий]])))+O$6),"ошибка")</f>
        <v>ошибка</v>
      </c>
      <c r="P12" s="136" t="str">
        <f ca="1">IFERROR(IF(N(INDIRECT(Критерий_Чувствительность_2[[#This Row],[ССрФизКритерий]],FALSE))=0,"ошибка",IFERROR(INDIRECT(Критерий_Чувствительность_2[[#This Row],[ССрФизКритерий]],FALSE),"ошибка")),"")</f>
        <v/>
      </c>
      <c r="Q12" s="135" t="str">
        <f ca="1">IF(OR(Критерий_Чувствительность_2[[#This Row],[ТипКритерий]]=Перебор!$N$60,Критерий_Чувствительность_2[[#This Row],[ТипКритерий]]=Перебор!$N$61),IFERROR(REPLACE(REPLACE(Критерий_Чувствительность_2[[#This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Row],[Скритерий]])))+Q$7),FIND("R",Критерий_Чувствительность_2[[#This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Row],[Скритерий]])))+Q$6),"ошибка"),"")</f>
        <v/>
      </c>
      <c r="R12" s="66">
        <f ca="1">IFERROR(IF(AND(Критерий_Чувствительность_2[[#This Row],[ВидКритерий]]="Критерий",Критерий_Чувствительность_2[[#This Row],[Фкритерий]]="=Приведение"),1,-1),-1)</f>
        <v>-1</v>
      </c>
      <c r="T12" s="66" t="e">
        <f ca="1">IF(AND(Свёртка_Чувствительность_2[[#This Row],[Свёртка]]&lt;&gt;"",Свёртка_Чувствительность_2[[#This Row],[O.K.Свёртка]]=1),ROW()-ROW(Свёртка_Чувствительность_2[[#Headers],[№]]),"")</f>
        <v>#REF!</v>
      </c>
      <c r="U12" s="137" t="e">
        <f>Модель!#REF!</f>
        <v>#REF!</v>
      </c>
      <c r="V12" s="135" t="str">
        <f ca="1">IFERROR(IF(AND(Свёртка_Чувствительность_2[[#This Row],[Свёртка]]&gt;=1,Свёртка_Чувствительность_2[[#This Row],[Свёртка]]&lt;=4),IF(IFERROR(FIND("!",_xlfn.FORMULATEXT(Свёртка_Чувствительность_2[[#This Row],[Свёртка]])),"на странице")="на странице",CONCATENATE("R",ROW((INDIRECT(RIGHT(_xlfn.FORMULATEXT(Свёртка_Чувствительность_2[[#This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Row],[Свёртка]]))-1),FALSE)))-V$6),CONCATENATE(RIGHT(LEFT(_xlfn.FORMULATEXT(Свёртка_Чувствительность_2[[#This Row],[Свёртка]]),FIND("!",_xlfn.FORMULATEXT(Свёртка_Чувствительность_2[[#This Row],[Свёртка]]))),LEN(LEFT(_xlfn.FORMULATEXT(Свёртка_Чувствительность_2[[#This Row],[Свёртка]]),FIND("!",_xlfn.FORMULATEXT(Свёртка_Чувствительность_2[[#This Row],[Свёртка]]))))-1),"R",ROW((INDIRECT(RIGHT(_xlfn.FORMULATEXT(Свёртка_Чувствительность_2[[#This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Row],[Свёртка]]))-1),FALSE)))-V$6)),"ошибка"),"ошибка")</f>
        <v>ошибка</v>
      </c>
      <c r="W12" s="135" t="str">
        <f ca="1">IFERROR(_xlfn.FORMULATEXT(INDIRECT(Свёртка_Чувствительность_2[[#This Row],[ССвёртка]],FALSE)),"ошибка")</f>
        <v>ошибка</v>
      </c>
      <c r="X12" s="135" t="str">
        <f ca="1">IFERROR(IF(LEFT(Свёртка_Чувствительность_2[[#This Row],[ФСвёртка]],5)="=Прив","ошибка",IF(LEFT(Свёртка_Чувствительность_2[[#This Row],[ФСвёртка]],5)="=Матр","Свёртка","ошибка")),"ошибка")</f>
        <v>ошибка</v>
      </c>
      <c r="Y12" s="135" t="str">
        <f ca="1">IFERROR(IF(LEN((INDIRECT(Свёртка_Чувствительность_2[[#This Row],[СНаименование]],FALSE)))=0,"ошибка",IFERROR(INDIRECT(Свёртка_Чувствительность_2[[#This Row],[СНаименование]],FALSE),"ошибка")),"ошибка")</f>
        <v>ошибка</v>
      </c>
      <c r="Z12"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Row],[ССвёртка]])))+Z$7),FIND("R",Свёртка_Чувствительность_2[[#This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Row],[ССвёртка]])))+Z$6),"ошибка")</f>
        <v>ошибка</v>
      </c>
      <c r="AA12" s="136" t="str">
        <f ca="1">IFERROR(IF(LEN((INDIRECT(Свёртка_Чувствительность_2[[#This Row],[ССВ_1_1]],FALSE)))=0,"ошибка",IFERROR(INDIRECT(Свёртка_Чувствительность_2[[#This Row],[ССВ_1_1]],FALSE),"ошибка")),"ошибка")</f>
        <v>ошибка</v>
      </c>
      <c r="AB12"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Row],[ССвёртка]])))+AB$7),FIND("R",Свёртка_Чувствительность_2[[#This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Row],[ССвёртка]])))+AB$6),"ошибка")</f>
        <v>ошибка</v>
      </c>
      <c r="AC12" s="136" t="str">
        <f ca="1">IFERROR(IF(LEN((INDIRECT(Свёртка_Чувствительность_2[[#This Row],[ССВ_2_1]],FALSE)))=0,"ошибка",IFERROR(INDIRECT(Свёртка_Чувствительность_2[[#This Row],[ССВ_2_1]],FALSE),"ошибка")),"ошибка")</f>
        <v>ошибка</v>
      </c>
      <c r="AD12"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Row],[ССвёртка]])))+AD$7),FIND("R",Свёртка_Чувствительность_2[[#This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Row],[ССвёртка]])))+AD$6),"ошибка")</f>
        <v>ошибка</v>
      </c>
      <c r="AE12" s="136" t="str">
        <f ca="1">IFERROR(IF(LEN((INDIRECT(Свёртка_Чувствительность_2[[#This Row],[ССВ_1_2]],FALSE)))=0,"ошибка",IFERROR(INDIRECT(Свёртка_Чувствительность_2[[#This Row],[ССВ_1_2]],FALSE),"ошибка")),"ошибка")</f>
        <v>ошибка</v>
      </c>
      <c r="AF12"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Row],[ССвёртка]])))+AF$7),FIND("R",Свёртка_Чувствительность_2[[#This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Row],[ССвёртка]])))+AF$6),"ошибка")</f>
        <v>ошибка</v>
      </c>
      <c r="AG12" s="136" t="str">
        <f ca="1">IFERROR(IF(LEN((INDIRECT(Свёртка_Чувствительность_2[[#This Row],[ССВ_2_2]],FALSE)))=0,"ошибка",IFERROR(INDIRECT(Свёртка_Чувствительность_2[[#This Row],[ССВ_2_2]],FALSE),"ошибка")),"ошибка")</f>
        <v>ошибка</v>
      </c>
      <c r="AH12"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Row],[ССвёртка]])))+AH$7),FIND("R",Свёртка_Чувствительность_2[[#This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Row],[ССвёртка]])))+AH$6),"ошибка")</f>
        <v>ошибка</v>
      </c>
      <c r="AI12" s="136" t="str">
        <f ca="1">IFERROR(IF(LEN((INDIRECT(Свёртка_Чувствительность_2[[#This Row],[ССВ_3_1]],FALSE)))=0,"ошибка",IFERROR(INDIRECT(Свёртка_Чувствительность_2[[#This Row],[ССВ_3_1]],FALSE),"ошибка")),"ошибка")</f>
        <v>ошибка</v>
      </c>
      <c r="AJ12"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Row],[ССвёртка]])))+AJ$7),FIND("R",Свёртка_Чувствительность_2[[#This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Row],[ССвёртка]])))+AJ$6),"ошибка")</f>
        <v>ошибка</v>
      </c>
      <c r="AK12" s="136" t="str">
        <f ca="1">IFERROR(IF(LEN((INDIRECT(Свёртка_Чувствительность_2[[#This Row],[ССВ_1_3]],FALSE)))=0,"ошибка",IFERROR(INDIRECT(Свёртка_Чувствительность_2[[#This Row],[ССВ_1_3]],FALSE),"ошибка")),"ошибка")</f>
        <v>ошибка</v>
      </c>
      <c r="AL12"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Row],[ССвёртка]])))+AL$7),FIND("R",Свёртка_Чувствительность_2[[#This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Row],[ССвёртка]])))+AL$6),"ошибка")</f>
        <v>ошибка</v>
      </c>
      <c r="AM12" s="136" t="str">
        <f ca="1">IFERROR(IF(LEN((INDIRECT(Свёртка_Чувствительность_2[[#This Row],[ССВ_3_2]],FALSE)))=0,"ошибка",IFERROR(INDIRECT(Свёртка_Чувствительность_2[[#This Row],[ССВ_3_2]],FALSE),"ошибка")),"ошибка")</f>
        <v>ошибка</v>
      </c>
      <c r="AN12"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Row],[ССвёртка]])))+AN$7),FIND("R",Свёртка_Чувствительность_2[[#This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Row],[ССвёртка]])))+AN$6),"ошибка")</f>
        <v>ошибка</v>
      </c>
      <c r="AO12" s="136" t="str">
        <f ca="1">IFERROR(IF(LEN((INDIRECT(Свёртка_Чувствительность_2[[#This Row],[ССВ_2_3]],FALSE)))=0,"ошибка",IFERROR(INDIRECT(Свёртка_Чувствительность_2[[#This Row],[ССВ_2_3]],FALSE),"ошибка")),"ошибка")</f>
        <v>ошибка</v>
      </c>
      <c r="AP12"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Row],[ССвёртка]])))+AP$7),FIND("R",Свёртка_Чувствительность_2[[#This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Row],[ССвёртка]])))+AP$6),"ошибка")</f>
        <v>ошибка</v>
      </c>
      <c r="AQ12" s="136" t="str">
        <f ca="1">IFERROR(IF(LEN((INDIRECT(Свёртка_Чувствительность_2[[#This Row],[ССВ_3_3]],FALSE)))=0,"ошибка",IFERROR(INDIRECT(Свёртка_Чувствительность_2[[#This Row],[ССВ_3_3]],FALSE),"ошибка")),"ошибка")</f>
        <v>ошибка</v>
      </c>
      <c r="AR12"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Row],[ССвёртка]])))+AR$7),FIND("R",Свёртка_Чувствительность_2[[#This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Row],[ССвёртка]])))+AR$6),"ошибка")</f>
        <v>ошибка</v>
      </c>
      <c r="AS12" s="135" t="str">
        <f ca="1">IFERROR(IF(LEN((INDIRECT(Свёртка_Чувствительность_2[[#This Row],[СЛ]],FALSE)))=0,"ошибка",IFERROR(INDIRECT(Свёртка_Чувствительность_2[[#This Row],[СЛ]],FALSE),"ошибка")),"ошибка")</f>
        <v>ошибка</v>
      </c>
      <c r="AT12"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Row],[ССвёртка]])))+AT$7),FIND("R",Свёртка_Чувствительность_2[[#This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Row],[ССвёртка]])))+AT$6),"ошибка")</f>
        <v>ошибка</v>
      </c>
      <c r="AU12" s="135" t="str">
        <f ca="1">IFERROR(_xlfn.FORMULATEXT(INDIRECT(Свёртка_Чувствительность_2[[#This Row],[СЛ]],FALSE)),"ошибка")</f>
        <v>ошибка</v>
      </c>
      <c r="AV12" s="135" t="str">
        <f ca="1">IFERROR(IF(LEN((INDIRECT(Свёртка_Чувствительность_2[[#This Row],[СП]],FALSE)))=0,"ошибка",IFERROR(INDIRECT(Свёртка_Чувствительность_2[[#This Row],[СП]],FALSE),"ошибка")),"ошибка")</f>
        <v>ошибка</v>
      </c>
      <c r="AW12"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Row],[ССвёртка]])))+AW$7),FIND("R",Свёртка_Чувствительность_2[[#This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Row],[ССвёртка]])))+AW$6),"ошибка")</f>
        <v>ошибка</v>
      </c>
      <c r="AX12" s="135" t="str">
        <f ca="1">IFERROR(_xlfn.FORMULATEXT(INDIRECT(Свёртка_Чувствительность_2[[#This Row],[СП]],FALSE)),"ошибка")</f>
        <v>ошибка</v>
      </c>
      <c r="AY12" s="66">
        <f ca="1">IF(AND(Свёртка_Чувствительность_2[[#This Row],[ВидСвёртка]]="Свёртка",CONCATENATE(LEFT(Свёртка_Чувствительность_2[[#This Row],[СВ_1_1]],1),LEFT(Свёртка_Чувствительность_2[[#This Row],[СВ_2_1]],1),LEFT(Свёртка_Чувствительность_2[[#This Row],[СВ_1_2]],1),LEFT(Свёртка_Чувствительность_2[[#This Row],[СВ_2_2]],1),LEFT(Свёртка_Чувствительность_2[[#This Row],[СВ_3_1]],1),LEFT(Свёртка_Чувствительность_2[[#This Row],[СВ_1_3]],1),LEFT(Свёртка_Чувствительность_2[[#This Row],[СВ_3_2]],1),LEFT(Свёртка_Чувствительность_2[[#This Row],[СВ_2_3]],1),LEFT(Свёртка_Чувствительность_2[[#This Row],[СВ_3_3]],1))="FFFFFFFFF",AND(Свёртка_Чувствительность_2[[#This Row],[Л]]&gt;=1,Свёртка_Чувствительность_2[[#This Row],[Л]]&lt;=4),AND(Свёртка_Чувствительность_2[[#This Row],[П]]&gt;=1,Свёртка_Чувствительность_2[[#This Row],[П]]&lt;=4)),1,-1)</f>
        <v>-1</v>
      </c>
      <c r="AZ12" s="66"/>
      <c r="BA12" s="66"/>
    </row>
    <row r="13" spans="1:93" x14ac:dyDescent="0.25">
      <c r="A13" s="66" t="e">
        <f ca="1">IF(AND(Критерий_Чувствительность_2[[#This Row],[Критерий]]&lt;&gt;"",Критерий_Чувствительность_2[[#This Row],[O.K.Критерий]]=1),ROW()-ROW(Критерий_Чувствительность_2[[#Headers],[№]]),"")</f>
        <v>#REF!</v>
      </c>
      <c r="B13" s="138" t="e">
        <f>Модель!#REF!</f>
        <v>#REF!</v>
      </c>
      <c r="C13" s="135" t="str">
        <f ca="1">IFERROR(IF(AND(Критерий_Чувствительность_2[[#This Row],[Критерий]]&gt;=1,Критерий_Чувствительность_2[[#This Row],[Критерий]]&lt;=4),IF(IFERROR(FIND("!",_xlfn.FORMULATEXT(Критерий_Чувствительность_2[[#This Row],[Критерий]])),"на странице")="на странице",CONCATENATE("R",ROW((INDIRECT(RIGHT(_xlfn.FORMULATEXT(Критерий_Чувствительность_2[[#This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Row],[Критерий]]))-1),FALSE)))-C$8),CONCATENATE(RIGHT(LEFT(_xlfn.FORMULATEXT(Критерий_Чувствительность_2[[#This Row],[Критерий]]),FIND("!",_xlfn.FORMULATEXT(Критерий_Чувствительность_2[[#This Row],[Критерий]]))),LEN(LEFT(_xlfn.FORMULATEXT(Критерий_Чувствительность_2[[#This Row],[Критерий]]),FIND("!",_xlfn.FORMULATEXT(Критерий_Чувствительность_2[[#This Row],[Критерий]]))))-1),"R",ROW((INDIRECT(RIGHT(_xlfn.FORMULATEXT(Критерий_Чувствительность_2[[#This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Row],[Критерий]]))-1),FALSE)))-C$8)),"ошибка"),"ошибка")</f>
        <v>ошибка</v>
      </c>
      <c r="D13" s="135" t="str">
        <f ca="1">IFERROR(IF(LEFT(Критерий_Чувствительность_2[[#This Row],[Фкритерий]],5)="=Прив","Критерий",IF(LEFT(Критерий_Чувствительность_2[[#This Row],[Фкритерий]],5)="=Матр","ошибка","ошибка")),"ошибка")</f>
        <v>ошибка</v>
      </c>
      <c r="E13" s="135" t="str">
        <f ca="1">IFERROR(IF(LEN((INDIRECT(Критерий_Чувствительность_2[[#This Row],[СНаименование]],FALSE)))=0,"ошибка",IFERROR(INDIRECT(Критерий_Чувствительность_2[[#This Row],[СНаименование]],FALSE),"ошибка")),"ошибка")</f>
        <v>ошибка</v>
      </c>
      <c r="F13"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Row],[Скритерий]])))+F$7),FIND("R",Критерий_Чувствительность_2[[#This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Row],[Скритерий]])))+F$6),"ошибка")</f>
        <v>ошибка</v>
      </c>
      <c r="G13" s="136" t="str">
        <f ca="1">IFERROR(IF(N(INDIRECT(Критерий_Чувствительность_2[[#This Row],[СФизКритерий]],FALSE))=0,"ошибка",IFERROR(INDIRECT(Критерий_Чувствительность_2[[#This Row],[СФизКритерий]],FALSE),"ошибка")),"ошибка")</f>
        <v>ошибка</v>
      </c>
      <c r="H13"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Row],[Скритерий]])))+H$7),FIND("R",Критерий_Чувствительность_2[[#This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Row],[Скритерий]])))+H$6),"ошибка")</f>
        <v>ошибка</v>
      </c>
      <c r="I13" s="135" t="str">
        <f ca="1">IFERROR(IF(OR(INDIRECT(Критерий_Чувствительность_2[[#This Row],[СТипКритерий]],FALSE)=Перебор!$N$58,INDIRECT(Критерий_Чувствительность_2[[#This Row],[СТипКритерий]],FALSE)=Перебор!$N$59,INDIRECT(Критерий_Чувствительность_2[[#This Row],[СТипКритерий]],FALSE)=Перебор!$N$60,INDIRECT(Критерий_Чувствительность_2[[#This Row],[СТипКритерий]],FALSE)=Перебор!$N$61),INDIRECT(Критерий_Чувствительность_2[[#This Row],[СТипКритерий]],FALSE),"ошибка"),"ошибка")</f>
        <v>ошибка</v>
      </c>
      <c r="J13"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Row],[Скритерий]])))+J$7),FIND("R",Критерий_Чувствительность_2[[#This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Row],[Скритерий]])))+J$6),"ошибка")</f>
        <v>ошибка</v>
      </c>
      <c r="K13" s="135" t="str">
        <f ca="1">IFERROR(_xlfn.FORMULATEXT(INDIRECT(Критерий_Чувствительность_2[[#This Row],[Скритерий]],FALSE)),"ошибка")</f>
        <v>ошибка</v>
      </c>
      <c r="L13" s="136" t="str">
        <f ca="1">IFERROR(IF(N(INDIRECT(Критерий_Чувствительность_2[[#This Row],[СМинФизКритерий]],FALSE))="","ошибка",IFERROR(INDIRECT(Критерий_Чувствительность_2[[#This Row],[СМинФизКритерий]],FALSE),"ошибка")),"ошибка")</f>
        <v>ошибка</v>
      </c>
      <c r="M13"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Row],[Скритерий]])))+M$7),FIND("R",Критерий_Чувствительность_2[[#This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Row],[Скритерий]])))+M$6),"ошибка")</f>
        <v>ошибка</v>
      </c>
      <c r="N13" s="136" t="str">
        <f ca="1">IFERROR(IF(N(INDIRECT(Критерий_Чувствительность_2[[#This Row],[СМаксФизКритерий]],FALSE))="","ошибка",IFERROR(INDIRECT(Критерий_Чувствительность_2[[#This Row],[СМаксФизКритерий]],FALSE),"ошибка")),"ошибка")</f>
        <v>ошибка</v>
      </c>
      <c r="O13"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Row],[Скритерий]])))+O$7),FIND("R",Критерий_Чувствительность_2[[#This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Row],[Скритерий]])))+O$6),"ошибка")</f>
        <v>ошибка</v>
      </c>
      <c r="P13" s="136" t="str">
        <f ca="1">IFERROR(IF(N(INDIRECT(Критерий_Чувствительность_2[[#This Row],[ССрФизКритерий]],FALSE))=0,"ошибка",IFERROR(INDIRECT(Критерий_Чувствительность_2[[#This Row],[ССрФизКритерий]],FALSE),"ошибка")),"")</f>
        <v/>
      </c>
      <c r="Q13" s="135" t="str">
        <f ca="1">IF(OR(Критерий_Чувствительность_2[[#This Row],[ТипКритерий]]=Перебор!$N$60,Критерий_Чувствительность_2[[#This Row],[ТипКритерий]]=Перебор!$N$61),IFERROR(REPLACE(REPLACE(Критерий_Чувствительность_2[[#This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Row],[Скритерий]])))+Q$7),FIND("R",Критерий_Чувствительность_2[[#This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Row],[Скритерий]])))+Q$6),"ошибка"),"")</f>
        <v/>
      </c>
      <c r="R13" s="66">
        <f ca="1">IFERROR(IF(AND(Критерий_Чувствительность_2[[#This Row],[ВидКритерий]]="Критерий",Критерий_Чувствительность_2[[#This Row],[Фкритерий]]="=Приведение"),1,-1),-1)</f>
        <v>-1</v>
      </c>
      <c r="T13" s="66" t="e">
        <f ca="1">IF(AND(Свёртка_Чувствительность_2[[#This Row],[Свёртка]]&lt;&gt;"",Свёртка_Чувствительность_2[[#This Row],[O.K.Свёртка]]=1),ROW()-ROW(Свёртка_Чувствительность_2[[#Headers],[№]]),"")</f>
        <v>#REF!</v>
      </c>
      <c r="U13" s="137" t="e">
        <f>Модель!#REF!</f>
        <v>#REF!</v>
      </c>
      <c r="V13" s="135" t="str">
        <f ca="1">IFERROR(IF(AND(Свёртка_Чувствительность_2[[#This Row],[Свёртка]]&gt;=1,Свёртка_Чувствительность_2[[#This Row],[Свёртка]]&lt;=4),IF(IFERROR(FIND("!",_xlfn.FORMULATEXT(Свёртка_Чувствительность_2[[#This Row],[Свёртка]])),"на странице")="на странице",CONCATENATE("R",ROW((INDIRECT(RIGHT(_xlfn.FORMULATEXT(Свёртка_Чувствительность_2[[#This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Row],[Свёртка]]))-1),FALSE)))-V$6),CONCATENATE(RIGHT(LEFT(_xlfn.FORMULATEXT(Свёртка_Чувствительность_2[[#This Row],[Свёртка]]),FIND("!",_xlfn.FORMULATEXT(Свёртка_Чувствительность_2[[#This Row],[Свёртка]]))),LEN(LEFT(_xlfn.FORMULATEXT(Свёртка_Чувствительность_2[[#This Row],[Свёртка]]),FIND("!",_xlfn.FORMULATEXT(Свёртка_Чувствительность_2[[#This Row],[Свёртка]]))))-1),"R",ROW((INDIRECT(RIGHT(_xlfn.FORMULATEXT(Свёртка_Чувствительность_2[[#This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Row],[Свёртка]]))-1),FALSE)))-V$6)),"ошибка"),"ошибка")</f>
        <v>ошибка</v>
      </c>
      <c r="W13" s="135" t="str">
        <f ca="1">IFERROR(_xlfn.FORMULATEXT(INDIRECT(Свёртка_Чувствительность_2[[#This Row],[ССвёртка]],FALSE)),"ошибка")</f>
        <v>ошибка</v>
      </c>
      <c r="X13" s="135" t="str">
        <f ca="1">IFERROR(IF(LEFT(Свёртка_Чувствительность_2[[#This Row],[ФСвёртка]],5)="=Прив","ошибка",IF(LEFT(Свёртка_Чувствительность_2[[#This Row],[ФСвёртка]],5)="=Матр","Свёртка","ошибка")),"ошибка")</f>
        <v>ошибка</v>
      </c>
      <c r="Y13" s="135" t="str">
        <f ca="1">IFERROR(IF(LEN((INDIRECT(Свёртка_Чувствительность_2[[#This Row],[СНаименование]],FALSE)))=0,"ошибка",IFERROR(INDIRECT(Свёртка_Чувствительность_2[[#This Row],[СНаименование]],FALSE),"ошибка")),"ошибка")</f>
        <v>ошибка</v>
      </c>
      <c r="Z13"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Row],[ССвёртка]])))+Z$7),FIND("R",Свёртка_Чувствительность_2[[#This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Row],[ССвёртка]])))+Z$6),"ошибка")</f>
        <v>ошибка</v>
      </c>
      <c r="AA13" s="136" t="str">
        <f ca="1">IFERROR(IF(LEN((INDIRECT(Свёртка_Чувствительность_2[[#This Row],[ССВ_1_1]],FALSE)))=0,"ошибка",IFERROR(INDIRECT(Свёртка_Чувствительность_2[[#This Row],[ССВ_1_1]],FALSE),"ошибка")),"ошибка")</f>
        <v>ошибка</v>
      </c>
      <c r="AB13"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Row],[ССвёртка]])))+AB$7),FIND("R",Свёртка_Чувствительность_2[[#This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Row],[ССвёртка]])))+AB$6),"ошибка")</f>
        <v>ошибка</v>
      </c>
      <c r="AC13" s="136" t="str">
        <f ca="1">IFERROR(IF(LEN((INDIRECT(Свёртка_Чувствительность_2[[#This Row],[ССВ_2_1]],FALSE)))=0,"ошибка",IFERROR(INDIRECT(Свёртка_Чувствительность_2[[#This Row],[ССВ_2_1]],FALSE),"ошибка")),"ошибка")</f>
        <v>ошибка</v>
      </c>
      <c r="AD13"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Row],[ССвёртка]])))+AD$7),FIND("R",Свёртка_Чувствительность_2[[#This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Row],[ССвёртка]])))+AD$6),"ошибка")</f>
        <v>ошибка</v>
      </c>
      <c r="AE13" s="136" t="str">
        <f ca="1">IFERROR(IF(LEN((INDIRECT(Свёртка_Чувствительность_2[[#This Row],[ССВ_1_2]],FALSE)))=0,"ошибка",IFERROR(INDIRECT(Свёртка_Чувствительность_2[[#This Row],[ССВ_1_2]],FALSE),"ошибка")),"ошибка")</f>
        <v>ошибка</v>
      </c>
      <c r="AF13"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Row],[ССвёртка]])))+AF$7),FIND("R",Свёртка_Чувствительность_2[[#This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Row],[ССвёртка]])))+AF$6),"ошибка")</f>
        <v>ошибка</v>
      </c>
      <c r="AG13" s="136" t="str">
        <f ca="1">IFERROR(IF(LEN((INDIRECT(Свёртка_Чувствительность_2[[#This Row],[ССВ_2_2]],FALSE)))=0,"ошибка",IFERROR(INDIRECT(Свёртка_Чувствительность_2[[#This Row],[ССВ_2_2]],FALSE),"ошибка")),"ошибка")</f>
        <v>ошибка</v>
      </c>
      <c r="AH13"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Row],[ССвёртка]])))+AH$7),FIND("R",Свёртка_Чувствительность_2[[#This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Row],[ССвёртка]])))+AH$6),"ошибка")</f>
        <v>ошибка</v>
      </c>
      <c r="AI13" s="136" t="str">
        <f ca="1">IFERROR(IF(LEN((INDIRECT(Свёртка_Чувствительность_2[[#This Row],[ССВ_3_1]],FALSE)))=0,"ошибка",IFERROR(INDIRECT(Свёртка_Чувствительность_2[[#This Row],[ССВ_3_1]],FALSE),"ошибка")),"ошибка")</f>
        <v>ошибка</v>
      </c>
      <c r="AJ13"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Row],[ССвёртка]])))+AJ$7),FIND("R",Свёртка_Чувствительность_2[[#This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Row],[ССвёртка]])))+AJ$6),"ошибка")</f>
        <v>ошибка</v>
      </c>
      <c r="AK13" s="136" t="str">
        <f ca="1">IFERROR(IF(LEN((INDIRECT(Свёртка_Чувствительность_2[[#This Row],[ССВ_1_3]],FALSE)))=0,"ошибка",IFERROR(INDIRECT(Свёртка_Чувствительность_2[[#This Row],[ССВ_1_3]],FALSE),"ошибка")),"ошибка")</f>
        <v>ошибка</v>
      </c>
      <c r="AL13"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Row],[ССвёртка]])))+AL$7),FIND("R",Свёртка_Чувствительность_2[[#This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Row],[ССвёртка]])))+AL$6),"ошибка")</f>
        <v>ошибка</v>
      </c>
      <c r="AM13" s="136" t="str">
        <f ca="1">IFERROR(IF(LEN((INDIRECT(Свёртка_Чувствительность_2[[#This Row],[ССВ_3_2]],FALSE)))=0,"ошибка",IFERROR(INDIRECT(Свёртка_Чувствительность_2[[#This Row],[ССВ_3_2]],FALSE),"ошибка")),"ошибка")</f>
        <v>ошибка</v>
      </c>
      <c r="AN13"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Row],[ССвёртка]])))+AN$7),FIND("R",Свёртка_Чувствительность_2[[#This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Row],[ССвёртка]])))+AN$6),"ошибка")</f>
        <v>ошибка</v>
      </c>
      <c r="AO13" s="136" t="str">
        <f ca="1">IFERROR(IF(LEN((INDIRECT(Свёртка_Чувствительность_2[[#This Row],[ССВ_2_3]],FALSE)))=0,"ошибка",IFERROR(INDIRECT(Свёртка_Чувствительность_2[[#This Row],[ССВ_2_3]],FALSE),"ошибка")),"ошибка")</f>
        <v>ошибка</v>
      </c>
      <c r="AP13"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Row],[ССвёртка]])))+AP$7),FIND("R",Свёртка_Чувствительность_2[[#This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Row],[ССвёртка]])))+AP$6),"ошибка")</f>
        <v>ошибка</v>
      </c>
      <c r="AQ13" s="136" t="str">
        <f ca="1">IFERROR(IF(LEN((INDIRECT(Свёртка_Чувствительность_2[[#This Row],[ССВ_3_3]],FALSE)))=0,"ошибка",IFERROR(INDIRECT(Свёртка_Чувствительность_2[[#This Row],[ССВ_3_3]],FALSE),"ошибка")),"ошибка")</f>
        <v>ошибка</v>
      </c>
      <c r="AR13"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Row],[ССвёртка]])))+AR$7),FIND("R",Свёртка_Чувствительность_2[[#This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Row],[ССвёртка]])))+AR$6),"ошибка")</f>
        <v>ошибка</v>
      </c>
      <c r="AS13" s="135" t="str">
        <f ca="1">IFERROR(IF(LEN((INDIRECT(Свёртка_Чувствительность_2[[#This Row],[СЛ]],FALSE)))=0,"ошибка",IFERROR(INDIRECT(Свёртка_Чувствительность_2[[#This Row],[СЛ]],FALSE),"ошибка")),"ошибка")</f>
        <v>ошибка</v>
      </c>
      <c r="AT13"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Row],[ССвёртка]])))+AT$7),FIND("R",Свёртка_Чувствительность_2[[#This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Row],[ССвёртка]])))+AT$6),"ошибка")</f>
        <v>ошибка</v>
      </c>
      <c r="AU13" s="135" t="str">
        <f ca="1">IFERROR(_xlfn.FORMULATEXT(INDIRECT(Свёртка_Чувствительность_2[[#This Row],[СЛ]],FALSE)),"ошибка")</f>
        <v>ошибка</v>
      </c>
      <c r="AV13" s="135" t="str">
        <f ca="1">IFERROR(IF(LEN((INDIRECT(Свёртка_Чувствительность_2[[#This Row],[СП]],FALSE)))=0,"ошибка",IFERROR(INDIRECT(Свёртка_Чувствительность_2[[#This Row],[СП]],FALSE),"ошибка")),"ошибка")</f>
        <v>ошибка</v>
      </c>
      <c r="AW13"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Row],[ССвёртка]])))+AW$7),FIND("R",Свёртка_Чувствительность_2[[#This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Row],[ССвёртка]])))+AW$6),"ошибка")</f>
        <v>ошибка</v>
      </c>
      <c r="AX13" s="135" t="str">
        <f ca="1">IFERROR(_xlfn.FORMULATEXT(INDIRECT(Свёртка_Чувствительность_2[[#This Row],[СП]],FALSE)),"ошибка")</f>
        <v>ошибка</v>
      </c>
      <c r="AY13" s="66">
        <f ca="1">IF(AND(Свёртка_Чувствительность_2[[#This Row],[ВидСвёртка]]="Свёртка",CONCATENATE(LEFT(Свёртка_Чувствительность_2[[#This Row],[СВ_1_1]],1),LEFT(Свёртка_Чувствительность_2[[#This Row],[СВ_2_1]],1),LEFT(Свёртка_Чувствительность_2[[#This Row],[СВ_1_2]],1),LEFT(Свёртка_Чувствительность_2[[#This Row],[СВ_2_2]],1),LEFT(Свёртка_Чувствительность_2[[#This Row],[СВ_3_1]],1),LEFT(Свёртка_Чувствительность_2[[#This Row],[СВ_1_3]],1),LEFT(Свёртка_Чувствительность_2[[#This Row],[СВ_3_2]],1),LEFT(Свёртка_Чувствительность_2[[#This Row],[СВ_2_3]],1),LEFT(Свёртка_Чувствительность_2[[#This Row],[СВ_3_3]],1))="FFFFFFFFF",AND(Свёртка_Чувствительность_2[[#This Row],[Л]]&gt;=1,Свёртка_Чувствительность_2[[#This Row],[Л]]&lt;=4),AND(Свёртка_Чувствительность_2[[#This Row],[П]]&gt;=1,Свёртка_Чувствительность_2[[#This Row],[П]]&lt;=4)),1,-1)</f>
        <v>-1</v>
      </c>
      <c r="AZ13" s="66"/>
      <c r="BA13" s="66"/>
    </row>
    <row r="14" spans="1:93" x14ac:dyDescent="0.25">
      <c r="A14" s="66" t="e">
        <f ca="1">IF(AND(Критерий_Чувствительность_2[[#This Row],[Критерий]]&lt;&gt;"",Критерий_Чувствительность_2[[#This Row],[O.K.Критерий]]=1),ROW()-ROW(Критерий_Чувствительность_2[[#Headers],[№]]),"")</f>
        <v>#REF!</v>
      </c>
      <c r="B14" s="138" t="e">
        <f>Модель!#REF!</f>
        <v>#REF!</v>
      </c>
      <c r="C14" s="135" t="str">
        <f ca="1">IFERROR(IF(AND(Критерий_Чувствительность_2[[#This Row],[Критерий]]&gt;=1,Критерий_Чувствительность_2[[#This Row],[Критерий]]&lt;=4),IF(IFERROR(FIND("!",_xlfn.FORMULATEXT(Критерий_Чувствительность_2[[#This Row],[Критерий]])),"на странице")="на странице",CONCATENATE("R",ROW((INDIRECT(RIGHT(_xlfn.FORMULATEXT(Критерий_Чувствительность_2[[#This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Row],[Критерий]]))-1),FALSE)))-C$8),CONCATENATE(RIGHT(LEFT(_xlfn.FORMULATEXT(Критерий_Чувствительность_2[[#This Row],[Критерий]]),FIND("!",_xlfn.FORMULATEXT(Критерий_Чувствительность_2[[#This Row],[Критерий]]))),LEN(LEFT(_xlfn.FORMULATEXT(Критерий_Чувствительность_2[[#This Row],[Критерий]]),FIND("!",_xlfn.FORMULATEXT(Критерий_Чувствительность_2[[#This Row],[Критерий]]))))-1),"R",ROW((INDIRECT(RIGHT(_xlfn.FORMULATEXT(Критерий_Чувствительность_2[[#This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Row],[Критерий]]))-1),FALSE)))-C$8)),"ошибка"),"ошибка")</f>
        <v>ошибка</v>
      </c>
      <c r="D14" s="135" t="str">
        <f ca="1">IFERROR(IF(LEFT(Критерий_Чувствительность_2[[#This Row],[Фкритерий]],5)="=Прив","Критерий",IF(LEFT(Критерий_Чувствительность_2[[#This Row],[Фкритерий]],5)="=Матр","ошибка","ошибка")),"ошибка")</f>
        <v>ошибка</v>
      </c>
      <c r="E14" s="135" t="str">
        <f ca="1">IFERROR(IF(LEN((INDIRECT(Критерий_Чувствительность_2[[#This Row],[СНаименование]],FALSE)))=0,"ошибка",IFERROR(INDIRECT(Критерий_Чувствительность_2[[#This Row],[СНаименование]],FALSE),"ошибка")),"ошибка")</f>
        <v>ошибка</v>
      </c>
      <c r="F14"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Row],[Скритерий]])))+F$7),FIND("R",Критерий_Чувствительность_2[[#This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Row],[Скритерий]])))+F$6),"ошибка")</f>
        <v>ошибка</v>
      </c>
      <c r="G14" s="136" t="str">
        <f ca="1">IFERROR(IF(N(INDIRECT(Критерий_Чувствительность_2[[#This Row],[СФизКритерий]],FALSE))=0,"ошибка",IFERROR(INDIRECT(Критерий_Чувствительность_2[[#This Row],[СФизКритерий]],FALSE),"ошибка")),"ошибка")</f>
        <v>ошибка</v>
      </c>
      <c r="H14"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Row],[Скритерий]])))+H$7),FIND("R",Критерий_Чувствительность_2[[#This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Row],[Скритерий]])))+H$6),"ошибка")</f>
        <v>ошибка</v>
      </c>
      <c r="I14" s="135" t="str">
        <f ca="1">IFERROR(IF(OR(INDIRECT(Критерий_Чувствительность_2[[#This Row],[СТипКритерий]],FALSE)=Перебор!$N$58,INDIRECT(Критерий_Чувствительность_2[[#This Row],[СТипКритерий]],FALSE)=Перебор!$N$59,INDIRECT(Критерий_Чувствительность_2[[#This Row],[СТипКритерий]],FALSE)=Перебор!$N$60,INDIRECT(Критерий_Чувствительность_2[[#This Row],[СТипКритерий]],FALSE)=Перебор!$N$61),INDIRECT(Критерий_Чувствительность_2[[#This Row],[СТипКритерий]],FALSE),"ошибка"),"ошибка")</f>
        <v>ошибка</v>
      </c>
      <c r="J14"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Row],[Скритерий]])))+J$7),FIND("R",Критерий_Чувствительность_2[[#This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Row],[Скритерий]])))+J$6),"ошибка")</f>
        <v>ошибка</v>
      </c>
      <c r="K14" s="135" t="str">
        <f ca="1">IFERROR(_xlfn.FORMULATEXT(INDIRECT(Критерий_Чувствительность_2[[#This Row],[Скритерий]],FALSE)),"ошибка")</f>
        <v>ошибка</v>
      </c>
      <c r="L14" s="136" t="str">
        <f ca="1">IFERROR(IF(N(INDIRECT(Критерий_Чувствительность_2[[#This Row],[СМинФизКритерий]],FALSE))="","ошибка",IFERROR(INDIRECT(Критерий_Чувствительность_2[[#This Row],[СМинФизКритерий]],FALSE),"ошибка")),"ошибка")</f>
        <v>ошибка</v>
      </c>
      <c r="M14"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Row],[Скритерий]])))+M$7),FIND("R",Критерий_Чувствительность_2[[#This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Row],[Скритерий]])))+M$6),"ошибка")</f>
        <v>ошибка</v>
      </c>
      <c r="N14" s="136" t="str">
        <f ca="1">IFERROR(IF(N(INDIRECT(Критерий_Чувствительность_2[[#This Row],[СМаксФизКритерий]],FALSE))="","ошибка",IFERROR(INDIRECT(Критерий_Чувствительность_2[[#This Row],[СМаксФизКритерий]],FALSE),"ошибка")),"ошибка")</f>
        <v>ошибка</v>
      </c>
      <c r="O14"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Row],[Скритерий]])))+O$7),FIND("R",Критерий_Чувствительность_2[[#This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Row],[Скритерий]])))+O$6),"ошибка")</f>
        <v>ошибка</v>
      </c>
      <c r="P14" s="136" t="str">
        <f ca="1">IFERROR(IF(N(INDIRECT(Критерий_Чувствительность_2[[#This Row],[ССрФизКритерий]],FALSE))=0,"ошибка",IFERROR(INDIRECT(Критерий_Чувствительность_2[[#This Row],[ССрФизКритерий]],FALSE),"ошибка")),"")</f>
        <v/>
      </c>
      <c r="Q14" s="135" t="str">
        <f ca="1">IF(OR(Критерий_Чувствительность_2[[#This Row],[ТипКритерий]]=Перебор!$N$60,Критерий_Чувствительность_2[[#This Row],[ТипКритерий]]=Перебор!$N$61),IFERROR(REPLACE(REPLACE(Критерий_Чувствительность_2[[#This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Row],[Скритерий]])))+Q$7),FIND("R",Критерий_Чувствительность_2[[#This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Row],[Скритерий]])))+Q$6),"ошибка"),"")</f>
        <v/>
      </c>
      <c r="R14" s="66">
        <f ca="1">IFERROR(IF(AND(Критерий_Чувствительность_2[[#This Row],[ВидКритерий]]="Критерий",Критерий_Чувствительность_2[[#This Row],[Фкритерий]]="=Приведение"),1,-1),-1)</f>
        <v>-1</v>
      </c>
      <c r="T14" s="66" t="e">
        <f ca="1">IF(AND(Свёртка_Чувствительность_2[[#This Row],[Свёртка]]&lt;&gt;"",Свёртка_Чувствительность_2[[#This Row],[O.K.Свёртка]]=1),ROW()-ROW(Свёртка_Чувствительность_2[[#Headers],[№]]),"")</f>
        <v>#REF!</v>
      </c>
      <c r="U14" s="137" t="e">
        <f>Модель!#REF!</f>
        <v>#REF!</v>
      </c>
      <c r="V14" s="135" t="str">
        <f ca="1">IFERROR(IF(AND(Свёртка_Чувствительность_2[[#This Row],[Свёртка]]&gt;=1,Свёртка_Чувствительность_2[[#This Row],[Свёртка]]&lt;=4),IF(IFERROR(FIND("!",_xlfn.FORMULATEXT(Свёртка_Чувствительность_2[[#This Row],[Свёртка]])),"на странице")="на странице",CONCATENATE("R",ROW((INDIRECT(RIGHT(_xlfn.FORMULATEXT(Свёртка_Чувствительность_2[[#This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Row],[Свёртка]]))-1),FALSE)))-V$6),CONCATENATE(RIGHT(LEFT(_xlfn.FORMULATEXT(Свёртка_Чувствительность_2[[#This Row],[Свёртка]]),FIND("!",_xlfn.FORMULATEXT(Свёртка_Чувствительность_2[[#This Row],[Свёртка]]))),LEN(LEFT(_xlfn.FORMULATEXT(Свёртка_Чувствительность_2[[#This Row],[Свёртка]]),FIND("!",_xlfn.FORMULATEXT(Свёртка_Чувствительность_2[[#This Row],[Свёртка]]))))-1),"R",ROW((INDIRECT(RIGHT(_xlfn.FORMULATEXT(Свёртка_Чувствительность_2[[#This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Row],[Свёртка]]))-1),FALSE)))-V$6)),"ошибка"),"ошибка")</f>
        <v>ошибка</v>
      </c>
      <c r="W14" s="135" t="str">
        <f ca="1">IFERROR(_xlfn.FORMULATEXT(INDIRECT(Свёртка_Чувствительность_2[[#This Row],[ССвёртка]],FALSE)),"ошибка")</f>
        <v>ошибка</v>
      </c>
      <c r="X14" s="135" t="str">
        <f ca="1">IFERROR(IF(LEFT(Свёртка_Чувствительность_2[[#This Row],[ФСвёртка]],5)="=Прив","ошибка",IF(LEFT(Свёртка_Чувствительность_2[[#This Row],[ФСвёртка]],5)="=Матр","Свёртка","ошибка")),"ошибка")</f>
        <v>ошибка</v>
      </c>
      <c r="Y14" s="135" t="str">
        <f ca="1">IFERROR(IF(LEN((INDIRECT(Свёртка_Чувствительность_2[[#This Row],[СНаименование]],FALSE)))=0,"ошибка",IFERROR(INDIRECT(Свёртка_Чувствительность_2[[#This Row],[СНаименование]],FALSE),"ошибка")),"ошибка")</f>
        <v>ошибка</v>
      </c>
      <c r="Z14"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Row],[ССвёртка]])))+Z$7),FIND("R",Свёртка_Чувствительность_2[[#This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Row],[ССвёртка]])))+Z$6),"ошибка")</f>
        <v>ошибка</v>
      </c>
      <c r="AA14" s="136" t="str">
        <f ca="1">IFERROR(IF(LEN((INDIRECT(Свёртка_Чувствительность_2[[#This Row],[ССВ_1_1]],FALSE)))=0,"ошибка",IFERROR(INDIRECT(Свёртка_Чувствительность_2[[#This Row],[ССВ_1_1]],FALSE),"ошибка")),"ошибка")</f>
        <v>ошибка</v>
      </c>
      <c r="AB14"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Row],[ССвёртка]])))+AB$7),FIND("R",Свёртка_Чувствительность_2[[#This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Row],[ССвёртка]])))+AB$6),"ошибка")</f>
        <v>ошибка</v>
      </c>
      <c r="AC14" s="136" t="str">
        <f ca="1">IFERROR(IF(LEN((INDIRECT(Свёртка_Чувствительность_2[[#This Row],[ССВ_2_1]],FALSE)))=0,"ошибка",IFERROR(INDIRECT(Свёртка_Чувствительность_2[[#This Row],[ССВ_2_1]],FALSE),"ошибка")),"ошибка")</f>
        <v>ошибка</v>
      </c>
      <c r="AD14"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Row],[ССвёртка]])))+AD$7),FIND("R",Свёртка_Чувствительность_2[[#This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Row],[ССвёртка]])))+AD$6),"ошибка")</f>
        <v>ошибка</v>
      </c>
      <c r="AE14" s="136" t="str">
        <f ca="1">IFERROR(IF(LEN((INDIRECT(Свёртка_Чувствительность_2[[#This Row],[ССВ_1_2]],FALSE)))=0,"ошибка",IFERROR(INDIRECT(Свёртка_Чувствительность_2[[#This Row],[ССВ_1_2]],FALSE),"ошибка")),"ошибка")</f>
        <v>ошибка</v>
      </c>
      <c r="AF14"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Row],[ССвёртка]])))+AF$7),FIND("R",Свёртка_Чувствительность_2[[#This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Row],[ССвёртка]])))+AF$6),"ошибка")</f>
        <v>ошибка</v>
      </c>
      <c r="AG14" s="136" t="str">
        <f ca="1">IFERROR(IF(LEN((INDIRECT(Свёртка_Чувствительность_2[[#This Row],[ССВ_2_2]],FALSE)))=0,"ошибка",IFERROR(INDIRECT(Свёртка_Чувствительность_2[[#This Row],[ССВ_2_2]],FALSE),"ошибка")),"ошибка")</f>
        <v>ошибка</v>
      </c>
      <c r="AH14"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Row],[ССвёртка]])))+AH$7),FIND("R",Свёртка_Чувствительность_2[[#This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Row],[ССвёртка]])))+AH$6),"ошибка")</f>
        <v>ошибка</v>
      </c>
      <c r="AI14" s="136" t="str">
        <f ca="1">IFERROR(IF(LEN((INDIRECT(Свёртка_Чувствительность_2[[#This Row],[ССВ_3_1]],FALSE)))=0,"ошибка",IFERROR(INDIRECT(Свёртка_Чувствительность_2[[#This Row],[ССВ_3_1]],FALSE),"ошибка")),"ошибка")</f>
        <v>ошибка</v>
      </c>
      <c r="AJ14"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Row],[ССвёртка]])))+AJ$7),FIND("R",Свёртка_Чувствительность_2[[#This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Row],[ССвёртка]])))+AJ$6),"ошибка")</f>
        <v>ошибка</v>
      </c>
      <c r="AK14" s="136" t="str">
        <f ca="1">IFERROR(IF(LEN((INDIRECT(Свёртка_Чувствительность_2[[#This Row],[ССВ_1_3]],FALSE)))=0,"ошибка",IFERROR(INDIRECT(Свёртка_Чувствительность_2[[#This Row],[ССВ_1_3]],FALSE),"ошибка")),"ошибка")</f>
        <v>ошибка</v>
      </c>
      <c r="AL14"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Row],[ССвёртка]])))+AL$7),FIND("R",Свёртка_Чувствительность_2[[#This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Row],[ССвёртка]])))+AL$6),"ошибка")</f>
        <v>ошибка</v>
      </c>
      <c r="AM14" s="136" t="str">
        <f ca="1">IFERROR(IF(LEN((INDIRECT(Свёртка_Чувствительность_2[[#This Row],[ССВ_3_2]],FALSE)))=0,"ошибка",IFERROR(INDIRECT(Свёртка_Чувствительность_2[[#This Row],[ССВ_3_2]],FALSE),"ошибка")),"ошибка")</f>
        <v>ошибка</v>
      </c>
      <c r="AN14"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Row],[ССвёртка]])))+AN$7),FIND("R",Свёртка_Чувствительность_2[[#This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Row],[ССвёртка]])))+AN$6),"ошибка")</f>
        <v>ошибка</v>
      </c>
      <c r="AO14" s="136" t="str">
        <f ca="1">IFERROR(IF(LEN((INDIRECT(Свёртка_Чувствительность_2[[#This Row],[ССВ_2_3]],FALSE)))=0,"ошибка",IFERROR(INDIRECT(Свёртка_Чувствительность_2[[#This Row],[ССВ_2_3]],FALSE),"ошибка")),"ошибка")</f>
        <v>ошибка</v>
      </c>
      <c r="AP14"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Row],[ССвёртка]])))+AP$7),FIND("R",Свёртка_Чувствительность_2[[#This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Row],[ССвёртка]])))+AP$6),"ошибка")</f>
        <v>ошибка</v>
      </c>
      <c r="AQ14" s="136" t="str">
        <f ca="1">IFERROR(IF(LEN((INDIRECT(Свёртка_Чувствительность_2[[#This Row],[ССВ_3_3]],FALSE)))=0,"ошибка",IFERROR(INDIRECT(Свёртка_Чувствительность_2[[#This Row],[ССВ_3_3]],FALSE),"ошибка")),"ошибка")</f>
        <v>ошибка</v>
      </c>
      <c r="AR14"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Row],[ССвёртка]])))+AR$7),FIND("R",Свёртка_Чувствительность_2[[#This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Row],[ССвёртка]])))+AR$6),"ошибка")</f>
        <v>ошибка</v>
      </c>
      <c r="AS14" s="135" t="str">
        <f ca="1">IFERROR(IF(LEN((INDIRECT(Свёртка_Чувствительность_2[[#This Row],[СЛ]],FALSE)))=0,"ошибка",IFERROR(INDIRECT(Свёртка_Чувствительность_2[[#This Row],[СЛ]],FALSE),"ошибка")),"ошибка")</f>
        <v>ошибка</v>
      </c>
      <c r="AT14"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Row],[ССвёртка]])))+AT$7),FIND("R",Свёртка_Чувствительность_2[[#This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Row],[ССвёртка]])))+AT$6),"ошибка")</f>
        <v>ошибка</v>
      </c>
      <c r="AU14" s="135" t="str">
        <f ca="1">IFERROR(_xlfn.FORMULATEXT(INDIRECT(Свёртка_Чувствительность_2[[#This Row],[СЛ]],FALSE)),"ошибка")</f>
        <v>ошибка</v>
      </c>
      <c r="AV14" s="135" t="str">
        <f ca="1">IFERROR(IF(LEN((INDIRECT(Свёртка_Чувствительность_2[[#This Row],[СП]],FALSE)))=0,"ошибка",IFERROR(INDIRECT(Свёртка_Чувствительность_2[[#This Row],[СП]],FALSE),"ошибка")),"ошибка")</f>
        <v>ошибка</v>
      </c>
      <c r="AW14"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Row],[ССвёртка]])))+AW$7),FIND("R",Свёртка_Чувствительность_2[[#This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Row],[ССвёртка]])))+AW$6),"ошибка")</f>
        <v>ошибка</v>
      </c>
      <c r="AX14" s="135" t="str">
        <f ca="1">IFERROR(_xlfn.FORMULATEXT(INDIRECT(Свёртка_Чувствительность_2[[#This Row],[СП]],FALSE)),"ошибка")</f>
        <v>ошибка</v>
      </c>
      <c r="AY14" s="66">
        <f ca="1">IF(AND(Свёртка_Чувствительность_2[[#This Row],[ВидСвёртка]]="Свёртка",CONCATENATE(LEFT(Свёртка_Чувствительность_2[[#This Row],[СВ_1_1]],1),LEFT(Свёртка_Чувствительность_2[[#This Row],[СВ_2_1]],1),LEFT(Свёртка_Чувствительность_2[[#This Row],[СВ_1_2]],1),LEFT(Свёртка_Чувствительность_2[[#This Row],[СВ_2_2]],1),LEFT(Свёртка_Чувствительность_2[[#This Row],[СВ_3_1]],1),LEFT(Свёртка_Чувствительность_2[[#This Row],[СВ_1_3]],1),LEFT(Свёртка_Чувствительность_2[[#This Row],[СВ_3_2]],1),LEFT(Свёртка_Чувствительность_2[[#This Row],[СВ_2_3]],1),LEFT(Свёртка_Чувствительность_2[[#This Row],[СВ_3_3]],1))="FFFFFFFFF",AND(Свёртка_Чувствительность_2[[#This Row],[Л]]&gt;=1,Свёртка_Чувствительность_2[[#This Row],[Л]]&lt;=4),AND(Свёртка_Чувствительность_2[[#This Row],[П]]&gt;=1,Свёртка_Чувствительность_2[[#This Row],[П]]&lt;=4)),1,-1)</f>
        <v>-1</v>
      </c>
      <c r="AZ14" s="66"/>
      <c r="BA14" s="66"/>
    </row>
    <row r="15" spans="1:93" x14ac:dyDescent="0.25">
      <c r="A15" s="66" t="e">
        <f ca="1">IF(AND(Критерий_Чувствительность_2[[#This Row],[Критерий]]&lt;&gt;"",Критерий_Чувствительность_2[[#This Row],[O.K.Критерий]]=1),ROW()-ROW(Критерий_Чувствительность_2[[#Headers],[№]]),"")</f>
        <v>#REF!</v>
      </c>
      <c r="B15" s="138" t="e">
        <f>Модель!#REF!</f>
        <v>#REF!</v>
      </c>
      <c r="C15" s="135" t="str">
        <f ca="1">IFERROR(IF(AND(Критерий_Чувствительность_2[[#This Row],[Критерий]]&gt;=1,Критерий_Чувствительность_2[[#This Row],[Критерий]]&lt;=4),IF(IFERROR(FIND("!",_xlfn.FORMULATEXT(Критерий_Чувствительность_2[[#This Row],[Критерий]])),"на странице")="на странице",CONCATENATE("R",ROW((INDIRECT(RIGHT(_xlfn.FORMULATEXT(Критерий_Чувствительность_2[[#This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Row],[Критерий]]))-1),FALSE)))-C$8),CONCATENATE(RIGHT(LEFT(_xlfn.FORMULATEXT(Критерий_Чувствительность_2[[#This Row],[Критерий]]),FIND("!",_xlfn.FORMULATEXT(Критерий_Чувствительность_2[[#This Row],[Критерий]]))),LEN(LEFT(_xlfn.FORMULATEXT(Критерий_Чувствительность_2[[#This Row],[Критерий]]),FIND("!",_xlfn.FORMULATEXT(Критерий_Чувствительность_2[[#This Row],[Критерий]]))))-1),"R",ROW((INDIRECT(RIGHT(_xlfn.FORMULATEXT(Критерий_Чувствительность_2[[#This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Row],[Критерий]]))-1),FALSE)))-C$8)),"ошибка"),"ошибка")</f>
        <v>ошибка</v>
      </c>
      <c r="D15" s="135" t="str">
        <f ca="1">IFERROR(IF(LEFT(Критерий_Чувствительность_2[[#This Row],[Фкритерий]],5)="=Прив","Критерий",IF(LEFT(Критерий_Чувствительность_2[[#This Row],[Фкритерий]],5)="=Матр","ошибка","ошибка")),"ошибка")</f>
        <v>ошибка</v>
      </c>
      <c r="E15" s="135" t="str">
        <f ca="1">IFERROR(IF(LEN((INDIRECT(Критерий_Чувствительность_2[[#This Row],[СНаименование]],FALSE)))=0,"ошибка",IFERROR(INDIRECT(Критерий_Чувствительность_2[[#This Row],[СНаименование]],FALSE),"ошибка")),"ошибка")</f>
        <v>ошибка</v>
      </c>
      <c r="F15"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Row],[Скритерий]])))+F$7),FIND("R",Критерий_Чувствительность_2[[#This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Row],[Скритерий]])))+F$6),"ошибка")</f>
        <v>ошибка</v>
      </c>
      <c r="G15" s="136" t="str">
        <f ca="1">IFERROR(IF(N(INDIRECT(Критерий_Чувствительность_2[[#This Row],[СФизКритерий]],FALSE))=0,"ошибка",IFERROR(INDIRECT(Критерий_Чувствительность_2[[#This Row],[СФизКритерий]],FALSE),"ошибка")),"ошибка")</f>
        <v>ошибка</v>
      </c>
      <c r="H15"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Row],[Скритерий]])))+H$7),FIND("R",Критерий_Чувствительность_2[[#This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Row],[Скритерий]])))+H$6),"ошибка")</f>
        <v>ошибка</v>
      </c>
      <c r="I15" s="135" t="str">
        <f ca="1">IFERROR(IF(OR(INDIRECT(Критерий_Чувствительность_2[[#This Row],[СТипКритерий]],FALSE)=Перебор!$N$58,INDIRECT(Критерий_Чувствительность_2[[#This Row],[СТипКритерий]],FALSE)=Перебор!$N$59,INDIRECT(Критерий_Чувствительность_2[[#This Row],[СТипКритерий]],FALSE)=Перебор!$N$60,INDIRECT(Критерий_Чувствительность_2[[#This Row],[СТипКритерий]],FALSE)=Перебор!$N$61),INDIRECT(Критерий_Чувствительность_2[[#This Row],[СТипКритерий]],FALSE),"ошибка"),"ошибка")</f>
        <v>ошибка</v>
      </c>
      <c r="J15"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Row],[Скритерий]])))+J$7),FIND("R",Критерий_Чувствительность_2[[#This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Row],[Скритерий]])))+J$6),"ошибка")</f>
        <v>ошибка</v>
      </c>
      <c r="K15" s="135" t="str">
        <f ca="1">IFERROR(_xlfn.FORMULATEXT(INDIRECT(Критерий_Чувствительность_2[[#This Row],[Скритерий]],FALSE)),"ошибка")</f>
        <v>ошибка</v>
      </c>
      <c r="L15" s="136" t="str">
        <f ca="1">IFERROR(IF(N(INDIRECT(Критерий_Чувствительность_2[[#This Row],[СМинФизКритерий]],FALSE))="","ошибка",IFERROR(INDIRECT(Критерий_Чувствительность_2[[#This Row],[СМинФизКритерий]],FALSE),"ошибка")),"ошибка")</f>
        <v>ошибка</v>
      </c>
      <c r="M15"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Row],[Скритерий]])))+M$7),FIND("R",Критерий_Чувствительность_2[[#This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Row],[Скритерий]])))+M$6),"ошибка")</f>
        <v>ошибка</v>
      </c>
      <c r="N15" s="136" t="str">
        <f ca="1">IFERROR(IF(N(INDIRECT(Критерий_Чувствительность_2[[#This Row],[СМаксФизКритерий]],FALSE))="","ошибка",IFERROR(INDIRECT(Критерий_Чувствительность_2[[#This Row],[СМаксФизКритерий]],FALSE),"ошибка")),"ошибка")</f>
        <v>ошибка</v>
      </c>
      <c r="O15"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Row],[Скритерий]])))+O$7),FIND("R",Критерий_Чувствительность_2[[#This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Row],[Скритерий]])))+O$6),"ошибка")</f>
        <v>ошибка</v>
      </c>
      <c r="P15" s="136" t="str">
        <f ca="1">IFERROR(IF(N(INDIRECT(Критерий_Чувствительность_2[[#This Row],[ССрФизКритерий]],FALSE))=0,"ошибка",IFERROR(INDIRECT(Критерий_Чувствительность_2[[#This Row],[ССрФизКритерий]],FALSE),"ошибка")),"")</f>
        <v/>
      </c>
      <c r="Q15" s="135" t="str">
        <f ca="1">IF(OR(Критерий_Чувствительность_2[[#This Row],[ТипКритерий]]=Перебор!$N$60,Критерий_Чувствительность_2[[#This Row],[ТипКритерий]]=Перебор!$N$61),IFERROR(REPLACE(REPLACE(Критерий_Чувствительность_2[[#This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Row],[Скритерий]])))+Q$7),FIND("R",Критерий_Чувствительность_2[[#This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Row],[Скритерий]])))+Q$6),"ошибка"),"")</f>
        <v/>
      </c>
      <c r="R15" s="66">
        <f ca="1">IFERROR(IF(AND(Критерий_Чувствительность_2[[#This Row],[ВидКритерий]]="Критерий",Критерий_Чувствительность_2[[#This Row],[Фкритерий]]="=Приведение"),1,-1),-1)</f>
        <v>-1</v>
      </c>
      <c r="T15" s="66" t="e">
        <f ca="1">IF(AND(Свёртка_Чувствительность_2[[#This Row],[Свёртка]]&lt;&gt;"",Свёртка_Чувствительность_2[[#This Row],[O.K.Свёртка]]=1),ROW()-ROW(Свёртка_Чувствительность_2[[#Headers],[№]]),"")</f>
        <v>#REF!</v>
      </c>
      <c r="U15" s="137" t="e">
        <f>Модель!#REF!</f>
        <v>#REF!</v>
      </c>
      <c r="V15" s="135" t="str">
        <f ca="1">IFERROR(IF(AND(Свёртка_Чувствительность_2[[#This Row],[Свёртка]]&gt;=1,Свёртка_Чувствительность_2[[#This Row],[Свёртка]]&lt;=4),IF(IFERROR(FIND("!",_xlfn.FORMULATEXT(Свёртка_Чувствительность_2[[#This Row],[Свёртка]])),"на странице")="на странице",CONCATENATE("R",ROW((INDIRECT(RIGHT(_xlfn.FORMULATEXT(Свёртка_Чувствительность_2[[#This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Row],[Свёртка]]))-1),FALSE)))-V$6),CONCATENATE(RIGHT(LEFT(_xlfn.FORMULATEXT(Свёртка_Чувствительность_2[[#This Row],[Свёртка]]),FIND("!",_xlfn.FORMULATEXT(Свёртка_Чувствительность_2[[#This Row],[Свёртка]]))),LEN(LEFT(_xlfn.FORMULATEXT(Свёртка_Чувствительность_2[[#This Row],[Свёртка]]),FIND("!",_xlfn.FORMULATEXT(Свёртка_Чувствительность_2[[#This Row],[Свёртка]]))))-1),"R",ROW((INDIRECT(RIGHT(_xlfn.FORMULATEXT(Свёртка_Чувствительность_2[[#This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Row],[Свёртка]]))-1),FALSE)))-V$6)),"ошибка"),"ошибка")</f>
        <v>ошибка</v>
      </c>
      <c r="W15" s="135" t="str">
        <f ca="1">IFERROR(_xlfn.FORMULATEXT(INDIRECT(Свёртка_Чувствительность_2[[#This Row],[ССвёртка]],FALSE)),"ошибка")</f>
        <v>ошибка</v>
      </c>
      <c r="X15" s="135" t="str">
        <f ca="1">IFERROR(IF(LEFT(Свёртка_Чувствительность_2[[#This Row],[ФСвёртка]],5)="=Прив","ошибка",IF(LEFT(Свёртка_Чувствительность_2[[#This Row],[ФСвёртка]],5)="=Матр","Свёртка","ошибка")),"ошибка")</f>
        <v>ошибка</v>
      </c>
      <c r="Y15" s="135" t="str">
        <f ca="1">IFERROR(IF(LEN((INDIRECT(Свёртка_Чувствительность_2[[#This Row],[СНаименование]],FALSE)))=0,"ошибка",IFERROR(INDIRECT(Свёртка_Чувствительность_2[[#This Row],[СНаименование]],FALSE),"ошибка")),"ошибка")</f>
        <v>ошибка</v>
      </c>
      <c r="Z15"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Row],[ССвёртка]])))+Z$7),FIND("R",Свёртка_Чувствительность_2[[#This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Row],[ССвёртка]])))+Z$6),"ошибка")</f>
        <v>ошибка</v>
      </c>
      <c r="AA15" s="136" t="str">
        <f ca="1">IFERROR(IF(LEN((INDIRECT(Свёртка_Чувствительность_2[[#This Row],[ССВ_1_1]],FALSE)))=0,"ошибка",IFERROR(INDIRECT(Свёртка_Чувствительность_2[[#This Row],[ССВ_1_1]],FALSE),"ошибка")),"ошибка")</f>
        <v>ошибка</v>
      </c>
      <c r="AB15"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Row],[ССвёртка]])))+AB$7),FIND("R",Свёртка_Чувствительность_2[[#This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Row],[ССвёртка]])))+AB$6),"ошибка")</f>
        <v>ошибка</v>
      </c>
      <c r="AC15" s="136" t="str">
        <f ca="1">IFERROR(IF(LEN((INDIRECT(Свёртка_Чувствительность_2[[#This Row],[ССВ_2_1]],FALSE)))=0,"ошибка",IFERROR(INDIRECT(Свёртка_Чувствительность_2[[#This Row],[ССВ_2_1]],FALSE),"ошибка")),"ошибка")</f>
        <v>ошибка</v>
      </c>
      <c r="AD15"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Row],[ССвёртка]])))+AD$7),FIND("R",Свёртка_Чувствительность_2[[#This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Row],[ССвёртка]])))+AD$6),"ошибка")</f>
        <v>ошибка</v>
      </c>
      <c r="AE15" s="136" t="str">
        <f ca="1">IFERROR(IF(LEN((INDIRECT(Свёртка_Чувствительность_2[[#This Row],[ССВ_1_2]],FALSE)))=0,"ошибка",IFERROR(INDIRECT(Свёртка_Чувствительность_2[[#This Row],[ССВ_1_2]],FALSE),"ошибка")),"ошибка")</f>
        <v>ошибка</v>
      </c>
      <c r="AF15"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Row],[ССвёртка]])))+AF$7),FIND("R",Свёртка_Чувствительность_2[[#This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Row],[ССвёртка]])))+AF$6),"ошибка")</f>
        <v>ошибка</v>
      </c>
      <c r="AG15" s="136" t="str">
        <f ca="1">IFERROR(IF(LEN((INDIRECT(Свёртка_Чувствительность_2[[#This Row],[ССВ_2_2]],FALSE)))=0,"ошибка",IFERROR(INDIRECT(Свёртка_Чувствительность_2[[#This Row],[ССВ_2_2]],FALSE),"ошибка")),"ошибка")</f>
        <v>ошибка</v>
      </c>
      <c r="AH15"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Row],[ССвёртка]])))+AH$7),FIND("R",Свёртка_Чувствительность_2[[#This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Row],[ССвёртка]])))+AH$6),"ошибка")</f>
        <v>ошибка</v>
      </c>
      <c r="AI15" s="136" t="str">
        <f ca="1">IFERROR(IF(LEN((INDIRECT(Свёртка_Чувствительность_2[[#This Row],[ССВ_3_1]],FALSE)))=0,"ошибка",IFERROR(INDIRECT(Свёртка_Чувствительность_2[[#This Row],[ССВ_3_1]],FALSE),"ошибка")),"ошибка")</f>
        <v>ошибка</v>
      </c>
      <c r="AJ15"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Row],[ССвёртка]])))+AJ$7),FIND("R",Свёртка_Чувствительность_2[[#This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Row],[ССвёртка]])))+AJ$6),"ошибка")</f>
        <v>ошибка</v>
      </c>
      <c r="AK15" s="136" t="str">
        <f ca="1">IFERROR(IF(LEN((INDIRECT(Свёртка_Чувствительность_2[[#This Row],[ССВ_1_3]],FALSE)))=0,"ошибка",IFERROR(INDIRECT(Свёртка_Чувствительность_2[[#This Row],[ССВ_1_3]],FALSE),"ошибка")),"ошибка")</f>
        <v>ошибка</v>
      </c>
      <c r="AL15"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Row],[ССвёртка]])))+AL$7),FIND("R",Свёртка_Чувствительность_2[[#This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Row],[ССвёртка]])))+AL$6),"ошибка")</f>
        <v>ошибка</v>
      </c>
      <c r="AM15" s="136" t="str">
        <f ca="1">IFERROR(IF(LEN((INDIRECT(Свёртка_Чувствительность_2[[#This Row],[ССВ_3_2]],FALSE)))=0,"ошибка",IFERROR(INDIRECT(Свёртка_Чувствительность_2[[#This Row],[ССВ_3_2]],FALSE),"ошибка")),"ошибка")</f>
        <v>ошибка</v>
      </c>
      <c r="AN15"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Row],[ССвёртка]])))+AN$7),FIND("R",Свёртка_Чувствительность_2[[#This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Row],[ССвёртка]])))+AN$6),"ошибка")</f>
        <v>ошибка</v>
      </c>
      <c r="AO15" s="136" t="str">
        <f ca="1">IFERROR(IF(LEN((INDIRECT(Свёртка_Чувствительность_2[[#This Row],[ССВ_2_3]],FALSE)))=0,"ошибка",IFERROR(INDIRECT(Свёртка_Чувствительность_2[[#This Row],[ССВ_2_3]],FALSE),"ошибка")),"ошибка")</f>
        <v>ошибка</v>
      </c>
      <c r="AP15"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Row],[ССвёртка]])))+AP$7),FIND("R",Свёртка_Чувствительность_2[[#This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Row],[ССвёртка]])))+AP$6),"ошибка")</f>
        <v>ошибка</v>
      </c>
      <c r="AQ15" s="136" t="str">
        <f ca="1">IFERROR(IF(LEN((INDIRECT(Свёртка_Чувствительность_2[[#This Row],[ССВ_3_3]],FALSE)))=0,"ошибка",IFERROR(INDIRECT(Свёртка_Чувствительность_2[[#This Row],[ССВ_3_3]],FALSE),"ошибка")),"ошибка")</f>
        <v>ошибка</v>
      </c>
      <c r="AR15"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Row],[ССвёртка]])))+AR$7),FIND("R",Свёртка_Чувствительность_2[[#This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Row],[ССвёртка]])))+AR$6),"ошибка")</f>
        <v>ошибка</v>
      </c>
      <c r="AS15" s="135" t="str">
        <f ca="1">IFERROR(IF(LEN((INDIRECT(Свёртка_Чувствительность_2[[#This Row],[СЛ]],FALSE)))=0,"ошибка",IFERROR(INDIRECT(Свёртка_Чувствительность_2[[#This Row],[СЛ]],FALSE),"ошибка")),"ошибка")</f>
        <v>ошибка</v>
      </c>
      <c r="AT15"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Row],[ССвёртка]])))+AT$7),FIND("R",Свёртка_Чувствительность_2[[#This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Row],[ССвёртка]])))+AT$6),"ошибка")</f>
        <v>ошибка</v>
      </c>
      <c r="AU15" s="135" t="str">
        <f ca="1">IFERROR(_xlfn.FORMULATEXT(INDIRECT(Свёртка_Чувствительность_2[[#This Row],[СЛ]],FALSE)),"ошибка")</f>
        <v>ошибка</v>
      </c>
      <c r="AV15" s="135" t="str">
        <f ca="1">IFERROR(IF(LEN((INDIRECT(Свёртка_Чувствительность_2[[#This Row],[СП]],FALSE)))=0,"ошибка",IFERROR(INDIRECT(Свёртка_Чувствительность_2[[#This Row],[СП]],FALSE),"ошибка")),"ошибка")</f>
        <v>ошибка</v>
      </c>
      <c r="AW15"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Row],[ССвёртка]])))+AW$7),FIND("R",Свёртка_Чувствительность_2[[#This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Row],[ССвёртка]])))+AW$6),"ошибка")</f>
        <v>ошибка</v>
      </c>
      <c r="AX15" s="135" t="str">
        <f ca="1">IFERROR(_xlfn.FORMULATEXT(INDIRECT(Свёртка_Чувствительность_2[[#This Row],[СП]],FALSE)),"ошибка")</f>
        <v>ошибка</v>
      </c>
      <c r="AY15" s="66">
        <f ca="1">IF(AND(Свёртка_Чувствительность_2[[#This Row],[ВидСвёртка]]="Свёртка",CONCATENATE(LEFT(Свёртка_Чувствительность_2[[#This Row],[СВ_1_1]],1),LEFT(Свёртка_Чувствительность_2[[#This Row],[СВ_2_1]],1),LEFT(Свёртка_Чувствительность_2[[#This Row],[СВ_1_2]],1),LEFT(Свёртка_Чувствительность_2[[#This Row],[СВ_2_2]],1),LEFT(Свёртка_Чувствительность_2[[#This Row],[СВ_3_1]],1),LEFT(Свёртка_Чувствительность_2[[#This Row],[СВ_1_3]],1),LEFT(Свёртка_Чувствительность_2[[#This Row],[СВ_3_2]],1),LEFT(Свёртка_Чувствительность_2[[#This Row],[СВ_2_3]],1),LEFT(Свёртка_Чувствительность_2[[#This Row],[СВ_3_3]],1))="FFFFFFFFF",AND(Свёртка_Чувствительность_2[[#This Row],[Л]]&gt;=1,Свёртка_Чувствительность_2[[#This Row],[Л]]&lt;=4),AND(Свёртка_Чувствительность_2[[#This Row],[П]]&gt;=1,Свёртка_Чувствительность_2[[#This Row],[П]]&lt;=4)),1,-1)</f>
        <v>-1</v>
      </c>
      <c r="AZ15" s="66"/>
      <c r="BA15" s="66"/>
    </row>
    <row r="16" spans="1:93" x14ac:dyDescent="0.25">
      <c r="A16" s="66" t="e">
        <f ca="1">IF(AND(Критерий_Чувствительность_2[[#This Row],[Критерий]]&lt;&gt;"",Критерий_Чувствительность_2[[#This Row],[O.K.Критерий]]=1),ROW()-ROW(Критерий_Чувствительность_2[[#Headers],[№]]),"")</f>
        <v>#REF!</v>
      </c>
      <c r="B16" s="138" t="e">
        <f>Модель!#REF!</f>
        <v>#REF!</v>
      </c>
      <c r="C16" s="135" t="str">
        <f ca="1">IFERROR(IF(AND(Критерий_Чувствительность_2[[#This Row],[Критерий]]&gt;=1,Критерий_Чувствительность_2[[#This Row],[Критерий]]&lt;=4),IF(IFERROR(FIND("!",_xlfn.FORMULATEXT(Критерий_Чувствительность_2[[#This Row],[Критерий]])),"на странице")="на странице",CONCATENATE("R",ROW((INDIRECT(RIGHT(_xlfn.FORMULATEXT(Критерий_Чувствительность_2[[#This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Row],[Критерий]]))-1),FALSE)))-C$8),CONCATENATE(RIGHT(LEFT(_xlfn.FORMULATEXT(Критерий_Чувствительность_2[[#This Row],[Критерий]]),FIND("!",_xlfn.FORMULATEXT(Критерий_Чувствительность_2[[#This Row],[Критерий]]))),LEN(LEFT(_xlfn.FORMULATEXT(Критерий_Чувствительность_2[[#This Row],[Критерий]]),FIND("!",_xlfn.FORMULATEXT(Критерий_Чувствительность_2[[#This Row],[Критерий]]))))-1),"R",ROW((INDIRECT(RIGHT(_xlfn.FORMULATEXT(Критерий_Чувствительность_2[[#This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Row],[Критерий]]))-1),FALSE)))-C$8)),"ошибка"),"ошибка")</f>
        <v>ошибка</v>
      </c>
      <c r="D16" s="135" t="str">
        <f ca="1">IFERROR(IF(LEFT(Критерий_Чувствительность_2[[#This Row],[Фкритерий]],5)="=Прив","Критерий",IF(LEFT(Критерий_Чувствительность_2[[#This Row],[Фкритерий]],5)="=Матр","ошибка","ошибка")),"ошибка")</f>
        <v>ошибка</v>
      </c>
      <c r="E16" s="135" t="str">
        <f ca="1">IFERROR(IF(LEN((INDIRECT(Критерий_Чувствительность_2[[#This Row],[СНаименование]],FALSE)))=0,"ошибка",IFERROR(INDIRECT(Критерий_Чувствительность_2[[#This Row],[СНаименование]],FALSE),"ошибка")),"ошибка")</f>
        <v>ошибка</v>
      </c>
      <c r="F16"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Row],[Скритерий]])))+F$7),FIND("R",Критерий_Чувствительность_2[[#This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Row],[Скритерий]])))+F$6),"ошибка")</f>
        <v>ошибка</v>
      </c>
      <c r="G16" s="136" t="str">
        <f ca="1">IFERROR(IF(N(INDIRECT(Критерий_Чувствительность_2[[#This Row],[СФизКритерий]],FALSE))=0,"ошибка",IFERROR(INDIRECT(Критерий_Чувствительность_2[[#This Row],[СФизКритерий]],FALSE),"ошибка")),"ошибка")</f>
        <v>ошибка</v>
      </c>
      <c r="H16"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Row],[Скритерий]])))+H$7),FIND("R",Критерий_Чувствительность_2[[#This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Row],[Скритерий]])))+H$6),"ошибка")</f>
        <v>ошибка</v>
      </c>
      <c r="I16" s="135" t="str">
        <f ca="1">IFERROR(IF(OR(INDIRECT(Критерий_Чувствительность_2[[#This Row],[СТипКритерий]],FALSE)=Перебор!$N$58,INDIRECT(Критерий_Чувствительность_2[[#This Row],[СТипКритерий]],FALSE)=Перебор!$N$59,INDIRECT(Критерий_Чувствительность_2[[#This Row],[СТипКритерий]],FALSE)=Перебор!$N$60,INDIRECT(Критерий_Чувствительность_2[[#This Row],[СТипКритерий]],FALSE)=Перебор!$N$61),INDIRECT(Критерий_Чувствительность_2[[#This Row],[СТипКритерий]],FALSE),"ошибка"),"ошибка")</f>
        <v>ошибка</v>
      </c>
      <c r="J16"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Row],[Скритерий]])))+J$7),FIND("R",Критерий_Чувствительность_2[[#This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Row],[Скритерий]])))+J$6),"ошибка")</f>
        <v>ошибка</v>
      </c>
      <c r="K16" s="135" t="str">
        <f ca="1">IFERROR(_xlfn.FORMULATEXT(INDIRECT(Критерий_Чувствительность_2[[#This Row],[Скритерий]],FALSE)),"ошибка")</f>
        <v>ошибка</v>
      </c>
      <c r="L16" s="136" t="str">
        <f ca="1">IFERROR(IF(N(INDIRECT(Критерий_Чувствительность_2[[#This Row],[СМинФизКритерий]],FALSE))="","ошибка",IFERROR(INDIRECT(Критерий_Чувствительность_2[[#This Row],[СМинФизКритерий]],FALSE),"ошибка")),"ошибка")</f>
        <v>ошибка</v>
      </c>
      <c r="M16"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Row],[Скритерий]])))+M$7),FIND("R",Критерий_Чувствительность_2[[#This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Row],[Скритерий]])))+M$6),"ошибка")</f>
        <v>ошибка</v>
      </c>
      <c r="N16" s="136" t="str">
        <f ca="1">IFERROR(IF(N(INDIRECT(Критерий_Чувствительность_2[[#This Row],[СМаксФизКритерий]],FALSE))="","ошибка",IFERROR(INDIRECT(Критерий_Чувствительность_2[[#This Row],[СМаксФизКритерий]],FALSE),"ошибка")),"ошибка")</f>
        <v>ошибка</v>
      </c>
      <c r="O16"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Row],[Скритерий]])))+O$7),FIND("R",Критерий_Чувствительность_2[[#This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Row],[Скритерий]])))+O$6),"ошибка")</f>
        <v>ошибка</v>
      </c>
      <c r="P16" s="136" t="str">
        <f ca="1">IFERROR(IF(N(INDIRECT(Критерий_Чувствительность_2[[#This Row],[ССрФизКритерий]],FALSE))=0,"ошибка",IFERROR(INDIRECT(Критерий_Чувствительность_2[[#This Row],[ССрФизКритерий]],FALSE),"ошибка")),"")</f>
        <v/>
      </c>
      <c r="Q16" s="135" t="str">
        <f ca="1">IF(OR(Критерий_Чувствительность_2[[#This Row],[ТипКритерий]]=Перебор!$N$60,Критерий_Чувствительность_2[[#This Row],[ТипКритерий]]=Перебор!$N$61),IFERROR(REPLACE(REPLACE(Критерий_Чувствительность_2[[#This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Row],[Скритерий]])))+Q$7),FIND("R",Критерий_Чувствительность_2[[#This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Row],[Скритерий]])))+Q$6),"ошибка"),"")</f>
        <v/>
      </c>
      <c r="R16" s="66">
        <f ca="1">IFERROR(IF(AND(Критерий_Чувствительность_2[[#This Row],[ВидКритерий]]="Критерий",Критерий_Чувствительность_2[[#This Row],[Фкритерий]]="=Приведение"),1,-1),-1)</f>
        <v>-1</v>
      </c>
      <c r="T16" s="66" t="e">
        <f ca="1">IF(AND(Свёртка_Чувствительность_2[[#This Row],[Свёртка]]&lt;&gt;"",Свёртка_Чувствительность_2[[#This Row],[O.K.Свёртка]]=1),ROW()-ROW(Свёртка_Чувствительность_2[[#Headers],[№]]),"")</f>
        <v>#REF!</v>
      </c>
      <c r="U16" s="137" t="e">
        <f>Модель!#REF!</f>
        <v>#REF!</v>
      </c>
      <c r="V16" s="135" t="str">
        <f ca="1">IFERROR(IF(AND(Свёртка_Чувствительность_2[[#This Row],[Свёртка]]&gt;=1,Свёртка_Чувствительность_2[[#This Row],[Свёртка]]&lt;=4),IF(IFERROR(FIND("!",_xlfn.FORMULATEXT(Свёртка_Чувствительность_2[[#This Row],[Свёртка]])),"на странице")="на странице",CONCATENATE("R",ROW((INDIRECT(RIGHT(_xlfn.FORMULATEXT(Свёртка_Чувствительность_2[[#This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Row],[Свёртка]]))-1),FALSE)))-V$6),CONCATENATE(RIGHT(LEFT(_xlfn.FORMULATEXT(Свёртка_Чувствительность_2[[#This Row],[Свёртка]]),FIND("!",_xlfn.FORMULATEXT(Свёртка_Чувствительность_2[[#This Row],[Свёртка]]))),LEN(LEFT(_xlfn.FORMULATEXT(Свёртка_Чувствительность_2[[#This Row],[Свёртка]]),FIND("!",_xlfn.FORMULATEXT(Свёртка_Чувствительность_2[[#This Row],[Свёртка]]))))-1),"R",ROW((INDIRECT(RIGHT(_xlfn.FORMULATEXT(Свёртка_Чувствительность_2[[#This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Row],[Свёртка]]))-1),FALSE)))-V$6)),"ошибка"),"ошибка")</f>
        <v>ошибка</v>
      </c>
      <c r="W16" s="135" t="str">
        <f ca="1">IFERROR(_xlfn.FORMULATEXT(INDIRECT(Свёртка_Чувствительность_2[[#This Row],[ССвёртка]],FALSE)),"ошибка")</f>
        <v>ошибка</v>
      </c>
      <c r="X16" s="135" t="str">
        <f ca="1">IFERROR(IF(LEFT(Свёртка_Чувствительность_2[[#This Row],[ФСвёртка]],5)="=Прив","ошибка",IF(LEFT(Свёртка_Чувствительность_2[[#This Row],[ФСвёртка]],5)="=Матр","Свёртка","ошибка")),"ошибка")</f>
        <v>ошибка</v>
      </c>
      <c r="Y16" s="135" t="str">
        <f ca="1">IFERROR(IF(LEN((INDIRECT(Свёртка_Чувствительность_2[[#This Row],[СНаименование]],FALSE)))=0,"ошибка",IFERROR(INDIRECT(Свёртка_Чувствительность_2[[#This Row],[СНаименование]],FALSE),"ошибка")),"ошибка")</f>
        <v>ошибка</v>
      </c>
      <c r="Z16"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Row],[ССвёртка]])))+Z$7),FIND("R",Свёртка_Чувствительность_2[[#This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Row],[ССвёртка]])))+Z$6),"ошибка")</f>
        <v>ошибка</v>
      </c>
      <c r="AA16" s="136" t="str">
        <f ca="1">IFERROR(IF(LEN((INDIRECT(Свёртка_Чувствительность_2[[#This Row],[ССВ_1_1]],FALSE)))=0,"ошибка",IFERROR(INDIRECT(Свёртка_Чувствительность_2[[#This Row],[ССВ_1_1]],FALSE),"ошибка")),"ошибка")</f>
        <v>ошибка</v>
      </c>
      <c r="AB16"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Row],[ССвёртка]])))+AB$7),FIND("R",Свёртка_Чувствительность_2[[#This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Row],[ССвёртка]])))+AB$6),"ошибка")</f>
        <v>ошибка</v>
      </c>
      <c r="AC16" s="136" t="str">
        <f ca="1">IFERROR(IF(LEN((INDIRECT(Свёртка_Чувствительность_2[[#This Row],[ССВ_2_1]],FALSE)))=0,"ошибка",IFERROR(INDIRECT(Свёртка_Чувствительность_2[[#This Row],[ССВ_2_1]],FALSE),"ошибка")),"ошибка")</f>
        <v>ошибка</v>
      </c>
      <c r="AD16"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Row],[ССвёртка]])))+AD$7),FIND("R",Свёртка_Чувствительность_2[[#This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Row],[ССвёртка]])))+AD$6),"ошибка")</f>
        <v>ошибка</v>
      </c>
      <c r="AE16" s="136" t="str">
        <f ca="1">IFERROR(IF(LEN((INDIRECT(Свёртка_Чувствительность_2[[#This Row],[ССВ_1_2]],FALSE)))=0,"ошибка",IFERROR(INDIRECT(Свёртка_Чувствительность_2[[#This Row],[ССВ_1_2]],FALSE),"ошибка")),"ошибка")</f>
        <v>ошибка</v>
      </c>
      <c r="AF16"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Row],[ССвёртка]])))+AF$7),FIND("R",Свёртка_Чувствительность_2[[#This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Row],[ССвёртка]])))+AF$6),"ошибка")</f>
        <v>ошибка</v>
      </c>
      <c r="AG16" s="136" t="str">
        <f ca="1">IFERROR(IF(LEN((INDIRECT(Свёртка_Чувствительность_2[[#This Row],[ССВ_2_2]],FALSE)))=0,"ошибка",IFERROR(INDIRECT(Свёртка_Чувствительность_2[[#This Row],[ССВ_2_2]],FALSE),"ошибка")),"ошибка")</f>
        <v>ошибка</v>
      </c>
      <c r="AH16"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Row],[ССвёртка]])))+AH$7),FIND("R",Свёртка_Чувствительность_2[[#This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Row],[ССвёртка]])))+AH$6),"ошибка")</f>
        <v>ошибка</v>
      </c>
      <c r="AI16" s="136" t="str">
        <f ca="1">IFERROR(IF(LEN((INDIRECT(Свёртка_Чувствительность_2[[#This Row],[ССВ_3_1]],FALSE)))=0,"ошибка",IFERROR(INDIRECT(Свёртка_Чувствительность_2[[#This Row],[ССВ_3_1]],FALSE),"ошибка")),"ошибка")</f>
        <v>ошибка</v>
      </c>
      <c r="AJ16"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Row],[ССвёртка]])))+AJ$7),FIND("R",Свёртка_Чувствительность_2[[#This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Row],[ССвёртка]])))+AJ$6),"ошибка")</f>
        <v>ошибка</v>
      </c>
      <c r="AK16" s="136" t="str">
        <f ca="1">IFERROR(IF(LEN((INDIRECT(Свёртка_Чувствительность_2[[#This Row],[ССВ_1_3]],FALSE)))=0,"ошибка",IFERROR(INDIRECT(Свёртка_Чувствительность_2[[#This Row],[ССВ_1_3]],FALSE),"ошибка")),"ошибка")</f>
        <v>ошибка</v>
      </c>
      <c r="AL16"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Row],[ССвёртка]])))+AL$7),FIND("R",Свёртка_Чувствительность_2[[#This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Row],[ССвёртка]])))+AL$6),"ошибка")</f>
        <v>ошибка</v>
      </c>
      <c r="AM16" s="136" t="str">
        <f ca="1">IFERROR(IF(LEN((INDIRECT(Свёртка_Чувствительность_2[[#This Row],[ССВ_3_2]],FALSE)))=0,"ошибка",IFERROR(INDIRECT(Свёртка_Чувствительность_2[[#This Row],[ССВ_3_2]],FALSE),"ошибка")),"ошибка")</f>
        <v>ошибка</v>
      </c>
      <c r="AN16"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Row],[ССвёртка]])))+AN$7),FIND("R",Свёртка_Чувствительность_2[[#This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Row],[ССвёртка]])))+AN$6),"ошибка")</f>
        <v>ошибка</v>
      </c>
      <c r="AO16" s="136" t="str">
        <f ca="1">IFERROR(IF(LEN((INDIRECT(Свёртка_Чувствительность_2[[#This Row],[ССВ_2_3]],FALSE)))=0,"ошибка",IFERROR(INDIRECT(Свёртка_Чувствительность_2[[#This Row],[ССВ_2_3]],FALSE),"ошибка")),"ошибка")</f>
        <v>ошибка</v>
      </c>
      <c r="AP16"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Row],[ССвёртка]])))+AP$7),FIND("R",Свёртка_Чувствительность_2[[#This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Row],[ССвёртка]])))+AP$6),"ошибка")</f>
        <v>ошибка</v>
      </c>
      <c r="AQ16" s="136" t="str">
        <f ca="1">IFERROR(IF(LEN((INDIRECT(Свёртка_Чувствительность_2[[#This Row],[ССВ_3_3]],FALSE)))=0,"ошибка",IFERROR(INDIRECT(Свёртка_Чувствительность_2[[#This Row],[ССВ_3_3]],FALSE),"ошибка")),"ошибка")</f>
        <v>ошибка</v>
      </c>
      <c r="AR16"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Row],[ССвёртка]])))+AR$7),FIND("R",Свёртка_Чувствительность_2[[#This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Row],[ССвёртка]])))+AR$6),"ошибка")</f>
        <v>ошибка</v>
      </c>
      <c r="AS16" s="135" t="str">
        <f ca="1">IFERROR(IF(LEN((INDIRECT(Свёртка_Чувствительность_2[[#This Row],[СЛ]],FALSE)))=0,"ошибка",IFERROR(INDIRECT(Свёртка_Чувствительность_2[[#This Row],[СЛ]],FALSE),"ошибка")),"ошибка")</f>
        <v>ошибка</v>
      </c>
      <c r="AT16"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Row],[ССвёртка]])))+AT$7),FIND("R",Свёртка_Чувствительность_2[[#This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Row],[ССвёртка]])))+AT$6),"ошибка")</f>
        <v>ошибка</v>
      </c>
      <c r="AU16" s="135" t="str">
        <f ca="1">IFERROR(_xlfn.FORMULATEXT(INDIRECT(Свёртка_Чувствительность_2[[#This Row],[СЛ]],FALSE)),"ошибка")</f>
        <v>ошибка</v>
      </c>
      <c r="AV16" s="135" t="str">
        <f ca="1">IFERROR(IF(LEN((INDIRECT(Свёртка_Чувствительность_2[[#This Row],[СП]],FALSE)))=0,"ошибка",IFERROR(INDIRECT(Свёртка_Чувствительность_2[[#This Row],[СП]],FALSE),"ошибка")),"ошибка")</f>
        <v>ошибка</v>
      </c>
      <c r="AW16"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Row],[ССвёртка]])))+AW$7),FIND("R",Свёртка_Чувствительность_2[[#This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Row],[ССвёртка]])))+AW$6),"ошибка")</f>
        <v>ошибка</v>
      </c>
      <c r="AX16" s="135" t="str">
        <f ca="1">IFERROR(_xlfn.FORMULATEXT(INDIRECT(Свёртка_Чувствительность_2[[#This Row],[СП]],FALSE)),"ошибка")</f>
        <v>ошибка</v>
      </c>
      <c r="AY16" s="66">
        <f ca="1">IF(AND(Свёртка_Чувствительность_2[[#This Row],[ВидСвёртка]]="Свёртка",CONCATENATE(LEFT(Свёртка_Чувствительность_2[[#This Row],[СВ_1_1]],1),LEFT(Свёртка_Чувствительность_2[[#This Row],[СВ_2_1]],1),LEFT(Свёртка_Чувствительность_2[[#This Row],[СВ_1_2]],1),LEFT(Свёртка_Чувствительность_2[[#This Row],[СВ_2_2]],1),LEFT(Свёртка_Чувствительность_2[[#This Row],[СВ_3_1]],1),LEFT(Свёртка_Чувствительность_2[[#This Row],[СВ_1_3]],1),LEFT(Свёртка_Чувствительность_2[[#This Row],[СВ_3_2]],1),LEFT(Свёртка_Чувствительность_2[[#This Row],[СВ_2_3]],1),LEFT(Свёртка_Чувствительность_2[[#This Row],[СВ_3_3]],1))="FFFFFFFFF",AND(Свёртка_Чувствительность_2[[#This Row],[Л]]&gt;=1,Свёртка_Чувствительность_2[[#This Row],[Л]]&lt;=4),AND(Свёртка_Чувствительность_2[[#This Row],[П]]&gt;=1,Свёртка_Чувствительность_2[[#This Row],[П]]&lt;=4)),1,-1)</f>
        <v>-1</v>
      </c>
      <c r="AZ16" s="66"/>
      <c r="BA16" s="66"/>
    </row>
    <row r="17" spans="1:53" x14ac:dyDescent="0.25">
      <c r="A17" s="66" t="e">
        <f ca="1">IF(AND(Критерий_Чувствительность_2[[#This Row],[Критерий]]&lt;&gt;"",Критерий_Чувствительность_2[[#This Row],[O.K.Критерий]]=1),ROW()-ROW(Критерий_Чувствительность_2[[#Headers],[№]]),"")</f>
        <v>#REF!</v>
      </c>
      <c r="B17" s="138" t="e">
        <f>Модель!#REF!</f>
        <v>#REF!</v>
      </c>
      <c r="C17" s="135" t="str">
        <f ca="1">IFERROR(IF(AND(Критерий_Чувствительность_2[[#This Row],[Критерий]]&gt;=1,Критерий_Чувствительность_2[[#This Row],[Критерий]]&lt;=4),IF(IFERROR(FIND("!",_xlfn.FORMULATEXT(Критерий_Чувствительность_2[[#This Row],[Критерий]])),"на странице")="на странице",CONCATENATE("R",ROW((INDIRECT(RIGHT(_xlfn.FORMULATEXT(Критерий_Чувствительность_2[[#This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Row],[Критерий]]))-1),FALSE)))-C$8),CONCATENATE(RIGHT(LEFT(_xlfn.FORMULATEXT(Критерий_Чувствительность_2[[#This Row],[Критерий]]),FIND("!",_xlfn.FORMULATEXT(Критерий_Чувствительность_2[[#This Row],[Критерий]]))),LEN(LEFT(_xlfn.FORMULATEXT(Критерий_Чувствительность_2[[#This Row],[Критерий]]),FIND("!",_xlfn.FORMULATEXT(Критерий_Чувствительность_2[[#This Row],[Критерий]]))))-1),"R",ROW((INDIRECT(RIGHT(_xlfn.FORMULATEXT(Критерий_Чувствительность_2[[#This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Row],[Критерий]]))-1),FALSE)))-C$8)),"ошибка"),"ошибка")</f>
        <v>ошибка</v>
      </c>
      <c r="D17" s="135" t="str">
        <f ca="1">IFERROR(IF(LEFT(Критерий_Чувствительность_2[[#This Row],[Фкритерий]],5)="=Прив","Критерий",IF(LEFT(Критерий_Чувствительность_2[[#This Row],[Фкритерий]],5)="=Матр","ошибка","ошибка")),"ошибка")</f>
        <v>ошибка</v>
      </c>
      <c r="E17" s="135" t="str">
        <f ca="1">IFERROR(IF(LEN((INDIRECT(Критерий_Чувствительность_2[[#This Row],[СНаименование]],FALSE)))=0,"ошибка",IFERROR(INDIRECT(Критерий_Чувствительность_2[[#This Row],[СНаименование]],FALSE),"ошибка")),"ошибка")</f>
        <v>ошибка</v>
      </c>
      <c r="F17"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Row],[Скритерий]])))+F$7),FIND("R",Критерий_Чувствительность_2[[#This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Row],[Скритерий]])))+F$6),"ошибка")</f>
        <v>ошибка</v>
      </c>
      <c r="G17" s="136" t="str">
        <f ca="1">IFERROR(IF(N(INDIRECT(Критерий_Чувствительность_2[[#This Row],[СФизКритерий]],FALSE))=0,"ошибка",IFERROR(INDIRECT(Критерий_Чувствительность_2[[#This Row],[СФизКритерий]],FALSE),"ошибка")),"ошибка")</f>
        <v>ошибка</v>
      </c>
      <c r="H17"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Row],[Скритерий]])))+H$7),FIND("R",Критерий_Чувствительность_2[[#This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Row],[Скритерий]])))+H$6),"ошибка")</f>
        <v>ошибка</v>
      </c>
      <c r="I17" s="135" t="str">
        <f ca="1">IFERROR(IF(OR(INDIRECT(Критерий_Чувствительность_2[[#This Row],[СТипКритерий]],FALSE)=Перебор!$N$58,INDIRECT(Критерий_Чувствительность_2[[#This Row],[СТипКритерий]],FALSE)=Перебор!$N$59,INDIRECT(Критерий_Чувствительность_2[[#This Row],[СТипКритерий]],FALSE)=Перебор!$N$60,INDIRECT(Критерий_Чувствительность_2[[#This Row],[СТипКритерий]],FALSE)=Перебор!$N$61),INDIRECT(Критерий_Чувствительность_2[[#This Row],[СТипКритерий]],FALSE),"ошибка"),"ошибка")</f>
        <v>ошибка</v>
      </c>
      <c r="J17"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Row],[Скритерий]])))+J$7),FIND("R",Критерий_Чувствительность_2[[#This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Row],[Скритерий]])))+J$6),"ошибка")</f>
        <v>ошибка</v>
      </c>
      <c r="K17" s="135" t="str">
        <f ca="1">IFERROR(_xlfn.FORMULATEXT(INDIRECT(Критерий_Чувствительность_2[[#This Row],[Скритерий]],FALSE)),"ошибка")</f>
        <v>ошибка</v>
      </c>
      <c r="L17" s="136" t="str">
        <f ca="1">IFERROR(IF(N(INDIRECT(Критерий_Чувствительность_2[[#This Row],[СМинФизКритерий]],FALSE))="","ошибка",IFERROR(INDIRECT(Критерий_Чувствительность_2[[#This Row],[СМинФизКритерий]],FALSE),"ошибка")),"ошибка")</f>
        <v>ошибка</v>
      </c>
      <c r="M17"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Row],[Скритерий]])))+M$7),FIND("R",Критерий_Чувствительность_2[[#This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Row],[Скритерий]])))+M$6),"ошибка")</f>
        <v>ошибка</v>
      </c>
      <c r="N17" s="136" t="str">
        <f ca="1">IFERROR(IF(N(INDIRECT(Критерий_Чувствительность_2[[#This Row],[СМаксФизКритерий]],FALSE))="","ошибка",IFERROR(INDIRECT(Критерий_Чувствительность_2[[#This Row],[СМаксФизКритерий]],FALSE),"ошибка")),"ошибка")</f>
        <v>ошибка</v>
      </c>
      <c r="O17"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Row],[Скритерий]])))+O$7),FIND("R",Критерий_Чувствительность_2[[#This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Row],[Скритерий]])))+O$6),"ошибка")</f>
        <v>ошибка</v>
      </c>
      <c r="P17" s="136" t="str">
        <f ca="1">IFERROR(IF(N(INDIRECT(Критерий_Чувствительность_2[[#This Row],[ССрФизКритерий]],FALSE))=0,"ошибка",IFERROR(INDIRECT(Критерий_Чувствительность_2[[#This Row],[ССрФизКритерий]],FALSE),"ошибка")),"")</f>
        <v/>
      </c>
      <c r="Q17" s="135" t="str">
        <f ca="1">IF(OR(Критерий_Чувствительность_2[[#This Row],[ТипКритерий]]=Перебор!$N$60,Критерий_Чувствительность_2[[#This Row],[ТипКритерий]]=Перебор!$N$61),IFERROR(REPLACE(REPLACE(Критерий_Чувствительность_2[[#This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Row],[Скритерий]])))+Q$7),FIND("R",Критерий_Чувствительность_2[[#This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Row],[Скритерий]])))+Q$6),"ошибка"),"")</f>
        <v/>
      </c>
      <c r="R17" s="66">
        <f ca="1">IFERROR(IF(AND(Критерий_Чувствительность_2[[#This Row],[ВидКритерий]]="Критерий",Критерий_Чувствительность_2[[#This Row],[Фкритерий]]="=Приведение"),1,-1),-1)</f>
        <v>-1</v>
      </c>
      <c r="T17" s="66" t="e">
        <f ca="1">IF(AND(Свёртка_Чувствительность_2[[#This Row],[Свёртка]]&lt;&gt;"",Свёртка_Чувствительность_2[[#This Row],[O.K.Свёртка]]=1),ROW()-ROW(Свёртка_Чувствительность_2[[#Headers],[№]]),"")</f>
        <v>#REF!</v>
      </c>
      <c r="U17" s="137" t="e">
        <f>Модель!#REF!</f>
        <v>#REF!</v>
      </c>
      <c r="V17" s="135" t="str">
        <f ca="1">IFERROR(IF(AND(Свёртка_Чувствительность_2[[#This Row],[Свёртка]]&gt;=1,Свёртка_Чувствительность_2[[#This Row],[Свёртка]]&lt;=4),IF(IFERROR(FIND("!",_xlfn.FORMULATEXT(Свёртка_Чувствительность_2[[#This Row],[Свёртка]])),"на странице")="на странице",CONCATENATE("R",ROW((INDIRECT(RIGHT(_xlfn.FORMULATEXT(Свёртка_Чувствительность_2[[#This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Row],[Свёртка]]))-1),FALSE)))-V$6),CONCATENATE(RIGHT(LEFT(_xlfn.FORMULATEXT(Свёртка_Чувствительность_2[[#This Row],[Свёртка]]),FIND("!",_xlfn.FORMULATEXT(Свёртка_Чувствительность_2[[#This Row],[Свёртка]]))),LEN(LEFT(_xlfn.FORMULATEXT(Свёртка_Чувствительность_2[[#This Row],[Свёртка]]),FIND("!",_xlfn.FORMULATEXT(Свёртка_Чувствительность_2[[#This Row],[Свёртка]]))))-1),"R",ROW((INDIRECT(RIGHT(_xlfn.FORMULATEXT(Свёртка_Чувствительность_2[[#This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Row],[Свёртка]]))-1),FALSE)))-V$6)),"ошибка"),"ошибка")</f>
        <v>ошибка</v>
      </c>
      <c r="W17" s="135" t="str">
        <f ca="1">IFERROR(_xlfn.FORMULATEXT(INDIRECT(Свёртка_Чувствительность_2[[#This Row],[ССвёртка]],FALSE)),"ошибка")</f>
        <v>ошибка</v>
      </c>
      <c r="X17" s="135" t="str">
        <f ca="1">IFERROR(IF(LEFT(Свёртка_Чувствительность_2[[#This Row],[ФСвёртка]],5)="=Прив","ошибка",IF(LEFT(Свёртка_Чувствительность_2[[#This Row],[ФСвёртка]],5)="=Матр","Свёртка","ошибка")),"ошибка")</f>
        <v>ошибка</v>
      </c>
      <c r="Y17" s="135" t="str">
        <f ca="1">IFERROR(IF(LEN((INDIRECT(Свёртка_Чувствительность_2[[#This Row],[СНаименование]],FALSE)))=0,"ошибка",IFERROR(INDIRECT(Свёртка_Чувствительность_2[[#This Row],[СНаименование]],FALSE),"ошибка")),"ошибка")</f>
        <v>ошибка</v>
      </c>
      <c r="Z17"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Row],[ССвёртка]])))+Z$7),FIND("R",Свёртка_Чувствительность_2[[#This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Row],[ССвёртка]])))+Z$6),"ошибка")</f>
        <v>ошибка</v>
      </c>
      <c r="AA17" s="136" t="str">
        <f ca="1">IFERROR(IF(LEN((INDIRECT(Свёртка_Чувствительность_2[[#This Row],[ССВ_1_1]],FALSE)))=0,"ошибка",IFERROR(INDIRECT(Свёртка_Чувствительность_2[[#This Row],[ССВ_1_1]],FALSE),"ошибка")),"ошибка")</f>
        <v>ошибка</v>
      </c>
      <c r="AB17"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Row],[ССвёртка]])))+AB$7),FIND("R",Свёртка_Чувствительность_2[[#This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Row],[ССвёртка]])))+AB$6),"ошибка")</f>
        <v>ошибка</v>
      </c>
      <c r="AC17" s="136" t="str">
        <f ca="1">IFERROR(IF(LEN((INDIRECT(Свёртка_Чувствительность_2[[#This Row],[ССВ_2_1]],FALSE)))=0,"ошибка",IFERROR(INDIRECT(Свёртка_Чувствительность_2[[#This Row],[ССВ_2_1]],FALSE),"ошибка")),"ошибка")</f>
        <v>ошибка</v>
      </c>
      <c r="AD17"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Row],[ССвёртка]])))+AD$7),FIND("R",Свёртка_Чувствительность_2[[#This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Row],[ССвёртка]])))+AD$6),"ошибка")</f>
        <v>ошибка</v>
      </c>
      <c r="AE17" s="136" t="str">
        <f ca="1">IFERROR(IF(LEN((INDIRECT(Свёртка_Чувствительность_2[[#This Row],[ССВ_1_2]],FALSE)))=0,"ошибка",IFERROR(INDIRECT(Свёртка_Чувствительность_2[[#This Row],[ССВ_1_2]],FALSE),"ошибка")),"ошибка")</f>
        <v>ошибка</v>
      </c>
      <c r="AF17"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Row],[ССвёртка]])))+AF$7),FIND("R",Свёртка_Чувствительность_2[[#This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Row],[ССвёртка]])))+AF$6),"ошибка")</f>
        <v>ошибка</v>
      </c>
      <c r="AG17" s="136" t="str">
        <f ca="1">IFERROR(IF(LEN((INDIRECT(Свёртка_Чувствительность_2[[#This Row],[ССВ_2_2]],FALSE)))=0,"ошибка",IFERROR(INDIRECT(Свёртка_Чувствительность_2[[#This Row],[ССВ_2_2]],FALSE),"ошибка")),"ошибка")</f>
        <v>ошибка</v>
      </c>
      <c r="AH17"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Row],[ССвёртка]])))+AH$7),FIND("R",Свёртка_Чувствительность_2[[#This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Row],[ССвёртка]])))+AH$6),"ошибка")</f>
        <v>ошибка</v>
      </c>
      <c r="AI17" s="136" t="str">
        <f ca="1">IFERROR(IF(LEN((INDIRECT(Свёртка_Чувствительность_2[[#This Row],[ССВ_3_1]],FALSE)))=0,"ошибка",IFERROR(INDIRECT(Свёртка_Чувствительность_2[[#This Row],[ССВ_3_1]],FALSE),"ошибка")),"ошибка")</f>
        <v>ошибка</v>
      </c>
      <c r="AJ17"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Row],[ССвёртка]])))+AJ$7),FIND("R",Свёртка_Чувствительность_2[[#This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Row],[ССвёртка]])))+AJ$6),"ошибка")</f>
        <v>ошибка</v>
      </c>
      <c r="AK17" s="136" t="str">
        <f ca="1">IFERROR(IF(LEN((INDIRECT(Свёртка_Чувствительность_2[[#This Row],[ССВ_1_3]],FALSE)))=0,"ошибка",IFERROR(INDIRECT(Свёртка_Чувствительность_2[[#This Row],[ССВ_1_3]],FALSE),"ошибка")),"ошибка")</f>
        <v>ошибка</v>
      </c>
      <c r="AL17"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Row],[ССвёртка]])))+AL$7),FIND("R",Свёртка_Чувствительность_2[[#This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Row],[ССвёртка]])))+AL$6),"ошибка")</f>
        <v>ошибка</v>
      </c>
      <c r="AM17" s="136" t="str">
        <f ca="1">IFERROR(IF(LEN((INDIRECT(Свёртка_Чувствительность_2[[#This Row],[ССВ_3_2]],FALSE)))=0,"ошибка",IFERROR(INDIRECT(Свёртка_Чувствительность_2[[#This Row],[ССВ_3_2]],FALSE),"ошибка")),"ошибка")</f>
        <v>ошибка</v>
      </c>
      <c r="AN17"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Row],[ССвёртка]])))+AN$7),FIND("R",Свёртка_Чувствительность_2[[#This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Row],[ССвёртка]])))+AN$6),"ошибка")</f>
        <v>ошибка</v>
      </c>
      <c r="AO17" s="136" t="str">
        <f ca="1">IFERROR(IF(LEN((INDIRECT(Свёртка_Чувствительность_2[[#This Row],[ССВ_2_3]],FALSE)))=0,"ошибка",IFERROR(INDIRECT(Свёртка_Чувствительность_2[[#This Row],[ССВ_2_3]],FALSE),"ошибка")),"ошибка")</f>
        <v>ошибка</v>
      </c>
      <c r="AP17"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Row],[ССвёртка]])))+AP$7),FIND("R",Свёртка_Чувствительность_2[[#This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Row],[ССвёртка]])))+AP$6),"ошибка")</f>
        <v>ошибка</v>
      </c>
      <c r="AQ17" s="136" t="str">
        <f ca="1">IFERROR(IF(LEN((INDIRECT(Свёртка_Чувствительность_2[[#This Row],[ССВ_3_3]],FALSE)))=0,"ошибка",IFERROR(INDIRECT(Свёртка_Чувствительность_2[[#This Row],[ССВ_3_3]],FALSE),"ошибка")),"ошибка")</f>
        <v>ошибка</v>
      </c>
      <c r="AR17"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Row],[ССвёртка]])))+AR$7),FIND("R",Свёртка_Чувствительность_2[[#This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Row],[ССвёртка]])))+AR$6),"ошибка")</f>
        <v>ошибка</v>
      </c>
      <c r="AS17" s="135" t="str">
        <f ca="1">IFERROR(IF(LEN((INDIRECT(Свёртка_Чувствительность_2[[#This Row],[СЛ]],FALSE)))=0,"ошибка",IFERROR(INDIRECT(Свёртка_Чувствительность_2[[#This Row],[СЛ]],FALSE),"ошибка")),"ошибка")</f>
        <v>ошибка</v>
      </c>
      <c r="AT17"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Row],[ССвёртка]])))+AT$7),FIND("R",Свёртка_Чувствительность_2[[#This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Row],[ССвёртка]])))+AT$6),"ошибка")</f>
        <v>ошибка</v>
      </c>
      <c r="AU17" s="135" t="str">
        <f ca="1">IFERROR(_xlfn.FORMULATEXT(INDIRECT(Свёртка_Чувствительность_2[[#This Row],[СЛ]],FALSE)),"ошибка")</f>
        <v>ошибка</v>
      </c>
      <c r="AV17" s="135" t="str">
        <f ca="1">IFERROR(IF(LEN((INDIRECT(Свёртка_Чувствительность_2[[#This Row],[СП]],FALSE)))=0,"ошибка",IFERROR(INDIRECT(Свёртка_Чувствительность_2[[#This Row],[СП]],FALSE),"ошибка")),"ошибка")</f>
        <v>ошибка</v>
      </c>
      <c r="AW17"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Row],[ССвёртка]])))+AW$7),FIND("R",Свёртка_Чувствительность_2[[#This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Row],[ССвёртка]])))+AW$6),"ошибка")</f>
        <v>ошибка</v>
      </c>
      <c r="AX17" s="135" t="str">
        <f ca="1">IFERROR(_xlfn.FORMULATEXT(INDIRECT(Свёртка_Чувствительность_2[[#This Row],[СП]],FALSE)),"ошибка")</f>
        <v>ошибка</v>
      </c>
      <c r="AY17" s="66">
        <f ca="1">IF(AND(Свёртка_Чувствительность_2[[#This Row],[ВидСвёртка]]="Свёртка",CONCATENATE(LEFT(Свёртка_Чувствительность_2[[#This Row],[СВ_1_1]],1),LEFT(Свёртка_Чувствительность_2[[#This Row],[СВ_2_1]],1),LEFT(Свёртка_Чувствительность_2[[#This Row],[СВ_1_2]],1),LEFT(Свёртка_Чувствительность_2[[#This Row],[СВ_2_2]],1),LEFT(Свёртка_Чувствительность_2[[#This Row],[СВ_3_1]],1),LEFT(Свёртка_Чувствительность_2[[#This Row],[СВ_1_3]],1),LEFT(Свёртка_Чувствительность_2[[#This Row],[СВ_3_2]],1),LEFT(Свёртка_Чувствительность_2[[#This Row],[СВ_2_3]],1),LEFT(Свёртка_Чувствительность_2[[#This Row],[СВ_3_3]],1))="FFFFFFFFF",AND(Свёртка_Чувствительность_2[[#This Row],[Л]]&gt;=1,Свёртка_Чувствительность_2[[#This Row],[Л]]&lt;=4),AND(Свёртка_Чувствительность_2[[#This Row],[П]]&gt;=1,Свёртка_Чувствительность_2[[#This Row],[П]]&lt;=4)),1,-1)</f>
        <v>-1</v>
      </c>
      <c r="AZ17" s="66"/>
      <c r="BA17" s="66"/>
    </row>
    <row r="18" spans="1:53" x14ac:dyDescent="0.25">
      <c r="A18" s="66" t="e">
        <f ca="1">IF(AND(Критерий_Чувствительность_2[[#This Row],[Критерий]]&lt;&gt;"",Критерий_Чувствительность_2[[#This Row],[O.K.Критерий]]=1),ROW()-ROW(Критерий_Чувствительность_2[[#Headers],[№]]),"")</f>
        <v>#REF!</v>
      </c>
      <c r="B18" s="138" t="e">
        <f>Модель!#REF!</f>
        <v>#REF!</v>
      </c>
      <c r="C18" s="135" t="str">
        <f ca="1">IFERROR(IF(AND(Критерий_Чувствительность_2[[#This Row],[Критерий]]&gt;=1,Критерий_Чувствительность_2[[#This Row],[Критерий]]&lt;=4),IF(IFERROR(FIND("!",_xlfn.FORMULATEXT(Критерий_Чувствительность_2[[#This Row],[Критерий]])),"на странице")="на странице",CONCATENATE("R",ROW((INDIRECT(RIGHT(_xlfn.FORMULATEXT(Критерий_Чувствительность_2[[#This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Row],[Критерий]]))-1),FALSE)))-C$8),CONCATENATE(RIGHT(LEFT(_xlfn.FORMULATEXT(Критерий_Чувствительность_2[[#This Row],[Критерий]]),FIND("!",_xlfn.FORMULATEXT(Критерий_Чувствительность_2[[#This Row],[Критерий]]))),LEN(LEFT(_xlfn.FORMULATEXT(Критерий_Чувствительность_2[[#This Row],[Критерий]]),FIND("!",_xlfn.FORMULATEXT(Критерий_Чувствительность_2[[#This Row],[Критерий]]))))-1),"R",ROW((INDIRECT(RIGHT(_xlfn.FORMULATEXT(Критерий_Чувствительность_2[[#This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Row],[Критерий]]))-1),FALSE)))-C$8)),"ошибка"),"ошибка")</f>
        <v>ошибка</v>
      </c>
      <c r="D18" s="135" t="str">
        <f ca="1">IFERROR(IF(LEFT(Критерий_Чувствительность_2[[#This Row],[Фкритерий]],5)="=Прив","Критерий",IF(LEFT(Критерий_Чувствительность_2[[#This Row],[Фкритерий]],5)="=Матр","ошибка","ошибка")),"ошибка")</f>
        <v>ошибка</v>
      </c>
      <c r="E18" s="135" t="str">
        <f ca="1">IFERROR(IF(LEN((INDIRECT(Критерий_Чувствительность_2[[#This Row],[СНаименование]],FALSE)))=0,"ошибка",IFERROR(INDIRECT(Критерий_Чувствительность_2[[#This Row],[СНаименование]],FALSE),"ошибка")),"ошибка")</f>
        <v>ошибка</v>
      </c>
      <c r="F18"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Row],[Скритерий]])))+F$7),FIND("R",Критерий_Чувствительность_2[[#This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Row],[Скритерий]])))+F$6),"ошибка")</f>
        <v>ошибка</v>
      </c>
      <c r="G18" s="136" t="str">
        <f ca="1">IFERROR(IF(N(INDIRECT(Критерий_Чувствительность_2[[#This Row],[СФизКритерий]],FALSE))=0,"ошибка",IFERROR(INDIRECT(Критерий_Чувствительность_2[[#This Row],[СФизКритерий]],FALSE),"ошибка")),"ошибка")</f>
        <v>ошибка</v>
      </c>
      <c r="H18"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Row],[Скритерий]])))+H$7),FIND("R",Критерий_Чувствительность_2[[#This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Row],[Скритерий]])))+H$6),"ошибка")</f>
        <v>ошибка</v>
      </c>
      <c r="I18" s="135" t="str">
        <f ca="1">IFERROR(IF(OR(INDIRECT(Критерий_Чувствительность_2[[#This Row],[СТипКритерий]],FALSE)=Перебор!$N$58,INDIRECT(Критерий_Чувствительность_2[[#This Row],[СТипКритерий]],FALSE)=Перебор!$N$59,INDIRECT(Критерий_Чувствительность_2[[#This Row],[СТипКритерий]],FALSE)=Перебор!$N$60,INDIRECT(Критерий_Чувствительность_2[[#This Row],[СТипКритерий]],FALSE)=Перебор!$N$61),INDIRECT(Критерий_Чувствительность_2[[#This Row],[СТипКритерий]],FALSE),"ошибка"),"ошибка")</f>
        <v>ошибка</v>
      </c>
      <c r="J18"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Row],[Скритерий]])))+J$7),FIND("R",Критерий_Чувствительность_2[[#This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Row],[Скритерий]])))+J$6),"ошибка")</f>
        <v>ошибка</v>
      </c>
      <c r="K18" s="135" t="str">
        <f ca="1">IFERROR(_xlfn.FORMULATEXT(INDIRECT(Критерий_Чувствительность_2[[#This Row],[Скритерий]],FALSE)),"ошибка")</f>
        <v>ошибка</v>
      </c>
      <c r="L18" s="136" t="str">
        <f ca="1">IFERROR(IF(N(INDIRECT(Критерий_Чувствительность_2[[#This Row],[СМинФизКритерий]],FALSE))="","ошибка",IFERROR(INDIRECT(Критерий_Чувствительность_2[[#This Row],[СМинФизКритерий]],FALSE),"ошибка")),"ошибка")</f>
        <v>ошибка</v>
      </c>
      <c r="M18"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Row],[Скритерий]])))+M$7),FIND("R",Критерий_Чувствительность_2[[#This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Row],[Скритерий]])))+M$6),"ошибка")</f>
        <v>ошибка</v>
      </c>
      <c r="N18" s="136" t="str">
        <f ca="1">IFERROR(IF(N(INDIRECT(Критерий_Чувствительность_2[[#This Row],[СМаксФизКритерий]],FALSE))="","ошибка",IFERROR(INDIRECT(Критерий_Чувствительность_2[[#This Row],[СМаксФизКритерий]],FALSE),"ошибка")),"ошибка")</f>
        <v>ошибка</v>
      </c>
      <c r="O18"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Row],[Скритерий]])))+O$7),FIND("R",Критерий_Чувствительность_2[[#This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Row],[Скритерий]])))+O$6),"ошибка")</f>
        <v>ошибка</v>
      </c>
      <c r="P18" s="136" t="str">
        <f ca="1">IFERROR(IF(N(INDIRECT(Критерий_Чувствительность_2[[#This Row],[ССрФизКритерий]],FALSE))=0,"ошибка",IFERROR(INDIRECT(Критерий_Чувствительность_2[[#This Row],[ССрФизКритерий]],FALSE),"ошибка")),"")</f>
        <v/>
      </c>
      <c r="Q18" s="135" t="str">
        <f ca="1">IF(OR(Критерий_Чувствительность_2[[#This Row],[ТипКритерий]]=Перебор!$N$60,Критерий_Чувствительность_2[[#This Row],[ТипКритерий]]=Перебор!$N$61),IFERROR(REPLACE(REPLACE(Критерий_Чувствительность_2[[#This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Row],[Скритерий]])))+Q$7),FIND("R",Критерий_Чувствительность_2[[#This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Row],[Скритерий]])))+Q$6),"ошибка"),"")</f>
        <v/>
      </c>
      <c r="R18" s="66">
        <f ca="1">IFERROR(IF(AND(Критерий_Чувствительность_2[[#This Row],[ВидКритерий]]="Критерий",Критерий_Чувствительность_2[[#This Row],[Фкритерий]]="=Приведение"),1,-1),-1)</f>
        <v>-1</v>
      </c>
      <c r="T18" s="66" t="str">
        <f ca="1">IF(AND(Свёртка_Чувствительность_2[[#This Row],[Свёртка]]&lt;&gt;"",Свёртка_Чувствительность_2[[#This Row],[O.K.Свёртка]]=1),ROW()-ROW(Свёртка_Чувствительность_2[[#Headers],[№]]),"")</f>
        <v/>
      </c>
      <c r="U18" s="137"/>
      <c r="V18" s="135" t="str">
        <f ca="1">IFERROR(IF(AND(Свёртка_Чувствительность_2[[#This Row],[Свёртка]]&gt;=1,Свёртка_Чувствительность_2[[#This Row],[Свёртка]]&lt;=4),IF(IFERROR(FIND("!",_xlfn.FORMULATEXT(Свёртка_Чувствительность_2[[#This Row],[Свёртка]])),"на странице")="на странице",CONCATENATE("R",ROW((INDIRECT(RIGHT(_xlfn.FORMULATEXT(Свёртка_Чувствительность_2[[#This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Row],[Свёртка]]))-1),FALSE)))-V$6),CONCATENATE(RIGHT(LEFT(_xlfn.FORMULATEXT(Свёртка_Чувствительность_2[[#This Row],[Свёртка]]),FIND("!",_xlfn.FORMULATEXT(Свёртка_Чувствительность_2[[#This Row],[Свёртка]]))),LEN(LEFT(_xlfn.FORMULATEXT(Свёртка_Чувствительность_2[[#This Row],[Свёртка]]),FIND("!",_xlfn.FORMULATEXT(Свёртка_Чувствительность_2[[#This Row],[Свёртка]]))))-1),"R",ROW((INDIRECT(RIGHT(_xlfn.FORMULATEXT(Свёртка_Чувствительность_2[[#This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Row],[Свёртка]]))-1),FALSE)))-V$6)),"ошибка"),"ошибка")</f>
        <v>ошибка</v>
      </c>
      <c r="W18" s="135" t="str">
        <f ca="1">IFERROR(_xlfn.FORMULATEXT(INDIRECT(Свёртка_Чувствительность_2[[#This Row],[ССвёртка]],FALSE)),"ошибка")</f>
        <v>ошибка</v>
      </c>
      <c r="X18" s="135" t="str">
        <f ca="1">IFERROR(IF(LEFT(Свёртка_Чувствительность_2[[#This Row],[ФСвёртка]],5)="=Прив","ошибка",IF(LEFT(Свёртка_Чувствительность_2[[#This Row],[ФСвёртка]],5)="=Матр","Свёртка","ошибка")),"ошибка")</f>
        <v>ошибка</v>
      </c>
      <c r="Y18" s="135" t="str">
        <f ca="1">IFERROR(IF(LEN((INDIRECT(Свёртка_Чувствительность_2[[#This Row],[СНаименование]],FALSE)))=0,"ошибка",IFERROR(INDIRECT(Свёртка_Чувствительность_2[[#This Row],[СНаименование]],FALSE),"ошибка")),"ошибка")</f>
        <v>ошибка</v>
      </c>
      <c r="Z18"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Row],[ССвёртка]])))+Z$7),FIND("R",Свёртка_Чувствительность_2[[#This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Row],[ССвёртка]])))+Z$6),"ошибка")</f>
        <v>ошибка</v>
      </c>
      <c r="AA18" s="136" t="str">
        <f ca="1">IFERROR(IF(LEN((INDIRECT(Свёртка_Чувствительность_2[[#This Row],[ССВ_1_1]],FALSE)))=0,"ошибка",IFERROR(INDIRECT(Свёртка_Чувствительность_2[[#This Row],[ССВ_1_1]],FALSE),"ошибка")),"ошибка")</f>
        <v>ошибка</v>
      </c>
      <c r="AB18"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Row],[ССвёртка]])))+AB$7),FIND("R",Свёртка_Чувствительность_2[[#This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Row],[ССвёртка]])))+AB$6),"ошибка")</f>
        <v>ошибка</v>
      </c>
      <c r="AC18" s="136" t="str">
        <f ca="1">IFERROR(IF(LEN((INDIRECT(Свёртка_Чувствительность_2[[#This Row],[ССВ_2_1]],FALSE)))=0,"ошибка",IFERROR(INDIRECT(Свёртка_Чувствительность_2[[#This Row],[ССВ_2_1]],FALSE),"ошибка")),"ошибка")</f>
        <v>ошибка</v>
      </c>
      <c r="AD18"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Row],[ССвёртка]])))+AD$7),FIND("R",Свёртка_Чувствительность_2[[#This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Row],[ССвёртка]])))+AD$6),"ошибка")</f>
        <v>ошибка</v>
      </c>
      <c r="AE18" s="136" t="str">
        <f ca="1">IFERROR(IF(LEN((INDIRECT(Свёртка_Чувствительность_2[[#This Row],[ССВ_1_2]],FALSE)))=0,"ошибка",IFERROR(INDIRECT(Свёртка_Чувствительность_2[[#This Row],[ССВ_1_2]],FALSE),"ошибка")),"ошибка")</f>
        <v>ошибка</v>
      </c>
      <c r="AF18"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Row],[ССвёртка]])))+AF$7),FIND("R",Свёртка_Чувствительность_2[[#This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Row],[ССвёртка]])))+AF$6),"ошибка")</f>
        <v>ошибка</v>
      </c>
      <c r="AG18" s="136" t="str">
        <f ca="1">IFERROR(IF(LEN((INDIRECT(Свёртка_Чувствительность_2[[#This Row],[ССВ_2_2]],FALSE)))=0,"ошибка",IFERROR(INDIRECT(Свёртка_Чувствительность_2[[#This Row],[ССВ_2_2]],FALSE),"ошибка")),"ошибка")</f>
        <v>ошибка</v>
      </c>
      <c r="AH18"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Row],[ССвёртка]])))+AH$7),FIND("R",Свёртка_Чувствительность_2[[#This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Row],[ССвёртка]])))+AH$6),"ошибка")</f>
        <v>ошибка</v>
      </c>
      <c r="AI18" s="136" t="str">
        <f ca="1">IFERROR(IF(LEN((INDIRECT(Свёртка_Чувствительность_2[[#This Row],[ССВ_3_1]],FALSE)))=0,"ошибка",IFERROR(INDIRECT(Свёртка_Чувствительность_2[[#This Row],[ССВ_3_1]],FALSE),"ошибка")),"ошибка")</f>
        <v>ошибка</v>
      </c>
      <c r="AJ18"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Row],[ССвёртка]])))+AJ$7),FIND("R",Свёртка_Чувствительность_2[[#This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Row],[ССвёртка]])))+AJ$6),"ошибка")</f>
        <v>ошибка</v>
      </c>
      <c r="AK18" s="136" t="str">
        <f ca="1">IFERROR(IF(LEN((INDIRECT(Свёртка_Чувствительность_2[[#This Row],[ССВ_1_3]],FALSE)))=0,"ошибка",IFERROR(INDIRECT(Свёртка_Чувствительность_2[[#This Row],[ССВ_1_3]],FALSE),"ошибка")),"ошибка")</f>
        <v>ошибка</v>
      </c>
      <c r="AL18"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Row],[ССвёртка]])))+AL$7),FIND("R",Свёртка_Чувствительность_2[[#This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Row],[ССвёртка]])))+AL$6),"ошибка")</f>
        <v>ошибка</v>
      </c>
      <c r="AM18" s="136" t="str">
        <f ca="1">IFERROR(IF(LEN((INDIRECT(Свёртка_Чувствительность_2[[#This Row],[ССВ_3_2]],FALSE)))=0,"ошибка",IFERROR(INDIRECT(Свёртка_Чувствительность_2[[#This Row],[ССВ_3_2]],FALSE),"ошибка")),"ошибка")</f>
        <v>ошибка</v>
      </c>
      <c r="AN18"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Row],[ССвёртка]])))+AN$7),FIND("R",Свёртка_Чувствительность_2[[#This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Row],[ССвёртка]])))+AN$6),"ошибка")</f>
        <v>ошибка</v>
      </c>
      <c r="AO18" s="136" t="str">
        <f ca="1">IFERROR(IF(LEN((INDIRECT(Свёртка_Чувствительность_2[[#This Row],[ССВ_2_3]],FALSE)))=0,"ошибка",IFERROR(INDIRECT(Свёртка_Чувствительность_2[[#This Row],[ССВ_2_3]],FALSE),"ошибка")),"ошибка")</f>
        <v>ошибка</v>
      </c>
      <c r="AP18"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Row],[ССвёртка]])))+AP$7),FIND("R",Свёртка_Чувствительность_2[[#This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Row],[ССвёртка]])))+AP$6),"ошибка")</f>
        <v>ошибка</v>
      </c>
      <c r="AQ18" s="136" t="str">
        <f ca="1">IFERROR(IF(LEN((INDIRECT(Свёртка_Чувствительность_2[[#This Row],[ССВ_3_3]],FALSE)))=0,"ошибка",IFERROR(INDIRECT(Свёртка_Чувствительность_2[[#This Row],[ССВ_3_3]],FALSE),"ошибка")),"ошибка")</f>
        <v>ошибка</v>
      </c>
      <c r="AR18"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Row],[ССвёртка]])))+AR$7),FIND("R",Свёртка_Чувствительность_2[[#This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Row],[ССвёртка]])))+AR$6),"ошибка")</f>
        <v>ошибка</v>
      </c>
      <c r="AS18" s="135" t="str">
        <f ca="1">IFERROR(IF(LEN((INDIRECT(Свёртка_Чувствительность_2[[#This Row],[СЛ]],FALSE)))=0,"ошибка",IFERROR(INDIRECT(Свёртка_Чувствительность_2[[#This Row],[СЛ]],FALSE),"ошибка")),"ошибка")</f>
        <v>ошибка</v>
      </c>
      <c r="AT18"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Row],[ССвёртка]])))+AT$7),FIND("R",Свёртка_Чувствительность_2[[#This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Row],[ССвёртка]])))+AT$6),"ошибка")</f>
        <v>ошибка</v>
      </c>
      <c r="AU18" s="135" t="str">
        <f ca="1">IFERROR(_xlfn.FORMULATEXT(INDIRECT(Свёртка_Чувствительность_2[[#This Row],[СЛ]],FALSE)),"ошибка")</f>
        <v>ошибка</v>
      </c>
      <c r="AV18" s="135" t="str">
        <f ca="1">IFERROR(IF(LEN((INDIRECT(Свёртка_Чувствительность_2[[#This Row],[СП]],FALSE)))=0,"ошибка",IFERROR(INDIRECT(Свёртка_Чувствительность_2[[#This Row],[СП]],FALSE),"ошибка")),"ошибка")</f>
        <v>ошибка</v>
      </c>
      <c r="AW18"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Row],[ССвёртка]])))+AW$7),FIND("R",Свёртка_Чувствительность_2[[#This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Row],[ССвёртка]])))+AW$6),"ошибка")</f>
        <v>ошибка</v>
      </c>
      <c r="AX18" s="135" t="str">
        <f ca="1">IFERROR(_xlfn.FORMULATEXT(INDIRECT(Свёртка_Чувствительность_2[[#This Row],[СП]],FALSE)),"ошибка")</f>
        <v>ошибка</v>
      </c>
      <c r="AY18" s="66">
        <f ca="1">IF(AND(Свёртка_Чувствительность_2[[#This Row],[ВидСвёртка]]="Свёртка",CONCATENATE(LEFT(Свёртка_Чувствительность_2[[#This Row],[СВ_1_1]],1),LEFT(Свёртка_Чувствительность_2[[#This Row],[СВ_2_1]],1),LEFT(Свёртка_Чувствительность_2[[#This Row],[СВ_1_2]],1),LEFT(Свёртка_Чувствительность_2[[#This Row],[СВ_2_2]],1),LEFT(Свёртка_Чувствительность_2[[#This Row],[СВ_3_1]],1),LEFT(Свёртка_Чувствительность_2[[#This Row],[СВ_1_3]],1),LEFT(Свёртка_Чувствительность_2[[#This Row],[СВ_3_2]],1),LEFT(Свёртка_Чувствительность_2[[#This Row],[СВ_2_3]],1),LEFT(Свёртка_Чувствительность_2[[#This Row],[СВ_3_3]],1))="FFFFFFFFF",AND(Свёртка_Чувствительность_2[[#This Row],[Л]]&gt;=1,Свёртка_Чувствительность_2[[#This Row],[Л]]&lt;=4),AND(Свёртка_Чувствительность_2[[#This Row],[П]]&gt;=1,Свёртка_Чувствительность_2[[#This Row],[П]]&lt;=4)),1,-1)</f>
        <v>-1</v>
      </c>
      <c r="AZ18" s="66"/>
      <c r="BA18" s="66"/>
    </row>
    <row r="19" spans="1:53" x14ac:dyDescent="0.25">
      <c r="A19" s="66" t="e">
        <f ca="1">IF(AND(Критерий_Чувствительность_2[[#This Row],[Критерий]]&lt;&gt;"",Критерий_Чувствительность_2[[#This Row],[O.K.Критерий]]=1),ROW()-ROW(Критерий_Чувствительность_2[[#Headers],[№]]),"")</f>
        <v>#REF!</v>
      </c>
      <c r="B19" s="138" t="e">
        <f>Модель!#REF!</f>
        <v>#REF!</v>
      </c>
      <c r="C19" s="135" t="str">
        <f ca="1">IFERROR(IF(AND(Критерий_Чувствительность_2[[#This Row],[Критерий]]&gt;=1,Критерий_Чувствительность_2[[#This Row],[Критерий]]&lt;=4),IF(IFERROR(FIND("!",_xlfn.FORMULATEXT(Критерий_Чувствительность_2[[#This Row],[Критерий]])),"на странице")="на странице",CONCATENATE("R",ROW((INDIRECT(RIGHT(_xlfn.FORMULATEXT(Критерий_Чувствительность_2[[#This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Row],[Критерий]]))-1),FALSE)))-C$8),CONCATENATE(RIGHT(LEFT(_xlfn.FORMULATEXT(Критерий_Чувствительность_2[[#This Row],[Критерий]]),FIND("!",_xlfn.FORMULATEXT(Критерий_Чувствительность_2[[#This Row],[Критерий]]))),LEN(LEFT(_xlfn.FORMULATEXT(Критерий_Чувствительность_2[[#This Row],[Критерий]]),FIND("!",_xlfn.FORMULATEXT(Критерий_Чувствительность_2[[#This Row],[Критерий]]))))-1),"R",ROW((INDIRECT(RIGHT(_xlfn.FORMULATEXT(Критерий_Чувствительность_2[[#This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Row],[Критерий]]))-1),FALSE)))-C$8)),"ошибка"),"ошибка")</f>
        <v>ошибка</v>
      </c>
      <c r="D19" s="135" t="str">
        <f ca="1">IFERROR(IF(LEFT(Критерий_Чувствительность_2[[#This Row],[Фкритерий]],5)="=Прив","Критерий",IF(LEFT(Критерий_Чувствительность_2[[#This Row],[Фкритерий]],5)="=Матр","ошибка","ошибка")),"ошибка")</f>
        <v>ошибка</v>
      </c>
      <c r="E19" s="135" t="str">
        <f ca="1">IFERROR(IF(LEN((INDIRECT(Критерий_Чувствительность_2[[#This Row],[СНаименование]],FALSE)))=0,"ошибка",IFERROR(INDIRECT(Критерий_Чувствительность_2[[#This Row],[СНаименование]],FALSE),"ошибка")),"ошибка")</f>
        <v>ошибка</v>
      </c>
      <c r="F19"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Row],[Скритерий]])))+F$7),FIND("R",Критерий_Чувствительность_2[[#This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Row],[Скритерий]])))+F$6),"ошибка")</f>
        <v>ошибка</v>
      </c>
      <c r="G19" s="136" t="str">
        <f ca="1">IFERROR(IF(N(INDIRECT(Критерий_Чувствительность_2[[#This Row],[СФизКритерий]],FALSE))=0,"ошибка",IFERROR(INDIRECT(Критерий_Чувствительность_2[[#This Row],[СФизКритерий]],FALSE),"ошибка")),"ошибка")</f>
        <v>ошибка</v>
      </c>
      <c r="H19"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Row],[Скритерий]])))+H$7),FIND("R",Критерий_Чувствительность_2[[#This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Row],[Скритерий]])))+H$6),"ошибка")</f>
        <v>ошибка</v>
      </c>
      <c r="I19" s="135" t="str">
        <f ca="1">IFERROR(IF(OR(INDIRECT(Критерий_Чувствительность_2[[#This Row],[СТипКритерий]],FALSE)=Перебор!$N$58,INDIRECT(Критерий_Чувствительность_2[[#This Row],[СТипКритерий]],FALSE)=Перебор!$N$59,INDIRECT(Критерий_Чувствительность_2[[#This Row],[СТипКритерий]],FALSE)=Перебор!$N$60,INDIRECT(Критерий_Чувствительность_2[[#This Row],[СТипКритерий]],FALSE)=Перебор!$N$61),INDIRECT(Критерий_Чувствительность_2[[#This Row],[СТипКритерий]],FALSE),"ошибка"),"ошибка")</f>
        <v>ошибка</v>
      </c>
      <c r="J19"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Row],[Скритерий]])))+J$7),FIND("R",Критерий_Чувствительность_2[[#This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Row],[Скритерий]])))+J$6),"ошибка")</f>
        <v>ошибка</v>
      </c>
      <c r="K19" s="135" t="str">
        <f ca="1">IFERROR(_xlfn.FORMULATEXT(INDIRECT(Критерий_Чувствительность_2[[#This Row],[Скритерий]],FALSE)),"ошибка")</f>
        <v>ошибка</v>
      </c>
      <c r="L19" s="136" t="str">
        <f ca="1">IFERROR(IF(N(INDIRECT(Критерий_Чувствительность_2[[#This Row],[СМинФизКритерий]],FALSE))="","ошибка",IFERROR(INDIRECT(Критерий_Чувствительность_2[[#This Row],[СМинФизКритерий]],FALSE),"ошибка")),"ошибка")</f>
        <v>ошибка</v>
      </c>
      <c r="M19"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Row],[Скритерий]])))+M$7),FIND("R",Критерий_Чувствительность_2[[#This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Row],[Скритерий]])))+M$6),"ошибка")</f>
        <v>ошибка</v>
      </c>
      <c r="N19" s="136" t="str">
        <f ca="1">IFERROR(IF(N(INDIRECT(Критерий_Чувствительность_2[[#This Row],[СМаксФизКритерий]],FALSE))="","ошибка",IFERROR(INDIRECT(Критерий_Чувствительность_2[[#This Row],[СМаксФизКритерий]],FALSE),"ошибка")),"ошибка")</f>
        <v>ошибка</v>
      </c>
      <c r="O19"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Row],[Скритерий]])))+O$7),FIND("R",Критерий_Чувствительность_2[[#This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Row],[Скритерий]])))+O$6),"ошибка")</f>
        <v>ошибка</v>
      </c>
      <c r="P19" s="136" t="str">
        <f ca="1">IFERROR(IF(N(INDIRECT(Критерий_Чувствительность_2[[#This Row],[ССрФизКритерий]],FALSE))=0,"ошибка",IFERROR(INDIRECT(Критерий_Чувствительность_2[[#This Row],[ССрФизКритерий]],FALSE),"ошибка")),"")</f>
        <v/>
      </c>
      <c r="Q19" s="135" t="str">
        <f ca="1">IF(OR(Критерий_Чувствительность_2[[#This Row],[ТипКритерий]]=Перебор!$N$60,Критерий_Чувствительность_2[[#This Row],[ТипКритерий]]=Перебор!$N$61),IFERROR(REPLACE(REPLACE(Критерий_Чувствительность_2[[#This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Row],[Скритерий]])))+Q$7),FIND("R",Критерий_Чувствительность_2[[#This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Row],[Скритерий]])))+Q$6),"ошибка"),"")</f>
        <v/>
      </c>
      <c r="R19" s="66">
        <f ca="1">IFERROR(IF(AND(Критерий_Чувствительность_2[[#This Row],[ВидКритерий]]="Критерий",Критерий_Чувствительность_2[[#This Row],[Фкритерий]]="=Приведение"),1,-1),-1)</f>
        <v>-1</v>
      </c>
    </row>
    <row r="20" spans="1:53" x14ac:dyDescent="0.25">
      <c r="A20" s="66" t="e">
        <f ca="1">IF(AND(Критерий_Чувствительность_2[[#This Row],[Критерий]]&lt;&gt;"",Критерий_Чувствительность_2[[#This Row],[O.K.Критерий]]=1),ROW()-ROW(Критерий_Чувствительность_2[[#Headers],[№]]),"")</f>
        <v>#REF!</v>
      </c>
      <c r="B20" s="138" t="e">
        <f>Модель!#REF!</f>
        <v>#REF!</v>
      </c>
      <c r="C20" s="135" t="str">
        <f ca="1">IFERROR(IF(AND(Критерий_Чувствительность_2[[#This Row],[Критерий]]&gt;=1,Критерий_Чувствительность_2[[#This Row],[Критерий]]&lt;=4),IF(IFERROR(FIND("!",_xlfn.FORMULATEXT(Критерий_Чувствительность_2[[#This Row],[Критерий]])),"на странице")="на странице",CONCATENATE("R",ROW((INDIRECT(RIGHT(_xlfn.FORMULATEXT(Критерий_Чувствительность_2[[#This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Row],[Критерий]]))-1),FALSE)))-C$8),CONCATENATE(RIGHT(LEFT(_xlfn.FORMULATEXT(Критерий_Чувствительность_2[[#This Row],[Критерий]]),FIND("!",_xlfn.FORMULATEXT(Критерий_Чувствительность_2[[#This Row],[Критерий]]))),LEN(LEFT(_xlfn.FORMULATEXT(Критерий_Чувствительность_2[[#This Row],[Критерий]]),FIND("!",_xlfn.FORMULATEXT(Критерий_Чувствительность_2[[#This Row],[Критерий]]))))-1),"R",ROW((INDIRECT(RIGHT(_xlfn.FORMULATEXT(Критерий_Чувствительность_2[[#This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Row],[Критерий]]))-1),FALSE)))-C$8)),"ошибка"),"ошибка")</f>
        <v>ошибка</v>
      </c>
      <c r="D20" s="135" t="str">
        <f ca="1">IFERROR(IF(LEFT(Критерий_Чувствительность_2[[#This Row],[Фкритерий]],5)="=Прив","Критерий",IF(LEFT(Критерий_Чувствительность_2[[#This Row],[Фкритерий]],5)="=Матр","ошибка","ошибка")),"ошибка")</f>
        <v>ошибка</v>
      </c>
      <c r="E20" s="135" t="str">
        <f ca="1">IFERROR(IF(LEN((INDIRECT(Критерий_Чувствительность_2[[#This Row],[СНаименование]],FALSE)))=0,"ошибка",IFERROR(INDIRECT(Критерий_Чувствительность_2[[#This Row],[СНаименование]],FALSE),"ошибка")),"ошибка")</f>
        <v>ошибка</v>
      </c>
      <c r="F20"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Row],[Скритерий]])))+F$7),FIND("R",Критерий_Чувствительность_2[[#This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Row],[Скритерий]])))+F$6),"ошибка")</f>
        <v>ошибка</v>
      </c>
      <c r="G20" s="136" t="str">
        <f ca="1">IFERROR(IF(N(INDIRECT(Критерий_Чувствительность_2[[#This Row],[СФизКритерий]],FALSE))=0,"ошибка",IFERROR(INDIRECT(Критерий_Чувствительность_2[[#This Row],[СФизКритерий]],FALSE),"ошибка")),"ошибка")</f>
        <v>ошибка</v>
      </c>
      <c r="H20"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Row],[Скритерий]])))+H$7),FIND("R",Критерий_Чувствительность_2[[#This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Row],[Скритерий]])))+H$6),"ошибка")</f>
        <v>ошибка</v>
      </c>
      <c r="I20" s="135" t="str">
        <f ca="1">IFERROR(IF(OR(INDIRECT(Критерий_Чувствительность_2[[#This Row],[СТипКритерий]],FALSE)=Перебор!$N$58,INDIRECT(Критерий_Чувствительность_2[[#This Row],[СТипКритерий]],FALSE)=Перебор!$N$59,INDIRECT(Критерий_Чувствительность_2[[#This Row],[СТипКритерий]],FALSE)=Перебор!$N$60,INDIRECT(Критерий_Чувствительность_2[[#This Row],[СТипКритерий]],FALSE)=Перебор!$N$61),INDIRECT(Критерий_Чувствительность_2[[#This Row],[СТипКритерий]],FALSE),"ошибка"),"ошибка")</f>
        <v>ошибка</v>
      </c>
      <c r="J20"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Row],[Скритерий]])))+J$7),FIND("R",Критерий_Чувствительность_2[[#This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Row],[Скритерий]])))+J$6),"ошибка")</f>
        <v>ошибка</v>
      </c>
      <c r="K20" s="135" t="str">
        <f ca="1">IFERROR(_xlfn.FORMULATEXT(INDIRECT(Критерий_Чувствительность_2[[#This Row],[Скритерий]],FALSE)),"ошибка")</f>
        <v>ошибка</v>
      </c>
      <c r="L20" s="136" t="str">
        <f ca="1">IFERROR(IF(N(INDIRECT(Критерий_Чувствительность_2[[#This Row],[СМинФизКритерий]],FALSE))="","ошибка",IFERROR(INDIRECT(Критерий_Чувствительность_2[[#This Row],[СМинФизКритерий]],FALSE),"ошибка")),"ошибка")</f>
        <v>ошибка</v>
      </c>
      <c r="M20"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Row],[Скритерий]])))+M$7),FIND("R",Критерий_Чувствительность_2[[#This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Row],[Скритерий]])))+M$6),"ошибка")</f>
        <v>ошибка</v>
      </c>
      <c r="N20" s="136" t="str">
        <f ca="1">IFERROR(IF(N(INDIRECT(Критерий_Чувствительность_2[[#This Row],[СМаксФизКритерий]],FALSE))="","ошибка",IFERROR(INDIRECT(Критерий_Чувствительность_2[[#This Row],[СМаксФизКритерий]],FALSE),"ошибка")),"ошибка")</f>
        <v>ошибка</v>
      </c>
      <c r="O20"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Row],[Скритерий]])))+O$7),FIND("R",Критерий_Чувствительность_2[[#This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Row],[Скритерий]])))+O$6),"ошибка")</f>
        <v>ошибка</v>
      </c>
      <c r="P20" s="136" t="str">
        <f ca="1">IFERROR(IF(N(INDIRECT(Критерий_Чувствительность_2[[#This Row],[ССрФизКритерий]],FALSE))=0,"ошибка",IFERROR(INDIRECT(Критерий_Чувствительность_2[[#This Row],[ССрФизКритерий]],FALSE),"ошибка")),"")</f>
        <v/>
      </c>
      <c r="Q20" s="135" t="str">
        <f ca="1">IF(OR(Критерий_Чувствительность_2[[#This Row],[ТипКритерий]]=Перебор!$N$60,Критерий_Чувствительность_2[[#This Row],[ТипКритерий]]=Перебор!$N$61),IFERROR(REPLACE(REPLACE(Критерий_Чувствительность_2[[#This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Row],[Скритерий]])))+Q$7),FIND("R",Критерий_Чувствительность_2[[#This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Row],[Скритерий]])))+Q$6),"ошибка"),"")</f>
        <v/>
      </c>
      <c r="R20" s="66">
        <f ca="1">IFERROR(IF(AND(Критерий_Чувствительность_2[[#This Row],[ВидКритерий]]="Критерий",Критерий_Чувствительность_2[[#This Row],[Фкритерий]]="=Приведение"),1,-1),-1)</f>
        <v>-1</v>
      </c>
    </row>
    <row r="21" spans="1:53" x14ac:dyDescent="0.25">
      <c r="A21" s="66" t="e">
        <f ca="1">IF(AND(Критерий_Чувствительность_2[[#This Row],[Критерий]]&lt;&gt;"",Критерий_Чувствительность_2[[#This Row],[O.K.Критерий]]=1),ROW()-ROW(Критерий_Чувствительность_2[[#Headers],[№]]),"")</f>
        <v>#REF!</v>
      </c>
      <c r="B21" s="138" t="e">
        <f>Модель!#REF!</f>
        <v>#REF!</v>
      </c>
      <c r="C21" s="135" t="str">
        <f ca="1">IFERROR(IF(AND(Критерий_Чувствительность_2[[#This Row],[Критерий]]&gt;=1,Критерий_Чувствительность_2[[#This Row],[Критерий]]&lt;=4),IF(IFERROR(FIND("!",_xlfn.FORMULATEXT(Критерий_Чувствительность_2[[#This Row],[Критерий]])),"на странице")="на странице",CONCATENATE("R",ROW((INDIRECT(RIGHT(_xlfn.FORMULATEXT(Критерий_Чувствительность_2[[#This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Row],[Критерий]]))-1),FALSE)))-C$8),CONCATENATE(RIGHT(LEFT(_xlfn.FORMULATEXT(Критерий_Чувствительность_2[[#This Row],[Критерий]]),FIND("!",_xlfn.FORMULATEXT(Критерий_Чувствительность_2[[#This Row],[Критерий]]))),LEN(LEFT(_xlfn.FORMULATEXT(Критерий_Чувствительность_2[[#This Row],[Критерий]]),FIND("!",_xlfn.FORMULATEXT(Критерий_Чувствительность_2[[#This Row],[Критерий]]))))-1),"R",ROW((INDIRECT(RIGHT(_xlfn.FORMULATEXT(Критерий_Чувствительность_2[[#This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Row],[Критерий]]))-1),FALSE)))-C$8)),"ошибка"),"ошибка")</f>
        <v>ошибка</v>
      </c>
      <c r="D21" s="135" t="str">
        <f ca="1">IFERROR(IF(LEFT(Критерий_Чувствительность_2[[#This Row],[Фкритерий]],5)="=Прив","Критерий",IF(LEFT(Критерий_Чувствительность_2[[#This Row],[Фкритерий]],5)="=Матр","ошибка","ошибка")),"ошибка")</f>
        <v>ошибка</v>
      </c>
      <c r="E21" s="135" t="str">
        <f ca="1">IFERROR(IF(LEN((INDIRECT(Критерий_Чувствительность_2[[#This Row],[СНаименование]],FALSE)))=0,"ошибка",IFERROR(INDIRECT(Критерий_Чувствительность_2[[#This Row],[СНаименование]],FALSE),"ошибка")),"ошибка")</f>
        <v>ошибка</v>
      </c>
      <c r="F21"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Row],[Скритерий]])))+F$7),FIND("R",Критерий_Чувствительность_2[[#This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Row],[Скритерий]])))+F$6),"ошибка")</f>
        <v>ошибка</v>
      </c>
      <c r="G21" s="136" t="str">
        <f ca="1">IFERROR(IF(N(INDIRECT(Критерий_Чувствительность_2[[#This Row],[СФизКритерий]],FALSE))=0,"ошибка",IFERROR(INDIRECT(Критерий_Чувствительность_2[[#This Row],[СФизКритерий]],FALSE),"ошибка")),"ошибка")</f>
        <v>ошибка</v>
      </c>
      <c r="H21"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Row],[Скритерий]])))+H$7),FIND("R",Критерий_Чувствительность_2[[#This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Row],[Скритерий]])))+H$6),"ошибка")</f>
        <v>ошибка</v>
      </c>
      <c r="I21" s="135" t="str">
        <f ca="1">IFERROR(IF(OR(INDIRECT(Критерий_Чувствительность_2[[#This Row],[СТипКритерий]],FALSE)=Перебор!$N$58,INDIRECT(Критерий_Чувствительность_2[[#This Row],[СТипКритерий]],FALSE)=Перебор!$N$59,INDIRECT(Критерий_Чувствительность_2[[#This Row],[СТипКритерий]],FALSE)=Перебор!$N$60,INDIRECT(Критерий_Чувствительность_2[[#This Row],[СТипКритерий]],FALSE)=Перебор!$N$61),INDIRECT(Критерий_Чувствительность_2[[#This Row],[СТипКритерий]],FALSE),"ошибка"),"ошибка")</f>
        <v>ошибка</v>
      </c>
      <c r="J21"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Row],[Скритерий]])))+J$7),FIND("R",Критерий_Чувствительность_2[[#This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Row],[Скритерий]])))+J$6),"ошибка")</f>
        <v>ошибка</v>
      </c>
      <c r="K21" s="135" t="str">
        <f ca="1">IFERROR(_xlfn.FORMULATEXT(INDIRECT(Критерий_Чувствительность_2[[#This Row],[Скритерий]],FALSE)),"ошибка")</f>
        <v>ошибка</v>
      </c>
      <c r="L21" s="136" t="str">
        <f ca="1">IFERROR(IF(N(INDIRECT(Критерий_Чувствительность_2[[#This Row],[СМинФизКритерий]],FALSE))="","ошибка",IFERROR(INDIRECT(Критерий_Чувствительность_2[[#This Row],[СМинФизКритерий]],FALSE),"ошибка")),"ошибка")</f>
        <v>ошибка</v>
      </c>
      <c r="M21"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Row],[Скритерий]])))+M$7),FIND("R",Критерий_Чувствительность_2[[#This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Row],[Скритерий]])))+M$6),"ошибка")</f>
        <v>ошибка</v>
      </c>
      <c r="N21" s="136" t="str">
        <f ca="1">IFERROR(IF(N(INDIRECT(Критерий_Чувствительность_2[[#This Row],[СМаксФизКритерий]],FALSE))="","ошибка",IFERROR(INDIRECT(Критерий_Чувствительность_2[[#This Row],[СМаксФизКритерий]],FALSE),"ошибка")),"ошибка")</f>
        <v>ошибка</v>
      </c>
      <c r="O21"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Row],[Скритерий]])))+O$7),FIND("R",Критерий_Чувствительность_2[[#This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Row],[Скритерий]])))+O$6),"ошибка")</f>
        <v>ошибка</v>
      </c>
      <c r="P21" s="136" t="str">
        <f ca="1">IFERROR(IF(N(INDIRECT(Критерий_Чувствительность_2[[#This Row],[ССрФизКритерий]],FALSE))=0,"ошибка",IFERROR(INDIRECT(Критерий_Чувствительность_2[[#This Row],[ССрФизКритерий]],FALSE),"ошибка")),"")</f>
        <v/>
      </c>
      <c r="Q21" s="135" t="str">
        <f ca="1">IF(OR(Критерий_Чувствительность_2[[#This Row],[ТипКритерий]]=Перебор!$N$60,Критерий_Чувствительность_2[[#This Row],[ТипКритерий]]=Перебор!$N$61),IFERROR(REPLACE(REPLACE(Критерий_Чувствительность_2[[#This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Row],[Скритерий]])))+Q$7),FIND("R",Критерий_Чувствительность_2[[#This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Row],[Скритерий]])))+Q$6),"ошибка"),"")</f>
        <v/>
      </c>
      <c r="R21" s="66">
        <f ca="1">IFERROR(IF(AND(Критерий_Чувствительность_2[[#This Row],[ВидКритерий]]="Критерий",Критерий_Чувствительность_2[[#This Row],[Фкритерий]]="=Приведение"),1,-1),-1)</f>
        <v>-1</v>
      </c>
    </row>
  </sheetData>
  <conditionalFormatting sqref="B10">
    <cfRule type="cellIs" dxfId="1660" priority="18" stopIfTrue="1" operator="notBetween">
      <formula>1</formula>
      <formula>4</formula>
    </cfRule>
  </conditionalFormatting>
  <conditionalFormatting sqref="R10:R17">
    <cfRule type="iconSet" priority="19">
      <iconSet showValue="0">
        <cfvo type="percent" val="0"/>
        <cfvo type="num" val="0"/>
        <cfvo type="num" val="1"/>
      </iconSet>
    </cfRule>
  </conditionalFormatting>
  <conditionalFormatting sqref="U10">
    <cfRule type="cellIs" dxfId="1659" priority="20" stopIfTrue="1" operator="notBetween">
      <formula>1</formula>
      <formula>4</formula>
    </cfRule>
  </conditionalFormatting>
  <conditionalFormatting sqref="AY10:BA10">
    <cfRule type="iconSet" priority="21">
      <iconSet showValue="0">
        <cfvo type="percent" val="0"/>
        <cfvo type="num" val="0"/>
        <cfvo type="num" val="1"/>
      </iconSet>
    </cfRule>
  </conditionalFormatting>
  <conditionalFormatting sqref="B11:B17">
    <cfRule type="cellIs" dxfId="1658" priority="17" stopIfTrue="1" operator="notBetween">
      <formula>1</formula>
      <formula>4</formula>
    </cfRule>
  </conditionalFormatting>
  <conditionalFormatting sqref="U11:U18">
    <cfRule type="cellIs" dxfId="1657" priority="15" stopIfTrue="1" operator="notBetween">
      <formula>1</formula>
      <formula>4</formula>
    </cfRule>
  </conditionalFormatting>
  <conditionalFormatting sqref="AY11:BA18">
    <cfRule type="iconSet" priority="16">
      <iconSet showValue="0">
        <cfvo type="percent" val="0"/>
        <cfvo type="num" val="0"/>
        <cfvo type="num" val="1"/>
      </iconSet>
    </cfRule>
  </conditionalFormatting>
  <conditionalFormatting sqref="BQ10:CO11">
    <cfRule type="expression" dxfId="1656" priority="14">
      <formula>IF(AND(LEN($BL10)&gt;0,LEN($BL10)-LEN(SUBSTITUTE($BL10,";",""))+1&gt;=COLUMN()-68),0,1)</formula>
    </cfRule>
  </conditionalFormatting>
  <conditionalFormatting sqref="BD10:BH11 BJ10:BJ11 BL10:BL11">
    <cfRule type="containsBlanks" dxfId="1655" priority="23">
      <formula>LEN(TRIM(BD10))=0</formula>
    </cfRule>
  </conditionalFormatting>
  <conditionalFormatting sqref="BM10:BN11 BK10:BK11 BI10:BI11">
    <cfRule type="iconSet" priority="12">
      <iconSet showValue="0">
        <cfvo type="percent" val="0"/>
        <cfvo type="num" val="0"/>
        <cfvo type="num" val="0" gte="0"/>
      </iconSet>
    </cfRule>
  </conditionalFormatting>
  <conditionalFormatting sqref="R18:R21">
    <cfRule type="iconSet" priority="8">
      <iconSet showValue="0">
        <cfvo type="percent" val="0"/>
        <cfvo type="num" val="0"/>
        <cfvo type="num" val="1"/>
      </iconSet>
    </cfRule>
  </conditionalFormatting>
  <conditionalFormatting sqref="B18:B21">
    <cfRule type="cellIs" dxfId="1654" priority="7" stopIfTrue="1" operator="notBetween">
      <formula>1</formula>
      <formula>4</formula>
    </cfRule>
  </conditionalFormatting>
  <dataValidations count="7">
    <dataValidation type="list" allowBlank="1" showInputMessage="1" showErrorMessage="1" sqref="BH10:BH11" xr:uid="{00000000-0002-0000-0400-000000000000}">
      <formula1>INDIRECT("Свёртка_Чувствительность_2[№]")</formula1>
    </dataValidation>
    <dataValidation type="list" allowBlank="1" showInputMessage="1" showErrorMessage="1" sqref="BD10:BD11" xr:uid="{00000000-0002-0000-0400-000001000000}">
      <formula1>"Качественные, Количественные"</formula1>
    </dataValidation>
    <dataValidation type="list" allowBlank="1" showInputMessage="1" showErrorMessage="1" sqref="BL10:BL11 BJ10:BJ11" xr:uid="{00000000-0002-0000-0400-000002000000}">
      <formula1>INDIRECT("Критерий_Чувствительность_2[№]")</formula1>
    </dataValidation>
    <dataValidation type="list" allowBlank="1" showInputMessage="1" showErrorMessage="1" sqref="BF10:BF11" xr:uid="{00000000-0002-0000-0400-000003000000}">
      <formula1>"Стандарт, Спрос, Предложение"</formula1>
    </dataValidation>
    <dataValidation type="whole" allowBlank="1" showInputMessage="1" showErrorMessage="1" sqref="BI10:BI11 BK10:BK11 BM10:BN11" xr:uid="{00000000-0002-0000-0400-000004000000}">
      <formula1>-1</formula1>
      <formula2>1</formula2>
    </dataValidation>
    <dataValidation type="decimal" allowBlank="1" showInputMessage="1" showErrorMessage="1" sqref="BE10:BE11" xr:uid="{00000000-0002-0000-0400-000005000000}">
      <formula1>-1E+25</formula1>
      <formula2>1E+24</formula2>
    </dataValidation>
    <dataValidation type="decimal" allowBlank="1" showInputMessage="1" showErrorMessage="1" sqref="BO10:BP11" xr:uid="{00000000-0002-0000-0400-000006000000}">
      <formula1>-1E+37</formula1>
      <formula2>1E+38</formula2>
    </dataValidation>
  </dataValidations>
  <pageMargins left="0.7" right="0.7" top="0.75" bottom="0.75" header="0.3" footer="0.3"/>
  <pageSetup paperSize="9" orientation="portrait" horizontalDpi="4294967295" verticalDpi="4294967295" r:id="rId1"/>
  <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Лист1211"/>
  <dimension ref="A1:BL1009"/>
  <sheetViews>
    <sheetView topLeftCell="B9" zoomScale="85" zoomScaleNormal="85" workbookViewId="0">
      <selection activeCell="AD12" sqref="AD12"/>
    </sheetView>
  </sheetViews>
  <sheetFormatPr defaultRowHeight="15" outlineLevelRow="1" x14ac:dyDescent="0.25"/>
  <cols>
    <col min="1" max="1" width="8.85546875" hidden="1" customWidth="1"/>
    <col min="2" max="2" width="4.7109375" customWidth="1"/>
    <col min="3" max="3" width="11.28515625" customWidth="1"/>
    <col min="4" max="4" width="13.28515625" hidden="1" customWidth="1"/>
    <col min="5" max="5" width="15.42578125" customWidth="1"/>
    <col min="6" max="6" width="23.42578125" style="66" customWidth="1"/>
    <col min="7" max="7" width="15.42578125" hidden="1" customWidth="1"/>
    <col min="8" max="8" width="15.5703125" hidden="1" customWidth="1"/>
    <col min="9" max="9" width="16.7109375" hidden="1" customWidth="1"/>
    <col min="10" max="10" width="15.28515625" hidden="1" customWidth="1"/>
    <col min="11" max="11" width="16.42578125" hidden="1" customWidth="1"/>
    <col min="12" max="12" width="13.5703125" hidden="1" customWidth="1"/>
    <col min="13" max="13" width="19.5703125" hidden="1" customWidth="1"/>
    <col min="14" max="14" width="20.7109375" hidden="1" customWidth="1"/>
    <col min="15" max="15" width="20.28515625" hidden="1" customWidth="1"/>
    <col min="16" max="16" width="21.28515625" hidden="1" customWidth="1"/>
    <col min="17" max="17" width="17.7109375" hidden="1" customWidth="1"/>
    <col min="18" max="18" width="18.85546875" hidden="1" customWidth="1"/>
    <col min="19" max="19" width="4.7109375" customWidth="1"/>
    <col min="20" max="20" width="3.7109375" customWidth="1"/>
    <col min="21" max="21" width="4.7109375" customWidth="1"/>
    <col min="22" max="22" width="10.140625" customWidth="1"/>
    <col min="23" max="23" width="15.7109375" hidden="1" customWidth="1"/>
    <col min="24" max="24" width="16.140625" hidden="1" customWidth="1"/>
    <col min="25" max="26" width="18" customWidth="1"/>
    <col min="27" max="27" width="18" hidden="1" customWidth="1"/>
    <col min="28" max="28" width="4.7109375" customWidth="1"/>
    <col min="32" max="32" width="8.85546875" customWidth="1"/>
    <col min="33" max="33" width="7.7109375" style="66" customWidth="1"/>
    <col min="34" max="34" width="10.5703125" customWidth="1"/>
    <col min="35" max="35" width="13.28515625" style="66" customWidth="1"/>
    <col min="36" max="36" width="3.5703125" customWidth="1"/>
    <col min="37" max="37" width="21.5703125" style="66" customWidth="1"/>
    <col min="38" max="38" width="4.28515625" style="66" customWidth="1"/>
    <col min="39" max="39" width="8.85546875" customWidth="1"/>
  </cols>
  <sheetData>
    <row r="1" spans="1:64" hidden="1" outlineLevel="1" x14ac:dyDescent="0.25">
      <c r="A1" t="s">
        <v>461</v>
      </c>
      <c r="D1" t="s">
        <v>461</v>
      </c>
      <c r="G1" t="s">
        <v>461</v>
      </c>
      <c r="H1" t="s">
        <v>461</v>
      </c>
      <c r="I1" t="s">
        <v>461</v>
      </c>
      <c r="J1" t="s">
        <v>461</v>
      </c>
      <c r="K1" t="s">
        <v>461</v>
      </c>
      <c r="L1" t="s">
        <v>461</v>
      </c>
      <c r="M1" t="s">
        <v>461</v>
      </c>
      <c r="N1" t="s">
        <v>461</v>
      </c>
      <c r="O1" t="s">
        <v>461</v>
      </c>
      <c r="P1" t="s">
        <v>461</v>
      </c>
      <c r="Q1" t="s">
        <v>461</v>
      </c>
      <c r="R1" t="s">
        <v>461</v>
      </c>
      <c r="W1" t="s">
        <v>461</v>
      </c>
      <c r="X1" t="s">
        <v>461</v>
      </c>
      <c r="AA1" t="s">
        <v>461</v>
      </c>
      <c r="AJ1" t="s">
        <v>461</v>
      </c>
      <c r="AL1" s="66" t="s">
        <v>461</v>
      </c>
    </row>
    <row r="2" spans="1:64" hidden="1" outlineLevel="1" x14ac:dyDescent="0.25">
      <c r="A2" t="s">
        <v>461</v>
      </c>
      <c r="C2" t="s">
        <v>364</v>
      </c>
      <c r="E2">
        <f>ROWS(Критерий[])</f>
        <v>114</v>
      </c>
      <c r="V2" t="s">
        <v>364</v>
      </c>
      <c r="X2">
        <f>ROWS(Свёртка[])</f>
        <v>57</v>
      </c>
      <c r="AH2" t="s">
        <v>444</v>
      </c>
      <c r="AK2" s="66">
        <f>SUMIF(Множество[Y],1)</f>
        <v>349</v>
      </c>
    </row>
    <row r="3" spans="1:64" hidden="1" outlineLevel="1" x14ac:dyDescent="0.25">
      <c r="A3" t="s">
        <v>461</v>
      </c>
      <c r="C3" t="s">
        <v>365</v>
      </c>
      <c r="E3">
        <f ca="1">COUNTIF(Критерий[Критерий],"&gt;=1")-COUNTIF(Критерий[Критерий],"&gt;4")</f>
        <v>2</v>
      </c>
      <c r="V3" t="s">
        <v>365</v>
      </c>
      <c r="X3">
        <f ca="1">COUNTIF(Свёртка[Свёртка],"&gt;=1")-COUNTIF(Свёртка[Свёртка],"&gt;4")</f>
        <v>1</v>
      </c>
      <c r="AH3" t="s">
        <v>445</v>
      </c>
      <c r="AK3" s="66">
        <f>ROWS(Множество[Свёртка])</f>
        <v>1000</v>
      </c>
      <c r="AM3">
        <f>ROWS(Множество[Критерии])</f>
        <v>1000</v>
      </c>
    </row>
    <row r="4" spans="1:64" hidden="1" outlineLevel="1" x14ac:dyDescent="0.25">
      <c r="A4" t="s">
        <v>461</v>
      </c>
      <c r="C4" t="s">
        <v>447</v>
      </c>
      <c r="E4">
        <f ca="1">COUNTIF(Критерий[O.K.Критерий],1)</f>
        <v>2</v>
      </c>
      <c r="V4" t="s">
        <v>447</v>
      </c>
      <c r="X4">
        <f ca="1">COUNTIF(Свёртка[O.K.Свёртка],1)</f>
        <v>1</v>
      </c>
      <c r="AH4" t="s">
        <v>446</v>
      </c>
      <c r="AK4" s="66">
        <f>SUMIF(Множество[_],1)</f>
        <v>1000</v>
      </c>
      <c r="AM4">
        <f>SUMIF(Множество[__],1)</f>
        <v>1000</v>
      </c>
    </row>
    <row r="5" spans="1:64" hidden="1" outlineLevel="1" x14ac:dyDescent="0.25">
      <c r="A5" t="s">
        <v>461</v>
      </c>
    </row>
    <row r="6" spans="1:64" hidden="1" outlineLevel="1" x14ac:dyDescent="0.25">
      <c r="A6" t="s">
        <v>461</v>
      </c>
      <c r="G6">
        <v>-2</v>
      </c>
      <c r="I6">
        <v>1</v>
      </c>
      <c r="K6">
        <v>-1</v>
      </c>
      <c r="N6">
        <v>1</v>
      </c>
      <c r="P6">
        <v>1</v>
      </c>
      <c r="R6">
        <v>1</v>
      </c>
      <c r="W6">
        <f>V6+1</f>
        <v>1</v>
      </c>
      <c r="X6">
        <f t="shared" ref="X6:Y8" si="0">W6+1</f>
        <v>2</v>
      </c>
      <c r="Y6">
        <f t="shared" si="0"/>
        <v>3</v>
      </c>
      <c r="Z6">
        <f>Y6+1</f>
        <v>4</v>
      </c>
      <c r="AA6">
        <v>-3</v>
      </c>
    </row>
    <row r="7" spans="1:64" hidden="1" outlineLevel="1" x14ac:dyDescent="0.25">
      <c r="A7" t="s">
        <v>461</v>
      </c>
      <c r="G7">
        <v>-3</v>
      </c>
      <c r="I7">
        <v>0</v>
      </c>
      <c r="K7">
        <v>-3</v>
      </c>
      <c r="N7">
        <v>-3</v>
      </c>
      <c r="P7">
        <v>-1</v>
      </c>
      <c r="R7">
        <v>-2</v>
      </c>
      <c r="W7">
        <f>V7+1</f>
        <v>1</v>
      </c>
      <c r="X7">
        <f t="shared" si="0"/>
        <v>2</v>
      </c>
      <c r="Y7">
        <f t="shared" si="0"/>
        <v>3</v>
      </c>
      <c r="Z7">
        <f>Y7+1</f>
        <v>4</v>
      </c>
      <c r="AA7">
        <v>0</v>
      </c>
    </row>
    <row r="8" spans="1:64" ht="15.75" hidden="1" outlineLevel="1" thickBot="1" x14ac:dyDescent="0.3">
      <c r="A8" t="s">
        <v>461</v>
      </c>
      <c r="D8">
        <v>1</v>
      </c>
      <c r="E8">
        <v>2</v>
      </c>
      <c r="F8" s="66">
        <v>3</v>
      </c>
      <c r="G8">
        <v>4</v>
      </c>
      <c r="H8">
        <v>5</v>
      </c>
      <c r="I8">
        <v>6</v>
      </c>
      <c r="J8">
        <v>7</v>
      </c>
      <c r="K8">
        <v>8</v>
      </c>
      <c r="L8">
        <v>9</v>
      </c>
      <c r="M8">
        <v>10</v>
      </c>
      <c r="N8">
        <v>11</v>
      </c>
      <c r="O8">
        <v>12</v>
      </c>
      <c r="P8">
        <v>13</v>
      </c>
      <c r="Q8">
        <v>14</v>
      </c>
      <c r="R8">
        <v>15</v>
      </c>
      <c r="W8">
        <f>V8+1</f>
        <v>1</v>
      </c>
      <c r="X8">
        <f t="shared" si="0"/>
        <v>2</v>
      </c>
      <c r="Y8">
        <f t="shared" si="0"/>
        <v>3</v>
      </c>
      <c r="Z8">
        <f>Y8+1</f>
        <v>4</v>
      </c>
      <c r="AA8">
        <f>Z8+1</f>
        <v>5</v>
      </c>
    </row>
    <row r="9" spans="1:64" ht="15.75" collapsed="1" thickBot="1" x14ac:dyDescent="0.3">
      <c r="B9" s="87" t="s">
        <v>395</v>
      </c>
      <c r="C9" s="87" t="s">
        <v>396</v>
      </c>
      <c r="D9" s="87" t="s">
        <v>397</v>
      </c>
      <c r="E9" s="87" t="s">
        <v>409</v>
      </c>
      <c r="F9" s="87" t="s">
        <v>456</v>
      </c>
      <c r="G9" s="87" t="s">
        <v>457</v>
      </c>
      <c r="H9" s="87" t="s">
        <v>398</v>
      </c>
      <c r="I9" s="87" t="s">
        <v>399</v>
      </c>
      <c r="J9" s="87" t="s">
        <v>400</v>
      </c>
      <c r="K9" s="87" t="s">
        <v>401</v>
      </c>
      <c r="L9" s="87" t="s">
        <v>402</v>
      </c>
      <c r="M9" s="87" t="s">
        <v>403</v>
      </c>
      <c r="N9" s="87" t="s">
        <v>404</v>
      </c>
      <c r="O9" s="87" t="s">
        <v>405</v>
      </c>
      <c r="P9" s="87" t="s">
        <v>406</v>
      </c>
      <c r="Q9" s="87" t="s">
        <v>407</v>
      </c>
      <c r="R9" s="87" t="s">
        <v>408</v>
      </c>
      <c r="S9" s="86" t="s">
        <v>410</v>
      </c>
      <c r="U9" s="88" t="s">
        <v>395</v>
      </c>
      <c r="V9" s="89" t="s">
        <v>411</v>
      </c>
      <c r="W9" s="89" t="s">
        <v>414</v>
      </c>
      <c r="X9" s="89" t="s">
        <v>412</v>
      </c>
      <c r="Y9" s="89" t="s">
        <v>413</v>
      </c>
      <c r="Z9" s="89" t="s">
        <v>456</v>
      </c>
      <c r="AA9" s="89" t="s">
        <v>457</v>
      </c>
      <c r="AB9" s="90" t="s">
        <v>415</v>
      </c>
      <c r="AG9" s="66" t="s">
        <v>395</v>
      </c>
      <c r="AH9" s="66" t="s">
        <v>416</v>
      </c>
      <c r="AI9" s="66" t="s">
        <v>411</v>
      </c>
      <c r="AJ9" s="66" t="s">
        <v>441</v>
      </c>
      <c r="AK9" s="66" t="s">
        <v>417</v>
      </c>
      <c r="AL9" s="66" t="s">
        <v>442</v>
      </c>
      <c r="AM9" s="66" t="s">
        <v>443</v>
      </c>
      <c r="AN9" s="5" t="s">
        <v>100</v>
      </c>
      <c r="AO9" s="5" t="s">
        <v>101</v>
      </c>
      <c r="AP9" s="5" t="s">
        <v>418</v>
      </c>
      <c r="AQ9" s="5" t="s">
        <v>419</v>
      </c>
      <c r="AR9" s="5" t="s">
        <v>420</v>
      </c>
      <c r="AS9" s="5" t="s">
        <v>421</v>
      </c>
      <c r="AT9" s="5" t="s">
        <v>422</v>
      </c>
      <c r="AU9" s="5" t="s">
        <v>423</v>
      </c>
      <c r="AV9" s="5" t="s">
        <v>424</v>
      </c>
      <c r="AW9" s="5" t="s">
        <v>425</v>
      </c>
      <c r="AX9" s="5" t="s">
        <v>426</v>
      </c>
      <c r="AY9" s="5" t="s">
        <v>427</v>
      </c>
      <c r="AZ9" s="5" t="s">
        <v>428</v>
      </c>
      <c r="BA9" s="5" t="s">
        <v>429</v>
      </c>
      <c r="BB9" s="5" t="s">
        <v>430</v>
      </c>
      <c r="BC9" s="5" t="s">
        <v>431</v>
      </c>
      <c r="BD9" s="5" t="s">
        <v>432</v>
      </c>
      <c r="BE9" s="5" t="s">
        <v>433</v>
      </c>
      <c r="BF9" s="5" t="s">
        <v>434</v>
      </c>
      <c r="BG9" s="5" t="s">
        <v>435</v>
      </c>
      <c r="BH9" s="5" t="s">
        <v>436</v>
      </c>
      <c r="BI9" s="5" t="s">
        <v>437</v>
      </c>
      <c r="BJ9" s="5" t="s">
        <v>438</v>
      </c>
      <c r="BK9" s="5" t="s">
        <v>439</v>
      </c>
      <c r="BL9" s="5" t="s">
        <v>440</v>
      </c>
    </row>
    <row r="10" spans="1:64" x14ac:dyDescent="0.25">
      <c r="B10" s="66">
        <f ca="1">IF(AND(Критерий[[#This Row],[Критерий]]&lt;&gt;"",Критерий[[#This Row],[O.K.Критерий]]=1),ROW()-ROW(Критерий[[#Headers],[№]]),"")</f>
        <v>1</v>
      </c>
      <c r="C10" s="84">
        <f ca="1">Модель!CG9</f>
        <v>2.7142857142857144</v>
      </c>
      <c r="D10"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Модель!R9C85</v>
      </c>
      <c r="E10" t="str">
        <f ca="1">IFERROR(IF(IFERROR(SEARCH("Прив",Критерий[[#This Row],[Фкритерий]]),0)&gt;0,"Критерий",IF(IFERROR(SEARCH("Матр",Критерий[[#This Row],[Фкритерий]]),0)&gt;0,"ошибка","ошибка")),"ошибка")</f>
        <v>Критерий</v>
      </c>
      <c r="F10" s="66">
        <f ca="1">IFERROR(IF(LEN((INDIRECT(Критерий[[#This Row],[СНаименование]],FALSE)))=0,"ошибка",IFERROR(INDIRECT(Критерий[[#This Row],[СНаименование]],FALSE),"ошибка")),"ошибка")</f>
        <v>1</v>
      </c>
      <c r="G10"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Модель!R7C82</v>
      </c>
      <c r="H10">
        <f ca="1">IFERROR(IF(N(INDIRECT(Критерий[[#This Row],[СФизКритерий]],FALSE))=0,"ошибка",IFERROR(INDIRECT(Критерий[[#This Row],[СФизКритерий]],FALSE),"ошибка")),"ошибка")</f>
        <v>10</v>
      </c>
      <c r="I10"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Модель!R10C85</v>
      </c>
      <c r="J10"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Опт. в макс.</v>
      </c>
      <c r="K10"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Модель!R8C82</v>
      </c>
      <c r="L10" t="str">
        <f ca="1">IFERROR(_xlfn.FORMULATEXT(INDIRECT(Критерий[[#This Row],[Скритерий]],FALSE)),"ошибка")</f>
        <v>=Приведение</v>
      </c>
      <c r="M10">
        <f ca="1">IFERROR(IF(N(INDIRECT(Критерий[[#This Row],[СМинФизКритерий]],FALSE))=0,"ошибка",IFERROR(INDIRECT(Критерий[[#This Row],[СМинФизКритерий]],FALSE),"ошибка")),"ошибка")</f>
        <v>-20</v>
      </c>
      <c r="N10"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Модель!R10C82</v>
      </c>
      <c r="O10">
        <f ca="1">IFERROR(IF(N(INDIRECT(Критерий[[#This Row],[СМаксФизКритерий]],FALSE))=0,"ошибка",IFERROR(INDIRECT(Критерий[[#This Row],[СМаксФизКритерий]],FALSE),"ошибка")),"ошибка")</f>
        <v>20</v>
      </c>
      <c r="P10"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Модель!R10C84</v>
      </c>
      <c r="Q10">
        <f ca="1">IFERROR(IF(N(INDIRECT(Критерий[[#This Row],[ССрФизКритерий]],FALSE))=0,"ошибка",IFERROR(INDIRECT(Критерий[[#This Row],[ССрФизКритерий]],FALSE),"ошибка")),"")</f>
        <v>2.5</v>
      </c>
      <c r="R10"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Модель!R10C83</v>
      </c>
      <c r="S10" s="67">
        <f ca="1">IFERROR(IF(AND(Критерий[[#This Row],[ВидКритерий]]="Критерий",IFERROR(SEARCH("Приведение",Критерий[[#This Row],[Фкритерий]]),0)&gt;0),1,-1),-1)</f>
        <v>1</v>
      </c>
      <c r="U10" s="66">
        <f ca="1">IF(AND(Свёртка[[#This Row],[Свёртка]]&lt;&gt;"",Свёртка[[#This Row],[O.K.Свёртка]]=1),ROW()-ROW(Свёртка[[#Headers],[№]]),"")</f>
        <v>1</v>
      </c>
      <c r="V10" s="84">
        <f ca="1">Модель!CF5</f>
        <v>2.63</v>
      </c>
      <c r="W10" s="85"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Модель!R5C84</v>
      </c>
      <c r="X10" s="85" t="str">
        <f ca="1">IFERROR(_xlfn.FORMULATEXT(INDIRECT(Свёртка[[#This Row],[ССвёртка]],FALSE)),"ошибка")</f>
        <v>=Матрица_Расчёт</v>
      </c>
      <c r="Y10" s="85" t="str">
        <f ca="1">IFERROR(IF(IFERROR(SEARCH("Прив",Свёртка[[#This Row],[ФСвёртка]]),0)&gt;0,"ошибка",IF(IFERROR(SEARCH("Матр",Свёртка[[#This Row],[ФСвёртка]]),0)&gt;0,"Свёртка","ошибка")),"ошибка")</f>
        <v>Свёртка</v>
      </c>
      <c r="Z10" s="123">
        <f ca="1">IFERROR(IF(LEN((INDIRECT(Свёртка[[#This Row],[СНаименование]],FALSE)))=0,"ошибка",IFERROR(INDIRECT(Свёртка[[#This Row],[СНаименование]],FALSE),"ошибка")),"ошибка")</f>
        <v>0</v>
      </c>
      <c r="AA10" s="123"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Модель!R2C84</v>
      </c>
      <c r="AB10" s="67">
        <f ca="1">IF(Свёртка[[#This Row],[ВидСвёртка]]="Свёртка",1,-1)</f>
        <v>1</v>
      </c>
      <c r="AG10" s="66">
        <f>IF(AND(Множество[[#This Row],[Y]]=1),ROW()-ROW(Множество[[#Headers],[№]]),"")</f>
        <v>1</v>
      </c>
      <c r="AH10" t="s">
        <v>608</v>
      </c>
      <c r="AI10" s="66">
        <v>1</v>
      </c>
      <c r="AJ10" s="66">
        <f>IF(LEN(Множество[[#This Row],[Свёртка]])&gt;0,1,-1)</f>
        <v>1</v>
      </c>
      <c r="AK10" s="66" t="s">
        <v>1781</v>
      </c>
      <c r="AL10" s="66">
        <f>IF(LEN(Множество[[#This Row],[Критерии]])&gt;0,1,-1)</f>
        <v>1</v>
      </c>
      <c r="AM10" s="66">
        <f>IF(AND(LEN(Множество[[#This Row],[Свёртка]])&gt;0,LEN(Множество[[#This Row],[Критерии]])&gt;0,LEN(Множество[[#This Row],[Оценки]])&gt;0),1,-1)</f>
        <v>1</v>
      </c>
      <c r="AN10">
        <v>7.1666666666666696</v>
      </c>
      <c r="AO10">
        <v>-12.533333333333299</v>
      </c>
      <c r="AP10" s="208"/>
      <c r="AQ10" s="208"/>
      <c r="AR10" s="228"/>
      <c r="AS10" s="227"/>
      <c r="AT10" s="227"/>
      <c r="AU10" s="227"/>
      <c r="AV10" s="227"/>
      <c r="AW10" s="227"/>
      <c r="AX10" s="227"/>
      <c r="AY10" s="227"/>
    </row>
    <row r="11" spans="1:64" x14ac:dyDescent="0.25">
      <c r="B11" s="66">
        <f ca="1">IF(AND(Критерий[[#This Row],[Критерий]]&lt;&gt;"",Критерий[[#This Row],[O.K.Критерий]]=1),ROW()-ROW(Критерий[[#Headers],[№]]),"")</f>
        <v>2</v>
      </c>
      <c r="C11" s="84">
        <f ca="1">Модель!CN9</f>
        <v>2.5</v>
      </c>
      <c r="D11"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Модель!R9C92</v>
      </c>
      <c r="E11" t="str">
        <f ca="1">IFERROR(IF(IFERROR(SEARCH("Прив",Критерий[[#This Row],[Фкритерий]]),0)&gt;0,"Критерий",IF(IFERROR(SEARCH("Матр",Критерий[[#This Row],[Фкритерий]]),0)&gt;0,"ошибка","ошибка")),"ошибка")</f>
        <v>Критерий</v>
      </c>
      <c r="F11" s="66" t="str">
        <f ca="1">IFERROR(IF(LEN((INDIRECT(Критерий[[#This Row],[СНаименование]],FALSE)))=0,"ошибка",IFERROR(INDIRECT(Критерий[[#This Row],[СНаименование]],FALSE),"ошибка")),"ошибка")</f>
        <v>ошибка</v>
      </c>
      <c r="G11"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Модель!R7C89</v>
      </c>
      <c r="H11">
        <f ca="1">IFERROR(IF(N(INDIRECT(Критерий[[#This Row],[СФизКритерий]],FALSE))=0,"ошибка",IFERROR(INDIRECT(Критерий[[#This Row],[СФизКритерий]],FALSE),"ошибка")),"ошибка")</f>
        <v>-12.5</v>
      </c>
      <c r="I11"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Модель!R10C92</v>
      </c>
      <c r="J11"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Опт. в мин.</v>
      </c>
      <c r="K11"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Модель!R8C89</v>
      </c>
      <c r="L11" t="str">
        <f ca="1">IFERROR(_xlfn.FORMULATEXT(INDIRECT(Критерий[[#This Row],[Скритерий]],FALSE)),"ошибка")</f>
        <v>=Приведение</v>
      </c>
      <c r="M11">
        <f ca="1">IFERROR(IF(N(INDIRECT(Критерий[[#This Row],[СМинФизКритерий]],FALSE))=0,"ошибка",IFERROR(INDIRECT(Критерий[[#This Row],[СМинФизКритерий]],FALSE),"ошибка")),"ошибка")</f>
        <v>-10</v>
      </c>
      <c r="N11"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Модель!R10C89</v>
      </c>
      <c r="O11">
        <f ca="1">IFERROR(IF(N(INDIRECT(Критерий[[#This Row],[СМаксФизКритерий]],FALSE))=0,"ошибка",IFERROR(INDIRECT(Критерий[[#This Row],[СМаксФизКритерий]],FALSE),"ошибка")),"ошибка")</f>
        <v>-20</v>
      </c>
      <c r="P11"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Модель!R10C91</v>
      </c>
      <c r="Q11">
        <f ca="1">IFERROR(IF(N(INDIRECT(Критерий[[#This Row],[ССрФизКритерий]],FALSE))=0,"ошибка",IFERROR(INDIRECT(Критерий[[#This Row],[ССрФизКритерий]],FALSE),"ошибка")),"")</f>
        <v>-15</v>
      </c>
      <c r="R11"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Модель!R10C90</v>
      </c>
      <c r="S11" s="67">
        <f ca="1">IFERROR(IF(AND(Критерий[[#This Row],[ВидКритерий]]="Критерий",IFERROR(SEARCH("Приведение",Критерий[[#This Row],[Фкритерий]]),0)&gt;0),1,-1),-1)</f>
        <v>1</v>
      </c>
      <c r="U11" s="66" t="str">
        <f ca="1">IF(AND(Свёртка[[#This Row],[Свёртка]]&lt;&gt;"",Свёртка[[#This Row],[O.K.Свёртка]]=1),ROW()-ROW(Свёртка[[#Headers],[№]]),"")</f>
        <v/>
      </c>
      <c r="V11" s="84"/>
      <c r="W11"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11" t="str">
        <f ca="1">IFERROR(_xlfn.FORMULATEXT(INDIRECT(Свёртка[[#This Row],[ССвёртка]],FALSE)),"ошибка")</f>
        <v>ошибка</v>
      </c>
      <c r="Y11" t="str">
        <f ca="1">IFERROR(IF(IFERROR(SEARCH("Прив",Свёртка[[#This Row],[ФСвёртка]]),0)&gt;0,"ошибка",IF(IFERROR(SEARCH("Матр",Свёртка[[#This Row],[ФСвёртка]]),0)&gt;0,"Свёртка","ошибка")),"ошибка")</f>
        <v>ошибка</v>
      </c>
      <c r="Z11" t="str">
        <f ca="1">IFERROR(IF(LEN((INDIRECT(Свёртка[[#This Row],[СНаименование]],FALSE)))=0,"ошибка",IFERROR(INDIRECT(Свёртка[[#This Row],[СНаименование]],FALSE),"ошибка")),"ошибка")</f>
        <v>ошибка</v>
      </c>
      <c r="AA11"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11" s="67">
        <f ca="1">IF(Свёртка[[#This Row],[ВидСвёртка]]="Свёртка",1,-1)</f>
        <v>-1</v>
      </c>
      <c r="AG11" s="66">
        <f>IF(AND(Множество[[#This Row],[Y]]=1),ROW()-ROW(Множество[[#Headers],[№]]),"")</f>
        <v>2</v>
      </c>
      <c r="AH11" t="s">
        <v>608</v>
      </c>
      <c r="AI11" s="66">
        <v>1</v>
      </c>
      <c r="AJ11" s="66">
        <f>IF(LEN(Множество[[#This Row],[Свёртка]])&gt;0,1,-1)</f>
        <v>1</v>
      </c>
      <c r="AK11" s="66" t="s">
        <v>1781</v>
      </c>
      <c r="AL11" s="66">
        <f>IF(LEN(Множество[[#This Row],[Критерии]])&gt;0,1,-1)</f>
        <v>1</v>
      </c>
      <c r="AM11" s="66">
        <f>IF(AND(LEN(Множество[[#This Row],[Свёртка]])&gt;0,LEN(Множество[[#This Row],[Критерии]])&gt;0,LEN(Множество[[#This Row],[Оценки]])&gt;0),1,-1)</f>
        <v>1</v>
      </c>
      <c r="AN11">
        <v>7.1083333333333298</v>
      </c>
      <c r="AO11">
        <v>-12.5833333333333</v>
      </c>
      <c r="AP11" s="208"/>
      <c r="AQ11" s="208"/>
      <c r="AR11" s="226"/>
      <c r="AS11" s="225"/>
      <c r="AT11" s="225"/>
      <c r="AU11" s="225"/>
      <c r="AV11" s="225"/>
      <c r="AW11" s="225"/>
      <c r="AX11" s="225"/>
      <c r="AY11" s="225"/>
    </row>
    <row r="12" spans="1:64" x14ac:dyDescent="0.25">
      <c r="B12" s="66" t="str">
        <f ca="1">IF(AND(Критерий[[#This Row],[Критерий]]&lt;&gt;"",Критерий[[#This Row],[O.K.Критерий]]=1),ROW()-ROW(Критерий[[#Headers],[№]]),"")</f>
        <v/>
      </c>
      <c r="C12" s="84"/>
      <c r="D12"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2" t="str">
        <f ca="1">IFERROR(IF(IFERROR(SEARCH("Прив",Критерий[[#This Row],[Фкритерий]]),0)&gt;0,"Критерий",IF(IFERROR(SEARCH("Матр",Критерий[[#This Row],[Фкритерий]]),0)&gt;0,"ошибка","ошибка")),"ошибка")</f>
        <v>ошибка</v>
      </c>
      <c r="F12" s="66" t="str">
        <f ca="1">IFERROR(IF(LEN((INDIRECT(Критерий[[#This Row],[СНаименование]],FALSE)))=0,"ошибка",IFERROR(INDIRECT(Критерий[[#This Row],[СНаименование]],FALSE),"ошибка")),"ошибка")</f>
        <v>ошибка</v>
      </c>
      <c r="G12"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2" t="str">
        <f ca="1">IFERROR(IF(N(INDIRECT(Критерий[[#This Row],[СФизКритерий]],FALSE))=0,"ошибка",IFERROR(INDIRECT(Критерий[[#This Row],[СФизКритерий]],FALSE),"ошибка")),"ошибка")</f>
        <v>ошибка</v>
      </c>
      <c r="I12"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2"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2"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2" t="str">
        <f ca="1">IFERROR(_xlfn.FORMULATEXT(INDIRECT(Критерий[[#This Row],[Скритерий]],FALSE)),"ошибка")</f>
        <v>ошибка</v>
      </c>
      <c r="M12" t="str">
        <f ca="1">IFERROR(IF(N(INDIRECT(Критерий[[#This Row],[СМинФизКритерий]],FALSE))=0,"ошибка",IFERROR(INDIRECT(Критерий[[#This Row],[СМинФизКритерий]],FALSE),"ошибка")),"ошибка")</f>
        <v>ошибка</v>
      </c>
      <c r="N12"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2" t="str">
        <f ca="1">IFERROR(IF(N(INDIRECT(Критерий[[#This Row],[СМаксФизКритерий]],FALSE))=0,"ошибка",IFERROR(INDIRECT(Критерий[[#This Row],[СМаксФизКритерий]],FALSE),"ошибка")),"ошибка")</f>
        <v>ошибка</v>
      </c>
      <c r="P12"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2" t="str">
        <f ca="1">IFERROR(IF(N(INDIRECT(Критерий[[#This Row],[ССрФизКритерий]],FALSE))=0,"ошибка",IFERROR(INDIRECT(Критерий[[#This Row],[ССрФизКритерий]],FALSE),"ошибка")),"")</f>
        <v/>
      </c>
      <c r="R12"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2" s="67">
        <f ca="1">IFERROR(IF(AND(Критерий[[#This Row],[ВидКритерий]]="Критерий",IFERROR(SEARCH("Приведение",Критерий[[#This Row],[Фкритерий]]),0)&gt;0),1,-1),-1)</f>
        <v>-1</v>
      </c>
      <c r="U12" s="222" t="str">
        <f ca="1">IF(AND(Свёртка[[#This Row],[Свёртка]]&lt;&gt;"",Свёртка[[#This Row],[O.K.Свёртка]]=1),ROW()-ROW(Свёртка[[#Headers],[№]]),"")</f>
        <v/>
      </c>
      <c r="V12" s="84"/>
      <c r="W12"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12" s="208" t="str">
        <f ca="1">IFERROR(_xlfn.FORMULATEXT(INDIRECT(Свёртка[[#This Row],[ССвёртка]],FALSE)),"ошибка")</f>
        <v>ошибка</v>
      </c>
      <c r="Y12" s="208" t="str">
        <f ca="1">IFERROR(IF(IFERROR(SEARCH("Прив",Свёртка[[#This Row],[ФСвёртка]]),0)&gt;0,"ошибка",IF(IFERROR(SEARCH("Матр",Свёртка[[#This Row],[ФСвёртка]]),0)&gt;0,"Свёртка","ошибка")),"ошибка")</f>
        <v>ошибка</v>
      </c>
      <c r="Z12" s="208" t="str">
        <f ca="1">IFERROR(IF(LEN((INDIRECT(Свёртка[[#This Row],[СНаименование]],FALSE)))=0,"ошибка",IFERROR(INDIRECT(Свёртка[[#This Row],[СНаименование]],FALSE),"ошибка")),"ошибка")</f>
        <v>ошибка</v>
      </c>
      <c r="AA12"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12" s="212">
        <f ca="1">IF(Свёртка[[#This Row],[ВидСвёртка]]="Свёртка",1,-1)</f>
        <v>-1</v>
      </c>
      <c r="AG12" s="66">
        <f>IF(AND(Множество[[#This Row],[Y]]=1),ROW()-ROW(Множество[[#Headers],[№]]),"")</f>
        <v>3</v>
      </c>
      <c r="AH12" t="s">
        <v>608</v>
      </c>
      <c r="AI12" s="66">
        <v>1</v>
      </c>
      <c r="AJ12" s="66">
        <f>IF(LEN(Множество[[#This Row],[Свёртка]])&gt;0,1,-1)</f>
        <v>1</v>
      </c>
      <c r="AK12" s="66" t="s">
        <v>1781</v>
      </c>
      <c r="AL12" s="66">
        <f>IF(LEN(Множество[[#This Row],[Критерии]])&gt;0,1,-1)</f>
        <v>1</v>
      </c>
      <c r="AM12" s="66">
        <f>IF(AND(LEN(Множество[[#This Row],[Свёртка]])&gt;0,LEN(Множество[[#This Row],[Критерии]])&gt;0,LEN(Множество[[#This Row],[Оценки]])&gt;0),1,-1)</f>
        <v>1</v>
      </c>
      <c r="AN12">
        <v>7.05</v>
      </c>
      <c r="AO12">
        <v>-12.633333333333301</v>
      </c>
      <c r="AP12" s="208"/>
      <c r="AQ12" s="208"/>
      <c r="AR12" s="226"/>
      <c r="AS12" s="225"/>
      <c r="AT12" s="225"/>
      <c r="AU12" s="225"/>
      <c r="AV12" s="225"/>
      <c r="AW12" s="225"/>
      <c r="AX12" s="225"/>
      <c r="AY12" s="225"/>
    </row>
    <row r="13" spans="1:64" x14ac:dyDescent="0.25">
      <c r="B13" s="66" t="str">
        <f ca="1">IF(AND(Критерий[[#This Row],[Критерий]]&lt;&gt;"",Критерий[[#This Row],[O.K.Критерий]]=1),ROW()-ROW(Критерий[[#Headers],[№]]),"")</f>
        <v/>
      </c>
      <c r="C13" s="84"/>
      <c r="D13"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3" t="str">
        <f ca="1">IFERROR(IF(IFERROR(SEARCH("Прив",Критерий[[#This Row],[Фкритерий]]),0)&gt;0,"Критерий",IF(IFERROR(SEARCH("Матр",Критерий[[#This Row],[Фкритерий]]),0)&gt;0,"ошибка","ошибка")),"ошибка")</f>
        <v>ошибка</v>
      </c>
      <c r="F13" s="66" t="str">
        <f ca="1">IFERROR(IF(LEN((INDIRECT(Критерий[[#This Row],[СНаименование]],FALSE)))=0,"ошибка",IFERROR(INDIRECT(Критерий[[#This Row],[СНаименование]],FALSE),"ошибка")),"ошибка")</f>
        <v>ошибка</v>
      </c>
      <c r="G13"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3" t="str">
        <f ca="1">IFERROR(IF(N(INDIRECT(Критерий[[#This Row],[СФизКритерий]],FALSE))=0,"ошибка",IFERROR(INDIRECT(Критерий[[#This Row],[СФизКритерий]],FALSE),"ошибка")),"ошибка")</f>
        <v>ошибка</v>
      </c>
      <c r="I13"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3"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3"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3" t="str">
        <f ca="1">IFERROR(_xlfn.FORMULATEXT(INDIRECT(Критерий[[#This Row],[Скритерий]],FALSE)),"ошибка")</f>
        <v>ошибка</v>
      </c>
      <c r="M13" t="str">
        <f ca="1">IFERROR(IF(N(INDIRECT(Критерий[[#This Row],[СМинФизКритерий]],FALSE))=0,"ошибка",IFERROR(INDIRECT(Критерий[[#This Row],[СМинФизКритерий]],FALSE),"ошибка")),"ошибка")</f>
        <v>ошибка</v>
      </c>
      <c r="N13"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3" t="str">
        <f ca="1">IFERROR(IF(N(INDIRECT(Критерий[[#This Row],[СМаксФизКритерий]],FALSE))=0,"ошибка",IFERROR(INDIRECT(Критерий[[#This Row],[СМаксФизКритерий]],FALSE),"ошибка")),"ошибка")</f>
        <v>ошибка</v>
      </c>
      <c r="P13"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3" t="str">
        <f ca="1">IFERROR(IF(N(INDIRECT(Критерий[[#This Row],[ССрФизКритерий]],FALSE))=0,"ошибка",IFERROR(INDIRECT(Критерий[[#This Row],[ССрФизКритерий]],FALSE),"ошибка")),"")</f>
        <v/>
      </c>
      <c r="R13"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3" s="67">
        <f ca="1">IFERROR(IF(AND(Критерий[[#This Row],[ВидКритерий]]="Критерий",IFERROR(SEARCH("Приведение",Критерий[[#This Row],[Фкритерий]]),0)&gt;0),1,-1),-1)</f>
        <v>-1</v>
      </c>
      <c r="U13" s="222" t="str">
        <f ca="1">IF(AND(Свёртка[[#This Row],[Свёртка]]&lt;&gt;"",Свёртка[[#This Row],[O.K.Свёртка]]=1),ROW()-ROW(Свёртка[[#Headers],[№]]),"")</f>
        <v/>
      </c>
      <c r="V13" s="84"/>
      <c r="W13"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13" s="208" t="str">
        <f ca="1">IFERROR(_xlfn.FORMULATEXT(INDIRECT(Свёртка[[#This Row],[ССвёртка]],FALSE)),"ошибка")</f>
        <v>ошибка</v>
      </c>
      <c r="Y13" s="208" t="str">
        <f ca="1">IFERROR(IF(IFERROR(SEARCH("Прив",Свёртка[[#This Row],[ФСвёртка]]),0)&gt;0,"ошибка",IF(IFERROR(SEARCH("Матр",Свёртка[[#This Row],[ФСвёртка]]),0)&gt;0,"Свёртка","ошибка")),"ошибка")</f>
        <v>ошибка</v>
      </c>
      <c r="Z13" s="208" t="str">
        <f ca="1">IFERROR(IF(LEN((INDIRECT(Свёртка[[#This Row],[СНаименование]],FALSE)))=0,"ошибка",IFERROR(INDIRECT(Свёртка[[#This Row],[СНаименование]],FALSE),"ошибка")),"ошибка")</f>
        <v>ошибка</v>
      </c>
      <c r="AA13"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13" s="212">
        <f ca="1">IF(Свёртка[[#This Row],[ВидСвёртка]]="Свёртка",1,-1)</f>
        <v>-1</v>
      </c>
      <c r="AG13" s="66">
        <f>IF(AND(Множество[[#This Row],[Y]]=1),ROW()-ROW(Множество[[#Headers],[№]]),"")</f>
        <v>4</v>
      </c>
      <c r="AH13" t="s">
        <v>608</v>
      </c>
      <c r="AI13" s="66">
        <v>1</v>
      </c>
      <c r="AJ13" s="66">
        <f>IF(LEN(Множество[[#This Row],[Свёртка]])&gt;0,1,-1)</f>
        <v>1</v>
      </c>
      <c r="AK13" s="66" t="s">
        <v>1781</v>
      </c>
      <c r="AL13" s="66">
        <f>IF(LEN(Множество[[#This Row],[Критерии]])&gt;0,1,-1)</f>
        <v>1</v>
      </c>
      <c r="AM13" s="66">
        <f>IF(AND(LEN(Множество[[#This Row],[Свёртка]])&gt;0,LEN(Множество[[#This Row],[Критерии]])&gt;0,LEN(Множество[[#This Row],[Оценки]])&gt;0),1,-1)</f>
        <v>1</v>
      </c>
      <c r="AN13">
        <v>6.9916666666666698</v>
      </c>
      <c r="AO13">
        <v>-12.6666666666667</v>
      </c>
      <c r="AP13" s="208"/>
      <c r="AQ13" s="208"/>
      <c r="AR13" s="226"/>
      <c r="AS13" s="225"/>
      <c r="AT13" s="225"/>
      <c r="AU13" s="225"/>
      <c r="AV13" s="225"/>
      <c r="AW13" s="225"/>
      <c r="AX13" s="225"/>
      <c r="AY13" s="225"/>
    </row>
    <row r="14" spans="1:64" x14ac:dyDescent="0.25">
      <c r="B14" s="209" t="str">
        <f ca="1">IF(AND(Критерий[[#This Row],[Критерий]]&lt;&gt;"",Критерий[[#This Row],[O.K.Критерий]]=1),ROW()-ROW(Критерий[[#Headers],[№]]),"")</f>
        <v/>
      </c>
      <c r="C14" s="84"/>
      <c r="D14"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4" s="208" t="str">
        <f ca="1">IFERROR(IF(IFERROR(SEARCH("Прив",Критерий[[#This Row],[Фкритерий]]),0)&gt;0,"Критерий",IF(IFERROR(SEARCH("Матр",Критерий[[#This Row],[Фкритерий]]),0)&gt;0,"ошибка","ошибка")),"ошибка")</f>
        <v>ошибка</v>
      </c>
      <c r="F14" s="211" t="str">
        <f ca="1">IFERROR(IF(LEN((INDIRECT(Критерий[[#This Row],[СНаименование]],FALSE)))=0,"ошибка",IFERROR(INDIRECT(Критерий[[#This Row],[СНаименование]],FALSE),"ошибка")),"ошибка")</f>
        <v>ошибка</v>
      </c>
      <c r="G1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4" s="208" t="str">
        <f ca="1">IFERROR(IF(N(INDIRECT(Критерий[[#This Row],[СФизКритерий]],FALSE))=0,"ошибка",IFERROR(INDIRECT(Критерий[[#This Row],[СФизКритерий]],FALSE),"ошибка")),"ошибка")</f>
        <v>ошибка</v>
      </c>
      <c r="I1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4"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4" s="208" t="str">
        <f ca="1">IFERROR(_xlfn.FORMULATEXT(INDIRECT(Критерий[[#This Row],[Скритерий]],FALSE)),"ошибка")</f>
        <v>ошибка</v>
      </c>
      <c r="M14" s="208" t="str">
        <f ca="1">IFERROR(IF(N(INDIRECT(Критерий[[#This Row],[СМинФизКритерий]],FALSE))=0,"ошибка",IFERROR(INDIRECT(Критерий[[#This Row],[СМинФизКритерий]],FALSE),"ошибка")),"ошибка")</f>
        <v>ошибка</v>
      </c>
      <c r="N1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4" s="208" t="str">
        <f ca="1">IFERROR(IF(N(INDIRECT(Критерий[[#This Row],[СМаксФизКритерий]],FALSE))=0,"ошибка",IFERROR(INDIRECT(Критерий[[#This Row],[СМаксФизКритерий]],FALSE),"ошибка")),"ошибка")</f>
        <v>ошибка</v>
      </c>
      <c r="P1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4" s="208" t="str">
        <f ca="1">IFERROR(IF(N(INDIRECT(Критерий[[#This Row],[ССрФизКритерий]],FALSE))=0,"ошибка",IFERROR(INDIRECT(Критерий[[#This Row],[ССрФизКритерий]],FALSE),"ошибка")),"")</f>
        <v/>
      </c>
      <c r="R14"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4" s="212">
        <f ca="1">IFERROR(IF(AND(Критерий[[#This Row],[ВидКритерий]]="Критерий",IFERROR(SEARCH("Приведение",Критерий[[#This Row],[Фкритерий]]),0)&gt;0),1,-1),-1)</f>
        <v>-1</v>
      </c>
      <c r="U14" s="222" t="str">
        <f ca="1">IF(AND(Свёртка[[#This Row],[Свёртка]]&lt;&gt;"",Свёртка[[#This Row],[O.K.Свёртка]]=1),ROW()-ROW(Свёртка[[#Headers],[№]]),"")</f>
        <v/>
      </c>
      <c r="V14" s="84"/>
      <c r="W14"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14" s="208" t="str">
        <f ca="1">IFERROR(_xlfn.FORMULATEXT(INDIRECT(Свёртка[[#This Row],[ССвёртка]],FALSE)),"ошибка")</f>
        <v>ошибка</v>
      </c>
      <c r="Y14" s="208" t="str">
        <f ca="1">IFERROR(IF(IFERROR(SEARCH("Прив",Свёртка[[#This Row],[ФСвёртка]]),0)&gt;0,"ошибка",IF(IFERROR(SEARCH("Матр",Свёртка[[#This Row],[ФСвёртка]]),0)&gt;0,"Свёртка","ошибка")),"ошибка")</f>
        <v>ошибка</v>
      </c>
      <c r="Z14" s="208" t="str">
        <f ca="1">IFERROR(IF(LEN((INDIRECT(Свёртка[[#This Row],[СНаименование]],FALSE)))=0,"ошибка",IFERROR(INDIRECT(Свёртка[[#This Row],[СНаименование]],FALSE),"ошибка")),"ошибка")</f>
        <v>ошибка</v>
      </c>
      <c r="AA14"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14" s="212">
        <f ca="1">IF(Свёртка[[#This Row],[ВидСвёртка]]="Свёртка",1,-1)</f>
        <v>-1</v>
      </c>
      <c r="AG14" s="66">
        <f>IF(AND(Множество[[#This Row],[Y]]=1),ROW()-ROW(Множество[[#Headers],[№]]),"")</f>
        <v>5</v>
      </c>
      <c r="AH14" t="s">
        <v>608</v>
      </c>
      <c r="AI14" s="66">
        <v>1</v>
      </c>
      <c r="AJ14" s="66">
        <f>IF(LEN(Множество[[#This Row],[Свёртка]])&gt;0,1,-1)</f>
        <v>1</v>
      </c>
      <c r="AK14" s="66" t="s">
        <v>1781</v>
      </c>
      <c r="AL14" s="66">
        <f>IF(LEN(Множество[[#This Row],[Критерии]])&gt;0,1,-1)</f>
        <v>1</v>
      </c>
      <c r="AM14" s="66">
        <f>IF(AND(LEN(Множество[[#This Row],[Свёртка]])&gt;0,LEN(Множество[[#This Row],[Критерии]])&gt;0,LEN(Множество[[#This Row],[Оценки]])&gt;0),1,-1)</f>
        <v>1</v>
      </c>
      <c r="AN14">
        <v>6.93333333333333</v>
      </c>
      <c r="AO14">
        <v>-12.716666666666701</v>
      </c>
      <c r="AP14" s="208"/>
      <c r="AQ14" s="208"/>
      <c r="AR14" s="226"/>
      <c r="AS14" s="225"/>
      <c r="AT14" s="225"/>
      <c r="AU14" s="225"/>
      <c r="AV14" s="225"/>
      <c r="AW14" s="225"/>
      <c r="AX14" s="225"/>
      <c r="AY14" s="225"/>
    </row>
    <row r="15" spans="1:64" x14ac:dyDescent="0.25">
      <c r="B15" s="209" t="str">
        <f ca="1">IF(AND(Критерий[[#This Row],[Критерий]]&lt;&gt;"",Критерий[[#This Row],[O.K.Критерий]]=1),ROW()-ROW(Критерий[[#Headers],[№]]),"")</f>
        <v/>
      </c>
      <c r="C15" s="84"/>
      <c r="D15"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5" s="208" t="str">
        <f ca="1">IFERROR(IF(IFERROR(SEARCH("Прив",Критерий[[#This Row],[Фкритерий]]),0)&gt;0,"Критерий",IF(IFERROR(SEARCH("Матр",Критерий[[#This Row],[Фкритерий]]),0)&gt;0,"ошибка","ошибка")),"ошибка")</f>
        <v>ошибка</v>
      </c>
      <c r="F15" s="211" t="str">
        <f ca="1">IFERROR(IF(LEN((INDIRECT(Критерий[[#This Row],[СНаименование]],FALSE)))=0,"ошибка",IFERROR(INDIRECT(Критерий[[#This Row],[СНаименование]],FALSE),"ошибка")),"ошибка")</f>
        <v>ошибка</v>
      </c>
      <c r="G1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5" s="208" t="str">
        <f ca="1">IFERROR(IF(N(INDIRECT(Критерий[[#This Row],[СФизКритерий]],FALSE))=0,"ошибка",IFERROR(INDIRECT(Критерий[[#This Row],[СФизКритерий]],FALSE),"ошибка")),"ошибка")</f>
        <v>ошибка</v>
      </c>
      <c r="I1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5"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5" s="208" t="str">
        <f ca="1">IFERROR(_xlfn.FORMULATEXT(INDIRECT(Критерий[[#This Row],[Скритерий]],FALSE)),"ошибка")</f>
        <v>ошибка</v>
      </c>
      <c r="M15" s="208" t="str">
        <f ca="1">IFERROR(IF(N(INDIRECT(Критерий[[#This Row],[СМинФизКритерий]],FALSE))=0,"ошибка",IFERROR(INDIRECT(Критерий[[#This Row],[СМинФизКритерий]],FALSE),"ошибка")),"ошибка")</f>
        <v>ошибка</v>
      </c>
      <c r="N1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5" s="208" t="str">
        <f ca="1">IFERROR(IF(N(INDIRECT(Критерий[[#This Row],[СМаксФизКритерий]],FALSE))=0,"ошибка",IFERROR(INDIRECT(Критерий[[#This Row],[СМаксФизКритерий]],FALSE),"ошибка")),"ошибка")</f>
        <v>ошибка</v>
      </c>
      <c r="P1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5" s="208" t="str">
        <f ca="1">IFERROR(IF(N(INDIRECT(Критерий[[#This Row],[ССрФизКритерий]],FALSE))=0,"ошибка",IFERROR(INDIRECT(Критерий[[#This Row],[ССрФизКритерий]],FALSE),"ошибка")),"")</f>
        <v/>
      </c>
      <c r="R15"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5" s="212">
        <f ca="1">IFERROR(IF(AND(Критерий[[#This Row],[ВидКритерий]]="Критерий",IFERROR(SEARCH("Приведение",Критерий[[#This Row],[Фкритерий]]),0)&gt;0),1,-1),-1)</f>
        <v>-1</v>
      </c>
      <c r="U15" s="222" t="str">
        <f ca="1">IF(AND(Свёртка[[#This Row],[Свёртка]]&lt;&gt;"",Свёртка[[#This Row],[O.K.Свёртка]]=1),ROW()-ROW(Свёртка[[#Headers],[№]]),"")</f>
        <v/>
      </c>
      <c r="V15" s="84"/>
      <c r="W15"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15" s="208" t="str">
        <f ca="1">IFERROR(_xlfn.FORMULATEXT(INDIRECT(Свёртка[[#This Row],[ССвёртка]],FALSE)),"ошибка")</f>
        <v>ошибка</v>
      </c>
      <c r="Y15" s="208" t="str">
        <f ca="1">IFERROR(IF(IFERROR(SEARCH("Прив",Свёртка[[#This Row],[ФСвёртка]]),0)&gt;0,"ошибка",IF(IFERROR(SEARCH("Матр",Свёртка[[#This Row],[ФСвёртка]]),0)&gt;0,"Свёртка","ошибка")),"ошибка")</f>
        <v>ошибка</v>
      </c>
      <c r="Z15" s="208" t="str">
        <f ca="1">IFERROR(IF(LEN((INDIRECT(Свёртка[[#This Row],[СНаименование]],FALSE)))=0,"ошибка",IFERROR(INDIRECT(Свёртка[[#This Row],[СНаименование]],FALSE),"ошибка")),"ошибка")</f>
        <v>ошибка</v>
      </c>
      <c r="AA15"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15" s="212">
        <f ca="1">IF(Свёртка[[#This Row],[ВидСвёртка]]="Свёртка",1,-1)</f>
        <v>-1</v>
      </c>
      <c r="AG15" s="66">
        <f>IF(AND(Множество[[#This Row],[Y]]=1),ROW()-ROW(Множество[[#Headers],[№]]),"")</f>
        <v>6</v>
      </c>
      <c r="AH15" t="s">
        <v>608</v>
      </c>
      <c r="AI15" s="66">
        <v>1</v>
      </c>
      <c r="AJ15" s="66">
        <f>IF(LEN(Множество[[#This Row],[Свёртка]])&gt;0,1,-1)</f>
        <v>1</v>
      </c>
      <c r="AK15" s="66" t="s">
        <v>1781</v>
      </c>
      <c r="AL15" s="66">
        <f>IF(LEN(Множество[[#This Row],[Критерии]])&gt;0,1,-1)</f>
        <v>1</v>
      </c>
      <c r="AM15" s="66">
        <f>IF(AND(LEN(Множество[[#This Row],[Свёртка]])&gt;0,LEN(Множество[[#This Row],[Критерии]])&gt;0,LEN(Множество[[#This Row],[Оценки]])&gt;0),1,-1)</f>
        <v>1</v>
      </c>
      <c r="AN15">
        <v>6.875</v>
      </c>
      <c r="AO15">
        <v>-12.75</v>
      </c>
      <c r="AP15" s="208"/>
      <c r="AQ15" s="208"/>
      <c r="AR15" s="226"/>
      <c r="AS15" s="225"/>
      <c r="AT15" s="225"/>
      <c r="AU15" s="225"/>
      <c r="AV15" s="225"/>
      <c r="AW15" s="225"/>
      <c r="AX15" s="225"/>
      <c r="AY15" s="225"/>
    </row>
    <row r="16" spans="1:64" x14ac:dyDescent="0.25">
      <c r="B16" s="209" t="str">
        <f ca="1">IF(AND(Критерий[[#This Row],[Критерий]]&lt;&gt;"",Критерий[[#This Row],[O.K.Критерий]]=1),ROW()-ROW(Критерий[[#Headers],[№]]),"")</f>
        <v/>
      </c>
      <c r="C16" s="84"/>
      <c r="D16"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6" s="208" t="str">
        <f ca="1">IFERROR(IF(IFERROR(SEARCH("Прив",Критерий[[#This Row],[Фкритерий]]),0)&gt;0,"Критерий",IF(IFERROR(SEARCH("Матр",Критерий[[#This Row],[Фкритерий]]),0)&gt;0,"ошибка","ошибка")),"ошибка")</f>
        <v>ошибка</v>
      </c>
      <c r="F16" s="211" t="str">
        <f ca="1">IFERROR(IF(LEN((INDIRECT(Критерий[[#This Row],[СНаименование]],FALSE)))=0,"ошибка",IFERROR(INDIRECT(Критерий[[#This Row],[СНаименование]],FALSE),"ошибка")),"ошибка")</f>
        <v>ошибка</v>
      </c>
      <c r="G1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6" s="208" t="str">
        <f ca="1">IFERROR(IF(N(INDIRECT(Критерий[[#This Row],[СФизКритерий]],FALSE))=0,"ошибка",IFERROR(INDIRECT(Критерий[[#This Row],[СФизКритерий]],FALSE),"ошибка")),"ошибка")</f>
        <v>ошибка</v>
      </c>
      <c r="I1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6"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6" s="208" t="str">
        <f ca="1">IFERROR(_xlfn.FORMULATEXT(INDIRECT(Критерий[[#This Row],[Скритерий]],FALSE)),"ошибка")</f>
        <v>ошибка</v>
      </c>
      <c r="M16" s="208" t="str">
        <f ca="1">IFERROR(IF(N(INDIRECT(Критерий[[#This Row],[СМинФизКритерий]],FALSE))=0,"ошибка",IFERROR(INDIRECT(Критерий[[#This Row],[СМинФизКритерий]],FALSE),"ошибка")),"ошибка")</f>
        <v>ошибка</v>
      </c>
      <c r="N1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6" s="208" t="str">
        <f ca="1">IFERROR(IF(N(INDIRECT(Критерий[[#This Row],[СМаксФизКритерий]],FALSE))=0,"ошибка",IFERROR(INDIRECT(Критерий[[#This Row],[СМаксФизКритерий]],FALSE),"ошибка")),"ошибка")</f>
        <v>ошибка</v>
      </c>
      <c r="P1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6" s="208" t="str">
        <f ca="1">IFERROR(IF(N(INDIRECT(Критерий[[#This Row],[ССрФизКритерий]],FALSE))=0,"ошибка",IFERROR(INDIRECT(Критерий[[#This Row],[ССрФизКритерий]],FALSE),"ошибка")),"")</f>
        <v/>
      </c>
      <c r="R16"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6" s="212">
        <f ca="1">IFERROR(IF(AND(Критерий[[#This Row],[ВидКритерий]]="Критерий",IFERROR(SEARCH("Приведение",Критерий[[#This Row],[Фкритерий]]),0)&gt;0),1,-1),-1)</f>
        <v>-1</v>
      </c>
      <c r="U16" s="222" t="str">
        <f ca="1">IF(AND(Свёртка[[#This Row],[Свёртка]]&lt;&gt;"",Свёртка[[#This Row],[O.K.Свёртка]]=1),ROW()-ROW(Свёртка[[#Headers],[№]]),"")</f>
        <v/>
      </c>
      <c r="V16" s="84"/>
      <c r="W16"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16" s="208" t="str">
        <f ca="1">IFERROR(_xlfn.FORMULATEXT(INDIRECT(Свёртка[[#This Row],[ССвёртка]],FALSE)),"ошибка")</f>
        <v>ошибка</v>
      </c>
      <c r="Y16" s="208" t="str">
        <f ca="1">IFERROR(IF(IFERROR(SEARCH("Прив",Свёртка[[#This Row],[ФСвёртка]]),0)&gt;0,"ошибка",IF(IFERROR(SEARCH("Матр",Свёртка[[#This Row],[ФСвёртка]]),0)&gt;0,"Свёртка","ошибка")),"ошибка")</f>
        <v>ошибка</v>
      </c>
      <c r="Z16" s="208" t="str">
        <f ca="1">IFERROR(IF(LEN((INDIRECT(Свёртка[[#This Row],[СНаименование]],FALSE)))=0,"ошибка",IFERROR(INDIRECT(Свёртка[[#This Row],[СНаименование]],FALSE),"ошибка")),"ошибка")</f>
        <v>ошибка</v>
      </c>
      <c r="AA16"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16" s="212">
        <f ca="1">IF(Свёртка[[#This Row],[ВидСвёртка]]="Свёртка",1,-1)</f>
        <v>-1</v>
      </c>
      <c r="AG16" s="66">
        <f>IF(AND(Множество[[#This Row],[Y]]=1),ROW()-ROW(Множество[[#Headers],[№]]),"")</f>
        <v>7</v>
      </c>
      <c r="AH16" t="s">
        <v>608</v>
      </c>
      <c r="AI16" s="66">
        <v>1</v>
      </c>
      <c r="AJ16" s="66">
        <f>IF(LEN(Множество[[#This Row],[Свёртка]])&gt;0,1,-1)</f>
        <v>1</v>
      </c>
      <c r="AK16" s="66" t="s">
        <v>1781</v>
      </c>
      <c r="AL16" s="66">
        <f>IF(LEN(Множество[[#This Row],[Критерии]])&gt;0,1,-1)</f>
        <v>1</v>
      </c>
      <c r="AM16" s="66">
        <f>IF(AND(LEN(Множество[[#This Row],[Свёртка]])&gt;0,LEN(Множество[[#This Row],[Критерии]])&gt;0,LEN(Множество[[#This Row],[Оценки]])&gt;0),1,-1)</f>
        <v>1</v>
      </c>
      <c r="AN16">
        <v>6.81666666666667</v>
      </c>
      <c r="AO16">
        <v>-12.8</v>
      </c>
      <c r="AP16" s="208"/>
      <c r="AQ16" s="208"/>
      <c r="AR16" s="226"/>
      <c r="AS16" s="225"/>
      <c r="AT16" s="226"/>
      <c r="AU16" s="225"/>
      <c r="AV16" s="225"/>
      <c r="AW16" s="225"/>
      <c r="AX16" s="225"/>
      <c r="AY16" s="225"/>
    </row>
    <row r="17" spans="2:51" x14ac:dyDescent="0.25">
      <c r="B17" s="209" t="str">
        <f ca="1">IF(AND(Критерий[[#This Row],[Критерий]]&lt;&gt;"",Критерий[[#This Row],[O.K.Критерий]]=1),ROW()-ROW(Критерий[[#Headers],[№]]),"")</f>
        <v/>
      </c>
      <c r="C17" s="84"/>
      <c r="D17"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7" s="208" t="str">
        <f ca="1">IFERROR(IF(IFERROR(SEARCH("Прив",Критерий[[#This Row],[Фкритерий]]),0)&gt;0,"Критерий",IF(IFERROR(SEARCH("Матр",Критерий[[#This Row],[Фкритерий]]),0)&gt;0,"ошибка","ошибка")),"ошибка")</f>
        <v>ошибка</v>
      </c>
      <c r="F17" s="211" t="str">
        <f ca="1">IFERROR(IF(LEN((INDIRECT(Критерий[[#This Row],[СНаименование]],FALSE)))=0,"ошибка",IFERROR(INDIRECT(Критерий[[#This Row],[СНаименование]],FALSE),"ошибка")),"ошибка")</f>
        <v>ошибка</v>
      </c>
      <c r="G1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7" s="208" t="str">
        <f ca="1">IFERROR(IF(N(INDIRECT(Критерий[[#This Row],[СФизКритерий]],FALSE))=0,"ошибка",IFERROR(INDIRECT(Критерий[[#This Row],[СФизКритерий]],FALSE),"ошибка")),"ошибка")</f>
        <v>ошибка</v>
      </c>
      <c r="I1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7"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7" s="208" t="str">
        <f ca="1">IFERROR(_xlfn.FORMULATEXT(INDIRECT(Критерий[[#This Row],[Скритерий]],FALSE)),"ошибка")</f>
        <v>ошибка</v>
      </c>
      <c r="M17" s="208" t="str">
        <f ca="1">IFERROR(IF(N(INDIRECT(Критерий[[#This Row],[СМинФизКритерий]],FALSE))=0,"ошибка",IFERROR(INDIRECT(Критерий[[#This Row],[СМинФизКритерий]],FALSE),"ошибка")),"ошибка")</f>
        <v>ошибка</v>
      </c>
      <c r="N1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7" s="208" t="str">
        <f ca="1">IFERROR(IF(N(INDIRECT(Критерий[[#This Row],[СМаксФизКритерий]],FALSE))=0,"ошибка",IFERROR(INDIRECT(Критерий[[#This Row],[СМаксФизКритерий]],FALSE),"ошибка")),"ошибка")</f>
        <v>ошибка</v>
      </c>
      <c r="P1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7" s="208" t="str">
        <f ca="1">IFERROR(IF(N(INDIRECT(Критерий[[#This Row],[ССрФизКритерий]],FALSE))=0,"ошибка",IFERROR(INDIRECT(Критерий[[#This Row],[ССрФизКритерий]],FALSE),"ошибка")),"")</f>
        <v/>
      </c>
      <c r="R17"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7" s="212">
        <f ca="1">IFERROR(IF(AND(Критерий[[#This Row],[ВидКритерий]]="Критерий",IFERROR(SEARCH("Приведение",Критерий[[#This Row],[Фкритерий]]),0)&gt;0),1,-1),-1)</f>
        <v>-1</v>
      </c>
      <c r="U17" s="222" t="str">
        <f ca="1">IF(AND(Свёртка[[#This Row],[Свёртка]]&lt;&gt;"",Свёртка[[#This Row],[O.K.Свёртка]]=1),ROW()-ROW(Свёртка[[#Headers],[№]]),"")</f>
        <v/>
      </c>
      <c r="V17" s="84"/>
      <c r="W17"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17" s="208" t="str">
        <f ca="1">IFERROR(_xlfn.FORMULATEXT(INDIRECT(Свёртка[[#This Row],[ССвёртка]],FALSE)),"ошибка")</f>
        <v>ошибка</v>
      </c>
      <c r="Y17" s="208" t="str">
        <f ca="1">IFERROR(IF(IFERROR(SEARCH("Прив",Свёртка[[#This Row],[ФСвёртка]]),0)&gt;0,"ошибка",IF(IFERROR(SEARCH("Матр",Свёртка[[#This Row],[ФСвёртка]]),0)&gt;0,"Свёртка","ошибка")),"ошибка")</f>
        <v>ошибка</v>
      </c>
      <c r="Z17" s="208" t="str">
        <f ca="1">IFERROR(IF(LEN((INDIRECT(Свёртка[[#This Row],[СНаименование]],FALSE)))=0,"ошибка",IFERROR(INDIRECT(Свёртка[[#This Row],[СНаименование]],FALSE),"ошибка")),"ошибка")</f>
        <v>ошибка</v>
      </c>
      <c r="AA17"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17" s="212">
        <f ca="1">IF(Свёртка[[#This Row],[ВидСвёртка]]="Свёртка",1,-1)</f>
        <v>-1</v>
      </c>
      <c r="AG17" s="66">
        <f>IF(AND(Множество[[#This Row],[Y]]=1),ROW()-ROW(Множество[[#Headers],[№]]),"")</f>
        <v>8</v>
      </c>
      <c r="AH17" t="s">
        <v>608</v>
      </c>
      <c r="AI17" s="66">
        <v>1</v>
      </c>
      <c r="AJ17" s="66">
        <f>IF(LEN(Множество[[#This Row],[Свёртка]])&gt;0,1,-1)</f>
        <v>1</v>
      </c>
      <c r="AK17" s="66" t="s">
        <v>1781</v>
      </c>
      <c r="AL17" s="66">
        <f>IF(LEN(Множество[[#This Row],[Критерии]])&gt;0,1,-1)</f>
        <v>1</v>
      </c>
      <c r="AM17" s="66">
        <f>IF(AND(LEN(Множество[[#This Row],[Свёртка]])&gt;0,LEN(Множество[[#This Row],[Критерии]])&gt;0,LEN(Множество[[#This Row],[Оценки]])&gt;0),1,-1)</f>
        <v>1</v>
      </c>
      <c r="AN17">
        <v>6.7583333333333302</v>
      </c>
      <c r="AO17">
        <v>-12.85</v>
      </c>
      <c r="AP17" s="208"/>
      <c r="AQ17" s="208"/>
      <c r="AR17" s="226"/>
      <c r="AS17" s="225"/>
      <c r="AT17" s="226"/>
      <c r="AU17" s="225"/>
      <c r="AV17" s="225"/>
      <c r="AW17" s="225"/>
      <c r="AX17" s="225"/>
      <c r="AY17" s="225"/>
    </row>
    <row r="18" spans="2:51" x14ac:dyDescent="0.25">
      <c r="B18" s="209" t="str">
        <f ca="1">IF(AND(Критерий[[#This Row],[Критерий]]&lt;&gt;"",Критерий[[#This Row],[O.K.Критерий]]=1),ROW()-ROW(Критерий[[#Headers],[№]]),"")</f>
        <v/>
      </c>
      <c r="C18" s="84"/>
      <c r="D18"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8" s="208" t="str">
        <f ca="1">IFERROR(IF(IFERROR(SEARCH("Прив",Критерий[[#This Row],[Фкритерий]]),0)&gt;0,"Критерий",IF(IFERROR(SEARCH("Матр",Критерий[[#This Row],[Фкритерий]]),0)&gt;0,"ошибка","ошибка")),"ошибка")</f>
        <v>ошибка</v>
      </c>
      <c r="F18" s="211" t="str">
        <f ca="1">IFERROR(IF(LEN((INDIRECT(Критерий[[#This Row],[СНаименование]],FALSE)))=0,"ошибка",IFERROR(INDIRECT(Критерий[[#This Row],[СНаименование]],FALSE),"ошибка")),"ошибка")</f>
        <v>ошибка</v>
      </c>
      <c r="G1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8" s="208" t="str">
        <f ca="1">IFERROR(IF(N(INDIRECT(Критерий[[#This Row],[СФизКритерий]],FALSE))=0,"ошибка",IFERROR(INDIRECT(Критерий[[#This Row],[СФизКритерий]],FALSE),"ошибка")),"ошибка")</f>
        <v>ошибка</v>
      </c>
      <c r="I1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8"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8" s="208" t="str">
        <f ca="1">IFERROR(_xlfn.FORMULATEXT(INDIRECT(Критерий[[#This Row],[Скритерий]],FALSE)),"ошибка")</f>
        <v>ошибка</v>
      </c>
      <c r="M18" s="208" t="str">
        <f ca="1">IFERROR(IF(N(INDIRECT(Критерий[[#This Row],[СМинФизКритерий]],FALSE))=0,"ошибка",IFERROR(INDIRECT(Критерий[[#This Row],[СМинФизКритерий]],FALSE),"ошибка")),"ошибка")</f>
        <v>ошибка</v>
      </c>
      <c r="N1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8" s="208" t="str">
        <f ca="1">IFERROR(IF(N(INDIRECT(Критерий[[#This Row],[СМаксФизКритерий]],FALSE))=0,"ошибка",IFERROR(INDIRECT(Критерий[[#This Row],[СМаксФизКритерий]],FALSE),"ошибка")),"ошибка")</f>
        <v>ошибка</v>
      </c>
      <c r="P1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8" s="208" t="str">
        <f ca="1">IFERROR(IF(N(INDIRECT(Критерий[[#This Row],[ССрФизКритерий]],FALSE))=0,"ошибка",IFERROR(INDIRECT(Критерий[[#This Row],[ССрФизКритерий]],FALSE),"ошибка")),"")</f>
        <v/>
      </c>
      <c r="R18"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8" s="212">
        <f ca="1">IFERROR(IF(AND(Критерий[[#This Row],[ВидКритерий]]="Критерий",IFERROR(SEARCH("Приведение",Критерий[[#This Row],[Фкритерий]]),0)&gt;0),1,-1),-1)</f>
        <v>-1</v>
      </c>
      <c r="U18" s="222" t="str">
        <f ca="1">IF(AND(Свёртка[[#This Row],[Свёртка]]&lt;&gt;"",Свёртка[[#This Row],[O.K.Свёртка]]=1),ROW()-ROW(Свёртка[[#Headers],[№]]),"")</f>
        <v/>
      </c>
      <c r="V18" s="84"/>
      <c r="W18"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18" s="208" t="str">
        <f ca="1">IFERROR(_xlfn.FORMULATEXT(INDIRECT(Свёртка[[#This Row],[ССвёртка]],FALSE)),"ошибка")</f>
        <v>ошибка</v>
      </c>
      <c r="Y18" s="208" t="str">
        <f ca="1">IFERROR(IF(IFERROR(SEARCH("Прив",Свёртка[[#This Row],[ФСвёртка]]),0)&gt;0,"ошибка",IF(IFERROR(SEARCH("Матр",Свёртка[[#This Row],[ФСвёртка]]),0)&gt;0,"Свёртка","ошибка")),"ошибка")</f>
        <v>ошибка</v>
      </c>
      <c r="Z18" s="208" t="str">
        <f ca="1">IFERROR(IF(LEN((INDIRECT(Свёртка[[#This Row],[СНаименование]],FALSE)))=0,"ошибка",IFERROR(INDIRECT(Свёртка[[#This Row],[СНаименование]],FALSE),"ошибка")),"ошибка")</f>
        <v>ошибка</v>
      </c>
      <c r="AA18"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18" s="212">
        <f ca="1">IF(Свёртка[[#This Row],[ВидСвёртка]]="Свёртка",1,-1)</f>
        <v>-1</v>
      </c>
      <c r="AG18" s="66">
        <f>IF(AND(Множество[[#This Row],[Y]]=1),ROW()-ROW(Множество[[#Headers],[№]]),"")</f>
        <v>9</v>
      </c>
      <c r="AH18" t="s">
        <v>608</v>
      </c>
      <c r="AI18" s="66">
        <v>1</v>
      </c>
      <c r="AJ18" s="66">
        <f>IF(LEN(Множество[[#This Row],[Свёртка]])&gt;0,1,-1)</f>
        <v>1</v>
      </c>
      <c r="AK18" s="66" t="s">
        <v>1781</v>
      </c>
      <c r="AL18" s="66">
        <f>IF(LEN(Множество[[#This Row],[Критерии]])&gt;0,1,-1)</f>
        <v>1</v>
      </c>
      <c r="AM18" s="66">
        <f>IF(AND(LEN(Множество[[#This Row],[Свёртка]])&gt;0,LEN(Множество[[#This Row],[Критерии]])&gt;0,LEN(Множество[[#This Row],[Оценки]])&gt;0),1,-1)</f>
        <v>1</v>
      </c>
      <c r="AN18">
        <v>6.7</v>
      </c>
      <c r="AO18">
        <v>-13.3333333333333</v>
      </c>
      <c r="AP18" s="208"/>
      <c r="AQ18" s="208"/>
      <c r="AR18" s="226"/>
      <c r="AS18" s="225"/>
      <c r="AT18" s="226"/>
      <c r="AU18" s="225"/>
      <c r="AV18" s="225"/>
      <c r="AW18" s="225"/>
      <c r="AX18" s="225"/>
      <c r="AY18" s="225"/>
    </row>
    <row r="19" spans="2:51" x14ac:dyDescent="0.25">
      <c r="B19" s="209" t="str">
        <f ca="1">IF(AND(Критерий[[#This Row],[Критерий]]&lt;&gt;"",Критерий[[#This Row],[O.K.Критерий]]=1),ROW()-ROW(Критерий[[#Headers],[№]]),"")</f>
        <v/>
      </c>
      <c r="C19" s="84"/>
      <c r="D19"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9" s="208" t="str">
        <f ca="1">IFERROR(IF(IFERROR(SEARCH("Прив",Критерий[[#This Row],[Фкритерий]]),0)&gt;0,"Критерий",IF(IFERROR(SEARCH("Матр",Критерий[[#This Row],[Фкритерий]]),0)&gt;0,"ошибка","ошибка")),"ошибка")</f>
        <v>ошибка</v>
      </c>
      <c r="F19" s="211" t="str">
        <f ca="1">IFERROR(IF(LEN((INDIRECT(Критерий[[#This Row],[СНаименование]],FALSE)))=0,"ошибка",IFERROR(INDIRECT(Критерий[[#This Row],[СНаименование]],FALSE),"ошибка")),"ошибка")</f>
        <v>ошибка</v>
      </c>
      <c r="G1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9" s="208" t="str">
        <f ca="1">IFERROR(IF(N(INDIRECT(Критерий[[#This Row],[СФизКритерий]],FALSE))=0,"ошибка",IFERROR(INDIRECT(Критерий[[#This Row],[СФизКритерий]],FALSE),"ошибка")),"ошибка")</f>
        <v>ошибка</v>
      </c>
      <c r="I1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9"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9" s="208" t="str">
        <f ca="1">IFERROR(_xlfn.FORMULATEXT(INDIRECT(Критерий[[#This Row],[Скритерий]],FALSE)),"ошибка")</f>
        <v>ошибка</v>
      </c>
      <c r="M19" s="208" t="str">
        <f ca="1">IFERROR(IF(N(INDIRECT(Критерий[[#This Row],[СМинФизКритерий]],FALSE))=0,"ошибка",IFERROR(INDIRECT(Критерий[[#This Row],[СМинФизКритерий]],FALSE),"ошибка")),"ошибка")</f>
        <v>ошибка</v>
      </c>
      <c r="N1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9" s="208" t="str">
        <f ca="1">IFERROR(IF(N(INDIRECT(Критерий[[#This Row],[СМаксФизКритерий]],FALSE))=0,"ошибка",IFERROR(INDIRECT(Критерий[[#This Row],[СМаксФизКритерий]],FALSE),"ошибка")),"ошибка")</f>
        <v>ошибка</v>
      </c>
      <c r="P1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9" s="208" t="str">
        <f ca="1">IFERROR(IF(N(INDIRECT(Критерий[[#This Row],[ССрФизКритерий]],FALSE))=0,"ошибка",IFERROR(INDIRECT(Критерий[[#This Row],[ССрФизКритерий]],FALSE),"ошибка")),"")</f>
        <v/>
      </c>
      <c r="R19"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9" s="212">
        <f ca="1">IFERROR(IF(AND(Критерий[[#This Row],[ВидКритерий]]="Критерий",IFERROR(SEARCH("Приведение",Критерий[[#This Row],[Фкритерий]]),0)&gt;0),1,-1),-1)</f>
        <v>-1</v>
      </c>
      <c r="U19" s="222" t="str">
        <f ca="1">IF(AND(Свёртка[[#This Row],[Свёртка]]&lt;&gt;"",Свёртка[[#This Row],[O.K.Свёртка]]=1),ROW()-ROW(Свёртка[[#Headers],[№]]),"")</f>
        <v/>
      </c>
      <c r="V19" s="84"/>
      <c r="W19"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19" s="208" t="str">
        <f ca="1">IFERROR(_xlfn.FORMULATEXT(INDIRECT(Свёртка[[#This Row],[ССвёртка]],FALSE)),"ошибка")</f>
        <v>ошибка</v>
      </c>
      <c r="Y19" s="208" t="str">
        <f ca="1">IFERROR(IF(IFERROR(SEARCH("Прив",Свёртка[[#This Row],[ФСвёртка]]),0)&gt;0,"ошибка",IF(IFERROR(SEARCH("Матр",Свёртка[[#This Row],[ФСвёртка]]),0)&gt;0,"Свёртка","ошибка")),"ошибка")</f>
        <v>ошибка</v>
      </c>
      <c r="Z19" s="208" t="str">
        <f ca="1">IFERROR(IF(LEN((INDIRECT(Свёртка[[#This Row],[СНаименование]],FALSE)))=0,"ошибка",IFERROR(INDIRECT(Свёртка[[#This Row],[СНаименование]],FALSE),"ошибка")),"ошибка")</f>
        <v>ошибка</v>
      </c>
      <c r="AA19"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19" s="212">
        <f ca="1">IF(Свёртка[[#This Row],[ВидСвёртка]]="Свёртка",1,-1)</f>
        <v>-1</v>
      </c>
      <c r="AG19" s="66">
        <f>IF(AND(Множество[[#This Row],[Y]]=1),ROW()-ROW(Множество[[#Headers],[№]]),"")</f>
        <v>10</v>
      </c>
      <c r="AH19" t="s">
        <v>608</v>
      </c>
      <c r="AI19" s="66">
        <v>1</v>
      </c>
      <c r="AJ19" s="66">
        <f>IF(LEN(Множество[[#This Row],[Свёртка]])&gt;0,1,-1)</f>
        <v>1</v>
      </c>
      <c r="AK19" s="66" t="s">
        <v>1781</v>
      </c>
      <c r="AL19" s="66">
        <f>IF(LEN(Множество[[#This Row],[Критерии]])&gt;0,1,-1)</f>
        <v>1</v>
      </c>
      <c r="AM19" s="66">
        <f>IF(AND(LEN(Множество[[#This Row],[Свёртка]])&gt;0,LEN(Множество[[#This Row],[Критерии]])&gt;0,LEN(Множество[[#This Row],[Оценки]])&gt;0),1,-1)</f>
        <v>1</v>
      </c>
      <c r="AN19">
        <v>6.7</v>
      </c>
      <c r="AO19">
        <v>-11.6666666666667</v>
      </c>
      <c r="AP19" s="208"/>
      <c r="AQ19" s="208"/>
      <c r="AR19" s="226"/>
      <c r="AS19" s="225"/>
      <c r="AT19" s="226"/>
      <c r="AU19" s="225"/>
      <c r="AV19" s="225"/>
      <c r="AW19" s="225"/>
      <c r="AX19" s="225"/>
      <c r="AY19" s="225"/>
    </row>
    <row r="20" spans="2:51" x14ac:dyDescent="0.25">
      <c r="B20" s="209" t="str">
        <f ca="1">IF(AND(Критерий[[#This Row],[Критерий]]&lt;&gt;"",Критерий[[#This Row],[O.K.Критерий]]=1),ROW()-ROW(Критерий[[#Headers],[№]]),"")</f>
        <v/>
      </c>
      <c r="C20" s="84"/>
      <c r="D20"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20" s="208" t="str">
        <f ca="1">IFERROR(IF(IFERROR(SEARCH("Прив",Критерий[[#This Row],[Фкритерий]]),0)&gt;0,"Критерий",IF(IFERROR(SEARCH("Матр",Критерий[[#This Row],[Фкритерий]]),0)&gt;0,"ошибка","ошибка")),"ошибка")</f>
        <v>ошибка</v>
      </c>
      <c r="F20" s="211" t="str">
        <f ca="1">IFERROR(IF(LEN((INDIRECT(Критерий[[#This Row],[СНаименование]],FALSE)))=0,"ошибка",IFERROR(INDIRECT(Критерий[[#This Row],[СНаименование]],FALSE),"ошибка")),"ошибка")</f>
        <v>ошибка</v>
      </c>
      <c r="G2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20" s="208" t="str">
        <f ca="1">IFERROR(IF(N(INDIRECT(Критерий[[#This Row],[СФизКритерий]],FALSE))=0,"ошибка",IFERROR(INDIRECT(Критерий[[#This Row],[СФизКритерий]],FALSE),"ошибка")),"ошибка")</f>
        <v>ошибка</v>
      </c>
      <c r="I2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20"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2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20" s="208" t="str">
        <f ca="1">IFERROR(_xlfn.FORMULATEXT(INDIRECT(Критерий[[#This Row],[Скритерий]],FALSE)),"ошибка")</f>
        <v>ошибка</v>
      </c>
      <c r="M20" s="208" t="str">
        <f ca="1">IFERROR(IF(N(INDIRECT(Критерий[[#This Row],[СМинФизКритерий]],FALSE))=0,"ошибка",IFERROR(INDIRECT(Критерий[[#This Row],[СМинФизКритерий]],FALSE),"ошибка")),"ошибка")</f>
        <v>ошибка</v>
      </c>
      <c r="N2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20" s="208" t="str">
        <f ca="1">IFERROR(IF(N(INDIRECT(Критерий[[#This Row],[СМаксФизКритерий]],FALSE))=0,"ошибка",IFERROR(INDIRECT(Критерий[[#This Row],[СМаксФизКритерий]],FALSE),"ошибка")),"ошибка")</f>
        <v>ошибка</v>
      </c>
      <c r="P2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20" s="208" t="str">
        <f ca="1">IFERROR(IF(N(INDIRECT(Критерий[[#This Row],[ССрФизКритерий]],FALSE))=0,"ошибка",IFERROR(INDIRECT(Критерий[[#This Row],[ССрФизКритерий]],FALSE),"ошибка")),"")</f>
        <v/>
      </c>
      <c r="R20"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20" s="212">
        <f ca="1">IFERROR(IF(AND(Критерий[[#This Row],[ВидКритерий]]="Критерий",IFERROR(SEARCH("Приведение",Критерий[[#This Row],[Фкритерий]]),0)&gt;0),1,-1),-1)</f>
        <v>-1</v>
      </c>
      <c r="U20" s="222" t="str">
        <f ca="1">IF(AND(Свёртка[[#This Row],[Свёртка]]&lt;&gt;"",Свёртка[[#This Row],[O.K.Свёртка]]=1),ROW()-ROW(Свёртка[[#Headers],[№]]),"")</f>
        <v/>
      </c>
      <c r="V20" s="84"/>
      <c r="W20"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20" s="208" t="str">
        <f ca="1">IFERROR(_xlfn.FORMULATEXT(INDIRECT(Свёртка[[#This Row],[ССвёртка]],FALSE)),"ошибка")</f>
        <v>ошибка</v>
      </c>
      <c r="Y20" s="208" t="str">
        <f ca="1">IFERROR(IF(IFERROR(SEARCH("Прив",Свёртка[[#This Row],[ФСвёртка]]),0)&gt;0,"ошибка",IF(IFERROR(SEARCH("Матр",Свёртка[[#This Row],[ФСвёртка]]),0)&gt;0,"Свёртка","ошибка")),"ошибка")</f>
        <v>ошибка</v>
      </c>
      <c r="Z20" s="208" t="str">
        <f ca="1">IFERROR(IF(LEN((INDIRECT(Свёртка[[#This Row],[СНаименование]],FALSE)))=0,"ошибка",IFERROR(INDIRECT(Свёртка[[#This Row],[СНаименование]],FALSE),"ошибка")),"ошибка")</f>
        <v>ошибка</v>
      </c>
      <c r="AA20"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20" s="212">
        <f ca="1">IF(Свёртка[[#This Row],[ВидСвёртка]]="Свёртка",1,-1)</f>
        <v>-1</v>
      </c>
      <c r="AG20" s="66">
        <f>IF(AND(Множество[[#This Row],[Y]]=1),ROW()-ROW(Множество[[#Headers],[№]]),"")</f>
        <v>11</v>
      </c>
      <c r="AH20" t="s">
        <v>608</v>
      </c>
      <c r="AI20" s="66">
        <v>1</v>
      </c>
      <c r="AJ20" s="66">
        <f>IF(LEN(Множество[[#This Row],[Свёртка]])&gt;0,1,-1)</f>
        <v>1</v>
      </c>
      <c r="AK20" s="66" t="s">
        <v>1781</v>
      </c>
      <c r="AL20" s="66">
        <f>IF(LEN(Множество[[#This Row],[Критерии]])&gt;0,1,-1)</f>
        <v>1</v>
      </c>
      <c r="AM20" s="66">
        <f>IF(AND(LEN(Множество[[#This Row],[Свёртка]])&gt;0,LEN(Множество[[#This Row],[Критерии]])&gt;0,LEN(Множество[[#This Row],[Оценки]])&gt;0),1,-1)</f>
        <v>1</v>
      </c>
      <c r="AN20">
        <v>6.6416666666666702</v>
      </c>
      <c r="AO20">
        <v>-13.35</v>
      </c>
      <c r="AP20" s="208"/>
      <c r="AQ20" s="208"/>
      <c r="AR20" s="226"/>
      <c r="AS20" s="225"/>
      <c r="AT20" s="226"/>
      <c r="AU20" s="225"/>
      <c r="AV20" s="225"/>
      <c r="AW20" s="225"/>
      <c r="AX20" s="225"/>
      <c r="AY20" s="225"/>
    </row>
    <row r="21" spans="2:51" x14ac:dyDescent="0.25">
      <c r="B21" s="209" t="str">
        <f ca="1">IF(AND(Критерий[[#This Row],[Критерий]]&lt;&gt;"",Критерий[[#This Row],[O.K.Критерий]]=1),ROW()-ROW(Критерий[[#Headers],[№]]),"")</f>
        <v/>
      </c>
      <c r="C21" s="84"/>
      <c r="D21"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21" s="208" t="str">
        <f ca="1">IFERROR(IF(IFERROR(SEARCH("Прив",Критерий[[#This Row],[Фкритерий]]),0)&gt;0,"Критерий",IF(IFERROR(SEARCH("Матр",Критерий[[#This Row],[Фкритерий]]),0)&gt;0,"ошибка","ошибка")),"ошибка")</f>
        <v>ошибка</v>
      </c>
      <c r="F21" s="211" t="str">
        <f ca="1">IFERROR(IF(LEN((INDIRECT(Критерий[[#This Row],[СНаименование]],FALSE)))=0,"ошибка",IFERROR(INDIRECT(Критерий[[#This Row],[СНаименование]],FALSE),"ошибка")),"ошибка")</f>
        <v>ошибка</v>
      </c>
      <c r="G2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21" s="208" t="str">
        <f ca="1">IFERROR(IF(N(INDIRECT(Критерий[[#This Row],[СФизКритерий]],FALSE))=0,"ошибка",IFERROR(INDIRECT(Критерий[[#This Row],[СФизКритерий]],FALSE),"ошибка")),"ошибка")</f>
        <v>ошибка</v>
      </c>
      <c r="I2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21"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2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21" s="208" t="str">
        <f ca="1">IFERROR(_xlfn.FORMULATEXT(INDIRECT(Критерий[[#This Row],[Скритерий]],FALSE)),"ошибка")</f>
        <v>ошибка</v>
      </c>
      <c r="M21" s="208" t="str">
        <f ca="1">IFERROR(IF(N(INDIRECT(Критерий[[#This Row],[СМинФизКритерий]],FALSE))=0,"ошибка",IFERROR(INDIRECT(Критерий[[#This Row],[СМинФизКритерий]],FALSE),"ошибка")),"ошибка")</f>
        <v>ошибка</v>
      </c>
      <c r="N2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21" s="208" t="str">
        <f ca="1">IFERROR(IF(N(INDIRECT(Критерий[[#This Row],[СМаксФизКритерий]],FALSE))=0,"ошибка",IFERROR(INDIRECT(Критерий[[#This Row],[СМаксФизКритерий]],FALSE),"ошибка")),"ошибка")</f>
        <v>ошибка</v>
      </c>
      <c r="P2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21" s="208" t="str">
        <f ca="1">IFERROR(IF(N(INDIRECT(Критерий[[#This Row],[ССрФизКритерий]],FALSE))=0,"ошибка",IFERROR(INDIRECT(Критерий[[#This Row],[ССрФизКритерий]],FALSE),"ошибка")),"")</f>
        <v/>
      </c>
      <c r="R21"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21" s="212">
        <f ca="1">IFERROR(IF(AND(Критерий[[#This Row],[ВидКритерий]]="Критерий",IFERROR(SEARCH("Приведение",Критерий[[#This Row],[Фкритерий]]),0)&gt;0),1,-1),-1)</f>
        <v>-1</v>
      </c>
      <c r="U21" s="222" t="str">
        <f ca="1">IF(AND(Свёртка[[#This Row],[Свёртка]]&lt;&gt;"",Свёртка[[#This Row],[O.K.Свёртка]]=1),ROW()-ROW(Свёртка[[#Headers],[№]]),"")</f>
        <v/>
      </c>
      <c r="V21" s="84"/>
      <c r="W21"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21" s="208" t="str">
        <f ca="1">IFERROR(_xlfn.FORMULATEXT(INDIRECT(Свёртка[[#This Row],[ССвёртка]],FALSE)),"ошибка")</f>
        <v>ошибка</v>
      </c>
      <c r="Y21" s="208" t="str">
        <f ca="1">IFERROR(IF(IFERROR(SEARCH("Прив",Свёртка[[#This Row],[ФСвёртка]]),0)&gt;0,"ошибка",IF(IFERROR(SEARCH("Матр",Свёртка[[#This Row],[ФСвёртка]]),0)&gt;0,"Свёртка","ошибка")),"ошибка")</f>
        <v>ошибка</v>
      </c>
      <c r="Z21" s="208" t="str">
        <f ca="1">IFERROR(IF(LEN((INDIRECT(Свёртка[[#This Row],[СНаименование]],FALSE)))=0,"ошибка",IFERROR(INDIRECT(Свёртка[[#This Row],[СНаименование]],FALSE),"ошибка")),"ошибка")</f>
        <v>ошибка</v>
      </c>
      <c r="AA21"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21" s="212">
        <f ca="1">IF(Свёртка[[#This Row],[ВидСвёртка]]="Свёртка",1,-1)</f>
        <v>-1</v>
      </c>
      <c r="AG21" s="66">
        <f>IF(AND(Множество[[#This Row],[Y]]=1),ROW()-ROW(Множество[[#Headers],[№]]),"")</f>
        <v>12</v>
      </c>
      <c r="AH21" t="s">
        <v>608</v>
      </c>
      <c r="AI21" s="66">
        <v>1</v>
      </c>
      <c r="AJ21" s="66">
        <f>IF(LEN(Множество[[#This Row],[Свёртка]])&gt;0,1,-1)</f>
        <v>1</v>
      </c>
      <c r="AK21" s="66" t="s">
        <v>1781</v>
      </c>
      <c r="AL21" s="66">
        <f>IF(LEN(Множество[[#This Row],[Критерии]])&gt;0,1,-1)</f>
        <v>1</v>
      </c>
      <c r="AM21" s="66">
        <f>IF(AND(LEN(Множество[[#This Row],[Свёртка]])&gt;0,LEN(Множество[[#This Row],[Критерии]])&gt;0,LEN(Множество[[#This Row],[Оценки]])&gt;0),1,-1)</f>
        <v>1</v>
      </c>
      <c r="AN21">
        <v>6.5250000000000004</v>
      </c>
      <c r="AO21">
        <v>-13.366666666666699</v>
      </c>
      <c r="AP21" s="208"/>
      <c r="AQ21" s="208"/>
      <c r="AR21" s="226"/>
      <c r="AS21" s="225"/>
      <c r="AT21" s="226"/>
      <c r="AU21" s="225"/>
      <c r="AV21" s="225"/>
      <c r="AW21" s="225"/>
      <c r="AX21" s="225"/>
      <c r="AY21" s="225"/>
    </row>
    <row r="22" spans="2:51" x14ac:dyDescent="0.25">
      <c r="B22" s="209" t="str">
        <f ca="1">IF(AND(Критерий[[#This Row],[Критерий]]&lt;&gt;"",Критерий[[#This Row],[O.K.Критерий]]=1),ROW()-ROW(Критерий[[#Headers],[№]]),"")</f>
        <v/>
      </c>
      <c r="C22" s="84"/>
      <c r="D22"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22" s="208" t="str">
        <f ca="1">IFERROR(IF(IFERROR(SEARCH("Прив",Критерий[[#This Row],[Фкритерий]]),0)&gt;0,"Критерий",IF(IFERROR(SEARCH("Матр",Критерий[[#This Row],[Фкритерий]]),0)&gt;0,"ошибка","ошибка")),"ошибка")</f>
        <v>ошибка</v>
      </c>
      <c r="F22" s="211" t="str">
        <f ca="1">IFERROR(IF(LEN((INDIRECT(Критерий[[#This Row],[СНаименование]],FALSE)))=0,"ошибка",IFERROR(INDIRECT(Критерий[[#This Row],[СНаименование]],FALSE),"ошибка")),"ошибка")</f>
        <v>ошибка</v>
      </c>
      <c r="G2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22" s="208" t="str">
        <f ca="1">IFERROR(IF(N(INDIRECT(Критерий[[#This Row],[СФизКритерий]],FALSE))=0,"ошибка",IFERROR(INDIRECT(Критерий[[#This Row],[СФизКритерий]],FALSE),"ошибка")),"ошибка")</f>
        <v>ошибка</v>
      </c>
      <c r="I2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22"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2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22" s="208" t="str">
        <f ca="1">IFERROR(_xlfn.FORMULATEXT(INDIRECT(Критерий[[#This Row],[Скритерий]],FALSE)),"ошибка")</f>
        <v>ошибка</v>
      </c>
      <c r="M22" s="208" t="str">
        <f ca="1">IFERROR(IF(N(INDIRECT(Критерий[[#This Row],[СМинФизКритерий]],FALSE))=0,"ошибка",IFERROR(INDIRECT(Критерий[[#This Row],[СМинФизКритерий]],FALSE),"ошибка")),"ошибка")</f>
        <v>ошибка</v>
      </c>
      <c r="N2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22" s="208" t="str">
        <f ca="1">IFERROR(IF(N(INDIRECT(Критерий[[#This Row],[СМаксФизКритерий]],FALSE))=0,"ошибка",IFERROR(INDIRECT(Критерий[[#This Row],[СМаксФизКритерий]],FALSE),"ошибка")),"ошибка")</f>
        <v>ошибка</v>
      </c>
      <c r="P2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22" s="208" t="str">
        <f ca="1">IFERROR(IF(N(INDIRECT(Критерий[[#This Row],[ССрФизКритерий]],FALSE))=0,"ошибка",IFERROR(INDIRECT(Критерий[[#This Row],[ССрФизКритерий]],FALSE),"ошибка")),"")</f>
        <v/>
      </c>
      <c r="R22"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22" s="212">
        <f ca="1">IFERROR(IF(AND(Критерий[[#This Row],[ВидКритерий]]="Критерий",IFERROR(SEARCH("Приведение",Критерий[[#This Row],[Фкритерий]]),0)&gt;0),1,-1),-1)</f>
        <v>-1</v>
      </c>
      <c r="U22" s="222" t="str">
        <f ca="1">IF(AND(Свёртка[[#This Row],[Свёртка]]&lt;&gt;"",Свёртка[[#This Row],[O.K.Свёртка]]=1),ROW()-ROW(Свёртка[[#Headers],[№]]),"")</f>
        <v/>
      </c>
      <c r="V22" s="84"/>
      <c r="W22"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22" s="208" t="str">
        <f ca="1">IFERROR(_xlfn.FORMULATEXT(INDIRECT(Свёртка[[#This Row],[ССвёртка]],FALSE)),"ошибка")</f>
        <v>ошибка</v>
      </c>
      <c r="Y22" s="208" t="str">
        <f ca="1">IFERROR(IF(IFERROR(SEARCH("Прив",Свёртка[[#This Row],[ФСвёртка]]),0)&gt;0,"ошибка",IF(IFERROR(SEARCH("Матр",Свёртка[[#This Row],[ФСвёртка]]),0)&gt;0,"Свёртка","ошибка")),"ошибка")</f>
        <v>ошибка</v>
      </c>
      <c r="Z22" s="208" t="str">
        <f ca="1">IFERROR(IF(LEN((INDIRECT(Свёртка[[#This Row],[СНаименование]],FALSE)))=0,"ошибка",IFERROR(INDIRECT(Свёртка[[#This Row],[СНаименование]],FALSE),"ошибка")),"ошибка")</f>
        <v>ошибка</v>
      </c>
      <c r="AA22"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22" s="212">
        <f ca="1">IF(Свёртка[[#This Row],[ВидСвёртка]]="Свёртка",1,-1)</f>
        <v>-1</v>
      </c>
      <c r="AG22" s="66">
        <f>IF(AND(Множество[[#This Row],[Y]]=1),ROW()-ROW(Множество[[#Headers],[№]]),"")</f>
        <v>13</v>
      </c>
      <c r="AH22" t="s">
        <v>608</v>
      </c>
      <c r="AI22" s="66">
        <v>1</v>
      </c>
      <c r="AJ22" s="66">
        <f>IF(LEN(Множество[[#This Row],[Свёртка]])&gt;0,1,-1)</f>
        <v>1</v>
      </c>
      <c r="AK22" s="66" t="s">
        <v>1781</v>
      </c>
      <c r="AL22" s="66">
        <f>IF(LEN(Множество[[#This Row],[Критерии]])&gt;0,1,-1)</f>
        <v>1</v>
      </c>
      <c r="AM22" s="66">
        <f>IF(AND(LEN(Множество[[#This Row],[Свёртка]])&gt;0,LEN(Множество[[#This Row],[Критерии]])&gt;0,LEN(Множество[[#This Row],[Оценки]])&gt;0),1,-1)</f>
        <v>1</v>
      </c>
      <c r="AN22">
        <v>6.4666666666666703</v>
      </c>
      <c r="AO22">
        <v>-13.383333333333301</v>
      </c>
      <c r="AP22" s="208"/>
      <c r="AQ22" s="208"/>
      <c r="AR22" s="226"/>
      <c r="AS22" s="225"/>
      <c r="AT22" s="226"/>
      <c r="AU22" s="225"/>
      <c r="AV22" s="225"/>
      <c r="AW22" s="225"/>
      <c r="AX22" s="225"/>
      <c r="AY22" s="225"/>
    </row>
    <row r="23" spans="2:51" x14ac:dyDescent="0.25">
      <c r="B23" s="209" t="str">
        <f ca="1">IF(AND(Критерий[[#This Row],[Критерий]]&lt;&gt;"",Критерий[[#This Row],[O.K.Критерий]]=1),ROW()-ROW(Критерий[[#Headers],[№]]),"")</f>
        <v/>
      </c>
      <c r="C23" s="84"/>
      <c r="D23"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23" s="208" t="str">
        <f ca="1">IFERROR(IF(IFERROR(SEARCH("Прив",Критерий[[#This Row],[Фкритерий]]),0)&gt;0,"Критерий",IF(IFERROR(SEARCH("Матр",Критерий[[#This Row],[Фкритерий]]),0)&gt;0,"ошибка","ошибка")),"ошибка")</f>
        <v>ошибка</v>
      </c>
      <c r="F23" s="211" t="str">
        <f ca="1">IFERROR(IF(LEN((INDIRECT(Критерий[[#This Row],[СНаименование]],FALSE)))=0,"ошибка",IFERROR(INDIRECT(Критерий[[#This Row],[СНаименование]],FALSE),"ошибка")),"ошибка")</f>
        <v>ошибка</v>
      </c>
      <c r="G2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23" s="208" t="str">
        <f ca="1">IFERROR(IF(N(INDIRECT(Критерий[[#This Row],[СФизКритерий]],FALSE))=0,"ошибка",IFERROR(INDIRECT(Критерий[[#This Row],[СФизКритерий]],FALSE),"ошибка")),"ошибка")</f>
        <v>ошибка</v>
      </c>
      <c r="I2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23"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2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23" s="208" t="str">
        <f ca="1">IFERROR(_xlfn.FORMULATEXT(INDIRECT(Критерий[[#This Row],[Скритерий]],FALSE)),"ошибка")</f>
        <v>ошибка</v>
      </c>
      <c r="M23" s="208" t="str">
        <f ca="1">IFERROR(IF(N(INDIRECT(Критерий[[#This Row],[СМинФизКритерий]],FALSE))=0,"ошибка",IFERROR(INDIRECT(Критерий[[#This Row],[СМинФизКритерий]],FALSE),"ошибка")),"ошибка")</f>
        <v>ошибка</v>
      </c>
      <c r="N2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23" s="208" t="str">
        <f ca="1">IFERROR(IF(N(INDIRECT(Критерий[[#This Row],[СМаксФизКритерий]],FALSE))=0,"ошибка",IFERROR(INDIRECT(Критерий[[#This Row],[СМаксФизКритерий]],FALSE),"ошибка")),"ошибка")</f>
        <v>ошибка</v>
      </c>
      <c r="P2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23" s="208" t="str">
        <f ca="1">IFERROR(IF(N(INDIRECT(Критерий[[#This Row],[ССрФизКритерий]],FALSE))=0,"ошибка",IFERROR(INDIRECT(Критерий[[#This Row],[ССрФизКритерий]],FALSE),"ошибка")),"")</f>
        <v/>
      </c>
      <c r="R23"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23" s="212">
        <f ca="1">IFERROR(IF(AND(Критерий[[#This Row],[ВидКритерий]]="Критерий",IFERROR(SEARCH("Приведение",Критерий[[#This Row],[Фкритерий]]),0)&gt;0),1,-1),-1)</f>
        <v>-1</v>
      </c>
      <c r="U23" s="222" t="str">
        <f ca="1">IF(AND(Свёртка[[#This Row],[Свёртка]]&lt;&gt;"",Свёртка[[#This Row],[O.K.Свёртка]]=1),ROW()-ROW(Свёртка[[#Headers],[№]]),"")</f>
        <v/>
      </c>
      <c r="V23" s="84"/>
      <c r="W23"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23" s="208" t="str">
        <f ca="1">IFERROR(_xlfn.FORMULATEXT(INDIRECT(Свёртка[[#This Row],[ССвёртка]],FALSE)),"ошибка")</f>
        <v>ошибка</v>
      </c>
      <c r="Y23" s="208" t="str">
        <f ca="1">IFERROR(IF(IFERROR(SEARCH("Прив",Свёртка[[#This Row],[ФСвёртка]]),0)&gt;0,"ошибка",IF(IFERROR(SEARCH("Матр",Свёртка[[#This Row],[ФСвёртка]]),0)&gt;0,"Свёртка","ошибка")),"ошибка")</f>
        <v>ошибка</v>
      </c>
      <c r="Z23" s="208" t="str">
        <f ca="1">IFERROR(IF(LEN((INDIRECT(Свёртка[[#This Row],[СНаименование]],FALSE)))=0,"ошибка",IFERROR(INDIRECT(Свёртка[[#This Row],[СНаименование]],FALSE),"ошибка")),"ошибка")</f>
        <v>ошибка</v>
      </c>
      <c r="AA23"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23" s="212">
        <f ca="1">IF(Свёртка[[#This Row],[ВидСвёртка]]="Свёртка",1,-1)</f>
        <v>-1</v>
      </c>
      <c r="AG23" s="66">
        <f>IF(AND(Множество[[#This Row],[Y]]=1),ROW()-ROW(Множество[[#Headers],[№]]),"")</f>
        <v>14</v>
      </c>
      <c r="AH23" t="s">
        <v>608</v>
      </c>
      <c r="AI23" s="66">
        <v>1</v>
      </c>
      <c r="AJ23" s="66">
        <f>IF(LEN(Множество[[#This Row],[Свёртка]])&gt;0,1,-1)</f>
        <v>1</v>
      </c>
      <c r="AK23" s="66" t="s">
        <v>1781</v>
      </c>
      <c r="AL23" s="66">
        <f>IF(LEN(Множество[[#This Row],[Критерии]])&gt;0,1,-1)</f>
        <v>1</v>
      </c>
      <c r="AM23" s="66">
        <f>IF(AND(LEN(Множество[[#This Row],[Свёртка]])&gt;0,LEN(Множество[[#This Row],[Критерии]])&gt;0,LEN(Множество[[#This Row],[Оценки]])&gt;0),1,-1)</f>
        <v>1</v>
      </c>
      <c r="AN23">
        <v>7.1666666666666696</v>
      </c>
      <c r="AO23">
        <v>-10.866666666666699</v>
      </c>
      <c r="AP23" s="208"/>
      <c r="AQ23" s="208"/>
      <c r="AR23" s="226"/>
      <c r="AS23" s="225"/>
      <c r="AT23" s="226"/>
      <c r="AU23" s="225"/>
      <c r="AV23" s="225"/>
      <c r="AW23" s="225"/>
      <c r="AX23" s="225"/>
      <c r="AY23" s="225"/>
    </row>
    <row r="24" spans="2:51" x14ac:dyDescent="0.25">
      <c r="B24" s="209" t="str">
        <f ca="1">IF(AND(Критерий[[#This Row],[Критерий]]&lt;&gt;"",Критерий[[#This Row],[O.K.Критерий]]=1),ROW()-ROW(Критерий[[#Headers],[№]]),"")</f>
        <v/>
      </c>
      <c r="C24" s="84"/>
      <c r="D24"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24" s="208" t="str">
        <f ca="1">IFERROR(IF(IFERROR(SEARCH("Прив",Критерий[[#This Row],[Фкритерий]]),0)&gt;0,"Критерий",IF(IFERROR(SEARCH("Матр",Критерий[[#This Row],[Фкритерий]]),0)&gt;0,"ошибка","ошибка")),"ошибка")</f>
        <v>ошибка</v>
      </c>
      <c r="F24" s="211" t="str">
        <f ca="1">IFERROR(IF(LEN((INDIRECT(Критерий[[#This Row],[СНаименование]],FALSE)))=0,"ошибка",IFERROR(INDIRECT(Критерий[[#This Row],[СНаименование]],FALSE),"ошибка")),"ошибка")</f>
        <v>ошибка</v>
      </c>
      <c r="G2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24" s="208" t="str">
        <f ca="1">IFERROR(IF(N(INDIRECT(Критерий[[#This Row],[СФизКритерий]],FALSE))=0,"ошибка",IFERROR(INDIRECT(Критерий[[#This Row],[СФизКритерий]],FALSE),"ошибка")),"ошибка")</f>
        <v>ошибка</v>
      </c>
      <c r="I2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24"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2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24" s="208" t="str">
        <f ca="1">IFERROR(_xlfn.FORMULATEXT(INDIRECT(Критерий[[#This Row],[Скритерий]],FALSE)),"ошибка")</f>
        <v>ошибка</v>
      </c>
      <c r="M24" s="208" t="str">
        <f ca="1">IFERROR(IF(N(INDIRECT(Критерий[[#This Row],[СМинФизКритерий]],FALSE))=0,"ошибка",IFERROR(INDIRECT(Критерий[[#This Row],[СМинФизКритерий]],FALSE),"ошибка")),"ошибка")</f>
        <v>ошибка</v>
      </c>
      <c r="N2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24" s="208" t="str">
        <f ca="1">IFERROR(IF(N(INDIRECT(Критерий[[#This Row],[СМаксФизКритерий]],FALSE))=0,"ошибка",IFERROR(INDIRECT(Критерий[[#This Row],[СМаксФизКритерий]],FALSE),"ошибка")),"ошибка")</f>
        <v>ошибка</v>
      </c>
      <c r="P2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24" s="208" t="str">
        <f ca="1">IFERROR(IF(N(INDIRECT(Критерий[[#This Row],[ССрФизКритерий]],FALSE))=0,"ошибка",IFERROR(INDIRECT(Критерий[[#This Row],[ССрФизКритерий]],FALSE),"ошибка")),"")</f>
        <v/>
      </c>
      <c r="R24"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24" s="212">
        <f ca="1">IFERROR(IF(AND(Критерий[[#This Row],[ВидКритерий]]="Критерий",IFERROR(SEARCH("Приведение",Критерий[[#This Row],[Фкритерий]]),0)&gt;0),1,-1),-1)</f>
        <v>-1</v>
      </c>
      <c r="U24" s="222" t="str">
        <f ca="1">IF(AND(Свёртка[[#This Row],[Свёртка]]&lt;&gt;"",Свёртка[[#This Row],[O.K.Свёртка]]=1),ROW()-ROW(Свёртка[[#Headers],[№]]),"")</f>
        <v/>
      </c>
      <c r="V24" s="84"/>
      <c r="W24"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24" s="208" t="str">
        <f ca="1">IFERROR(_xlfn.FORMULATEXT(INDIRECT(Свёртка[[#This Row],[ССвёртка]],FALSE)),"ошибка")</f>
        <v>ошибка</v>
      </c>
      <c r="Y24" s="208" t="str">
        <f ca="1">IFERROR(IF(IFERROR(SEARCH("Прив",Свёртка[[#This Row],[ФСвёртка]]),0)&gt;0,"ошибка",IF(IFERROR(SEARCH("Матр",Свёртка[[#This Row],[ФСвёртка]]),0)&gt;0,"Свёртка","ошибка")),"ошибка")</f>
        <v>ошибка</v>
      </c>
      <c r="Z24" s="208" t="str">
        <f ca="1">IFERROR(IF(LEN((INDIRECT(Свёртка[[#This Row],[СНаименование]],FALSE)))=0,"ошибка",IFERROR(INDIRECT(Свёртка[[#This Row],[СНаименование]],FALSE),"ошибка")),"ошибка")</f>
        <v>ошибка</v>
      </c>
      <c r="AA24"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24" s="212">
        <f ca="1">IF(Свёртка[[#This Row],[ВидСвёртка]]="Свёртка",1,-1)</f>
        <v>-1</v>
      </c>
      <c r="AG24" s="66">
        <f>IF(AND(Множество[[#This Row],[Y]]=1),ROW()-ROW(Множество[[#Headers],[№]]),"")</f>
        <v>15</v>
      </c>
      <c r="AH24" t="s">
        <v>608</v>
      </c>
      <c r="AI24" s="66">
        <v>1</v>
      </c>
      <c r="AJ24" s="66">
        <f>IF(LEN(Множество[[#This Row],[Свёртка]])&gt;0,1,-1)</f>
        <v>1</v>
      </c>
      <c r="AK24" s="66" t="s">
        <v>1781</v>
      </c>
      <c r="AL24" s="66">
        <f>IF(LEN(Множество[[#This Row],[Критерии]])&gt;0,1,-1)</f>
        <v>1</v>
      </c>
      <c r="AM24" s="66">
        <f>IF(AND(LEN(Множество[[#This Row],[Свёртка]])&gt;0,LEN(Множество[[#This Row],[Критерии]])&gt;0,LEN(Множество[[#This Row],[Оценки]])&gt;0),1,-1)</f>
        <v>1</v>
      </c>
      <c r="AN24">
        <v>7.2249999999999996</v>
      </c>
      <c r="AO24">
        <v>-10.8333333333333</v>
      </c>
      <c r="AP24" s="208"/>
      <c r="AQ24" s="208"/>
      <c r="AR24" s="226"/>
      <c r="AS24" s="225"/>
      <c r="AT24" s="226"/>
      <c r="AU24" s="225"/>
      <c r="AV24" s="225"/>
      <c r="AW24" s="225"/>
      <c r="AX24" s="225"/>
      <c r="AY24" s="225"/>
    </row>
    <row r="25" spans="2:51" x14ac:dyDescent="0.25">
      <c r="B25" s="209" t="str">
        <f ca="1">IF(AND(Критерий[[#This Row],[Критерий]]&lt;&gt;"",Критерий[[#This Row],[O.K.Критерий]]=1),ROW()-ROW(Критерий[[#Headers],[№]]),"")</f>
        <v/>
      </c>
      <c r="C25" s="84"/>
      <c r="D25"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25" s="208" t="str">
        <f ca="1">IFERROR(IF(IFERROR(SEARCH("Прив",Критерий[[#This Row],[Фкритерий]]),0)&gt;0,"Критерий",IF(IFERROR(SEARCH("Матр",Критерий[[#This Row],[Фкритерий]]),0)&gt;0,"ошибка","ошибка")),"ошибка")</f>
        <v>ошибка</v>
      </c>
      <c r="F25" s="211" t="str">
        <f ca="1">IFERROR(IF(LEN((INDIRECT(Критерий[[#This Row],[СНаименование]],FALSE)))=0,"ошибка",IFERROR(INDIRECT(Критерий[[#This Row],[СНаименование]],FALSE),"ошибка")),"ошибка")</f>
        <v>ошибка</v>
      </c>
      <c r="G2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25" s="208" t="str">
        <f ca="1">IFERROR(IF(N(INDIRECT(Критерий[[#This Row],[СФизКритерий]],FALSE))=0,"ошибка",IFERROR(INDIRECT(Критерий[[#This Row],[СФизКритерий]],FALSE),"ошибка")),"ошибка")</f>
        <v>ошибка</v>
      </c>
      <c r="I2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25"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2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25" s="208" t="str">
        <f ca="1">IFERROR(_xlfn.FORMULATEXT(INDIRECT(Критерий[[#This Row],[Скритерий]],FALSE)),"ошибка")</f>
        <v>ошибка</v>
      </c>
      <c r="M25" s="208" t="str">
        <f ca="1">IFERROR(IF(N(INDIRECT(Критерий[[#This Row],[СМинФизКритерий]],FALSE))=0,"ошибка",IFERROR(INDIRECT(Критерий[[#This Row],[СМинФизКритерий]],FALSE),"ошибка")),"ошибка")</f>
        <v>ошибка</v>
      </c>
      <c r="N2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25" s="208" t="str">
        <f ca="1">IFERROR(IF(N(INDIRECT(Критерий[[#This Row],[СМаксФизКритерий]],FALSE))=0,"ошибка",IFERROR(INDIRECT(Критерий[[#This Row],[СМаксФизКритерий]],FALSE),"ошибка")),"ошибка")</f>
        <v>ошибка</v>
      </c>
      <c r="P2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25" s="208" t="str">
        <f ca="1">IFERROR(IF(N(INDIRECT(Критерий[[#This Row],[ССрФизКритерий]],FALSE))=0,"ошибка",IFERROR(INDIRECT(Критерий[[#This Row],[ССрФизКритерий]],FALSE),"ошибка")),"")</f>
        <v/>
      </c>
      <c r="R25"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25" s="212">
        <f ca="1">IFERROR(IF(AND(Критерий[[#This Row],[ВидКритерий]]="Критерий",IFERROR(SEARCH("Приведение",Критерий[[#This Row],[Фкритерий]]),0)&gt;0),1,-1),-1)</f>
        <v>-1</v>
      </c>
      <c r="U25" s="222" t="str">
        <f ca="1">IF(AND(Свёртка[[#This Row],[Свёртка]]&lt;&gt;"",Свёртка[[#This Row],[O.K.Свёртка]]=1),ROW()-ROW(Свёртка[[#Headers],[№]]),"")</f>
        <v/>
      </c>
      <c r="V25" s="84"/>
      <c r="W25"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25" s="208" t="str">
        <f ca="1">IFERROR(_xlfn.FORMULATEXT(INDIRECT(Свёртка[[#This Row],[ССвёртка]],FALSE)),"ошибка")</f>
        <v>ошибка</v>
      </c>
      <c r="Y25" s="208" t="str">
        <f ca="1">IFERROR(IF(IFERROR(SEARCH("Прив",Свёртка[[#This Row],[ФСвёртка]]),0)&gt;0,"ошибка",IF(IFERROR(SEARCH("Матр",Свёртка[[#This Row],[ФСвёртка]]),0)&gt;0,"Свёртка","ошибка")),"ошибка")</f>
        <v>ошибка</v>
      </c>
      <c r="Z25" s="208" t="str">
        <f ca="1">IFERROR(IF(LEN((INDIRECT(Свёртка[[#This Row],[СНаименование]],FALSE)))=0,"ошибка",IFERROR(INDIRECT(Свёртка[[#This Row],[СНаименование]],FALSE),"ошибка")),"ошибка")</f>
        <v>ошибка</v>
      </c>
      <c r="AA25"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25" s="212">
        <f ca="1">IF(Свёртка[[#This Row],[ВидСвёртка]]="Свёртка",1,-1)</f>
        <v>-1</v>
      </c>
      <c r="AG25" s="66">
        <f>IF(AND(Множество[[#This Row],[Y]]=1),ROW()-ROW(Множество[[#Headers],[№]]),"")</f>
        <v>16</v>
      </c>
      <c r="AH25" t="s">
        <v>608</v>
      </c>
      <c r="AI25" s="66">
        <v>1</v>
      </c>
      <c r="AJ25" s="66">
        <f>IF(LEN(Множество[[#This Row],[Свёртка]])&gt;0,1,-1)</f>
        <v>1</v>
      </c>
      <c r="AK25" s="66" t="s">
        <v>1781</v>
      </c>
      <c r="AL25" s="66">
        <f>IF(LEN(Множество[[#This Row],[Критерии]])&gt;0,1,-1)</f>
        <v>1</v>
      </c>
      <c r="AM25" s="66">
        <f>IF(AND(LEN(Множество[[#This Row],[Свёртка]])&gt;0,LEN(Множество[[#This Row],[Критерии]])&gt;0,LEN(Множество[[#This Row],[Оценки]])&gt;0),1,-1)</f>
        <v>1</v>
      </c>
      <c r="AN25">
        <v>7.05</v>
      </c>
      <c r="AO25">
        <v>-10.966666666666701</v>
      </c>
      <c r="AP25" s="208"/>
      <c r="AQ25" s="208"/>
      <c r="AR25" s="226"/>
      <c r="AS25" s="225"/>
      <c r="AT25" s="226"/>
      <c r="AU25" s="225"/>
      <c r="AV25" s="225"/>
      <c r="AW25" s="225"/>
      <c r="AX25" s="225"/>
      <c r="AY25" s="225"/>
    </row>
    <row r="26" spans="2:51" x14ac:dyDescent="0.25">
      <c r="B26" s="209" t="str">
        <f ca="1">IF(AND(Критерий[[#This Row],[Критерий]]&lt;&gt;"",Критерий[[#This Row],[O.K.Критерий]]=1),ROW()-ROW(Критерий[[#Headers],[№]]),"")</f>
        <v/>
      </c>
      <c r="C26" s="84"/>
      <c r="D26"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26" s="208" t="str">
        <f ca="1">IFERROR(IF(IFERROR(SEARCH("Прив",Критерий[[#This Row],[Фкритерий]]),0)&gt;0,"Критерий",IF(IFERROR(SEARCH("Матр",Критерий[[#This Row],[Фкритерий]]),0)&gt;0,"ошибка","ошибка")),"ошибка")</f>
        <v>ошибка</v>
      </c>
      <c r="F26" s="224" t="str">
        <f ca="1">IFERROR(IF(LEN((INDIRECT(Критерий[[#This Row],[СНаименование]],FALSE)))=0,"ошибка",IFERROR(INDIRECT(Критерий[[#This Row],[СНаименование]],FALSE),"ошибка")),"ошибка")</f>
        <v>ошибка</v>
      </c>
      <c r="G2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26" s="208" t="str">
        <f ca="1">IFERROR(IF(N(INDIRECT(Критерий[[#This Row],[СФизКритерий]],FALSE))=0,"ошибка",IFERROR(INDIRECT(Критерий[[#This Row],[СФизКритерий]],FALSE),"ошибка")),"ошибка")</f>
        <v>ошибка</v>
      </c>
      <c r="I2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26"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2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26" s="208" t="str">
        <f ca="1">IFERROR(_xlfn.FORMULATEXT(INDIRECT(Критерий[[#This Row],[Скритерий]],FALSE)),"ошибка")</f>
        <v>ошибка</v>
      </c>
      <c r="M26" s="208" t="str">
        <f ca="1">IFERROR(IF(N(INDIRECT(Критерий[[#This Row],[СМинФизКритерий]],FALSE))=0,"ошибка",IFERROR(INDIRECT(Критерий[[#This Row],[СМинФизКритерий]],FALSE),"ошибка")),"ошибка")</f>
        <v>ошибка</v>
      </c>
      <c r="N2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26" s="208" t="str">
        <f ca="1">IFERROR(IF(N(INDIRECT(Критерий[[#This Row],[СМаксФизКритерий]],FALSE))=0,"ошибка",IFERROR(INDIRECT(Критерий[[#This Row],[СМаксФизКритерий]],FALSE),"ошибка")),"ошибка")</f>
        <v>ошибка</v>
      </c>
      <c r="P2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26" s="208" t="str">
        <f ca="1">IFERROR(IF(N(INDIRECT(Критерий[[#This Row],[ССрФизКритерий]],FALSE))=0,"ошибка",IFERROR(INDIRECT(Критерий[[#This Row],[ССрФизКритерий]],FALSE),"ошибка")),"")</f>
        <v/>
      </c>
      <c r="R26"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26" s="212">
        <f ca="1">IFERROR(IF(AND(Критерий[[#This Row],[ВидКритерий]]="Критерий",IFERROR(SEARCH("Приведение",Критерий[[#This Row],[Фкритерий]]),0)&gt;0),1,-1),-1)</f>
        <v>-1</v>
      </c>
      <c r="U26" s="222" t="str">
        <f ca="1">IF(AND(Свёртка[[#This Row],[Свёртка]]&lt;&gt;"",Свёртка[[#This Row],[O.K.Свёртка]]=1),ROW()-ROW(Свёртка[[#Headers],[№]]),"")</f>
        <v/>
      </c>
      <c r="V26" s="84"/>
      <c r="W26"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26" s="208" t="str">
        <f ca="1">IFERROR(_xlfn.FORMULATEXT(INDIRECT(Свёртка[[#This Row],[ССвёртка]],FALSE)),"ошибка")</f>
        <v>ошибка</v>
      </c>
      <c r="Y26" s="208" t="str">
        <f ca="1">IFERROR(IF(IFERROR(SEARCH("Прив",Свёртка[[#This Row],[ФСвёртка]]),0)&gt;0,"ошибка",IF(IFERROR(SEARCH("Матр",Свёртка[[#This Row],[ФСвёртка]]),0)&gt;0,"Свёртка","ошибка")),"ошибка")</f>
        <v>ошибка</v>
      </c>
      <c r="Z26" s="208" t="str">
        <f ca="1">IFERROR(IF(LEN((INDIRECT(Свёртка[[#This Row],[СНаименование]],FALSE)))=0,"ошибка",IFERROR(INDIRECT(Свёртка[[#This Row],[СНаименование]],FALSE),"ошибка")),"ошибка")</f>
        <v>ошибка</v>
      </c>
      <c r="AA26"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26" s="212">
        <f ca="1">IF(Свёртка[[#This Row],[ВидСвёртка]]="Свёртка",1,-1)</f>
        <v>-1</v>
      </c>
      <c r="AG26" s="66">
        <f>IF(AND(Множество[[#This Row],[Y]]=1),ROW()-ROW(Множество[[#Headers],[№]]),"")</f>
        <v>17</v>
      </c>
      <c r="AH26" t="s">
        <v>608</v>
      </c>
      <c r="AI26" s="66">
        <v>1</v>
      </c>
      <c r="AJ26" s="66">
        <f>IF(LEN(Множество[[#This Row],[Свёртка]])&gt;0,1,-1)</f>
        <v>1</v>
      </c>
      <c r="AK26" s="66" t="s">
        <v>1781</v>
      </c>
      <c r="AL26" s="66">
        <f>IF(LEN(Множество[[#This Row],[Критерии]])&gt;0,1,-1)</f>
        <v>1</v>
      </c>
      <c r="AM26" s="66">
        <f>IF(AND(LEN(Множество[[#This Row],[Свёртка]])&gt;0,LEN(Множество[[#This Row],[Критерии]])&gt;0,LEN(Множество[[#This Row],[Оценки]])&gt;0),1,-1)</f>
        <v>1</v>
      </c>
      <c r="AN26">
        <v>6.35</v>
      </c>
      <c r="AO26">
        <v>-13.4166666666667</v>
      </c>
      <c r="AP26" s="208"/>
      <c r="AQ26" s="208"/>
      <c r="AR26" s="226"/>
      <c r="AS26" s="225"/>
      <c r="AT26" s="226"/>
      <c r="AU26" s="225"/>
      <c r="AV26" s="225"/>
      <c r="AW26" s="225"/>
      <c r="AX26" s="225"/>
      <c r="AY26" s="225"/>
    </row>
    <row r="27" spans="2:51" x14ac:dyDescent="0.25">
      <c r="B27" s="209" t="str">
        <f ca="1">IF(AND(Критерий[[#This Row],[Критерий]]&lt;&gt;"",Критерий[[#This Row],[O.K.Критерий]]=1),ROW()-ROW(Критерий[[#Headers],[№]]),"")</f>
        <v/>
      </c>
      <c r="C27" s="84"/>
      <c r="D27"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27" s="208" t="str">
        <f ca="1">IFERROR(IF(IFERROR(SEARCH("Прив",Критерий[[#This Row],[Фкритерий]]),0)&gt;0,"Критерий",IF(IFERROR(SEARCH("Матр",Критерий[[#This Row],[Фкритерий]]),0)&gt;0,"ошибка","ошибка")),"ошибка")</f>
        <v>ошибка</v>
      </c>
      <c r="F27" s="224" t="str">
        <f ca="1">IFERROR(IF(LEN((INDIRECT(Критерий[[#This Row],[СНаименование]],FALSE)))=0,"ошибка",IFERROR(INDIRECT(Критерий[[#This Row],[СНаименование]],FALSE),"ошибка")),"ошибка")</f>
        <v>ошибка</v>
      </c>
      <c r="G2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27" s="208" t="str">
        <f ca="1">IFERROR(IF(N(INDIRECT(Критерий[[#This Row],[СФизКритерий]],FALSE))=0,"ошибка",IFERROR(INDIRECT(Критерий[[#This Row],[СФизКритерий]],FALSE),"ошибка")),"ошибка")</f>
        <v>ошибка</v>
      </c>
      <c r="I2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27"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2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27" s="208" t="str">
        <f ca="1">IFERROR(_xlfn.FORMULATEXT(INDIRECT(Критерий[[#This Row],[Скритерий]],FALSE)),"ошибка")</f>
        <v>ошибка</v>
      </c>
      <c r="M27" s="208" t="str">
        <f ca="1">IFERROR(IF(N(INDIRECT(Критерий[[#This Row],[СМинФизКритерий]],FALSE))=0,"ошибка",IFERROR(INDIRECT(Критерий[[#This Row],[СМинФизКритерий]],FALSE),"ошибка")),"ошибка")</f>
        <v>ошибка</v>
      </c>
      <c r="N2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27" s="208" t="str">
        <f ca="1">IFERROR(IF(N(INDIRECT(Критерий[[#This Row],[СМаксФизКритерий]],FALSE))=0,"ошибка",IFERROR(INDIRECT(Критерий[[#This Row],[СМаксФизКритерий]],FALSE),"ошибка")),"ошибка")</f>
        <v>ошибка</v>
      </c>
      <c r="P2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27" s="208" t="str">
        <f ca="1">IFERROR(IF(N(INDIRECT(Критерий[[#This Row],[ССрФизКритерий]],FALSE))=0,"ошибка",IFERROR(INDIRECT(Критерий[[#This Row],[ССрФизКритерий]],FALSE),"ошибка")),"")</f>
        <v/>
      </c>
      <c r="R27"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27" s="212">
        <f ca="1">IFERROR(IF(AND(Критерий[[#This Row],[ВидКритерий]]="Критерий",IFERROR(SEARCH("Приведение",Критерий[[#This Row],[Фкритерий]]),0)&gt;0),1,-1),-1)</f>
        <v>-1</v>
      </c>
      <c r="U27" s="222" t="str">
        <f ca="1">IF(AND(Свёртка[[#This Row],[Свёртка]]&lt;&gt;"",Свёртка[[#This Row],[O.K.Свёртка]]=1),ROW()-ROW(Свёртка[[#Headers],[№]]),"")</f>
        <v/>
      </c>
      <c r="V27" s="84"/>
      <c r="W27"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27" s="208" t="str">
        <f ca="1">IFERROR(_xlfn.FORMULATEXT(INDIRECT(Свёртка[[#This Row],[ССвёртка]],FALSE)),"ошибка")</f>
        <v>ошибка</v>
      </c>
      <c r="Y27" s="208" t="str">
        <f ca="1">IFERROR(IF(IFERROR(SEARCH("Прив",Свёртка[[#This Row],[ФСвёртка]]),0)&gt;0,"ошибка",IF(IFERROR(SEARCH("Матр",Свёртка[[#This Row],[ФСвёртка]]),0)&gt;0,"Свёртка","ошибка")),"ошибка")</f>
        <v>ошибка</v>
      </c>
      <c r="Z27" s="208" t="str">
        <f ca="1">IFERROR(IF(LEN((INDIRECT(Свёртка[[#This Row],[СНаименование]],FALSE)))=0,"ошибка",IFERROR(INDIRECT(Свёртка[[#This Row],[СНаименование]],FALSE),"ошибка")),"ошибка")</f>
        <v>ошибка</v>
      </c>
      <c r="AA27"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27" s="212">
        <f ca="1">IF(Свёртка[[#This Row],[ВидСвёртка]]="Свёртка",1,-1)</f>
        <v>-1</v>
      </c>
      <c r="AG27" s="66">
        <f>IF(AND(Множество[[#This Row],[Y]]=1),ROW()-ROW(Множество[[#Headers],[№]]),"")</f>
        <v>18</v>
      </c>
      <c r="AH27" t="s">
        <v>608</v>
      </c>
      <c r="AI27" s="66">
        <v>1</v>
      </c>
      <c r="AJ27" s="66">
        <f>IF(LEN(Множество[[#This Row],[Свёртка]])&gt;0,1,-1)</f>
        <v>1</v>
      </c>
      <c r="AK27" s="66" t="s">
        <v>1781</v>
      </c>
      <c r="AL27" s="66">
        <f>IF(LEN(Множество[[#This Row],[Критерии]])&gt;0,1,-1)</f>
        <v>1</v>
      </c>
      <c r="AM27" s="66">
        <f>IF(AND(LEN(Множество[[#This Row],[Свёртка]])&gt;0,LEN(Множество[[#This Row],[Критерии]])&gt;0,LEN(Множество[[#This Row],[Оценки]])&gt;0),1,-1)</f>
        <v>1</v>
      </c>
      <c r="AN27">
        <v>6.7583333333333302</v>
      </c>
      <c r="AO27">
        <v>-11.1833333333333</v>
      </c>
      <c r="AP27" s="208"/>
      <c r="AQ27" s="208"/>
      <c r="AR27" s="226"/>
      <c r="AS27" s="225"/>
      <c r="AT27" s="226"/>
      <c r="AU27" s="225"/>
      <c r="AV27" s="225"/>
      <c r="AW27" s="225"/>
      <c r="AX27" s="225"/>
      <c r="AY27" s="225"/>
    </row>
    <row r="28" spans="2:51" x14ac:dyDescent="0.25">
      <c r="B28" s="209" t="str">
        <f ca="1">IF(AND(Критерий[[#This Row],[Критерий]]&lt;&gt;"",Критерий[[#This Row],[O.K.Критерий]]=1),ROW()-ROW(Критерий[[#Headers],[№]]),"")</f>
        <v/>
      </c>
      <c r="C28" s="84"/>
      <c r="D28"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28" s="208" t="str">
        <f ca="1">IFERROR(IF(IFERROR(SEARCH("Прив",Критерий[[#This Row],[Фкритерий]]),0)&gt;0,"Критерий",IF(IFERROR(SEARCH("Матр",Критерий[[#This Row],[Фкритерий]]),0)&gt;0,"ошибка","ошибка")),"ошибка")</f>
        <v>ошибка</v>
      </c>
      <c r="F28" s="224" t="str">
        <f ca="1">IFERROR(IF(LEN((INDIRECT(Критерий[[#This Row],[СНаименование]],FALSE)))=0,"ошибка",IFERROR(INDIRECT(Критерий[[#This Row],[СНаименование]],FALSE),"ошибка")),"ошибка")</f>
        <v>ошибка</v>
      </c>
      <c r="G2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28" s="208" t="str">
        <f ca="1">IFERROR(IF(N(INDIRECT(Критерий[[#This Row],[СФизКритерий]],FALSE))=0,"ошибка",IFERROR(INDIRECT(Критерий[[#This Row],[СФизКритерий]],FALSE),"ошибка")),"ошибка")</f>
        <v>ошибка</v>
      </c>
      <c r="I2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28"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2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28" s="208" t="str">
        <f ca="1">IFERROR(_xlfn.FORMULATEXT(INDIRECT(Критерий[[#This Row],[Скритерий]],FALSE)),"ошибка")</f>
        <v>ошибка</v>
      </c>
      <c r="M28" s="208" t="str">
        <f ca="1">IFERROR(IF(N(INDIRECT(Критерий[[#This Row],[СМинФизКритерий]],FALSE))=0,"ошибка",IFERROR(INDIRECT(Критерий[[#This Row],[СМинФизКритерий]],FALSE),"ошибка")),"ошибка")</f>
        <v>ошибка</v>
      </c>
      <c r="N2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28" s="208" t="str">
        <f ca="1">IFERROR(IF(N(INDIRECT(Критерий[[#This Row],[СМаксФизКритерий]],FALSE))=0,"ошибка",IFERROR(INDIRECT(Критерий[[#This Row],[СМаксФизКритерий]],FALSE),"ошибка")),"ошибка")</f>
        <v>ошибка</v>
      </c>
      <c r="P2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28" s="208" t="str">
        <f ca="1">IFERROR(IF(N(INDIRECT(Критерий[[#This Row],[ССрФизКритерий]],FALSE))=0,"ошибка",IFERROR(INDIRECT(Критерий[[#This Row],[ССрФизКритерий]],FALSE),"ошибка")),"")</f>
        <v/>
      </c>
      <c r="R28"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28" s="212">
        <f ca="1">IFERROR(IF(AND(Критерий[[#This Row],[ВидКритерий]]="Критерий",IFERROR(SEARCH("Приведение",Критерий[[#This Row],[Фкритерий]]),0)&gt;0),1,-1),-1)</f>
        <v>-1</v>
      </c>
      <c r="U28" s="222" t="str">
        <f ca="1">IF(AND(Свёртка[[#This Row],[Свёртка]]&lt;&gt;"",Свёртка[[#This Row],[O.K.Свёртка]]=1),ROW()-ROW(Свёртка[[#Headers],[№]]),"")</f>
        <v/>
      </c>
      <c r="V28" s="84"/>
      <c r="W28"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28" s="208" t="str">
        <f ca="1">IFERROR(_xlfn.FORMULATEXT(INDIRECT(Свёртка[[#This Row],[ССвёртка]],FALSE)),"ошибка")</f>
        <v>ошибка</v>
      </c>
      <c r="Y28" s="208" t="str">
        <f ca="1">IFERROR(IF(IFERROR(SEARCH("Прив",Свёртка[[#This Row],[ФСвёртка]]),0)&gt;0,"ошибка",IF(IFERROR(SEARCH("Матр",Свёртка[[#This Row],[ФСвёртка]]),0)&gt;0,"Свёртка","ошибка")),"ошибка")</f>
        <v>ошибка</v>
      </c>
      <c r="Z28" s="208" t="str">
        <f ca="1">IFERROR(IF(LEN((INDIRECT(Свёртка[[#This Row],[СНаименование]],FALSE)))=0,"ошибка",IFERROR(INDIRECT(Свёртка[[#This Row],[СНаименование]],FALSE),"ошибка")),"ошибка")</f>
        <v>ошибка</v>
      </c>
      <c r="AA28"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28" s="212">
        <f ca="1">IF(Свёртка[[#This Row],[ВидСвёртка]]="Свёртка",1,-1)</f>
        <v>-1</v>
      </c>
      <c r="AG28" s="66">
        <f>IF(AND(Множество[[#This Row],[Y]]=1),ROW()-ROW(Множество[[#Headers],[№]]),"")</f>
        <v>19</v>
      </c>
      <c r="AH28" t="s">
        <v>608</v>
      </c>
      <c r="AI28" s="66">
        <v>1</v>
      </c>
      <c r="AJ28" s="66">
        <f>IF(LEN(Множество[[#This Row],[Свёртка]])&gt;0,1,-1)</f>
        <v>1</v>
      </c>
      <c r="AK28" s="66" t="s">
        <v>1781</v>
      </c>
      <c r="AL28" s="66">
        <f>IF(LEN(Множество[[#This Row],[Критерии]])&gt;0,1,-1)</f>
        <v>1</v>
      </c>
      <c r="AM28" s="66">
        <f>IF(AND(LEN(Множество[[#This Row],[Свёртка]])&gt;0,LEN(Множество[[#This Row],[Критерии]])&gt;0,LEN(Множество[[#This Row],[Оценки]])&gt;0),1,-1)</f>
        <v>1</v>
      </c>
      <c r="AN28">
        <v>6.875</v>
      </c>
      <c r="AO28">
        <v>-11.0833333333333</v>
      </c>
      <c r="AP28" s="208"/>
      <c r="AQ28" s="208"/>
      <c r="AR28" s="226"/>
      <c r="AS28" s="225"/>
      <c r="AT28" s="226"/>
      <c r="AU28" s="225"/>
      <c r="AV28" s="225"/>
      <c r="AW28" s="225"/>
      <c r="AX28" s="225"/>
      <c r="AY28" s="225"/>
    </row>
    <row r="29" spans="2:51" x14ac:dyDescent="0.25">
      <c r="B29" s="209" t="str">
        <f ca="1">IF(AND(Критерий[[#This Row],[Критерий]]&lt;&gt;"",Критерий[[#This Row],[O.K.Критерий]]=1),ROW()-ROW(Критерий[[#Headers],[№]]),"")</f>
        <v/>
      </c>
      <c r="C29" s="84"/>
      <c r="D29"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29" s="208" t="str">
        <f ca="1">IFERROR(IF(IFERROR(SEARCH("Прив",Критерий[[#This Row],[Фкритерий]]),0)&gt;0,"Критерий",IF(IFERROR(SEARCH("Матр",Критерий[[#This Row],[Фкритерий]]),0)&gt;0,"ошибка","ошибка")),"ошибка")</f>
        <v>ошибка</v>
      </c>
      <c r="F29" s="224" t="str">
        <f ca="1">IFERROR(IF(LEN((INDIRECT(Критерий[[#This Row],[СНаименование]],FALSE)))=0,"ошибка",IFERROR(INDIRECT(Критерий[[#This Row],[СНаименование]],FALSE),"ошибка")),"ошибка")</f>
        <v>ошибка</v>
      </c>
      <c r="G2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29" s="208" t="str">
        <f ca="1">IFERROR(IF(N(INDIRECT(Критерий[[#This Row],[СФизКритерий]],FALSE))=0,"ошибка",IFERROR(INDIRECT(Критерий[[#This Row],[СФизКритерий]],FALSE),"ошибка")),"ошибка")</f>
        <v>ошибка</v>
      </c>
      <c r="I2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29"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2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29" s="208" t="str">
        <f ca="1">IFERROR(_xlfn.FORMULATEXT(INDIRECT(Критерий[[#This Row],[Скритерий]],FALSE)),"ошибка")</f>
        <v>ошибка</v>
      </c>
      <c r="M29" s="208" t="str">
        <f ca="1">IFERROR(IF(N(INDIRECT(Критерий[[#This Row],[СМинФизКритерий]],FALSE))=0,"ошибка",IFERROR(INDIRECT(Критерий[[#This Row],[СМинФизКритерий]],FALSE),"ошибка")),"ошибка")</f>
        <v>ошибка</v>
      </c>
      <c r="N2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29" s="208" t="str">
        <f ca="1">IFERROR(IF(N(INDIRECT(Критерий[[#This Row],[СМаксФизКритерий]],FALSE))=0,"ошибка",IFERROR(INDIRECT(Критерий[[#This Row],[СМаксФизКритерий]],FALSE),"ошибка")),"ошибка")</f>
        <v>ошибка</v>
      </c>
      <c r="P2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29" s="208" t="str">
        <f ca="1">IFERROR(IF(N(INDIRECT(Критерий[[#This Row],[ССрФизКритерий]],FALSE))=0,"ошибка",IFERROR(INDIRECT(Критерий[[#This Row],[ССрФизКритерий]],FALSE),"ошибка")),"")</f>
        <v/>
      </c>
      <c r="R29"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29" s="212">
        <f ca="1">IFERROR(IF(AND(Критерий[[#This Row],[ВидКритерий]]="Критерий",IFERROR(SEARCH("Приведение",Критерий[[#This Row],[Фкритерий]]),0)&gt;0),1,-1),-1)</f>
        <v>-1</v>
      </c>
      <c r="U29" s="222" t="str">
        <f ca="1">IF(AND(Свёртка[[#This Row],[Свёртка]]&lt;&gt;"",Свёртка[[#This Row],[O.K.Свёртка]]=1),ROW()-ROW(Свёртка[[#Headers],[№]]),"")</f>
        <v/>
      </c>
      <c r="V29" s="84"/>
      <c r="W29"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29" s="208" t="str">
        <f ca="1">IFERROR(_xlfn.FORMULATEXT(INDIRECT(Свёртка[[#This Row],[ССвёртка]],FALSE)),"ошибка")</f>
        <v>ошибка</v>
      </c>
      <c r="Y29" s="208" t="str">
        <f ca="1">IFERROR(IF(IFERROR(SEARCH("Прив",Свёртка[[#This Row],[ФСвёртка]]),0)&gt;0,"ошибка",IF(IFERROR(SEARCH("Матр",Свёртка[[#This Row],[ФСвёртка]]),0)&gt;0,"Свёртка","ошибка")),"ошибка")</f>
        <v>ошибка</v>
      </c>
      <c r="Z29" s="208" t="str">
        <f ca="1">IFERROR(IF(LEN((INDIRECT(Свёртка[[#This Row],[СНаименование]],FALSE)))=0,"ошибка",IFERROR(INDIRECT(Свёртка[[#This Row],[СНаименование]],FALSE),"ошибка")),"ошибка")</f>
        <v>ошибка</v>
      </c>
      <c r="AA29"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29" s="212">
        <f ca="1">IF(Свёртка[[#This Row],[ВидСвёртка]]="Свёртка",1,-1)</f>
        <v>-1</v>
      </c>
      <c r="AG29" s="66">
        <f>IF(AND(Множество[[#This Row],[Y]]=1),ROW()-ROW(Множество[[#Headers],[№]]),"")</f>
        <v>20</v>
      </c>
      <c r="AH29" t="s">
        <v>608</v>
      </c>
      <c r="AI29" s="66">
        <v>1</v>
      </c>
      <c r="AJ29" s="66">
        <f>IF(LEN(Множество[[#This Row],[Свёртка]])&gt;0,1,-1)</f>
        <v>1</v>
      </c>
      <c r="AK29" s="66" t="s">
        <v>1781</v>
      </c>
      <c r="AL29" s="66">
        <f>IF(LEN(Множество[[#This Row],[Критерии]])&gt;0,1,-1)</f>
        <v>1</v>
      </c>
      <c r="AM29" s="66">
        <f>IF(AND(LEN(Множество[[#This Row],[Свёртка]])&gt;0,LEN(Множество[[#This Row],[Критерии]])&gt;0,LEN(Множество[[#This Row],[Оценки]])&gt;0),1,-1)</f>
        <v>1</v>
      </c>
      <c r="AN29">
        <v>6.4083333333333297</v>
      </c>
      <c r="AO29">
        <v>-13.4</v>
      </c>
      <c r="AP29" s="208"/>
      <c r="AQ29" s="208"/>
      <c r="AR29" s="226"/>
      <c r="AS29" s="225"/>
      <c r="AT29" s="226"/>
      <c r="AU29" s="225"/>
      <c r="AV29" s="225"/>
      <c r="AW29" s="225"/>
      <c r="AX29" s="225"/>
      <c r="AY29" s="225"/>
    </row>
    <row r="30" spans="2:51" x14ac:dyDescent="0.25">
      <c r="B30" s="209" t="str">
        <f ca="1">IF(AND(Критерий[[#This Row],[Критерий]]&lt;&gt;"",Критерий[[#This Row],[O.K.Критерий]]=1),ROW()-ROW(Критерий[[#Headers],[№]]),"")</f>
        <v/>
      </c>
      <c r="C30" s="84"/>
      <c r="D30"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30" s="208" t="str">
        <f ca="1">IFERROR(IF(IFERROR(SEARCH("Прив",Критерий[[#This Row],[Фкритерий]]),0)&gt;0,"Критерий",IF(IFERROR(SEARCH("Матр",Критерий[[#This Row],[Фкритерий]]),0)&gt;0,"ошибка","ошибка")),"ошибка")</f>
        <v>ошибка</v>
      </c>
      <c r="F30" s="224" t="str">
        <f ca="1">IFERROR(IF(LEN((INDIRECT(Критерий[[#This Row],[СНаименование]],FALSE)))=0,"ошибка",IFERROR(INDIRECT(Критерий[[#This Row],[СНаименование]],FALSE),"ошибка")),"ошибка")</f>
        <v>ошибка</v>
      </c>
      <c r="G3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30" s="208" t="str">
        <f ca="1">IFERROR(IF(N(INDIRECT(Критерий[[#This Row],[СФизКритерий]],FALSE))=0,"ошибка",IFERROR(INDIRECT(Критерий[[#This Row],[СФизКритерий]],FALSE),"ошибка")),"ошибка")</f>
        <v>ошибка</v>
      </c>
      <c r="I3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30"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3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30" s="208" t="str">
        <f ca="1">IFERROR(_xlfn.FORMULATEXT(INDIRECT(Критерий[[#This Row],[Скритерий]],FALSE)),"ошибка")</f>
        <v>ошибка</v>
      </c>
      <c r="M30" s="208" t="str">
        <f ca="1">IFERROR(IF(N(INDIRECT(Критерий[[#This Row],[СМинФизКритерий]],FALSE))=0,"ошибка",IFERROR(INDIRECT(Критерий[[#This Row],[СМинФизКритерий]],FALSE),"ошибка")),"ошибка")</f>
        <v>ошибка</v>
      </c>
      <c r="N3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30" s="208" t="str">
        <f ca="1">IFERROR(IF(N(INDIRECT(Критерий[[#This Row],[СМаксФизКритерий]],FALSE))=0,"ошибка",IFERROR(INDIRECT(Критерий[[#This Row],[СМаксФизКритерий]],FALSE),"ошибка")),"ошибка")</f>
        <v>ошибка</v>
      </c>
      <c r="P3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30" s="208" t="str">
        <f ca="1">IFERROR(IF(N(INDIRECT(Критерий[[#This Row],[ССрФизКритерий]],FALSE))=0,"ошибка",IFERROR(INDIRECT(Критерий[[#This Row],[ССрФизКритерий]],FALSE),"ошибка")),"")</f>
        <v/>
      </c>
      <c r="R30"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30" s="212">
        <f ca="1">IFERROR(IF(AND(Критерий[[#This Row],[ВидКритерий]]="Критерий",IFERROR(SEARCH("Приведение",Критерий[[#This Row],[Фкритерий]]),0)&gt;0),1,-1),-1)</f>
        <v>-1</v>
      </c>
      <c r="U30" s="222" t="str">
        <f ca="1">IF(AND(Свёртка[[#This Row],[Свёртка]]&lt;&gt;"",Свёртка[[#This Row],[O.K.Свёртка]]=1),ROW()-ROW(Свёртка[[#Headers],[№]]),"")</f>
        <v/>
      </c>
      <c r="V30" s="84"/>
      <c r="W30"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30" s="208" t="str">
        <f ca="1">IFERROR(_xlfn.FORMULATEXT(INDIRECT(Свёртка[[#This Row],[ССвёртка]],FALSE)),"ошибка")</f>
        <v>ошибка</v>
      </c>
      <c r="Y30" s="208" t="str">
        <f ca="1">IFERROR(IF(IFERROR(SEARCH("Прив",Свёртка[[#This Row],[ФСвёртка]]),0)&gt;0,"ошибка",IF(IFERROR(SEARCH("Матр",Свёртка[[#This Row],[ФСвёртка]]),0)&gt;0,"Свёртка","ошибка")),"ошибка")</f>
        <v>ошибка</v>
      </c>
      <c r="Z30" s="208" t="str">
        <f ca="1">IFERROR(IF(LEN((INDIRECT(Свёртка[[#This Row],[СНаименование]],FALSE)))=0,"ошибка",IFERROR(INDIRECT(Свёртка[[#This Row],[СНаименование]],FALSE),"ошибка")),"ошибка")</f>
        <v>ошибка</v>
      </c>
      <c r="AA30"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30" s="212">
        <f ca="1">IF(Свёртка[[#This Row],[ВидСвёртка]]="Свёртка",1,-1)</f>
        <v>-1</v>
      </c>
      <c r="AG30" s="66">
        <f>IF(AND(Множество[[#This Row],[Y]]=1),ROW()-ROW(Множество[[#Headers],[№]]),"")</f>
        <v>21</v>
      </c>
      <c r="AH30" t="s">
        <v>608</v>
      </c>
      <c r="AI30" s="66">
        <v>1</v>
      </c>
      <c r="AJ30" s="66">
        <f>IF(LEN(Множество[[#This Row],[Свёртка]])&gt;0,1,-1)</f>
        <v>1</v>
      </c>
      <c r="AK30" s="66" t="s">
        <v>1781</v>
      </c>
      <c r="AL30" s="66">
        <f>IF(LEN(Множество[[#This Row],[Критерии]])&gt;0,1,-1)</f>
        <v>1</v>
      </c>
      <c r="AM30" s="66">
        <f>IF(AND(LEN(Множество[[#This Row],[Свёртка]])&gt;0,LEN(Множество[[#This Row],[Критерии]])&gt;0,LEN(Множество[[#This Row],[Оценки]])&gt;0),1,-1)</f>
        <v>1</v>
      </c>
      <c r="AN30">
        <v>7.1083333333333298</v>
      </c>
      <c r="AO30">
        <v>-10.9166666666667</v>
      </c>
      <c r="AP30" s="208"/>
      <c r="AQ30" s="208"/>
      <c r="AR30" s="226"/>
      <c r="AS30" s="225"/>
      <c r="AT30" s="226"/>
      <c r="AU30" s="225"/>
      <c r="AV30" s="225"/>
      <c r="AW30" s="225"/>
      <c r="AX30" s="225"/>
      <c r="AY30" s="225"/>
    </row>
    <row r="31" spans="2:51" x14ac:dyDescent="0.25">
      <c r="B31" s="209" t="str">
        <f ca="1">IF(AND(Критерий[[#This Row],[Критерий]]&lt;&gt;"",Критерий[[#This Row],[O.K.Критерий]]=1),ROW()-ROW(Критерий[[#Headers],[№]]),"")</f>
        <v/>
      </c>
      <c r="C31" s="84"/>
      <c r="D31"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31" s="208" t="str">
        <f ca="1">IFERROR(IF(IFERROR(SEARCH("Прив",Критерий[[#This Row],[Фкритерий]]),0)&gt;0,"Критерий",IF(IFERROR(SEARCH("Матр",Критерий[[#This Row],[Фкритерий]]),0)&gt;0,"ошибка","ошибка")),"ошибка")</f>
        <v>ошибка</v>
      </c>
      <c r="F31" s="224" t="str">
        <f ca="1">IFERROR(IF(LEN((INDIRECT(Критерий[[#This Row],[СНаименование]],FALSE)))=0,"ошибка",IFERROR(INDIRECT(Критерий[[#This Row],[СНаименование]],FALSE),"ошибка")),"ошибка")</f>
        <v>ошибка</v>
      </c>
      <c r="G3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31" s="208" t="str">
        <f ca="1">IFERROR(IF(N(INDIRECT(Критерий[[#This Row],[СФизКритерий]],FALSE))=0,"ошибка",IFERROR(INDIRECT(Критерий[[#This Row],[СФизКритерий]],FALSE),"ошибка")),"ошибка")</f>
        <v>ошибка</v>
      </c>
      <c r="I3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31"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3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31" s="208" t="str">
        <f ca="1">IFERROR(_xlfn.FORMULATEXT(INDIRECT(Критерий[[#This Row],[Скритерий]],FALSE)),"ошибка")</f>
        <v>ошибка</v>
      </c>
      <c r="M31" s="208" t="str">
        <f ca="1">IFERROR(IF(N(INDIRECT(Критерий[[#This Row],[СМинФизКритерий]],FALSE))=0,"ошибка",IFERROR(INDIRECT(Критерий[[#This Row],[СМинФизКритерий]],FALSE),"ошибка")),"ошибка")</f>
        <v>ошибка</v>
      </c>
      <c r="N3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31" s="208" t="str">
        <f ca="1">IFERROR(IF(N(INDIRECT(Критерий[[#This Row],[СМаксФизКритерий]],FALSE))=0,"ошибка",IFERROR(INDIRECT(Критерий[[#This Row],[СМаксФизКритерий]],FALSE),"ошибка")),"ошибка")</f>
        <v>ошибка</v>
      </c>
      <c r="P3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31" s="208" t="str">
        <f ca="1">IFERROR(IF(N(INDIRECT(Критерий[[#This Row],[ССрФизКритерий]],FALSE))=0,"ошибка",IFERROR(INDIRECT(Критерий[[#This Row],[ССрФизКритерий]],FALSE),"ошибка")),"")</f>
        <v/>
      </c>
      <c r="R31"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31" s="212">
        <f ca="1">IFERROR(IF(AND(Критерий[[#This Row],[ВидКритерий]]="Критерий",IFERROR(SEARCH("Приведение",Критерий[[#This Row],[Фкритерий]]),0)&gt;0),1,-1),-1)</f>
        <v>-1</v>
      </c>
      <c r="U31" s="222" t="str">
        <f ca="1">IF(AND(Свёртка[[#This Row],[Свёртка]]&lt;&gt;"",Свёртка[[#This Row],[O.K.Свёртка]]=1),ROW()-ROW(Свёртка[[#Headers],[№]]),"")</f>
        <v/>
      </c>
      <c r="V31" s="84"/>
      <c r="W31"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31" s="208" t="str">
        <f ca="1">IFERROR(_xlfn.FORMULATEXT(INDIRECT(Свёртка[[#This Row],[ССвёртка]],FALSE)),"ошибка")</f>
        <v>ошибка</v>
      </c>
      <c r="Y31" s="208" t="str">
        <f ca="1">IFERROR(IF(IFERROR(SEARCH("Прив",Свёртка[[#This Row],[ФСвёртка]]),0)&gt;0,"ошибка",IF(IFERROR(SEARCH("Матр",Свёртка[[#This Row],[ФСвёртка]]),0)&gt;0,"Свёртка","ошибка")),"ошибка")</f>
        <v>ошибка</v>
      </c>
      <c r="Z31" s="208" t="str">
        <f ca="1">IFERROR(IF(LEN((INDIRECT(Свёртка[[#This Row],[СНаименование]],FALSE)))=0,"ошибка",IFERROR(INDIRECT(Свёртка[[#This Row],[СНаименование]],FALSE),"ошибка")),"ошибка")</f>
        <v>ошибка</v>
      </c>
      <c r="AA31"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31" s="212">
        <f ca="1">IF(Свёртка[[#This Row],[ВидСвёртка]]="Свёртка",1,-1)</f>
        <v>-1</v>
      </c>
      <c r="AG31" s="66">
        <f>IF(AND(Множество[[#This Row],[Y]]=1),ROW()-ROW(Множество[[#Headers],[№]]),"")</f>
        <v>22</v>
      </c>
      <c r="AH31" t="s">
        <v>608</v>
      </c>
      <c r="AI31" s="66">
        <v>1</v>
      </c>
      <c r="AJ31" s="66">
        <f>IF(LEN(Множество[[#This Row],[Свёртка]])&gt;0,1,-1)</f>
        <v>1</v>
      </c>
      <c r="AK31" s="66" t="s">
        <v>1781</v>
      </c>
      <c r="AL31" s="66">
        <f>IF(LEN(Множество[[#This Row],[Критерии]])&gt;0,1,-1)</f>
        <v>1</v>
      </c>
      <c r="AM31" s="66">
        <f>IF(AND(LEN(Множество[[#This Row],[Свёртка]])&gt;0,LEN(Множество[[#This Row],[Критерии]])&gt;0,LEN(Множество[[#This Row],[Оценки]])&gt;0),1,-1)</f>
        <v>1</v>
      </c>
      <c r="AN31">
        <v>6.93333333333333</v>
      </c>
      <c r="AO31">
        <v>-11.05</v>
      </c>
      <c r="AP31" s="208"/>
      <c r="AQ31" s="208"/>
      <c r="AR31" s="226"/>
      <c r="AS31" s="225"/>
      <c r="AT31" s="226"/>
      <c r="AU31" s="225"/>
      <c r="AV31" s="225"/>
      <c r="AW31" s="225"/>
      <c r="AX31" s="225"/>
      <c r="AY31" s="225"/>
    </row>
    <row r="32" spans="2:51" x14ac:dyDescent="0.25">
      <c r="B32" s="209" t="str">
        <f ca="1">IF(AND(Критерий[[#This Row],[Критерий]]&lt;&gt;"",Критерий[[#This Row],[O.K.Критерий]]=1),ROW()-ROW(Критерий[[#Headers],[№]]),"")</f>
        <v/>
      </c>
      <c r="C32" s="84"/>
      <c r="D32"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32" s="208" t="str">
        <f ca="1">IFERROR(IF(IFERROR(SEARCH("Прив",Критерий[[#This Row],[Фкритерий]]),0)&gt;0,"Критерий",IF(IFERROR(SEARCH("Матр",Критерий[[#This Row],[Фкритерий]]),0)&gt;0,"ошибка","ошибка")),"ошибка")</f>
        <v>ошибка</v>
      </c>
      <c r="F32" s="224" t="str">
        <f ca="1">IFERROR(IF(LEN((INDIRECT(Критерий[[#This Row],[СНаименование]],FALSE)))=0,"ошибка",IFERROR(INDIRECT(Критерий[[#This Row],[СНаименование]],FALSE),"ошибка")),"ошибка")</f>
        <v>ошибка</v>
      </c>
      <c r="G3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32" s="208" t="str">
        <f ca="1">IFERROR(IF(N(INDIRECT(Критерий[[#This Row],[СФизКритерий]],FALSE))=0,"ошибка",IFERROR(INDIRECT(Критерий[[#This Row],[СФизКритерий]],FALSE),"ошибка")),"ошибка")</f>
        <v>ошибка</v>
      </c>
      <c r="I3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32"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3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32" s="208" t="str">
        <f ca="1">IFERROR(_xlfn.FORMULATEXT(INDIRECT(Критерий[[#This Row],[Скритерий]],FALSE)),"ошибка")</f>
        <v>ошибка</v>
      </c>
      <c r="M32" s="208" t="str">
        <f ca="1">IFERROR(IF(N(INDIRECT(Критерий[[#This Row],[СМинФизКритерий]],FALSE))=0,"ошибка",IFERROR(INDIRECT(Критерий[[#This Row],[СМинФизКритерий]],FALSE),"ошибка")),"ошибка")</f>
        <v>ошибка</v>
      </c>
      <c r="N3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32" s="208" t="str">
        <f ca="1">IFERROR(IF(N(INDIRECT(Критерий[[#This Row],[СМаксФизКритерий]],FALSE))=0,"ошибка",IFERROR(INDIRECT(Критерий[[#This Row],[СМаксФизКритерий]],FALSE),"ошибка")),"ошибка")</f>
        <v>ошибка</v>
      </c>
      <c r="P3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32" s="208" t="str">
        <f ca="1">IFERROR(IF(N(INDIRECT(Критерий[[#This Row],[ССрФизКритерий]],FALSE))=0,"ошибка",IFERROR(INDIRECT(Критерий[[#This Row],[ССрФизКритерий]],FALSE),"ошибка")),"")</f>
        <v/>
      </c>
      <c r="R32"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32" s="212">
        <f ca="1">IFERROR(IF(AND(Критерий[[#This Row],[ВидКритерий]]="Критерий",IFERROR(SEARCH("Приведение",Критерий[[#This Row],[Фкритерий]]),0)&gt;0),1,-1),-1)</f>
        <v>-1</v>
      </c>
      <c r="U32" s="222" t="str">
        <f ca="1">IF(AND(Свёртка[[#This Row],[Свёртка]]&lt;&gt;"",Свёртка[[#This Row],[O.K.Свёртка]]=1),ROW()-ROW(Свёртка[[#Headers],[№]]),"")</f>
        <v/>
      </c>
      <c r="V32" s="84"/>
      <c r="W32"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32" s="208" t="str">
        <f ca="1">IFERROR(_xlfn.FORMULATEXT(INDIRECT(Свёртка[[#This Row],[ССвёртка]],FALSE)),"ошибка")</f>
        <v>ошибка</v>
      </c>
      <c r="Y32" s="208" t="str">
        <f ca="1">IFERROR(IF(IFERROR(SEARCH("Прив",Свёртка[[#This Row],[ФСвёртка]]),0)&gt;0,"ошибка",IF(IFERROR(SEARCH("Матр",Свёртка[[#This Row],[ФСвёртка]]),0)&gt;0,"Свёртка","ошибка")),"ошибка")</f>
        <v>ошибка</v>
      </c>
      <c r="Z32" s="208" t="str">
        <f ca="1">IFERROR(IF(LEN((INDIRECT(Свёртка[[#This Row],[СНаименование]],FALSE)))=0,"ошибка",IFERROR(INDIRECT(Свёртка[[#This Row],[СНаименование]],FALSE),"ошибка")),"ошибка")</f>
        <v>ошибка</v>
      </c>
      <c r="AA32"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32" s="212">
        <f ca="1">IF(Свёртка[[#This Row],[ВидСвёртка]]="Свёртка",1,-1)</f>
        <v>-1</v>
      </c>
      <c r="AG32" s="66">
        <f>IF(AND(Множество[[#This Row],[Y]]=1),ROW()-ROW(Множество[[#Headers],[№]]),"")</f>
        <v>23</v>
      </c>
      <c r="AH32" t="s">
        <v>608</v>
      </c>
      <c r="AI32" s="66">
        <v>1</v>
      </c>
      <c r="AJ32" s="66">
        <f>IF(LEN(Множество[[#This Row],[Свёртка]])&gt;0,1,-1)</f>
        <v>1</v>
      </c>
      <c r="AK32" s="66" t="s">
        <v>1781</v>
      </c>
      <c r="AL32" s="66">
        <f>IF(LEN(Множество[[#This Row],[Критерии]])&gt;0,1,-1)</f>
        <v>1</v>
      </c>
      <c r="AM32" s="66">
        <f>IF(AND(LEN(Множество[[#This Row],[Свёртка]])&gt;0,LEN(Множество[[#This Row],[Критерии]])&gt;0,LEN(Множество[[#This Row],[Оценки]])&gt;0),1,-1)</f>
        <v>1</v>
      </c>
      <c r="AN32">
        <v>6.81666666666667</v>
      </c>
      <c r="AO32">
        <v>-11.133333333333301</v>
      </c>
      <c r="AP32" s="208"/>
      <c r="AQ32" s="208"/>
      <c r="AR32" s="226"/>
      <c r="AS32" s="225"/>
      <c r="AT32" s="226"/>
      <c r="AU32" s="225"/>
      <c r="AV32" s="225"/>
      <c r="AW32" s="225"/>
      <c r="AX32" s="225"/>
      <c r="AY32" s="225"/>
    </row>
    <row r="33" spans="2:51" x14ac:dyDescent="0.25">
      <c r="B33" s="209" t="str">
        <f ca="1">IF(AND(Критерий[[#This Row],[Критерий]]&lt;&gt;"",Критерий[[#This Row],[O.K.Критерий]]=1),ROW()-ROW(Критерий[[#Headers],[№]]),"")</f>
        <v/>
      </c>
      <c r="C33" s="84"/>
      <c r="D33"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33" s="208" t="str">
        <f ca="1">IFERROR(IF(IFERROR(SEARCH("Прив",Критерий[[#This Row],[Фкритерий]]),0)&gt;0,"Критерий",IF(IFERROR(SEARCH("Матр",Критерий[[#This Row],[Фкритерий]]),0)&gt;0,"ошибка","ошибка")),"ошибка")</f>
        <v>ошибка</v>
      </c>
      <c r="F33" s="224" t="str">
        <f ca="1">IFERROR(IF(LEN((INDIRECT(Критерий[[#This Row],[СНаименование]],FALSE)))=0,"ошибка",IFERROR(INDIRECT(Критерий[[#This Row],[СНаименование]],FALSE),"ошибка")),"ошибка")</f>
        <v>ошибка</v>
      </c>
      <c r="G3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33" s="208" t="str">
        <f ca="1">IFERROR(IF(N(INDIRECT(Критерий[[#This Row],[СФизКритерий]],FALSE))=0,"ошибка",IFERROR(INDIRECT(Критерий[[#This Row],[СФизКритерий]],FALSE),"ошибка")),"ошибка")</f>
        <v>ошибка</v>
      </c>
      <c r="I3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33"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3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33" s="208" t="str">
        <f ca="1">IFERROR(_xlfn.FORMULATEXT(INDIRECT(Критерий[[#This Row],[Скритерий]],FALSE)),"ошибка")</f>
        <v>ошибка</v>
      </c>
      <c r="M33" s="208" t="str">
        <f ca="1">IFERROR(IF(N(INDIRECT(Критерий[[#This Row],[СМинФизКритерий]],FALSE))=0,"ошибка",IFERROR(INDIRECT(Критерий[[#This Row],[СМинФизКритерий]],FALSE),"ошибка")),"ошибка")</f>
        <v>ошибка</v>
      </c>
      <c r="N3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33" s="208" t="str">
        <f ca="1">IFERROR(IF(N(INDIRECT(Критерий[[#This Row],[СМаксФизКритерий]],FALSE))=0,"ошибка",IFERROR(INDIRECT(Критерий[[#This Row],[СМаксФизКритерий]],FALSE),"ошибка")),"ошибка")</f>
        <v>ошибка</v>
      </c>
      <c r="P3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33" s="208" t="str">
        <f ca="1">IFERROR(IF(N(INDIRECT(Критерий[[#This Row],[ССрФизКритерий]],FALSE))=0,"ошибка",IFERROR(INDIRECT(Критерий[[#This Row],[ССрФизКритерий]],FALSE),"ошибка")),"")</f>
        <v/>
      </c>
      <c r="R33"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33" s="212">
        <f ca="1">IFERROR(IF(AND(Критерий[[#This Row],[ВидКритерий]]="Критерий",IFERROR(SEARCH("Приведение",Критерий[[#This Row],[Фкритерий]]),0)&gt;0),1,-1),-1)</f>
        <v>-1</v>
      </c>
      <c r="U33" s="222" t="str">
        <f ca="1">IF(AND(Свёртка[[#This Row],[Свёртка]]&lt;&gt;"",Свёртка[[#This Row],[O.K.Свёртка]]=1),ROW()-ROW(Свёртка[[#Headers],[№]]),"")</f>
        <v/>
      </c>
      <c r="V33" s="84"/>
      <c r="W33"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33" s="208" t="str">
        <f ca="1">IFERROR(_xlfn.FORMULATEXT(INDIRECT(Свёртка[[#This Row],[ССвёртка]],FALSE)),"ошибка")</f>
        <v>ошибка</v>
      </c>
      <c r="Y33" s="208" t="str">
        <f ca="1">IFERROR(IF(IFERROR(SEARCH("Прив",Свёртка[[#This Row],[ФСвёртка]]),0)&gt;0,"ошибка",IF(IFERROR(SEARCH("Матр",Свёртка[[#This Row],[ФСвёртка]]),0)&gt;0,"Свёртка","ошибка")),"ошибка")</f>
        <v>ошибка</v>
      </c>
      <c r="Z33" s="208" t="str">
        <f ca="1">IFERROR(IF(LEN((INDIRECT(Свёртка[[#This Row],[СНаименование]],FALSE)))=0,"ошибка",IFERROR(INDIRECT(Свёртка[[#This Row],[СНаименование]],FALSE),"ошибка")),"ошибка")</f>
        <v>ошибка</v>
      </c>
      <c r="AA33"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33" s="212">
        <f ca="1">IF(Свёртка[[#This Row],[ВидСвёртка]]="Свёртка",1,-1)</f>
        <v>-1</v>
      </c>
      <c r="AG33" s="66">
        <f>IF(AND(Множество[[#This Row],[Y]]=1),ROW()-ROW(Множество[[#Headers],[№]]),"")</f>
        <v>24</v>
      </c>
      <c r="AH33" t="s">
        <v>608</v>
      </c>
      <c r="AI33" s="66">
        <v>1</v>
      </c>
      <c r="AJ33" s="66">
        <f>IF(LEN(Множество[[#This Row],[Свёртка]])&gt;0,1,-1)</f>
        <v>1</v>
      </c>
      <c r="AK33" s="66" t="s">
        <v>1781</v>
      </c>
      <c r="AL33" s="66">
        <f>IF(LEN(Множество[[#This Row],[Критерии]])&gt;0,1,-1)</f>
        <v>1</v>
      </c>
      <c r="AM33" s="66">
        <f>IF(AND(LEN(Множество[[#This Row],[Свёртка]])&gt;0,LEN(Множество[[#This Row],[Критерии]])&gt;0,LEN(Множество[[#This Row],[Оценки]])&gt;0),1,-1)</f>
        <v>1</v>
      </c>
      <c r="AN33">
        <v>6.9916666666666698</v>
      </c>
      <c r="AO33">
        <v>-11</v>
      </c>
      <c r="AP33" s="208"/>
      <c r="AQ33" s="208"/>
      <c r="AR33" s="226"/>
      <c r="AS33" s="225"/>
      <c r="AT33" s="226"/>
      <c r="AU33" s="225"/>
      <c r="AV33" s="225"/>
      <c r="AW33" s="225"/>
      <c r="AX33" s="225"/>
      <c r="AY33" s="225"/>
    </row>
    <row r="34" spans="2:51" x14ac:dyDescent="0.25">
      <c r="B34" s="209" t="str">
        <f ca="1">IF(AND(Критерий[[#This Row],[Критерий]]&lt;&gt;"",Критерий[[#This Row],[O.K.Критерий]]=1),ROW()-ROW(Критерий[[#Headers],[№]]),"")</f>
        <v/>
      </c>
      <c r="C34" s="84"/>
      <c r="D34"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34" s="208" t="str">
        <f ca="1">IFERROR(IF(IFERROR(SEARCH("Прив",Критерий[[#This Row],[Фкритерий]]),0)&gt;0,"Критерий",IF(IFERROR(SEARCH("Матр",Критерий[[#This Row],[Фкритерий]]),0)&gt;0,"ошибка","ошибка")),"ошибка")</f>
        <v>ошибка</v>
      </c>
      <c r="F34" s="224" t="str">
        <f ca="1">IFERROR(IF(LEN((INDIRECT(Критерий[[#This Row],[СНаименование]],FALSE)))=0,"ошибка",IFERROR(INDIRECT(Критерий[[#This Row],[СНаименование]],FALSE),"ошибка")),"ошибка")</f>
        <v>ошибка</v>
      </c>
      <c r="G3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34" s="208" t="str">
        <f ca="1">IFERROR(IF(N(INDIRECT(Критерий[[#This Row],[СФизКритерий]],FALSE))=0,"ошибка",IFERROR(INDIRECT(Критерий[[#This Row],[СФизКритерий]],FALSE),"ошибка")),"ошибка")</f>
        <v>ошибка</v>
      </c>
      <c r="I3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34"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3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34" s="208" t="str">
        <f ca="1">IFERROR(_xlfn.FORMULATEXT(INDIRECT(Критерий[[#This Row],[Скритерий]],FALSE)),"ошибка")</f>
        <v>ошибка</v>
      </c>
      <c r="M34" s="208" t="str">
        <f ca="1">IFERROR(IF(N(INDIRECT(Критерий[[#This Row],[СМинФизКритерий]],FALSE))=0,"ошибка",IFERROR(INDIRECT(Критерий[[#This Row],[СМинФизКритерий]],FALSE),"ошибка")),"ошибка")</f>
        <v>ошибка</v>
      </c>
      <c r="N3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34" s="208" t="str">
        <f ca="1">IFERROR(IF(N(INDIRECT(Критерий[[#This Row],[СМаксФизКритерий]],FALSE))=0,"ошибка",IFERROR(INDIRECT(Критерий[[#This Row],[СМаксФизКритерий]],FALSE),"ошибка")),"ошибка")</f>
        <v>ошибка</v>
      </c>
      <c r="P3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34" s="208" t="str">
        <f ca="1">IFERROR(IF(N(INDIRECT(Критерий[[#This Row],[ССрФизКритерий]],FALSE))=0,"ошибка",IFERROR(INDIRECT(Критерий[[#This Row],[ССрФизКритерий]],FALSE),"ошибка")),"")</f>
        <v/>
      </c>
      <c r="R34"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34" s="212">
        <f ca="1">IFERROR(IF(AND(Критерий[[#This Row],[ВидКритерий]]="Критерий",IFERROR(SEARCH("Приведение",Критерий[[#This Row],[Фкритерий]]),0)&gt;0),1,-1),-1)</f>
        <v>-1</v>
      </c>
      <c r="U34" s="222" t="str">
        <f ca="1">IF(AND(Свёртка[[#This Row],[Свёртка]]&lt;&gt;"",Свёртка[[#This Row],[O.K.Свёртка]]=1),ROW()-ROW(Свёртка[[#Headers],[№]]),"")</f>
        <v/>
      </c>
      <c r="V34" s="84"/>
      <c r="W34"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34" s="208" t="str">
        <f ca="1">IFERROR(_xlfn.FORMULATEXT(INDIRECT(Свёртка[[#This Row],[ССвёртка]],FALSE)),"ошибка")</f>
        <v>ошибка</v>
      </c>
      <c r="Y34" s="208" t="str">
        <f ca="1">IFERROR(IF(IFERROR(SEARCH("Прив",Свёртка[[#This Row],[ФСвёртка]]),0)&gt;0,"ошибка",IF(IFERROR(SEARCH("Матр",Свёртка[[#This Row],[ФСвёртка]]),0)&gt;0,"Свёртка","ошибка")),"ошибка")</f>
        <v>ошибка</v>
      </c>
      <c r="Z34" s="208" t="str">
        <f ca="1">IFERROR(IF(LEN((INDIRECT(Свёртка[[#This Row],[СНаименование]],FALSE)))=0,"ошибка",IFERROR(INDIRECT(Свёртка[[#This Row],[СНаименование]],FALSE),"ошибка")),"ошибка")</f>
        <v>ошибка</v>
      </c>
      <c r="AA34"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34" s="212">
        <f ca="1">IF(Свёртка[[#This Row],[ВидСвёртка]]="Свёртка",1,-1)</f>
        <v>-1</v>
      </c>
      <c r="AG34" s="66">
        <f>IF(AND(Множество[[#This Row],[Y]]=1),ROW()-ROW(Множество[[#Headers],[№]]),"")</f>
        <v>25</v>
      </c>
      <c r="AH34" t="s">
        <v>608</v>
      </c>
      <c r="AI34" s="66">
        <v>1</v>
      </c>
      <c r="AJ34" s="66">
        <f>IF(LEN(Множество[[#This Row],[Свёртка]])&gt;0,1,-1)</f>
        <v>1</v>
      </c>
      <c r="AK34" s="66" t="s">
        <v>1781</v>
      </c>
      <c r="AL34" s="66">
        <f>IF(LEN(Множество[[#This Row],[Критерии]])&gt;0,1,-1)</f>
        <v>1</v>
      </c>
      <c r="AM34" s="66">
        <f>IF(AND(LEN(Множество[[#This Row],[Свёртка]])&gt;0,LEN(Множество[[#This Row],[Критерии]])&gt;0,LEN(Множество[[#This Row],[Оценки]])&gt;0),1,-1)</f>
        <v>1</v>
      </c>
      <c r="AN34">
        <v>6.2333333333333298</v>
      </c>
      <c r="AO34">
        <v>-13.4333333333333</v>
      </c>
      <c r="AP34" s="208"/>
      <c r="AQ34" s="208"/>
      <c r="AR34" s="226"/>
      <c r="AS34" s="225"/>
      <c r="AT34" s="226"/>
      <c r="AU34" s="225"/>
      <c r="AV34" s="225"/>
      <c r="AW34" s="225"/>
      <c r="AX34" s="225"/>
      <c r="AY34" s="225"/>
    </row>
    <row r="35" spans="2:51" x14ac:dyDescent="0.25">
      <c r="B35" s="209" t="str">
        <f ca="1">IF(AND(Критерий[[#This Row],[Критерий]]&lt;&gt;"",Критерий[[#This Row],[O.K.Критерий]]=1),ROW()-ROW(Критерий[[#Headers],[№]]),"")</f>
        <v/>
      </c>
      <c r="C35" s="84"/>
      <c r="D35"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35" s="208" t="str">
        <f ca="1">IFERROR(IF(IFERROR(SEARCH("Прив",Критерий[[#This Row],[Фкритерий]]),0)&gt;0,"Критерий",IF(IFERROR(SEARCH("Матр",Критерий[[#This Row],[Фкритерий]]),0)&gt;0,"ошибка","ошибка")),"ошибка")</f>
        <v>ошибка</v>
      </c>
      <c r="F35" s="224" t="str">
        <f ca="1">IFERROR(IF(LEN((INDIRECT(Критерий[[#This Row],[СНаименование]],FALSE)))=0,"ошибка",IFERROR(INDIRECT(Критерий[[#This Row],[СНаименование]],FALSE),"ошибка")),"ошибка")</f>
        <v>ошибка</v>
      </c>
      <c r="G3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35" s="208" t="str">
        <f ca="1">IFERROR(IF(N(INDIRECT(Критерий[[#This Row],[СФизКритерий]],FALSE))=0,"ошибка",IFERROR(INDIRECT(Критерий[[#This Row],[СФизКритерий]],FALSE),"ошибка")),"ошибка")</f>
        <v>ошибка</v>
      </c>
      <c r="I3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35"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3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35" s="208" t="str">
        <f ca="1">IFERROR(_xlfn.FORMULATEXT(INDIRECT(Критерий[[#This Row],[Скритерий]],FALSE)),"ошибка")</f>
        <v>ошибка</v>
      </c>
      <c r="M35" s="208" t="str">
        <f ca="1">IFERROR(IF(N(INDIRECT(Критерий[[#This Row],[СМинФизКритерий]],FALSE))=0,"ошибка",IFERROR(INDIRECT(Критерий[[#This Row],[СМинФизКритерий]],FALSE),"ошибка")),"ошибка")</f>
        <v>ошибка</v>
      </c>
      <c r="N3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35" s="208" t="str">
        <f ca="1">IFERROR(IF(N(INDIRECT(Критерий[[#This Row],[СМаксФизКритерий]],FALSE))=0,"ошибка",IFERROR(INDIRECT(Критерий[[#This Row],[СМаксФизКритерий]],FALSE),"ошибка")),"ошибка")</f>
        <v>ошибка</v>
      </c>
      <c r="P3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35" s="208" t="str">
        <f ca="1">IFERROR(IF(N(INDIRECT(Критерий[[#This Row],[ССрФизКритерий]],FALSE))=0,"ошибка",IFERROR(INDIRECT(Критерий[[#This Row],[ССрФизКритерий]],FALSE),"ошибка")),"")</f>
        <v/>
      </c>
      <c r="R35"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35" s="212">
        <f ca="1">IFERROR(IF(AND(Критерий[[#This Row],[ВидКритерий]]="Критерий",IFERROR(SEARCH("Приведение",Критерий[[#This Row],[Фкритерий]]),0)&gt;0),1,-1),-1)</f>
        <v>-1</v>
      </c>
      <c r="U35" s="222" t="str">
        <f ca="1">IF(AND(Свёртка[[#This Row],[Свёртка]]&lt;&gt;"",Свёртка[[#This Row],[O.K.Свёртка]]=1),ROW()-ROW(Свёртка[[#Headers],[№]]),"")</f>
        <v/>
      </c>
      <c r="V35" s="84"/>
      <c r="W35"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35" s="208" t="str">
        <f ca="1">IFERROR(_xlfn.FORMULATEXT(INDIRECT(Свёртка[[#This Row],[ССвёртка]],FALSE)),"ошибка")</f>
        <v>ошибка</v>
      </c>
      <c r="Y35" s="208" t="str">
        <f ca="1">IFERROR(IF(IFERROR(SEARCH("Прив",Свёртка[[#This Row],[ФСвёртка]]),0)&gt;0,"ошибка",IF(IFERROR(SEARCH("Матр",Свёртка[[#This Row],[ФСвёртка]]),0)&gt;0,"Свёртка","ошибка")),"ошибка")</f>
        <v>ошибка</v>
      </c>
      <c r="Z35" s="208" t="str">
        <f ca="1">IFERROR(IF(LEN((INDIRECT(Свёртка[[#This Row],[СНаименование]],FALSE)))=0,"ошибка",IFERROR(INDIRECT(Свёртка[[#This Row],[СНаименование]],FALSE),"ошибка")),"ошибка")</f>
        <v>ошибка</v>
      </c>
      <c r="AA35"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35" s="212">
        <f ca="1">IF(Свёртка[[#This Row],[ВидСвёртка]]="Свёртка",1,-1)</f>
        <v>-1</v>
      </c>
      <c r="AG35" s="66">
        <f>IF(AND(Множество[[#This Row],[Y]]=1),ROW()-ROW(Множество[[#Headers],[№]]),"")</f>
        <v>26</v>
      </c>
      <c r="AH35" t="s">
        <v>608</v>
      </c>
      <c r="AI35" s="66">
        <v>1</v>
      </c>
      <c r="AJ35" s="66">
        <f>IF(LEN(Множество[[#This Row],[Свёртка]])&gt;0,1,-1)</f>
        <v>1</v>
      </c>
      <c r="AK35" s="66" t="s">
        <v>1781</v>
      </c>
      <c r="AL35" s="66">
        <f>IF(LEN(Множество[[#This Row],[Критерии]])&gt;0,1,-1)</f>
        <v>1</v>
      </c>
      <c r="AM35" s="66">
        <f>IF(AND(LEN(Множество[[#This Row],[Свёртка]])&gt;0,LEN(Множество[[#This Row],[Критерии]])&gt;0,LEN(Множество[[#This Row],[Оценки]])&gt;0),1,-1)</f>
        <v>1</v>
      </c>
      <c r="AN35">
        <v>6.1749999999999998</v>
      </c>
      <c r="AO35">
        <v>-13.45</v>
      </c>
      <c r="AP35" s="208"/>
      <c r="AQ35" s="208"/>
      <c r="AR35" s="226"/>
      <c r="AS35" s="225"/>
      <c r="AT35" s="226"/>
      <c r="AU35" s="225"/>
      <c r="AV35" s="225"/>
      <c r="AW35" s="225"/>
      <c r="AX35" s="225"/>
      <c r="AY35" s="225"/>
    </row>
    <row r="36" spans="2:51" x14ac:dyDescent="0.25">
      <c r="B36" s="209" t="str">
        <f ca="1">IF(AND(Критерий[[#This Row],[Критерий]]&lt;&gt;"",Критерий[[#This Row],[O.K.Критерий]]=1),ROW()-ROW(Критерий[[#Headers],[№]]),"")</f>
        <v/>
      </c>
      <c r="C36" s="84"/>
      <c r="D36"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36" s="208" t="str">
        <f ca="1">IFERROR(IF(IFERROR(SEARCH("Прив",Критерий[[#This Row],[Фкритерий]]),0)&gt;0,"Критерий",IF(IFERROR(SEARCH("Матр",Критерий[[#This Row],[Фкритерий]]),0)&gt;0,"ошибка","ошибка")),"ошибка")</f>
        <v>ошибка</v>
      </c>
      <c r="F36" s="224" t="str">
        <f ca="1">IFERROR(IF(LEN((INDIRECT(Критерий[[#This Row],[СНаименование]],FALSE)))=0,"ошибка",IFERROR(INDIRECT(Критерий[[#This Row],[СНаименование]],FALSE),"ошибка")),"ошибка")</f>
        <v>ошибка</v>
      </c>
      <c r="G3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36" s="208" t="str">
        <f ca="1">IFERROR(IF(N(INDIRECT(Критерий[[#This Row],[СФизКритерий]],FALSE))=0,"ошибка",IFERROR(INDIRECT(Критерий[[#This Row],[СФизКритерий]],FALSE),"ошибка")),"ошибка")</f>
        <v>ошибка</v>
      </c>
      <c r="I3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36"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3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36" s="208" t="str">
        <f ca="1">IFERROR(_xlfn.FORMULATEXT(INDIRECT(Критерий[[#This Row],[Скритерий]],FALSE)),"ошибка")</f>
        <v>ошибка</v>
      </c>
      <c r="M36" s="208" t="str">
        <f ca="1">IFERROR(IF(N(INDIRECT(Критерий[[#This Row],[СМинФизКритерий]],FALSE))=0,"ошибка",IFERROR(INDIRECT(Критерий[[#This Row],[СМинФизКритерий]],FALSE),"ошибка")),"ошибка")</f>
        <v>ошибка</v>
      </c>
      <c r="N3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36" s="208" t="str">
        <f ca="1">IFERROR(IF(N(INDIRECT(Критерий[[#This Row],[СМаксФизКритерий]],FALSE))=0,"ошибка",IFERROR(INDIRECT(Критерий[[#This Row],[СМаксФизКритерий]],FALSE),"ошибка")),"ошибка")</f>
        <v>ошибка</v>
      </c>
      <c r="P3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36" s="208" t="str">
        <f ca="1">IFERROR(IF(N(INDIRECT(Критерий[[#This Row],[ССрФизКритерий]],FALSE))=0,"ошибка",IFERROR(INDIRECT(Критерий[[#This Row],[ССрФизКритерий]],FALSE),"ошибка")),"")</f>
        <v/>
      </c>
      <c r="R36"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36" s="212">
        <f ca="1">IFERROR(IF(AND(Критерий[[#This Row],[ВидКритерий]]="Критерий",IFERROR(SEARCH("Приведение",Критерий[[#This Row],[Фкритерий]]),0)&gt;0),1,-1),-1)</f>
        <v>-1</v>
      </c>
      <c r="U36" s="222" t="str">
        <f ca="1">IF(AND(Свёртка[[#This Row],[Свёртка]]&lt;&gt;"",Свёртка[[#This Row],[O.K.Свёртка]]=1),ROW()-ROW(Свёртка[[#Headers],[№]]),"")</f>
        <v/>
      </c>
      <c r="V36" s="84"/>
      <c r="W36"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36" s="208" t="str">
        <f ca="1">IFERROR(_xlfn.FORMULATEXT(INDIRECT(Свёртка[[#This Row],[ССвёртка]],FALSE)),"ошибка")</f>
        <v>ошибка</v>
      </c>
      <c r="Y36" s="208" t="str">
        <f ca="1">IFERROR(IF(IFERROR(SEARCH("Прив",Свёртка[[#This Row],[ФСвёртка]]),0)&gt;0,"ошибка",IF(IFERROR(SEARCH("Матр",Свёртка[[#This Row],[ФСвёртка]]),0)&gt;0,"Свёртка","ошибка")),"ошибка")</f>
        <v>ошибка</v>
      </c>
      <c r="Z36" s="208" t="str">
        <f ca="1">IFERROR(IF(LEN((INDIRECT(Свёртка[[#This Row],[СНаименование]],FALSE)))=0,"ошибка",IFERROR(INDIRECT(Свёртка[[#This Row],[СНаименование]],FALSE),"ошибка")),"ошибка")</f>
        <v>ошибка</v>
      </c>
      <c r="AA36"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36" s="212">
        <f ca="1">IF(Свёртка[[#This Row],[ВидСвёртка]]="Свёртка",1,-1)</f>
        <v>-1</v>
      </c>
      <c r="AG36" s="66">
        <f>IF(AND(Множество[[#This Row],[Y]]=1),ROW()-ROW(Множество[[#Headers],[№]]),"")</f>
        <v>27</v>
      </c>
      <c r="AH36" t="s">
        <v>608</v>
      </c>
      <c r="AI36" s="66">
        <v>1</v>
      </c>
      <c r="AJ36" s="66">
        <f>IF(LEN(Множество[[#This Row],[Свёртка]])&gt;0,1,-1)</f>
        <v>1</v>
      </c>
      <c r="AK36" s="66" t="s">
        <v>1781</v>
      </c>
      <c r="AL36" s="66">
        <f>IF(LEN(Множество[[#This Row],[Критерии]])&gt;0,1,-1)</f>
        <v>1</v>
      </c>
      <c r="AM36" s="66">
        <f>IF(AND(LEN(Множество[[#This Row],[Свёртка]])&gt;0,LEN(Множество[[#This Row],[Критерии]])&gt;0,LEN(Множество[[#This Row],[Оценки]])&gt;0),1,-1)</f>
        <v>1</v>
      </c>
      <c r="AN36">
        <v>6.1166666666666698</v>
      </c>
      <c r="AO36">
        <v>-13.466666666666701</v>
      </c>
      <c r="AP36" s="208"/>
      <c r="AQ36" s="208"/>
      <c r="AR36" s="226"/>
      <c r="AS36" s="225"/>
      <c r="AT36" s="226"/>
      <c r="AU36" s="225"/>
      <c r="AV36" s="225"/>
      <c r="AW36" s="225"/>
      <c r="AX36" s="225"/>
      <c r="AY36" s="225"/>
    </row>
    <row r="37" spans="2:51" x14ac:dyDescent="0.25">
      <c r="B37" s="209" t="str">
        <f ca="1">IF(AND(Критерий[[#This Row],[Критерий]]&lt;&gt;"",Критерий[[#This Row],[O.K.Критерий]]=1),ROW()-ROW(Критерий[[#Headers],[№]]),"")</f>
        <v/>
      </c>
      <c r="C37" s="84"/>
      <c r="D37"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37" s="208" t="str">
        <f ca="1">IFERROR(IF(IFERROR(SEARCH("Прив",Критерий[[#This Row],[Фкритерий]]),0)&gt;0,"Критерий",IF(IFERROR(SEARCH("Матр",Критерий[[#This Row],[Фкритерий]]),0)&gt;0,"ошибка","ошибка")),"ошибка")</f>
        <v>ошибка</v>
      </c>
      <c r="F37" s="224" t="str">
        <f ca="1">IFERROR(IF(LEN((INDIRECT(Критерий[[#This Row],[СНаименование]],FALSE)))=0,"ошибка",IFERROR(INDIRECT(Критерий[[#This Row],[СНаименование]],FALSE),"ошибка")),"ошибка")</f>
        <v>ошибка</v>
      </c>
      <c r="G3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37" s="208" t="str">
        <f ca="1">IFERROR(IF(N(INDIRECT(Критерий[[#This Row],[СФизКритерий]],FALSE))=0,"ошибка",IFERROR(INDIRECT(Критерий[[#This Row],[СФизКритерий]],FALSE),"ошибка")),"ошибка")</f>
        <v>ошибка</v>
      </c>
      <c r="I3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37"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3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37" s="208" t="str">
        <f ca="1">IFERROR(_xlfn.FORMULATEXT(INDIRECT(Критерий[[#This Row],[Скритерий]],FALSE)),"ошибка")</f>
        <v>ошибка</v>
      </c>
      <c r="M37" s="208" t="str">
        <f ca="1">IFERROR(IF(N(INDIRECT(Критерий[[#This Row],[СМинФизКритерий]],FALSE))=0,"ошибка",IFERROR(INDIRECT(Критерий[[#This Row],[СМинФизКритерий]],FALSE),"ошибка")),"ошибка")</f>
        <v>ошибка</v>
      </c>
      <c r="N3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37" s="208" t="str">
        <f ca="1">IFERROR(IF(N(INDIRECT(Критерий[[#This Row],[СМаксФизКритерий]],FALSE))=0,"ошибка",IFERROR(INDIRECT(Критерий[[#This Row],[СМаксФизКритерий]],FALSE),"ошибка")),"ошибка")</f>
        <v>ошибка</v>
      </c>
      <c r="P3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37" s="208" t="str">
        <f ca="1">IFERROR(IF(N(INDIRECT(Критерий[[#This Row],[ССрФизКритерий]],FALSE))=0,"ошибка",IFERROR(INDIRECT(Критерий[[#This Row],[ССрФизКритерий]],FALSE),"ошибка")),"")</f>
        <v/>
      </c>
      <c r="R37"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37" s="212">
        <f ca="1">IFERROR(IF(AND(Критерий[[#This Row],[ВидКритерий]]="Критерий",IFERROR(SEARCH("Приведение",Критерий[[#This Row],[Фкритерий]]),0)&gt;0),1,-1),-1)</f>
        <v>-1</v>
      </c>
      <c r="U37" s="222" t="str">
        <f ca="1">IF(AND(Свёртка[[#This Row],[Свёртка]]&lt;&gt;"",Свёртка[[#This Row],[O.K.Свёртка]]=1),ROW()-ROW(Свёртка[[#Headers],[№]]),"")</f>
        <v/>
      </c>
      <c r="V37" s="84"/>
      <c r="W37"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37" s="208" t="str">
        <f ca="1">IFERROR(_xlfn.FORMULATEXT(INDIRECT(Свёртка[[#This Row],[ССвёртка]],FALSE)),"ошибка")</f>
        <v>ошибка</v>
      </c>
      <c r="Y37" s="208" t="str">
        <f ca="1">IFERROR(IF(IFERROR(SEARCH("Прив",Свёртка[[#This Row],[ФСвёртка]]),0)&gt;0,"ошибка",IF(IFERROR(SEARCH("Матр",Свёртка[[#This Row],[ФСвёртка]]),0)&gt;0,"Свёртка","ошибка")),"ошибка")</f>
        <v>ошибка</v>
      </c>
      <c r="Z37" s="208" t="str">
        <f ca="1">IFERROR(IF(LEN((INDIRECT(Свёртка[[#This Row],[СНаименование]],FALSE)))=0,"ошибка",IFERROR(INDIRECT(Свёртка[[#This Row],[СНаименование]],FALSE),"ошибка")),"ошибка")</f>
        <v>ошибка</v>
      </c>
      <c r="AA37"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37" s="212">
        <f ca="1">IF(Свёртка[[#This Row],[ВидСвёртка]]="Свёртка",1,-1)</f>
        <v>-1</v>
      </c>
      <c r="AG37" s="66">
        <f>IF(AND(Множество[[#This Row],[Y]]=1),ROW()-ROW(Множество[[#Headers],[№]]),"")</f>
        <v>28</v>
      </c>
      <c r="AH37" t="s">
        <v>608</v>
      </c>
      <c r="AI37" s="66">
        <v>1</v>
      </c>
      <c r="AJ37" s="66">
        <f>IF(LEN(Множество[[#This Row],[Свёртка]])&gt;0,1,-1)</f>
        <v>1</v>
      </c>
      <c r="AK37" s="66" t="s">
        <v>1781</v>
      </c>
      <c r="AL37" s="66">
        <f>IF(LEN(Множество[[#This Row],[Критерии]])&gt;0,1,-1)</f>
        <v>1</v>
      </c>
      <c r="AM37" s="66">
        <f>IF(AND(LEN(Множество[[#This Row],[Свёртка]])&gt;0,LEN(Множество[[#This Row],[Критерии]])&gt;0,LEN(Множество[[#This Row],[Оценки]])&gt;0),1,-1)</f>
        <v>1</v>
      </c>
      <c r="AN37">
        <v>6</v>
      </c>
      <c r="AO37">
        <v>-13.483333333333301</v>
      </c>
      <c r="AP37" s="208"/>
      <c r="AQ37" s="208"/>
      <c r="AR37" s="226"/>
      <c r="AS37" s="225"/>
      <c r="AT37" s="226"/>
      <c r="AU37" s="225"/>
      <c r="AV37" s="225"/>
      <c r="AW37" s="225"/>
      <c r="AX37" s="225"/>
      <c r="AY37" s="225"/>
    </row>
    <row r="38" spans="2:51" x14ac:dyDescent="0.25">
      <c r="B38" s="209" t="str">
        <f ca="1">IF(AND(Критерий[[#This Row],[Критерий]]&lt;&gt;"",Критерий[[#This Row],[O.K.Критерий]]=1),ROW()-ROW(Критерий[[#Headers],[№]]),"")</f>
        <v/>
      </c>
      <c r="C38" s="84"/>
      <c r="D38"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38" s="208" t="str">
        <f ca="1">IFERROR(IF(IFERROR(SEARCH("Прив",Критерий[[#This Row],[Фкритерий]]),0)&gt;0,"Критерий",IF(IFERROR(SEARCH("Матр",Критерий[[#This Row],[Фкритерий]]),0)&gt;0,"ошибка","ошибка")),"ошибка")</f>
        <v>ошибка</v>
      </c>
      <c r="F38" s="224" t="str">
        <f ca="1">IFERROR(IF(LEN((INDIRECT(Критерий[[#This Row],[СНаименование]],FALSE)))=0,"ошибка",IFERROR(INDIRECT(Критерий[[#This Row],[СНаименование]],FALSE),"ошибка")),"ошибка")</f>
        <v>ошибка</v>
      </c>
      <c r="G3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38" s="208" t="str">
        <f ca="1">IFERROR(IF(N(INDIRECT(Критерий[[#This Row],[СФизКритерий]],FALSE))=0,"ошибка",IFERROR(INDIRECT(Критерий[[#This Row],[СФизКритерий]],FALSE),"ошибка")),"ошибка")</f>
        <v>ошибка</v>
      </c>
      <c r="I3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38"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3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38" s="208" t="str">
        <f ca="1">IFERROR(_xlfn.FORMULATEXT(INDIRECT(Критерий[[#This Row],[Скритерий]],FALSE)),"ошибка")</f>
        <v>ошибка</v>
      </c>
      <c r="M38" s="208" t="str">
        <f ca="1">IFERROR(IF(N(INDIRECT(Критерий[[#This Row],[СМинФизКритерий]],FALSE))=0,"ошибка",IFERROR(INDIRECT(Критерий[[#This Row],[СМинФизКритерий]],FALSE),"ошибка")),"ошибка")</f>
        <v>ошибка</v>
      </c>
      <c r="N3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38" s="208" t="str">
        <f ca="1">IFERROR(IF(N(INDIRECT(Критерий[[#This Row],[СМаксФизКритерий]],FALSE))=0,"ошибка",IFERROR(INDIRECT(Критерий[[#This Row],[СМаксФизКритерий]],FALSE),"ошибка")),"ошибка")</f>
        <v>ошибка</v>
      </c>
      <c r="P3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38" s="208" t="str">
        <f ca="1">IFERROR(IF(N(INDIRECT(Критерий[[#This Row],[ССрФизКритерий]],FALSE))=0,"ошибка",IFERROR(INDIRECT(Критерий[[#This Row],[ССрФизКритерий]],FALSE),"ошибка")),"")</f>
        <v/>
      </c>
      <c r="R38"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38" s="212">
        <f ca="1">IFERROR(IF(AND(Критерий[[#This Row],[ВидКритерий]]="Критерий",IFERROR(SEARCH("Приведение",Критерий[[#This Row],[Фкритерий]]),0)&gt;0),1,-1),-1)</f>
        <v>-1</v>
      </c>
      <c r="U38" s="222" t="str">
        <f ca="1">IF(AND(Свёртка[[#This Row],[Свёртка]]&lt;&gt;"",Свёртка[[#This Row],[O.K.Свёртка]]=1),ROW()-ROW(Свёртка[[#Headers],[№]]),"")</f>
        <v/>
      </c>
      <c r="V38" s="84"/>
      <c r="W38"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38" s="208" t="str">
        <f ca="1">IFERROR(_xlfn.FORMULATEXT(INDIRECT(Свёртка[[#This Row],[ССвёртка]],FALSE)),"ошибка")</f>
        <v>ошибка</v>
      </c>
      <c r="Y38" s="208" t="str">
        <f ca="1">IFERROR(IF(IFERROR(SEARCH("Прив",Свёртка[[#This Row],[ФСвёртка]]),0)&gt;0,"ошибка",IF(IFERROR(SEARCH("Матр",Свёртка[[#This Row],[ФСвёртка]]),0)&gt;0,"Свёртка","ошибка")),"ошибка")</f>
        <v>ошибка</v>
      </c>
      <c r="Z38" s="208" t="str">
        <f ca="1">IFERROR(IF(LEN((INDIRECT(Свёртка[[#This Row],[СНаименование]],FALSE)))=0,"ошибка",IFERROR(INDIRECT(Свёртка[[#This Row],[СНаименование]],FALSE),"ошибка")),"ошибка")</f>
        <v>ошибка</v>
      </c>
      <c r="AA38"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38" s="212">
        <f ca="1">IF(Свёртка[[#This Row],[ВидСвёртка]]="Свёртка",1,-1)</f>
        <v>-1</v>
      </c>
      <c r="AG38" s="66">
        <f>IF(AND(Множество[[#This Row],[Y]]=1),ROW()-ROW(Множество[[#Headers],[№]]),"")</f>
        <v>29</v>
      </c>
      <c r="AH38" t="s">
        <v>608</v>
      </c>
      <c r="AI38" s="66">
        <v>1</v>
      </c>
      <c r="AJ38" s="66">
        <f>IF(LEN(Множество[[#This Row],[Свёртка]])&gt;0,1,-1)</f>
        <v>1</v>
      </c>
      <c r="AK38" s="66" t="s">
        <v>1781</v>
      </c>
      <c r="AL38" s="66">
        <f>IF(LEN(Множество[[#This Row],[Критерии]])&gt;0,1,-1)</f>
        <v>1</v>
      </c>
      <c r="AM38" s="66">
        <f>IF(AND(LEN(Множество[[#This Row],[Свёртка]])&gt;0,LEN(Множество[[#This Row],[Критерии]])&gt;0,LEN(Множество[[#This Row],[Оценки]])&gt;0),1,-1)</f>
        <v>1</v>
      </c>
      <c r="AN38">
        <v>6.05833333333333</v>
      </c>
      <c r="AO38">
        <v>-13.483333333333301</v>
      </c>
      <c r="AP38" s="208"/>
      <c r="AQ38" s="208"/>
      <c r="AR38" s="226"/>
      <c r="AS38" s="225"/>
      <c r="AT38" s="226"/>
      <c r="AU38" s="225"/>
      <c r="AV38" s="225"/>
      <c r="AW38" s="225"/>
      <c r="AX38" s="225"/>
      <c r="AY38" s="225"/>
    </row>
    <row r="39" spans="2:51" x14ac:dyDescent="0.25">
      <c r="B39" s="209" t="str">
        <f ca="1">IF(AND(Критерий[[#This Row],[Критерий]]&lt;&gt;"",Критерий[[#This Row],[O.K.Критерий]]=1),ROW()-ROW(Критерий[[#Headers],[№]]),"")</f>
        <v/>
      </c>
      <c r="C39" s="84"/>
      <c r="D39"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39" s="208" t="str">
        <f ca="1">IFERROR(IF(IFERROR(SEARCH("Прив",Критерий[[#This Row],[Фкритерий]]),0)&gt;0,"Критерий",IF(IFERROR(SEARCH("Матр",Критерий[[#This Row],[Фкритерий]]),0)&gt;0,"ошибка","ошибка")),"ошибка")</f>
        <v>ошибка</v>
      </c>
      <c r="F39" s="224" t="str">
        <f ca="1">IFERROR(IF(LEN((INDIRECT(Критерий[[#This Row],[СНаименование]],FALSE)))=0,"ошибка",IFERROR(INDIRECT(Критерий[[#This Row],[СНаименование]],FALSE),"ошибка")),"ошибка")</f>
        <v>ошибка</v>
      </c>
      <c r="G3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39" s="208" t="str">
        <f ca="1">IFERROR(IF(N(INDIRECT(Критерий[[#This Row],[СФизКритерий]],FALSE))=0,"ошибка",IFERROR(INDIRECT(Критерий[[#This Row],[СФизКритерий]],FALSE),"ошибка")),"ошибка")</f>
        <v>ошибка</v>
      </c>
      <c r="I3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39"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3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39" s="208" t="str">
        <f ca="1">IFERROR(_xlfn.FORMULATEXT(INDIRECT(Критерий[[#This Row],[Скритерий]],FALSE)),"ошибка")</f>
        <v>ошибка</v>
      </c>
      <c r="M39" s="208" t="str">
        <f ca="1">IFERROR(IF(N(INDIRECT(Критерий[[#This Row],[СМинФизКритерий]],FALSE))=0,"ошибка",IFERROR(INDIRECT(Критерий[[#This Row],[СМинФизКритерий]],FALSE),"ошибка")),"ошибка")</f>
        <v>ошибка</v>
      </c>
      <c r="N3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39" s="208" t="str">
        <f ca="1">IFERROR(IF(N(INDIRECT(Критерий[[#This Row],[СМаксФизКритерий]],FALSE))=0,"ошибка",IFERROR(INDIRECT(Критерий[[#This Row],[СМаксФизКритерий]],FALSE),"ошибка")),"ошибка")</f>
        <v>ошибка</v>
      </c>
      <c r="P3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39" s="208" t="str">
        <f ca="1">IFERROR(IF(N(INDIRECT(Критерий[[#This Row],[ССрФизКритерий]],FALSE))=0,"ошибка",IFERROR(INDIRECT(Критерий[[#This Row],[ССрФизКритерий]],FALSE),"ошибка")),"")</f>
        <v/>
      </c>
      <c r="R39"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39" s="212">
        <f ca="1">IFERROR(IF(AND(Критерий[[#This Row],[ВидКритерий]]="Критерий",IFERROR(SEARCH("Приведение",Критерий[[#This Row],[Фкритерий]]),0)&gt;0),1,-1),-1)</f>
        <v>-1</v>
      </c>
      <c r="U39" s="222" t="str">
        <f ca="1">IF(AND(Свёртка[[#This Row],[Свёртка]]&lt;&gt;"",Свёртка[[#This Row],[O.K.Свёртка]]=1),ROW()-ROW(Свёртка[[#Headers],[№]]),"")</f>
        <v/>
      </c>
      <c r="V39" s="84"/>
      <c r="W39"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39" s="208" t="str">
        <f ca="1">IFERROR(_xlfn.FORMULATEXT(INDIRECT(Свёртка[[#This Row],[ССвёртка]],FALSE)),"ошибка")</f>
        <v>ошибка</v>
      </c>
      <c r="Y39" s="208" t="str">
        <f ca="1">IFERROR(IF(IFERROR(SEARCH("Прив",Свёртка[[#This Row],[ФСвёртка]]),0)&gt;0,"ошибка",IF(IFERROR(SEARCH("Матр",Свёртка[[#This Row],[ФСвёртка]]),0)&gt;0,"Свёртка","ошибка")),"ошибка")</f>
        <v>ошибка</v>
      </c>
      <c r="Z39" s="208" t="str">
        <f ca="1">IFERROR(IF(LEN((INDIRECT(Свёртка[[#This Row],[СНаименование]],FALSE)))=0,"ошибка",IFERROR(INDIRECT(Свёртка[[#This Row],[СНаименование]],FALSE),"ошибка")),"ошибка")</f>
        <v>ошибка</v>
      </c>
      <c r="AA39"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39" s="212">
        <f ca="1">IF(Свёртка[[#This Row],[ВидСвёртка]]="Свёртка",1,-1)</f>
        <v>-1</v>
      </c>
      <c r="AG39" s="66">
        <f>IF(AND(Множество[[#This Row],[Y]]=1),ROW()-ROW(Множество[[#Headers],[№]]),"")</f>
        <v>30</v>
      </c>
      <c r="AH39" t="s">
        <v>608</v>
      </c>
      <c r="AI39" s="66">
        <v>1</v>
      </c>
      <c r="AJ39" s="66">
        <f>IF(LEN(Множество[[#This Row],[Свёртка]])&gt;0,1,-1)</f>
        <v>1</v>
      </c>
      <c r="AK39" s="66" t="s">
        <v>1781</v>
      </c>
      <c r="AL39" s="66">
        <f>IF(LEN(Множество[[#This Row],[Критерии]])&gt;0,1,-1)</f>
        <v>1</v>
      </c>
      <c r="AM39" s="66">
        <f>IF(AND(LEN(Множество[[#This Row],[Свёртка]])&gt;0,LEN(Множество[[#This Row],[Критерии]])&gt;0,LEN(Множество[[#This Row],[Оценки]])&gt;0),1,-1)</f>
        <v>1</v>
      </c>
      <c r="AN39">
        <v>5.94166666666667</v>
      </c>
      <c r="AO39">
        <v>-13.5</v>
      </c>
      <c r="AP39" s="208"/>
      <c r="AQ39" s="208"/>
      <c r="AR39" s="226"/>
      <c r="AS39" s="225"/>
      <c r="AT39" s="226"/>
      <c r="AU39" s="225"/>
      <c r="AV39" s="225"/>
      <c r="AW39" s="225"/>
      <c r="AX39" s="225"/>
      <c r="AY39" s="225"/>
    </row>
    <row r="40" spans="2:51" x14ac:dyDescent="0.25">
      <c r="B40" s="209" t="str">
        <f ca="1">IF(AND(Критерий[[#This Row],[Критерий]]&lt;&gt;"",Критерий[[#This Row],[O.K.Критерий]]=1),ROW()-ROW(Критерий[[#Headers],[№]]),"")</f>
        <v/>
      </c>
      <c r="C40" s="84"/>
      <c r="D40"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40" s="208" t="str">
        <f ca="1">IFERROR(IF(IFERROR(SEARCH("Прив",Критерий[[#This Row],[Фкритерий]]),0)&gt;0,"Критерий",IF(IFERROR(SEARCH("Матр",Критерий[[#This Row],[Фкритерий]]),0)&gt;0,"ошибка","ошибка")),"ошибка")</f>
        <v>ошибка</v>
      </c>
      <c r="F40" s="224" t="str">
        <f ca="1">IFERROR(IF(LEN((INDIRECT(Критерий[[#This Row],[СНаименование]],FALSE)))=0,"ошибка",IFERROR(INDIRECT(Критерий[[#This Row],[СНаименование]],FALSE),"ошибка")),"ошибка")</f>
        <v>ошибка</v>
      </c>
      <c r="G4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40" s="208" t="str">
        <f ca="1">IFERROR(IF(N(INDIRECT(Критерий[[#This Row],[СФизКритерий]],FALSE))=0,"ошибка",IFERROR(INDIRECT(Критерий[[#This Row],[СФизКритерий]],FALSE),"ошибка")),"ошибка")</f>
        <v>ошибка</v>
      </c>
      <c r="I4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40"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4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40" s="208" t="str">
        <f ca="1">IFERROR(_xlfn.FORMULATEXT(INDIRECT(Критерий[[#This Row],[Скритерий]],FALSE)),"ошибка")</f>
        <v>ошибка</v>
      </c>
      <c r="M40" s="208" t="str">
        <f ca="1">IFERROR(IF(N(INDIRECT(Критерий[[#This Row],[СМинФизКритерий]],FALSE))=0,"ошибка",IFERROR(INDIRECT(Критерий[[#This Row],[СМинФизКритерий]],FALSE),"ошибка")),"ошибка")</f>
        <v>ошибка</v>
      </c>
      <c r="N4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40" s="208" t="str">
        <f ca="1">IFERROR(IF(N(INDIRECT(Критерий[[#This Row],[СМаксФизКритерий]],FALSE))=0,"ошибка",IFERROR(INDIRECT(Критерий[[#This Row],[СМаксФизКритерий]],FALSE),"ошибка")),"ошибка")</f>
        <v>ошибка</v>
      </c>
      <c r="P4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40" s="208" t="str">
        <f ca="1">IFERROR(IF(N(INDIRECT(Критерий[[#This Row],[ССрФизКритерий]],FALSE))=0,"ошибка",IFERROR(INDIRECT(Критерий[[#This Row],[ССрФизКритерий]],FALSE),"ошибка")),"")</f>
        <v/>
      </c>
      <c r="R40"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40" s="212">
        <f ca="1">IFERROR(IF(AND(Критерий[[#This Row],[ВидКритерий]]="Критерий",IFERROR(SEARCH("Приведение",Критерий[[#This Row],[Фкритерий]]),0)&gt;0),1,-1),-1)</f>
        <v>-1</v>
      </c>
      <c r="U40" s="222" t="str">
        <f ca="1">IF(AND(Свёртка[[#This Row],[Свёртка]]&lt;&gt;"",Свёртка[[#This Row],[O.K.Свёртка]]=1),ROW()-ROW(Свёртка[[#Headers],[№]]),"")</f>
        <v/>
      </c>
      <c r="V40" s="84"/>
      <c r="W40"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40" s="208" t="str">
        <f ca="1">IFERROR(_xlfn.FORMULATEXT(INDIRECT(Свёртка[[#This Row],[ССвёртка]],FALSE)),"ошибка")</f>
        <v>ошибка</v>
      </c>
      <c r="Y40" s="208" t="str">
        <f ca="1">IFERROR(IF(IFERROR(SEARCH("Прив",Свёртка[[#This Row],[ФСвёртка]]),0)&gt;0,"ошибка",IF(IFERROR(SEARCH("Матр",Свёртка[[#This Row],[ФСвёртка]]),0)&gt;0,"Свёртка","ошибка")),"ошибка")</f>
        <v>ошибка</v>
      </c>
      <c r="Z40" s="208" t="str">
        <f ca="1">IFERROR(IF(LEN((INDIRECT(Свёртка[[#This Row],[СНаименование]],FALSE)))=0,"ошибка",IFERROR(INDIRECT(Свёртка[[#This Row],[СНаименование]],FALSE),"ошибка")),"ошибка")</f>
        <v>ошибка</v>
      </c>
      <c r="AA40"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40" s="212">
        <f ca="1">IF(Свёртка[[#This Row],[ВидСвёртка]]="Свёртка",1,-1)</f>
        <v>-1</v>
      </c>
      <c r="AG40" s="66">
        <f>IF(AND(Множество[[#This Row],[Y]]=1),ROW()-ROW(Множество[[#Headers],[№]]),"")</f>
        <v>31</v>
      </c>
      <c r="AH40" t="s">
        <v>608</v>
      </c>
      <c r="AI40" s="66">
        <v>1</v>
      </c>
      <c r="AJ40" s="66">
        <f>IF(LEN(Множество[[#This Row],[Свёртка]])&gt;0,1,-1)</f>
        <v>1</v>
      </c>
      <c r="AK40" s="66" t="s">
        <v>1781</v>
      </c>
      <c r="AL40" s="66">
        <f>IF(LEN(Множество[[#This Row],[Критерии]])&gt;0,1,-1)</f>
        <v>1</v>
      </c>
      <c r="AM40" s="66">
        <f>IF(AND(LEN(Множество[[#This Row],[Свёртка]])&gt;0,LEN(Множество[[#This Row],[Критерии]])&gt;0,LEN(Множество[[#This Row],[Оценки]])&gt;0),1,-1)</f>
        <v>1</v>
      </c>
      <c r="AN40">
        <v>5.8833333333333302</v>
      </c>
      <c r="AO40">
        <v>-13.516666666666699</v>
      </c>
      <c r="AP40" s="208"/>
      <c r="AQ40" s="208"/>
      <c r="AR40" s="226"/>
      <c r="AS40" s="225"/>
      <c r="AT40" s="226"/>
      <c r="AU40" s="225"/>
      <c r="AV40" s="225"/>
      <c r="AW40" s="225"/>
      <c r="AX40" s="225"/>
      <c r="AY40" s="225"/>
    </row>
    <row r="41" spans="2:51" x14ac:dyDescent="0.25">
      <c r="B41" s="209" t="str">
        <f ca="1">IF(AND(Критерий[[#This Row],[Критерий]]&lt;&gt;"",Критерий[[#This Row],[O.K.Критерий]]=1),ROW()-ROW(Критерий[[#Headers],[№]]),"")</f>
        <v/>
      </c>
      <c r="C41" s="84"/>
      <c r="D41"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41" s="208" t="str">
        <f ca="1">IFERROR(IF(IFERROR(SEARCH("Прив",Критерий[[#This Row],[Фкритерий]]),0)&gt;0,"Критерий",IF(IFERROR(SEARCH("Матр",Критерий[[#This Row],[Фкритерий]]),0)&gt;0,"ошибка","ошибка")),"ошибка")</f>
        <v>ошибка</v>
      </c>
      <c r="F41" s="224" t="str">
        <f ca="1">IFERROR(IF(LEN((INDIRECT(Критерий[[#This Row],[СНаименование]],FALSE)))=0,"ошибка",IFERROR(INDIRECT(Критерий[[#This Row],[СНаименование]],FALSE),"ошибка")),"ошибка")</f>
        <v>ошибка</v>
      </c>
      <c r="G4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41" s="208" t="str">
        <f ca="1">IFERROR(IF(N(INDIRECT(Критерий[[#This Row],[СФизКритерий]],FALSE))=0,"ошибка",IFERROR(INDIRECT(Критерий[[#This Row],[СФизКритерий]],FALSE),"ошибка")),"ошибка")</f>
        <v>ошибка</v>
      </c>
      <c r="I4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41"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4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41" s="208" t="str">
        <f ca="1">IFERROR(_xlfn.FORMULATEXT(INDIRECT(Критерий[[#This Row],[Скритерий]],FALSE)),"ошибка")</f>
        <v>ошибка</v>
      </c>
      <c r="M41" s="208" t="str">
        <f ca="1">IFERROR(IF(N(INDIRECT(Критерий[[#This Row],[СМинФизКритерий]],FALSE))=0,"ошибка",IFERROR(INDIRECT(Критерий[[#This Row],[СМинФизКритерий]],FALSE),"ошибка")),"ошибка")</f>
        <v>ошибка</v>
      </c>
      <c r="N4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41" s="208" t="str">
        <f ca="1">IFERROR(IF(N(INDIRECT(Критерий[[#This Row],[СМаксФизКритерий]],FALSE))=0,"ошибка",IFERROR(INDIRECT(Критерий[[#This Row],[СМаксФизКритерий]],FALSE),"ошибка")),"ошибка")</f>
        <v>ошибка</v>
      </c>
      <c r="P4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41" s="208" t="str">
        <f ca="1">IFERROR(IF(N(INDIRECT(Критерий[[#This Row],[ССрФизКритерий]],FALSE))=0,"ошибка",IFERROR(INDIRECT(Критерий[[#This Row],[ССрФизКритерий]],FALSE),"ошибка")),"")</f>
        <v/>
      </c>
      <c r="R41"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41" s="212">
        <f ca="1">IFERROR(IF(AND(Критерий[[#This Row],[ВидКритерий]]="Критерий",IFERROR(SEARCH("Приведение",Критерий[[#This Row],[Фкритерий]]),0)&gt;0),1,-1),-1)</f>
        <v>-1</v>
      </c>
      <c r="U41" s="222" t="str">
        <f ca="1">IF(AND(Свёртка[[#This Row],[Свёртка]]&lt;&gt;"",Свёртка[[#This Row],[O.K.Свёртка]]=1),ROW()-ROW(Свёртка[[#Headers],[№]]),"")</f>
        <v/>
      </c>
      <c r="V41" s="84"/>
      <c r="W41"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41" s="208" t="str">
        <f ca="1">IFERROR(_xlfn.FORMULATEXT(INDIRECT(Свёртка[[#This Row],[ССвёртка]],FALSE)),"ошибка")</f>
        <v>ошибка</v>
      </c>
      <c r="Y41" s="208" t="str">
        <f ca="1">IFERROR(IF(IFERROR(SEARCH("Прив",Свёртка[[#This Row],[ФСвёртка]]),0)&gt;0,"ошибка",IF(IFERROR(SEARCH("Матр",Свёртка[[#This Row],[ФСвёртка]]),0)&gt;0,"Свёртка","ошибка")),"ошибка")</f>
        <v>ошибка</v>
      </c>
      <c r="Z41" s="208" t="str">
        <f ca="1">IFERROR(IF(LEN((INDIRECT(Свёртка[[#This Row],[СНаименование]],FALSE)))=0,"ошибка",IFERROR(INDIRECT(Свёртка[[#This Row],[СНаименование]],FALSE),"ошибка")),"ошибка")</f>
        <v>ошибка</v>
      </c>
      <c r="AA41"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41" s="212">
        <f ca="1">IF(Свёртка[[#This Row],[ВидСвёртка]]="Свёртка",1,-1)</f>
        <v>-1</v>
      </c>
      <c r="AG41" s="66">
        <f>IF(AND(Множество[[#This Row],[Y]]=1),ROW()-ROW(Множество[[#Headers],[№]]),"")</f>
        <v>32</v>
      </c>
      <c r="AH41" t="s">
        <v>608</v>
      </c>
      <c r="AI41" s="66">
        <v>1</v>
      </c>
      <c r="AJ41" s="66">
        <f>IF(LEN(Множество[[#This Row],[Свёртка]])&gt;0,1,-1)</f>
        <v>1</v>
      </c>
      <c r="AK41" s="66" t="s">
        <v>1781</v>
      </c>
      <c r="AL41" s="66">
        <f>IF(LEN(Множество[[#This Row],[Критерии]])&gt;0,1,-1)</f>
        <v>1</v>
      </c>
      <c r="AM41" s="66">
        <f>IF(AND(LEN(Множество[[#This Row],[Свёртка]])&gt;0,LEN(Множество[[#This Row],[Критерии]])&gt;0,LEN(Множество[[#This Row],[Оценки]])&gt;0),1,-1)</f>
        <v>1</v>
      </c>
      <c r="AN41">
        <v>5.8250000000000002</v>
      </c>
      <c r="AO41">
        <v>-13.533333333333299</v>
      </c>
      <c r="AP41" s="208"/>
      <c r="AQ41" s="208"/>
      <c r="AR41" s="226"/>
      <c r="AS41" s="225"/>
      <c r="AT41" s="226"/>
      <c r="AU41" s="225"/>
      <c r="AV41" s="225"/>
      <c r="AW41" s="225"/>
      <c r="AX41" s="225"/>
      <c r="AY41" s="225"/>
    </row>
    <row r="42" spans="2:51" x14ac:dyDescent="0.25">
      <c r="B42" s="209" t="str">
        <f ca="1">IF(AND(Критерий[[#This Row],[Критерий]]&lt;&gt;"",Критерий[[#This Row],[O.K.Критерий]]=1),ROW()-ROW(Критерий[[#Headers],[№]]),"")</f>
        <v/>
      </c>
      <c r="C42" s="84"/>
      <c r="D42"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42" s="208" t="str">
        <f ca="1">IFERROR(IF(IFERROR(SEARCH("Прив",Критерий[[#This Row],[Фкритерий]]),0)&gt;0,"Критерий",IF(IFERROR(SEARCH("Матр",Критерий[[#This Row],[Фкритерий]]),0)&gt;0,"ошибка","ошибка")),"ошибка")</f>
        <v>ошибка</v>
      </c>
      <c r="F42" s="224" t="str">
        <f ca="1">IFERROR(IF(LEN((INDIRECT(Критерий[[#This Row],[СНаименование]],FALSE)))=0,"ошибка",IFERROR(INDIRECT(Критерий[[#This Row],[СНаименование]],FALSE),"ошибка")),"ошибка")</f>
        <v>ошибка</v>
      </c>
      <c r="G4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42" s="208" t="str">
        <f ca="1">IFERROR(IF(N(INDIRECT(Критерий[[#This Row],[СФизКритерий]],FALSE))=0,"ошибка",IFERROR(INDIRECT(Критерий[[#This Row],[СФизКритерий]],FALSE),"ошибка")),"ошибка")</f>
        <v>ошибка</v>
      </c>
      <c r="I4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42"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4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42" s="208" t="str">
        <f ca="1">IFERROR(_xlfn.FORMULATEXT(INDIRECT(Критерий[[#This Row],[Скритерий]],FALSE)),"ошибка")</f>
        <v>ошибка</v>
      </c>
      <c r="M42" s="208" t="str">
        <f ca="1">IFERROR(IF(N(INDIRECT(Критерий[[#This Row],[СМинФизКритерий]],FALSE))=0,"ошибка",IFERROR(INDIRECT(Критерий[[#This Row],[СМинФизКритерий]],FALSE),"ошибка")),"ошибка")</f>
        <v>ошибка</v>
      </c>
      <c r="N4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42" s="208" t="str">
        <f ca="1">IFERROR(IF(N(INDIRECT(Критерий[[#This Row],[СМаксФизКритерий]],FALSE))=0,"ошибка",IFERROR(INDIRECT(Критерий[[#This Row],[СМаксФизКритерий]],FALSE),"ошибка")),"ошибка")</f>
        <v>ошибка</v>
      </c>
      <c r="P4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42" s="208" t="str">
        <f ca="1">IFERROR(IF(N(INDIRECT(Критерий[[#This Row],[ССрФизКритерий]],FALSE))=0,"ошибка",IFERROR(INDIRECT(Критерий[[#This Row],[ССрФизКритерий]],FALSE),"ошибка")),"")</f>
        <v/>
      </c>
      <c r="R42"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42" s="212">
        <f ca="1">IFERROR(IF(AND(Критерий[[#This Row],[ВидКритерий]]="Критерий",IFERROR(SEARCH("Приведение",Критерий[[#This Row],[Фкритерий]]),0)&gt;0),1,-1),-1)</f>
        <v>-1</v>
      </c>
      <c r="U42" s="222" t="str">
        <f ca="1">IF(AND(Свёртка[[#This Row],[Свёртка]]&lt;&gt;"",Свёртка[[#This Row],[O.K.Свёртка]]=1),ROW()-ROW(Свёртка[[#Headers],[№]]),"")</f>
        <v/>
      </c>
      <c r="V42" s="84"/>
      <c r="W42"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42" s="208" t="str">
        <f ca="1">IFERROR(_xlfn.FORMULATEXT(INDIRECT(Свёртка[[#This Row],[ССвёртка]],FALSE)),"ошибка")</f>
        <v>ошибка</v>
      </c>
      <c r="Y42" s="208" t="str">
        <f ca="1">IFERROR(IF(IFERROR(SEARCH("Прив",Свёртка[[#This Row],[ФСвёртка]]),0)&gt;0,"ошибка",IF(IFERROR(SEARCH("Матр",Свёртка[[#This Row],[ФСвёртка]]),0)&gt;0,"Свёртка","ошибка")),"ошибка")</f>
        <v>ошибка</v>
      </c>
      <c r="Z42" s="208" t="str">
        <f ca="1">IFERROR(IF(LEN((INDIRECT(Свёртка[[#This Row],[СНаименование]],FALSE)))=0,"ошибка",IFERROR(INDIRECT(Свёртка[[#This Row],[СНаименование]],FALSE),"ошибка")),"ошибка")</f>
        <v>ошибка</v>
      </c>
      <c r="AA42"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42" s="212">
        <f ca="1">IF(Свёртка[[#This Row],[ВидСвёртка]]="Свёртка",1,-1)</f>
        <v>-1</v>
      </c>
      <c r="AG42" s="66">
        <f>IF(AND(Множество[[#This Row],[Y]]=1),ROW()-ROW(Множество[[#Headers],[№]]),"")</f>
        <v>33</v>
      </c>
      <c r="AH42" t="s">
        <v>608</v>
      </c>
      <c r="AI42" s="66">
        <v>1</v>
      </c>
      <c r="AJ42" s="66">
        <f>IF(LEN(Множество[[#This Row],[Свёртка]])&gt;0,1,-1)</f>
        <v>1</v>
      </c>
      <c r="AK42" s="66" t="s">
        <v>1781</v>
      </c>
      <c r="AL42" s="66">
        <f>IF(LEN(Множество[[#This Row],[Критерии]])&gt;0,1,-1)</f>
        <v>1</v>
      </c>
      <c r="AM42" s="66">
        <f>IF(AND(LEN(Множество[[#This Row],[Свёртка]])&gt;0,LEN(Множество[[#This Row],[Критерии]])&gt;0,LEN(Множество[[#This Row],[Оценки]])&gt;0),1,-1)</f>
        <v>1</v>
      </c>
      <c r="AN42">
        <v>5.7083333333333304</v>
      </c>
      <c r="AO42">
        <v>-13.55</v>
      </c>
      <c r="AP42" s="208"/>
      <c r="AQ42" s="208"/>
      <c r="AR42" s="226"/>
      <c r="AS42" s="225"/>
      <c r="AT42" s="226"/>
      <c r="AU42" s="225"/>
      <c r="AV42" s="225"/>
      <c r="AW42" s="225"/>
      <c r="AX42" s="225"/>
      <c r="AY42" s="225"/>
    </row>
    <row r="43" spans="2:51" x14ac:dyDescent="0.25">
      <c r="B43" s="209" t="str">
        <f ca="1">IF(AND(Критерий[[#This Row],[Критерий]]&lt;&gt;"",Критерий[[#This Row],[O.K.Критерий]]=1),ROW()-ROW(Критерий[[#Headers],[№]]),"")</f>
        <v/>
      </c>
      <c r="C43" s="84"/>
      <c r="D43"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43" s="208" t="str">
        <f ca="1">IFERROR(IF(IFERROR(SEARCH("Прив",Критерий[[#This Row],[Фкритерий]]),0)&gt;0,"Критерий",IF(IFERROR(SEARCH("Матр",Критерий[[#This Row],[Фкритерий]]),0)&gt;0,"ошибка","ошибка")),"ошибка")</f>
        <v>ошибка</v>
      </c>
      <c r="F43" s="224" t="str">
        <f ca="1">IFERROR(IF(LEN((INDIRECT(Критерий[[#This Row],[СНаименование]],FALSE)))=0,"ошибка",IFERROR(INDIRECT(Критерий[[#This Row],[СНаименование]],FALSE),"ошибка")),"ошибка")</f>
        <v>ошибка</v>
      </c>
      <c r="G4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43" s="208" t="str">
        <f ca="1">IFERROR(IF(N(INDIRECT(Критерий[[#This Row],[СФизКритерий]],FALSE))=0,"ошибка",IFERROR(INDIRECT(Критерий[[#This Row],[СФизКритерий]],FALSE),"ошибка")),"ошибка")</f>
        <v>ошибка</v>
      </c>
      <c r="I4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43"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4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43" s="208" t="str">
        <f ca="1">IFERROR(_xlfn.FORMULATEXT(INDIRECT(Критерий[[#This Row],[Скритерий]],FALSE)),"ошибка")</f>
        <v>ошибка</v>
      </c>
      <c r="M43" s="208" t="str">
        <f ca="1">IFERROR(IF(N(INDIRECT(Критерий[[#This Row],[СМинФизКритерий]],FALSE))=0,"ошибка",IFERROR(INDIRECT(Критерий[[#This Row],[СМинФизКритерий]],FALSE),"ошибка")),"ошибка")</f>
        <v>ошибка</v>
      </c>
      <c r="N4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43" s="208" t="str">
        <f ca="1">IFERROR(IF(N(INDIRECT(Критерий[[#This Row],[СМаксФизКритерий]],FALSE))=0,"ошибка",IFERROR(INDIRECT(Критерий[[#This Row],[СМаксФизКритерий]],FALSE),"ошибка")),"ошибка")</f>
        <v>ошибка</v>
      </c>
      <c r="P4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43" s="208" t="str">
        <f ca="1">IFERROR(IF(N(INDIRECT(Критерий[[#This Row],[ССрФизКритерий]],FALSE))=0,"ошибка",IFERROR(INDIRECT(Критерий[[#This Row],[ССрФизКритерий]],FALSE),"ошибка")),"")</f>
        <v/>
      </c>
      <c r="R43"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43" s="212">
        <f ca="1">IFERROR(IF(AND(Критерий[[#This Row],[ВидКритерий]]="Критерий",IFERROR(SEARCH("Приведение",Критерий[[#This Row],[Фкритерий]]),0)&gt;0),1,-1),-1)</f>
        <v>-1</v>
      </c>
      <c r="U43" s="222" t="str">
        <f ca="1">IF(AND(Свёртка[[#This Row],[Свёртка]]&lt;&gt;"",Свёртка[[#This Row],[O.K.Свёртка]]=1),ROW()-ROW(Свёртка[[#Headers],[№]]),"")</f>
        <v/>
      </c>
      <c r="V43" s="84"/>
      <c r="W43"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43" s="208" t="str">
        <f ca="1">IFERROR(_xlfn.FORMULATEXT(INDIRECT(Свёртка[[#This Row],[ССвёртка]],FALSE)),"ошибка")</f>
        <v>ошибка</v>
      </c>
      <c r="Y43" s="208" t="str">
        <f ca="1">IFERROR(IF(IFERROR(SEARCH("Прив",Свёртка[[#This Row],[ФСвёртка]]),0)&gt;0,"ошибка",IF(IFERROR(SEARCH("Матр",Свёртка[[#This Row],[ФСвёртка]]),0)&gt;0,"Свёртка","ошибка")),"ошибка")</f>
        <v>ошибка</v>
      </c>
      <c r="Z43" s="208" t="str">
        <f ca="1">IFERROR(IF(LEN((INDIRECT(Свёртка[[#This Row],[СНаименование]],FALSE)))=0,"ошибка",IFERROR(INDIRECT(Свёртка[[#This Row],[СНаименование]],FALSE),"ошибка")),"ошибка")</f>
        <v>ошибка</v>
      </c>
      <c r="AA43"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43" s="212">
        <f ca="1">IF(Свёртка[[#This Row],[ВидСвёртка]]="Свёртка",1,-1)</f>
        <v>-1</v>
      </c>
      <c r="AG43" s="66">
        <f>IF(AND(Множество[[#This Row],[Y]]=1),ROW()-ROW(Множество[[#Headers],[№]]),"")</f>
        <v>34</v>
      </c>
      <c r="AH43" t="s">
        <v>608</v>
      </c>
      <c r="AI43" s="66">
        <v>1</v>
      </c>
      <c r="AJ43" s="66">
        <f>IF(LEN(Множество[[#This Row],[Свёртка]])&gt;0,1,-1)</f>
        <v>1</v>
      </c>
      <c r="AK43" s="66" t="s">
        <v>1781</v>
      </c>
      <c r="AL43" s="66">
        <f>IF(LEN(Множество[[#This Row],[Критерии]])&gt;0,1,-1)</f>
        <v>1</v>
      </c>
      <c r="AM43" s="66">
        <f>IF(AND(LEN(Множество[[#This Row],[Свёртка]])&gt;0,LEN(Множество[[#This Row],[Критерии]])&gt;0,LEN(Множество[[#This Row],[Оценки]])&gt;0),1,-1)</f>
        <v>1</v>
      </c>
      <c r="AN43">
        <v>5.65</v>
      </c>
      <c r="AO43">
        <v>-13.5666666666667</v>
      </c>
      <c r="AP43" s="208"/>
      <c r="AQ43" s="208"/>
      <c r="AR43" s="226"/>
      <c r="AS43" s="225"/>
      <c r="AT43" s="226"/>
      <c r="AU43" s="225"/>
      <c r="AV43" s="225"/>
      <c r="AW43" s="225"/>
      <c r="AX43" s="225"/>
      <c r="AY43" s="225"/>
    </row>
    <row r="44" spans="2:51" x14ac:dyDescent="0.25">
      <c r="B44" s="209" t="str">
        <f ca="1">IF(AND(Критерий[[#This Row],[Критерий]]&lt;&gt;"",Критерий[[#This Row],[O.K.Критерий]]=1),ROW()-ROW(Критерий[[#Headers],[№]]),"")</f>
        <v/>
      </c>
      <c r="C44" s="84"/>
      <c r="D44"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44" s="208" t="str">
        <f ca="1">IFERROR(IF(IFERROR(SEARCH("Прив",Критерий[[#This Row],[Фкритерий]]),0)&gt;0,"Критерий",IF(IFERROR(SEARCH("Матр",Критерий[[#This Row],[Фкритерий]]),0)&gt;0,"ошибка","ошибка")),"ошибка")</f>
        <v>ошибка</v>
      </c>
      <c r="F44" s="224" t="str">
        <f ca="1">IFERROR(IF(LEN((INDIRECT(Критерий[[#This Row],[СНаименование]],FALSE)))=0,"ошибка",IFERROR(INDIRECT(Критерий[[#This Row],[СНаименование]],FALSE),"ошибка")),"ошибка")</f>
        <v>ошибка</v>
      </c>
      <c r="G4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44" s="208" t="str">
        <f ca="1">IFERROR(IF(N(INDIRECT(Критерий[[#This Row],[СФизКритерий]],FALSE))=0,"ошибка",IFERROR(INDIRECT(Критерий[[#This Row],[СФизКритерий]],FALSE),"ошибка")),"ошибка")</f>
        <v>ошибка</v>
      </c>
      <c r="I4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44"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4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44" s="208" t="str">
        <f ca="1">IFERROR(_xlfn.FORMULATEXT(INDIRECT(Критерий[[#This Row],[Скритерий]],FALSE)),"ошибка")</f>
        <v>ошибка</v>
      </c>
      <c r="M44" s="208" t="str">
        <f ca="1">IFERROR(IF(N(INDIRECT(Критерий[[#This Row],[СМинФизКритерий]],FALSE))=0,"ошибка",IFERROR(INDIRECT(Критерий[[#This Row],[СМинФизКритерий]],FALSE),"ошибка")),"ошибка")</f>
        <v>ошибка</v>
      </c>
      <c r="N4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44" s="208" t="str">
        <f ca="1">IFERROR(IF(N(INDIRECT(Критерий[[#This Row],[СМаксФизКритерий]],FALSE))=0,"ошибка",IFERROR(INDIRECT(Критерий[[#This Row],[СМаксФизКритерий]],FALSE),"ошибка")),"ошибка")</f>
        <v>ошибка</v>
      </c>
      <c r="P4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44" s="208" t="str">
        <f ca="1">IFERROR(IF(N(INDIRECT(Критерий[[#This Row],[ССрФизКритерий]],FALSE))=0,"ошибка",IFERROR(INDIRECT(Критерий[[#This Row],[ССрФизКритерий]],FALSE),"ошибка")),"")</f>
        <v/>
      </c>
      <c r="R44"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44" s="212">
        <f ca="1">IFERROR(IF(AND(Критерий[[#This Row],[ВидКритерий]]="Критерий",IFERROR(SEARCH("Приведение",Критерий[[#This Row],[Фкритерий]]),0)&gt;0),1,-1),-1)</f>
        <v>-1</v>
      </c>
      <c r="U44" s="222" t="str">
        <f ca="1">IF(AND(Свёртка[[#This Row],[Свёртка]]&lt;&gt;"",Свёртка[[#This Row],[O.K.Свёртка]]=1),ROW()-ROW(Свёртка[[#Headers],[№]]),"")</f>
        <v/>
      </c>
      <c r="V44" s="84"/>
      <c r="W44"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44" s="208" t="str">
        <f ca="1">IFERROR(_xlfn.FORMULATEXT(INDIRECT(Свёртка[[#This Row],[ССвёртка]],FALSE)),"ошибка")</f>
        <v>ошибка</v>
      </c>
      <c r="Y44" s="208" t="str">
        <f ca="1">IFERROR(IF(IFERROR(SEARCH("Прив",Свёртка[[#This Row],[ФСвёртка]]),0)&gt;0,"ошибка",IF(IFERROR(SEARCH("Матр",Свёртка[[#This Row],[ФСвёртка]]),0)&gt;0,"Свёртка","ошибка")),"ошибка")</f>
        <v>ошибка</v>
      </c>
      <c r="Z44" s="208" t="str">
        <f ca="1">IFERROR(IF(LEN((INDIRECT(Свёртка[[#This Row],[СНаименование]],FALSE)))=0,"ошибка",IFERROR(INDIRECT(Свёртка[[#This Row],[СНаименование]],FALSE),"ошибка")),"ошибка")</f>
        <v>ошибка</v>
      </c>
      <c r="AA44"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44" s="212">
        <f ca="1">IF(Свёртка[[#This Row],[ВидСвёртка]]="Свёртка",1,-1)</f>
        <v>-1</v>
      </c>
      <c r="AG44" s="66">
        <f>IF(AND(Множество[[#This Row],[Y]]=1),ROW()-ROW(Множество[[#Headers],[№]]),"")</f>
        <v>35</v>
      </c>
      <c r="AH44" t="s">
        <v>608</v>
      </c>
      <c r="AI44" s="66">
        <v>1</v>
      </c>
      <c r="AJ44" s="66">
        <f>IF(LEN(Множество[[#This Row],[Свёртка]])&gt;0,1,-1)</f>
        <v>1</v>
      </c>
      <c r="AK44" s="66" t="s">
        <v>1781</v>
      </c>
      <c r="AL44" s="66">
        <f>IF(LEN(Множество[[#This Row],[Критерии]])&gt;0,1,-1)</f>
        <v>1</v>
      </c>
      <c r="AM44" s="66">
        <f>IF(AND(LEN(Множество[[#This Row],[Свёртка]])&gt;0,LEN(Множество[[#This Row],[Критерии]])&gt;0,LEN(Множество[[#This Row],[Оценки]])&gt;0),1,-1)</f>
        <v>1</v>
      </c>
      <c r="AN44">
        <v>5.5916666666666703</v>
      </c>
      <c r="AO44">
        <v>-13.5833333333333</v>
      </c>
      <c r="AP44" s="208"/>
      <c r="AQ44" s="208"/>
      <c r="AR44" s="226"/>
      <c r="AS44" s="225"/>
      <c r="AT44" s="226"/>
      <c r="AU44" s="225"/>
      <c r="AV44" s="225"/>
      <c r="AW44" s="225"/>
      <c r="AX44" s="225"/>
      <c r="AY44" s="225"/>
    </row>
    <row r="45" spans="2:51" x14ac:dyDescent="0.25">
      <c r="B45" s="209" t="str">
        <f ca="1">IF(AND(Критерий[[#This Row],[Критерий]]&lt;&gt;"",Критерий[[#This Row],[O.K.Критерий]]=1),ROW()-ROW(Критерий[[#Headers],[№]]),"")</f>
        <v/>
      </c>
      <c r="C45" s="84"/>
      <c r="D45"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45" s="208" t="str">
        <f ca="1">IFERROR(IF(IFERROR(SEARCH("Прив",Критерий[[#This Row],[Фкритерий]]),0)&gt;0,"Критерий",IF(IFERROR(SEARCH("Матр",Критерий[[#This Row],[Фкритерий]]),0)&gt;0,"ошибка","ошибка")),"ошибка")</f>
        <v>ошибка</v>
      </c>
      <c r="F45" s="224" t="str">
        <f ca="1">IFERROR(IF(LEN((INDIRECT(Критерий[[#This Row],[СНаименование]],FALSE)))=0,"ошибка",IFERROR(INDIRECT(Критерий[[#This Row],[СНаименование]],FALSE),"ошибка")),"ошибка")</f>
        <v>ошибка</v>
      </c>
      <c r="G4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45" s="208" t="str">
        <f ca="1">IFERROR(IF(N(INDIRECT(Критерий[[#This Row],[СФизКритерий]],FALSE))=0,"ошибка",IFERROR(INDIRECT(Критерий[[#This Row],[СФизКритерий]],FALSE),"ошибка")),"ошибка")</f>
        <v>ошибка</v>
      </c>
      <c r="I4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45"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4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45" s="208" t="str">
        <f ca="1">IFERROR(_xlfn.FORMULATEXT(INDIRECT(Критерий[[#This Row],[Скритерий]],FALSE)),"ошибка")</f>
        <v>ошибка</v>
      </c>
      <c r="M45" s="208" t="str">
        <f ca="1">IFERROR(IF(N(INDIRECT(Критерий[[#This Row],[СМинФизКритерий]],FALSE))=0,"ошибка",IFERROR(INDIRECT(Критерий[[#This Row],[СМинФизКритерий]],FALSE),"ошибка")),"ошибка")</f>
        <v>ошибка</v>
      </c>
      <c r="N4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45" s="208" t="str">
        <f ca="1">IFERROR(IF(N(INDIRECT(Критерий[[#This Row],[СМаксФизКритерий]],FALSE))=0,"ошибка",IFERROR(INDIRECT(Критерий[[#This Row],[СМаксФизКритерий]],FALSE),"ошибка")),"ошибка")</f>
        <v>ошибка</v>
      </c>
      <c r="P4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45" s="208" t="str">
        <f ca="1">IFERROR(IF(N(INDIRECT(Критерий[[#This Row],[ССрФизКритерий]],FALSE))=0,"ошибка",IFERROR(INDIRECT(Критерий[[#This Row],[ССрФизКритерий]],FALSE),"ошибка")),"")</f>
        <v/>
      </c>
      <c r="R45"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45" s="212">
        <f ca="1">IFERROR(IF(AND(Критерий[[#This Row],[ВидКритерий]]="Критерий",IFERROR(SEARCH("Приведение",Критерий[[#This Row],[Фкритерий]]),0)&gt;0),1,-1),-1)</f>
        <v>-1</v>
      </c>
      <c r="U45" s="222" t="str">
        <f ca="1">IF(AND(Свёртка[[#This Row],[Свёртка]]&lt;&gt;"",Свёртка[[#This Row],[O.K.Свёртка]]=1),ROW()-ROW(Свёртка[[#Headers],[№]]),"")</f>
        <v/>
      </c>
      <c r="V45" s="84"/>
      <c r="W45"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45" s="208" t="str">
        <f ca="1">IFERROR(_xlfn.FORMULATEXT(INDIRECT(Свёртка[[#This Row],[ССвёртка]],FALSE)),"ошибка")</f>
        <v>ошибка</v>
      </c>
      <c r="Y45" s="208" t="str">
        <f ca="1">IFERROR(IF(IFERROR(SEARCH("Прив",Свёртка[[#This Row],[ФСвёртка]]),0)&gt;0,"ошибка",IF(IFERROR(SEARCH("Матр",Свёртка[[#This Row],[ФСвёртка]]),0)&gt;0,"Свёртка","ошибка")),"ошибка")</f>
        <v>ошибка</v>
      </c>
      <c r="Z45" s="208" t="str">
        <f ca="1">IFERROR(IF(LEN((INDIRECT(Свёртка[[#This Row],[СНаименование]],FALSE)))=0,"ошибка",IFERROR(INDIRECT(Свёртка[[#This Row],[СНаименование]],FALSE),"ошибка")),"ошибка")</f>
        <v>ошибка</v>
      </c>
      <c r="AA45"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45" s="212">
        <f ca="1">IF(Свёртка[[#This Row],[ВидСвёртка]]="Свёртка",1,-1)</f>
        <v>-1</v>
      </c>
      <c r="AG45" s="66">
        <f>IF(AND(Множество[[#This Row],[Y]]=1),ROW()-ROW(Множество[[#Headers],[№]]),"")</f>
        <v>36</v>
      </c>
      <c r="AH45" t="s">
        <v>608</v>
      </c>
      <c r="AI45" s="66">
        <v>1</v>
      </c>
      <c r="AJ45" s="66">
        <f>IF(LEN(Множество[[#This Row],[Свёртка]])&gt;0,1,-1)</f>
        <v>1</v>
      </c>
      <c r="AK45" s="66" t="s">
        <v>1781</v>
      </c>
      <c r="AL45" s="66">
        <f>IF(LEN(Множество[[#This Row],[Критерии]])&gt;0,1,-1)</f>
        <v>1</v>
      </c>
      <c r="AM45" s="66">
        <f>IF(AND(LEN(Множество[[#This Row],[Свёртка]])&gt;0,LEN(Множество[[#This Row],[Критерии]])&gt;0,LEN(Множество[[#This Row],[Оценки]])&gt;0),1,-1)</f>
        <v>1</v>
      </c>
      <c r="AN45">
        <v>5.5333333333333297</v>
      </c>
      <c r="AO45">
        <v>-13.6</v>
      </c>
      <c r="AP45" s="208"/>
      <c r="AQ45" s="208"/>
      <c r="AR45" s="226"/>
      <c r="AS45" s="225"/>
      <c r="AT45" s="226"/>
      <c r="AU45" s="225"/>
      <c r="AV45" s="225"/>
      <c r="AW45" s="225"/>
      <c r="AX45" s="225"/>
      <c r="AY45" s="225"/>
    </row>
    <row r="46" spans="2:51" x14ac:dyDescent="0.25">
      <c r="B46" s="209" t="str">
        <f ca="1">IF(AND(Критерий[[#This Row],[Критерий]]&lt;&gt;"",Критерий[[#This Row],[O.K.Критерий]]=1),ROW()-ROW(Критерий[[#Headers],[№]]),"")</f>
        <v/>
      </c>
      <c r="C46" s="84"/>
      <c r="D46"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46" s="208" t="str">
        <f ca="1">IFERROR(IF(IFERROR(SEARCH("Прив",Критерий[[#This Row],[Фкритерий]]),0)&gt;0,"Критерий",IF(IFERROR(SEARCH("Матр",Критерий[[#This Row],[Фкритерий]]),0)&gt;0,"ошибка","ошибка")),"ошибка")</f>
        <v>ошибка</v>
      </c>
      <c r="F46" s="224" t="str">
        <f ca="1">IFERROR(IF(LEN((INDIRECT(Критерий[[#This Row],[СНаименование]],FALSE)))=0,"ошибка",IFERROR(INDIRECT(Критерий[[#This Row],[СНаименование]],FALSE),"ошибка")),"ошибка")</f>
        <v>ошибка</v>
      </c>
      <c r="G4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46" s="208" t="str">
        <f ca="1">IFERROR(IF(N(INDIRECT(Критерий[[#This Row],[СФизКритерий]],FALSE))=0,"ошибка",IFERROR(INDIRECT(Критерий[[#This Row],[СФизКритерий]],FALSE),"ошибка")),"ошибка")</f>
        <v>ошибка</v>
      </c>
      <c r="I4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46"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4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46" s="208" t="str">
        <f ca="1">IFERROR(_xlfn.FORMULATEXT(INDIRECT(Критерий[[#This Row],[Скритерий]],FALSE)),"ошибка")</f>
        <v>ошибка</v>
      </c>
      <c r="M46" s="208" t="str">
        <f ca="1">IFERROR(IF(N(INDIRECT(Критерий[[#This Row],[СМинФизКритерий]],FALSE))=0,"ошибка",IFERROR(INDIRECT(Критерий[[#This Row],[СМинФизКритерий]],FALSE),"ошибка")),"ошибка")</f>
        <v>ошибка</v>
      </c>
      <c r="N4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46" s="208" t="str">
        <f ca="1">IFERROR(IF(N(INDIRECT(Критерий[[#This Row],[СМаксФизКритерий]],FALSE))=0,"ошибка",IFERROR(INDIRECT(Критерий[[#This Row],[СМаксФизКритерий]],FALSE),"ошибка")),"ошибка")</f>
        <v>ошибка</v>
      </c>
      <c r="P4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46" s="208" t="str">
        <f ca="1">IFERROR(IF(N(INDIRECT(Критерий[[#This Row],[ССрФизКритерий]],FALSE))=0,"ошибка",IFERROR(INDIRECT(Критерий[[#This Row],[ССрФизКритерий]],FALSE),"ошибка")),"")</f>
        <v/>
      </c>
      <c r="R46"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46" s="212">
        <f ca="1">IFERROR(IF(AND(Критерий[[#This Row],[ВидКритерий]]="Критерий",IFERROR(SEARCH("Приведение",Критерий[[#This Row],[Фкритерий]]),0)&gt;0),1,-1),-1)</f>
        <v>-1</v>
      </c>
      <c r="U46" s="222" t="str">
        <f ca="1">IF(AND(Свёртка[[#This Row],[Свёртка]]&lt;&gt;"",Свёртка[[#This Row],[O.K.Свёртка]]=1),ROW()-ROW(Свёртка[[#Headers],[№]]),"")</f>
        <v/>
      </c>
      <c r="V46" s="84"/>
      <c r="W46"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46" s="208" t="str">
        <f ca="1">IFERROR(_xlfn.FORMULATEXT(INDIRECT(Свёртка[[#This Row],[ССвёртка]],FALSE)),"ошибка")</f>
        <v>ошибка</v>
      </c>
      <c r="Y46" s="208" t="str">
        <f ca="1">IFERROR(IF(IFERROR(SEARCH("Прив",Свёртка[[#This Row],[ФСвёртка]]),0)&gt;0,"ошибка",IF(IFERROR(SEARCH("Матр",Свёртка[[#This Row],[ФСвёртка]]),0)&gt;0,"Свёртка","ошибка")),"ошибка")</f>
        <v>ошибка</v>
      </c>
      <c r="Z46" s="208" t="str">
        <f ca="1">IFERROR(IF(LEN((INDIRECT(Свёртка[[#This Row],[СНаименование]],FALSE)))=0,"ошибка",IFERROR(INDIRECT(Свёртка[[#This Row],[СНаименование]],FALSE),"ошибка")),"ошибка")</f>
        <v>ошибка</v>
      </c>
      <c r="AA46"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46" s="212">
        <f ca="1">IF(Свёртка[[#This Row],[ВидСвёртка]]="Свёртка",1,-1)</f>
        <v>-1</v>
      </c>
      <c r="AG46" s="66">
        <f>IF(AND(Множество[[#This Row],[Y]]=1),ROW()-ROW(Множество[[#Headers],[№]]),"")</f>
        <v>37</v>
      </c>
      <c r="AH46" t="s">
        <v>608</v>
      </c>
      <c r="AI46" s="66">
        <v>1</v>
      </c>
      <c r="AJ46" s="66">
        <f>IF(LEN(Множество[[#This Row],[Свёртка]])&gt;0,1,-1)</f>
        <v>1</v>
      </c>
      <c r="AK46" s="66" t="s">
        <v>1781</v>
      </c>
      <c r="AL46" s="66">
        <f>IF(LEN(Множество[[#This Row],[Критерии]])&gt;0,1,-1)</f>
        <v>1</v>
      </c>
      <c r="AM46" s="66">
        <f>IF(AND(LEN(Множество[[#This Row],[Свёртка]])&gt;0,LEN(Множество[[#This Row],[Критерии]])&gt;0,LEN(Множество[[#This Row],[Оценки]])&gt;0),1,-1)</f>
        <v>1</v>
      </c>
      <c r="AN46">
        <v>5.4166666666666696</v>
      </c>
      <c r="AO46">
        <v>-13.616666666666699</v>
      </c>
      <c r="AP46" s="208"/>
      <c r="AQ46" s="208"/>
      <c r="AR46" s="226"/>
      <c r="AS46" s="225"/>
      <c r="AT46" s="226"/>
      <c r="AU46" s="225"/>
      <c r="AV46" s="225"/>
      <c r="AW46" s="225"/>
      <c r="AX46" s="225"/>
      <c r="AY46" s="225"/>
    </row>
    <row r="47" spans="2:51" x14ac:dyDescent="0.25">
      <c r="B47" s="209" t="str">
        <f ca="1">IF(AND(Критерий[[#This Row],[Критерий]]&lt;&gt;"",Критерий[[#This Row],[O.K.Критерий]]=1),ROW()-ROW(Критерий[[#Headers],[№]]),"")</f>
        <v/>
      </c>
      <c r="C47" s="84"/>
      <c r="D47"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47" s="208" t="str">
        <f ca="1">IFERROR(IF(IFERROR(SEARCH("Прив",Критерий[[#This Row],[Фкритерий]]),0)&gt;0,"Критерий",IF(IFERROR(SEARCH("Матр",Критерий[[#This Row],[Фкритерий]]),0)&gt;0,"ошибка","ошибка")),"ошибка")</f>
        <v>ошибка</v>
      </c>
      <c r="F47" s="224" t="str">
        <f ca="1">IFERROR(IF(LEN((INDIRECT(Критерий[[#This Row],[СНаименование]],FALSE)))=0,"ошибка",IFERROR(INDIRECT(Критерий[[#This Row],[СНаименование]],FALSE),"ошибка")),"ошибка")</f>
        <v>ошибка</v>
      </c>
      <c r="G4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47" s="208" t="str">
        <f ca="1">IFERROR(IF(N(INDIRECT(Критерий[[#This Row],[СФизКритерий]],FALSE))=0,"ошибка",IFERROR(INDIRECT(Критерий[[#This Row],[СФизКритерий]],FALSE),"ошибка")),"ошибка")</f>
        <v>ошибка</v>
      </c>
      <c r="I4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47"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4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47" s="208" t="str">
        <f ca="1">IFERROR(_xlfn.FORMULATEXT(INDIRECT(Критерий[[#This Row],[Скритерий]],FALSE)),"ошибка")</f>
        <v>ошибка</v>
      </c>
      <c r="M47" s="208" t="str">
        <f ca="1">IFERROR(IF(N(INDIRECT(Критерий[[#This Row],[СМинФизКритерий]],FALSE))=0,"ошибка",IFERROR(INDIRECT(Критерий[[#This Row],[СМинФизКритерий]],FALSE),"ошибка")),"ошибка")</f>
        <v>ошибка</v>
      </c>
      <c r="N4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47" s="208" t="str">
        <f ca="1">IFERROR(IF(N(INDIRECT(Критерий[[#This Row],[СМаксФизКритерий]],FALSE))=0,"ошибка",IFERROR(INDIRECT(Критерий[[#This Row],[СМаксФизКритерий]],FALSE),"ошибка")),"ошибка")</f>
        <v>ошибка</v>
      </c>
      <c r="P4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47" s="208" t="str">
        <f ca="1">IFERROR(IF(N(INDIRECT(Критерий[[#This Row],[ССрФизКритерий]],FALSE))=0,"ошибка",IFERROR(INDIRECT(Критерий[[#This Row],[ССрФизКритерий]],FALSE),"ошибка")),"")</f>
        <v/>
      </c>
      <c r="R47"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47" s="212">
        <f ca="1">IFERROR(IF(AND(Критерий[[#This Row],[ВидКритерий]]="Критерий",IFERROR(SEARCH("Приведение",Критерий[[#This Row],[Фкритерий]]),0)&gt;0),1,-1),-1)</f>
        <v>-1</v>
      </c>
      <c r="U47" s="222" t="str">
        <f ca="1">IF(AND(Свёртка[[#This Row],[Свёртка]]&lt;&gt;"",Свёртка[[#This Row],[O.K.Свёртка]]=1),ROW()-ROW(Свёртка[[#Headers],[№]]),"")</f>
        <v/>
      </c>
      <c r="V47" s="84"/>
      <c r="W47"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47" s="208" t="str">
        <f ca="1">IFERROR(_xlfn.FORMULATEXT(INDIRECT(Свёртка[[#This Row],[ССвёртка]],FALSE)),"ошибка")</f>
        <v>ошибка</v>
      </c>
      <c r="Y47" s="208" t="str">
        <f ca="1">IFERROR(IF(IFERROR(SEARCH("Прив",Свёртка[[#This Row],[ФСвёртка]]),0)&gt;0,"ошибка",IF(IFERROR(SEARCH("Матр",Свёртка[[#This Row],[ФСвёртка]]),0)&gt;0,"Свёртка","ошибка")),"ошибка")</f>
        <v>ошибка</v>
      </c>
      <c r="Z47" s="208" t="str">
        <f ca="1">IFERROR(IF(LEN((INDIRECT(Свёртка[[#This Row],[СНаименование]],FALSE)))=0,"ошибка",IFERROR(INDIRECT(Свёртка[[#This Row],[СНаименование]],FALSE),"ошибка")),"ошибка")</f>
        <v>ошибка</v>
      </c>
      <c r="AA47"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47" s="212">
        <f ca="1">IF(Свёртка[[#This Row],[ВидСвёртка]]="Свёртка",1,-1)</f>
        <v>-1</v>
      </c>
      <c r="AG47" s="66">
        <f>IF(AND(Множество[[#This Row],[Y]]=1),ROW()-ROW(Множество[[#Headers],[№]]),"")</f>
        <v>38</v>
      </c>
      <c r="AH47" t="s">
        <v>608</v>
      </c>
      <c r="AI47" s="66">
        <v>1</v>
      </c>
      <c r="AJ47" s="66">
        <f>IF(LEN(Множество[[#This Row],[Свёртка]])&gt;0,1,-1)</f>
        <v>1</v>
      </c>
      <c r="AK47" s="66" t="s">
        <v>1781</v>
      </c>
      <c r="AL47" s="66">
        <f>IF(LEN(Множество[[#This Row],[Критерии]])&gt;0,1,-1)</f>
        <v>1</v>
      </c>
      <c r="AM47" s="66">
        <f>IF(AND(LEN(Множество[[#This Row],[Свёртка]])&gt;0,LEN(Множество[[#This Row],[Критерии]])&gt;0,LEN(Множество[[#This Row],[Оценки]])&gt;0),1,-1)</f>
        <v>1</v>
      </c>
      <c r="AN47">
        <v>5.4749999999999996</v>
      </c>
      <c r="AO47">
        <v>-13.6</v>
      </c>
      <c r="AP47" s="208"/>
      <c r="AQ47" s="208"/>
      <c r="AR47" s="226"/>
      <c r="AS47" s="225"/>
      <c r="AT47" s="226"/>
      <c r="AU47" s="225"/>
      <c r="AV47" s="225"/>
      <c r="AW47" s="225"/>
      <c r="AX47" s="225"/>
      <c r="AY47" s="225"/>
    </row>
    <row r="48" spans="2:51" x14ac:dyDescent="0.25">
      <c r="B48" s="209" t="str">
        <f ca="1">IF(AND(Критерий[[#This Row],[Критерий]]&lt;&gt;"",Критерий[[#This Row],[O.K.Критерий]]=1),ROW()-ROW(Критерий[[#Headers],[№]]),"")</f>
        <v/>
      </c>
      <c r="C48" s="84"/>
      <c r="D48"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48" s="208" t="str">
        <f ca="1">IFERROR(IF(IFERROR(SEARCH("Прив",Критерий[[#This Row],[Фкритерий]]),0)&gt;0,"Критерий",IF(IFERROR(SEARCH("Матр",Критерий[[#This Row],[Фкритерий]]),0)&gt;0,"ошибка","ошибка")),"ошибка")</f>
        <v>ошибка</v>
      </c>
      <c r="F48" s="224" t="str">
        <f ca="1">IFERROR(IF(LEN((INDIRECT(Критерий[[#This Row],[СНаименование]],FALSE)))=0,"ошибка",IFERROR(INDIRECT(Критерий[[#This Row],[СНаименование]],FALSE),"ошибка")),"ошибка")</f>
        <v>ошибка</v>
      </c>
      <c r="G4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48" s="208" t="str">
        <f ca="1">IFERROR(IF(N(INDIRECT(Критерий[[#This Row],[СФизКритерий]],FALSE))=0,"ошибка",IFERROR(INDIRECT(Критерий[[#This Row],[СФизКритерий]],FALSE),"ошибка")),"ошибка")</f>
        <v>ошибка</v>
      </c>
      <c r="I4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48"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4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48" s="208" t="str">
        <f ca="1">IFERROR(_xlfn.FORMULATEXT(INDIRECT(Критерий[[#This Row],[Скритерий]],FALSE)),"ошибка")</f>
        <v>ошибка</v>
      </c>
      <c r="M48" s="208" t="str">
        <f ca="1">IFERROR(IF(N(INDIRECT(Критерий[[#This Row],[СМинФизКритерий]],FALSE))=0,"ошибка",IFERROR(INDIRECT(Критерий[[#This Row],[СМинФизКритерий]],FALSE),"ошибка")),"ошибка")</f>
        <v>ошибка</v>
      </c>
      <c r="N4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48" s="208" t="str">
        <f ca="1">IFERROR(IF(N(INDIRECT(Критерий[[#This Row],[СМаксФизКритерий]],FALSE))=0,"ошибка",IFERROR(INDIRECT(Критерий[[#This Row],[СМаксФизКритерий]],FALSE),"ошибка")),"ошибка")</f>
        <v>ошибка</v>
      </c>
      <c r="P4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48" s="208" t="str">
        <f ca="1">IFERROR(IF(N(INDIRECT(Критерий[[#This Row],[ССрФизКритерий]],FALSE))=0,"ошибка",IFERROR(INDIRECT(Критерий[[#This Row],[ССрФизКритерий]],FALSE),"ошибка")),"")</f>
        <v/>
      </c>
      <c r="R48"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48" s="212">
        <f ca="1">IFERROR(IF(AND(Критерий[[#This Row],[ВидКритерий]]="Критерий",IFERROR(SEARCH("Приведение",Критерий[[#This Row],[Фкритерий]]),0)&gt;0),1,-1),-1)</f>
        <v>-1</v>
      </c>
      <c r="U48" s="222" t="str">
        <f ca="1">IF(AND(Свёртка[[#This Row],[Свёртка]]&lt;&gt;"",Свёртка[[#This Row],[O.K.Свёртка]]=1),ROW()-ROW(Свёртка[[#Headers],[№]]),"")</f>
        <v/>
      </c>
      <c r="V48" s="84"/>
      <c r="W48"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48" s="208" t="str">
        <f ca="1">IFERROR(_xlfn.FORMULATEXT(INDIRECT(Свёртка[[#This Row],[ССвёртка]],FALSE)),"ошибка")</f>
        <v>ошибка</v>
      </c>
      <c r="Y48" s="208" t="str">
        <f ca="1">IFERROR(IF(IFERROR(SEARCH("Прив",Свёртка[[#This Row],[ФСвёртка]]),0)&gt;0,"ошибка",IF(IFERROR(SEARCH("Матр",Свёртка[[#This Row],[ФСвёртка]]),0)&gt;0,"Свёртка","ошибка")),"ошибка")</f>
        <v>ошибка</v>
      </c>
      <c r="Z48" s="208" t="str">
        <f ca="1">IFERROR(IF(LEN((INDIRECT(Свёртка[[#This Row],[СНаименование]],FALSE)))=0,"ошибка",IFERROR(INDIRECT(Свёртка[[#This Row],[СНаименование]],FALSE),"ошибка")),"ошибка")</f>
        <v>ошибка</v>
      </c>
      <c r="AA48"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48" s="212">
        <f ca="1">IF(Свёртка[[#This Row],[ВидСвёртка]]="Свёртка",1,-1)</f>
        <v>-1</v>
      </c>
      <c r="AG48" s="66">
        <f>IF(AND(Множество[[#This Row],[Y]]=1),ROW()-ROW(Множество[[#Headers],[№]]),"")</f>
        <v>39</v>
      </c>
      <c r="AH48" t="s">
        <v>608</v>
      </c>
      <c r="AI48" s="66">
        <v>1</v>
      </c>
      <c r="AJ48" s="66">
        <f>IF(LEN(Множество[[#This Row],[Свёртка]])&gt;0,1,-1)</f>
        <v>1</v>
      </c>
      <c r="AK48" s="66" t="s">
        <v>1781</v>
      </c>
      <c r="AL48" s="66">
        <f>IF(LEN(Множество[[#This Row],[Критерии]])&gt;0,1,-1)</f>
        <v>1</v>
      </c>
      <c r="AM48" s="66">
        <f>IF(AND(LEN(Множество[[#This Row],[Свёртка]])&gt;0,LEN(Множество[[#This Row],[Критерии]])&gt;0,LEN(Множество[[#This Row],[Оценки]])&gt;0),1,-1)</f>
        <v>1</v>
      </c>
      <c r="AN48">
        <v>5.3583333333333298</v>
      </c>
      <c r="AO48">
        <v>-13.633333333333301</v>
      </c>
      <c r="AP48" s="208"/>
      <c r="AQ48" s="208"/>
      <c r="AR48" s="226"/>
      <c r="AS48" s="225"/>
      <c r="AT48" s="226"/>
      <c r="AU48" s="225"/>
      <c r="AV48" s="225"/>
      <c r="AW48" s="225"/>
      <c r="AX48" s="225"/>
      <c r="AY48" s="225"/>
    </row>
    <row r="49" spans="2:51" x14ac:dyDescent="0.25">
      <c r="B49" s="209" t="str">
        <f ca="1">IF(AND(Критерий[[#This Row],[Критерий]]&lt;&gt;"",Критерий[[#This Row],[O.K.Критерий]]=1),ROW()-ROW(Критерий[[#Headers],[№]]),"")</f>
        <v/>
      </c>
      <c r="C49" s="84"/>
      <c r="D49"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49" s="208" t="str">
        <f ca="1">IFERROR(IF(IFERROR(SEARCH("Прив",Критерий[[#This Row],[Фкритерий]]),0)&gt;0,"Критерий",IF(IFERROR(SEARCH("Матр",Критерий[[#This Row],[Фкритерий]]),0)&gt;0,"ошибка","ошибка")),"ошибка")</f>
        <v>ошибка</v>
      </c>
      <c r="F49" s="224" t="str">
        <f ca="1">IFERROR(IF(LEN((INDIRECT(Критерий[[#This Row],[СНаименование]],FALSE)))=0,"ошибка",IFERROR(INDIRECT(Критерий[[#This Row],[СНаименование]],FALSE),"ошибка")),"ошибка")</f>
        <v>ошибка</v>
      </c>
      <c r="G4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49" s="208" t="str">
        <f ca="1">IFERROR(IF(N(INDIRECT(Критерий[[#This Row],[СФизКритерий]],FALSE))=0,"ошибка",IFERROR(INDIRECT(Критерий[[#This Row],[СФизКритерий]],FALSE),"ошибка")),"ошибка")</f>
        <v>ошибка</v>
      </c>
      <c r="I4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49"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4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49" s="208" t="str">
        <f ca="1">IFERROR(_xlfn.FORMULATEXT(INDIRECT(Критерий[[#This Row],[Скритерий]],FALSE)),"ошибка")</f>
        <v>ошибка</v>
      </c>
      <c r="M49" s="208" t="str">
        <f ca="1">IFERROR(IF(N(INDIRECT(Критерий[[#This Row],[СМинФизКритерий]],FALSE))=0,"ошибка",IFERROR(INDIRECT(Критерий[[#This Row],[СМинФизКритерий]],FALSE),"ошибка")),"ошибка")</f>
        <v>ошибка</v>
      </c>
      <c r="N4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49" s="208" t="str">
        <f ca="1">IFERROR(IF(N(INDIRECT(Критерий[[#This Row],[СМаксФизКритерий]],FALSE))=0,"ошибка",IFERROR(INDIRECT(Критерий[[#This Row],[СМаксФизКритерий]],FALSE),"ошибка")),"ошибка")</f>
        <v>ошибка</v>
      </c>
      <c r="P4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49" s="208" t="str">
        <f ca="1">IFERROR(IF(N(INDIRECT(Критерий[[#This Row],[ССрФизКритерий]],FALSE))=0,"ошибка",IFERROR(INDIRECT(Критерий[[#This Row],[ССрФизКритерий]],FALSE),"ошибка")),"")</f>
        <v/>
      </c>
      <c r="R49"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49" s="212">
        <f ca="1">IFERROR(IF(AND(Критерий[[#This Row],[ВидКритерий]]="Критерий",IFERROR(SEARCH("Приведение",Критерий[[#This Row],[Фкритерий]]),0)&gt;0),1,-1),-1)</f>
        <v>-1</v>
      </c>
      <c r="U49" s="222" t="str">
        <f ca="1">IF(AND(Свёртка[[#This Row],[Свёртка]]&lt;&gt;"",Свёртка[[#This Row],[O.K.Свёртка]]=1),ROW()-ROW(Свёртка[[#Headers],[№]]),"")</f>
        <v/>
      </c>
      <c r="V49" s="84"/>
      <c r="W49"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49" s="208" t="str">
        <f ca="1">IFERROR(_xlfn.FORMULATEXT(INDIRECT(Свёртка[[#This Row],[ССвёртка]],FALSE)),"ошибка")</f>
        <v>ошибка</v>
      </c>
      <c r="Y49" s="208" t="str">
        <f ca="1">IFERROR(IF(IFERROR(SEARCH("Прив",Свёртка[[#This Row],[ФСвёртка]]),0)&gt;0,"ошибка",IF(IFERROR(SEARCH("Матр",Свёртка[[#This Row],[ФСвёртка]]),0)&gt;0,"Свёртка","ошибка")),"ошибка")</f>
        <v>ошибка</v>
      </c>
      <c r="Z49" s="208" t="str">
        <f ca="1">IFERROR(IF(LEN((INDIRECT(Свёртка[[#This Row],[СНаименование]],FALSE)))=0,"ошибка",IFERROR(INDIRECT(Свёртка[[#This Row],[СНаименование]],FALSE),"ошибка")),"ошибка")</f>
        <v>ошибка</v>
      </c>
      <c r="AA49"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49" s="212">
        <f ca="1">IF(Свёртка[[#This Row],[ВидСвёртка]]="Свёртка",1,-1)</f>
        <v>-1</v>
      </c>
      <c r="AG49" s="66">
        <f>IF(AND(Множество[[#This Row],[Y]]=1),ROW()-ROW(Множество[[#Headers],[№]]),"")</f>
        <v>40</v>
      </c>
      <c r="AH49" t="s">
        <v>608</v>
      </c>
      <c r="AI49" s="66">
        <v>1</v>
      </c>
      <c r="AJ49" s="66">
        <f>IF(LEN(Множество[[#This Row],[Свёртка]])&gt;0,1,-1)</f>
        <v>1</v>
      </c>
      <c r="AK49" s="66" t="s">
        <v>1781</v>
      </c>
      <c r="AL49" s="66">
        <f>IF(LEN(Множество[[#This Row],[Критерии]])&gt;0,1,-1)</f>
        <v>1</v>
      </c>
      <c r="AM49" s="66">
        <f>IF(AND(LEN(Множество[[#This Row],[Свёртка]])&gt;0,LEN(Множество[[#This Row],[Критерии]])&gt;0,LEN(Множество[[#This Row],[Оценки]])&gt;0),1,-1)</f>
        <v>1</v>
      </c>
      <c r="AN49">
        <v>5.3</v>
      </c>
      <c r="AO49">
        <v>-13.65</v>
      </c>
      <c r="AP49" s="208"/>
      <c r="AQ49" s="208"/>
      <c r="AR49" s="226"/>
      <c r="AS49" s="225"/>
      <c r="AT49" s="226"/>
      <c r="AU49" s="225"/>
      <c r="AV49" s="225"/>
      <c r="AW49" s="225"/>
      <c r="AX49" s="225"/>
      <c r="AY49" s="225"/>
    </row>
    <row r="50" spans="2:51" x14ac:dyDescent="0.25">
      <c r="B50" s="209" t="str">
        <f ca="1">IF(AND(Критерий[[#This Row],[Критерий]]&lt;&gt;"",Критерий[[#This Row],[O.K.Критерий]]=1),ROW()-ROW(Критерий[[#Headers],[№]]),"")</f>
        <v/>
      </c>
      <c r="C50" s="84"/>
      <c r="D50"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50" s="208" t="str">
        <f ca="1">IFERROR(IF(IFERROR(SEARCH("Прив",Критерий[[#This Row],[Фкритерий]]),0)&gt;0,"Критерий",IF(IFERROR(SEARCH("Матр",Критерий[[#This Row],[Фкритерий]]),0)&gt;0,"ошибка","ошибка")),"ошибка")</f>
        <v>ошибка</v>
      </c>
      <c r="F50" s="224" t="str">
        <f ca="1">IFERROR(IF(LEN((INDIRECT(Критерий[[#This Row],[СНаименование]],FALSE)))=0,"ошибка",IFERROR(INDIRECT(Критерий[[#This Row],[СНаименование]],FALSE),"ошибка")),"ошибка")</f>
        <v>ошибка</v>
      </c>
      <c r="G5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50" s="208" t="str">
        <f ca="1">IFERROR(IF(N(INDIRECT(Критерий[[#This Row],[СФизКритерий]],FALSE))=0,"ошибка",IFERROR(INDIRECT(Критерий[[#This Row],[СФизКритерий]],FALSE),"ошибка")),"ошибка")</f>
        <v>ошибка</v>
      </c>
      <c r="I5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50"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5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50" s="208" t="str">
        <f ca="1">IFERROR(_xlfn.FORMULATEXT(INDIRECT(Критерий[[#This Row],[Скритерий]],FALSE)),"ошибка")</f>
        <v>ошибка</v>
      </c>
      <c r="M50" s="208" t="str">
        <f ca="1">IFERROR(IF(N(INDIRECT(Критерий[[#This Row],[СМинФизКритерий]],FALSE))=0,"ошибка",IFERROR(INDIRECT(Критерий[[#This Row],[СМинФизКритерий]],FALSE),"ошибка")),"ошибка")</f>
        <v>ошибка</v>
      </c>
      <c r="N5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50" s="208" t="str">
        <f ca="1">IFERROR(IF(N(INDIRECT(Критерий[[#This Row],[СМаксФизКритерий]],FALSE))=0,"ошибка",IFERROR(INDIRECT(Критерий[[#This Row],[СМаксФизКритерий]],FALSE),"ошибка")),"ошибка")</f>
        <v>ошибка</v>
      </c>
      <c r="P5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50" s="208" t="str">
        <f ca="1">IFERROR(IF(N(INDIRECT(Критерий[[#This Row],[ССрФизКритерий]],FALSE))=0,"ошибка",IFERROR(INDIRECT(Критерий[[#This Row],[ССрФизКритерий]],FALSE),"ошибка")),"")</f>
        <v/>
      </c>
      <c r="R50"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50" s="212">
        <f ca="1">IFERROR(IF(AND(Критерий[[#This Row],[ВидКритерий]]="Критерий",IFERROR(SEARCH("Приведение",Критерий[[#This Row],[Фкритерий]]),0)&gt;0),1,-1),-1)</f>
        <v>-1</v>
      </c>
      <c r="U50" s="222" t="str">
        <f ca="1">IF(AND(Свёртка[[#This Row],[Свёртка]]&lt;&gt;"",Свёртка[[#This Row],[O.K.Свёртка]]=1),ROW()-ROW(Свёртка[[#Headers],[№]]),"")</f>
        <v/>
      </c>
      <c r="V50" s="84"/>
      <c r="W50"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50" s="208" t="str">
        <f ca="1">IFERROR(_xlfn.FORMULATEXT(INDIRECT(Свёртка[[#This Row],[ССвёртка]],FALSE)),"ошибка")</f>
        <v>ошибка</v>
      </c>
      <c r="Y50" s="208" t="str">
        <f ca="1">IFERROR(IF(IFERROR(SEARCH("Прив",Свёртка[[#This Row],[ФСвёртка]]),0)&gt;0,"ошибка",IF(IFERROR(SEARCH("Матр",Свёртка[[#This Row],[ФСвёртка]]),0)&gt;0,"Свёртка","ошибка")),"ошибка")</f>
        <v>ошибка</v>
      </c>
      <c r="Z50" s="208" t="str">
        <f ca="1">IFERROR(IF(LEN((INDIRECT(Свёртка[[#This Row],[СНаименование]],FALSE)))=0,"ошибка",IFERROR(INDIRECT(Свёртка[[#This Row],[СНаименование]],FALSE),"ошибка")),"ошибка")</f>
        <v>ошибка</v>
      </c>
      <c r="AA50"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50" s="212">
        <f ca="1">IF(Свёртка[[#This Row],[ВидСвёртка]]="Свёртка",1,-1)</f>
        <v>-1</v>
      </c>
      <c r="AG50" s="66">
        <f>IF(AND(Множество[[#This Row],[Y]]=1),ROW()-ROW(Множество[[#Headers],[№]]),"")</f>
        <v>41</v>
      </c>
      <c r="AH50" t="s">
        <v>608</v>
      </c>
      <c r="AI50" s="66">
        <v>1</v>
      </c>
      <c r="AJ50" s="66">
        <f>IF(LEN(Множество[[#This Row],[Свёртка]])&gt;0,1,-1)</f>
        <v>1</v>
      </c>
      <c r="AK50" s="66" t="s">
        <v>1781</v>
      </c>
      <c r="AL50" s="66">
        <f>IF(LEN(Множество[[#This Row],[Критерии]])&gt;0,1,-1)</f>
        <v>1</v>
      </c>
      <c r="AM50" s="66">
        <f>IF(AND(LEN(Множество[[#This Row],[Свёртка]])&gt;0,LEN(Множество[[#This Row],[Критерии]])&gt;0,LEN(Множество[[#This Row],[Оценки]])&gt;0),1,-1)</f>
        <v>1</v>
      </c>
      <c r="AN50">
        <v>5.18333333333333</v>
      </c>
      <c r="AO50">
        <v>-13.6666666666667</v>
      </c>
      <c r="AP50" s="208"/>
      <c r="AQ50" s="208"/>
      <c r="AR50" s="226"/>
      <c r="AS50" s="225"/>
      <c r="AT50" s="226"/>
      <c r="AU50" s="225"/>
      <c r="AV50" s="225"/>
      <c r="AW50" s="225"/>
      <c r="AX50" s="225"/>
      <c r="AY50" s="225"/>
    </row>
    <row r="51" spans="2:51" x14ac:dyDescent="0.25">
      <c r="B51" s="209" t="str">
        <f ca="1">IF(AND(Критерий[[#This Row],[Критерий]]&lt;&gt;"",Критерий[[#This Row],[O.K.Критерий]]=1),ROW()-ROW(Критерий[[#Headers],[№]]),"")</f>
        <v/>
      </c>
      <c r="C51" s="84"/>
      <c r="D51"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51" s="208" t="str">
        <f ca="1">IFERROR(IF(IFERROR(SEARCH("Прив",Критерий[[#This Row],[Фкритерий]]),0)&gt;0,"Критерий",IF(IFERROR(SEARCH("Матр",Критерий[[#This Row],[Фкритерий]]),0)&gt;0,"ошибка","ошибка")),"ошибка")</f>
        <v>ошибка</v>
      </c>
      <c r="F51" s="224" t="str">
        <f ca="1">IFERROR(IF(LEN((INDIRECT(Критерий[[#This Row],[СНаименование]],FALSE)))=0,"ошибка",IFERROR(INDIRECT(Критерий[[#This Row],[СНаименование]],FALSE),"ошибка")),"ошибка")</f>
        <v>ошибка</v>
      </c>
      <c r="G5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51" s="208" t="str">
        <f ca="1">IFERROR(IF(N(INDIRECT(Критерий[[#This Row],[СФизКритерий]],FALSE))=0,"ошибка",IFERROR(INDIRECT(Критерий[[#This Row],[СФизКритерий]],FALSE),"ошибка")),"ошибка")</f>
        <v>ошибка</v>
      </c>
      <c r="I5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51"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5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51" s="208" t="str">
        <f ca="1">IFERROR(_xlfn.FORMULATEXT(INDIRECT(Критерий[[#This Row],[Скритерий]],FALSE)),"ошибка")</f>
        <v>ошибка</v>
      </c>
      <c r="M51" s="208" t="str">
        <f ca="1">IFERROR(IF(N(INDIRECT(Критерий[[#This Row],[СМинФизКритерий]],FALSE))=0,"ошибка",IFERROR(INDIRECT(Критерий[[#This Row],[СМинФизКритерий]],FALSE),"ошибка")),"ошибка")</f>
        <v>ошибка</v>
      </c>
      <c r="N5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51" s="208" t="str">
        <f ca="1">IFERROR(IF(N(INDIRECT(Критерий[[#This Row],[СМаксФизКритерий]],FALSE))=0,"ошибка",IFERROR(INDIRECT(Критерий[[#This Row],[СМаксФизКритерий]],FALSE),"ошибка")),"ошибка")</f>
        <v>ошибка</v>
      </c>
      <c r="P5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51" s="208" t="str">
        <f ca="1">IFERROR(IF(N(INDIRECT(Критерий[[#This Row],[ССрФизКритерий]],FALSE))=0,"ошибка",IFERROR(INDIRECT(Критерий[[#This Row],[ССрФизКритерий]],FALSE),"ошибка")),"")</f>
        <v/>
      </c>
      <c r="R51"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51" s="212">
        <f ca="1">IFERROR(IF(AND(Критерий[[#This Row],[ВидКритерий]]="Критерий",IFERROR(SEARCH("Приведение",Критерий[[#This Row],[Фкритерий]]),0)&gt;0),1,-1),-1)</f>
        <v>-1</v>
      </c>
      <c r="U51" s="222" t="str">
        <f ca="1">IF(AND(Свёртка[[#This Row],[Свёртка]]&lt;&gt;"",Свёртка[[#This Row],[O.K.Свёртка]]=1),ROW()-ROW(Свёртка[[#Headers],[№]]),"")</f>
        <v/>
      </c>
      <c r="V51" s="84"/>
      <c r="W51"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51" s="208" t="str">
        <f ca="1">IFERROR(_xlfn.FORMULATEXT(INDIRECT(Свёртка[[#This Row],[ССвёртка]],FALSE)),"ошибка")</f>
        <v>ошибка</v>
      </c>
      <c r="Y51" s="208" t="str">
        <f ca="1">IFERROR(IF(IFERROR(SEARCH("Прив",Свёртка[[#This Row],[ФСвёртка]]),0)&gt;0,"ошибка",IF(IFERROR(SEARCH("Матр",Свёртка[[#This Row],[ФСвёртка]]),0)&gt;0,"Свёртка","ошибка")),"ошибка")</f>
        <v>ошибка</v>
      </c>
      <c r="Z51" s="208" t="str">
        <f ca="1">IFERROR(IF(LEN((INDIRECT(Свёртка[[#This Row],[СНаименование]],FALSE)))=0,"ошибка",IFERROR(INDIRECT(Свёртка[[#This Row],[СНаименование]],FALSE),"ошибка")),"ошибка")</f>
        <v>ошибка</v>
      </c>
      <c r="AA51"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51" s="212">
        <f ca="1">IF(Свёртка[[#This Row],[ВидСвёртка]]="Свёртка",1,-1)</f>
        <v>-1</v>
      </c>
      <c r="AG51" s="66">
        <f>IF(AND(Множество[[#This Row],[Y]]=1),ROW()-ROW(Множество[[#Headers],[№]]),"")</f>
        <v>42</v>
      </c>
      <c r="AH51" t="s">
        <v>608</v>
      </c>
      <c r="AI51" s="66">
        <v>1</v>
      </c>
      <c r="AJ51" s="66">
        <f>IF(LEN(Множество[[#This Row],[Свёртка]])&gt;0,1,-1)</f>
        <v>1</v>
      </c>
      <c r="AK51" s="66" t="s">
        <v>1781</v>
      </c>
      <c r="AL51" s="66">
        <f>IF(LEN(Множество[[#This Row],[Критерии]])&gt;0,1,-1)</f>
        <v>1</v>
      </c>
      <c r="AM51" s="66">
        <f>IF(AND(LEN(Множество[[#This Row],[Свёртка]])&gt;0,LEN(Множество[[#This Row],[Критерии]])&gt;0,LEN(Множество[[#This Row],[Оценки]])&gt;0),1,-1)</f>
        <v>1</v>
      </c>
      <c r="AN51">
        <v>5.125</v>
      </c>
      <c r="AO51">
        <v>-13.6833333333333</v>
      </c>
      <c r="AP51" s="208"/>
      <c r="AQ51" s="208"/>
      <c r="AR51" s="226"/>
      <c r="AS51" s="225"/>
      <c r="AT51" s="226"/>
      <c r="AU51" s="225"/>
      <c r="AV51" s="225"/>
      <c r="AW51" s="225"/>
      <c r="AX51" s="225"/>
      <c r="AY51" s="225"/>
    </row>
    <row r="52" spans="2:51" x14ac:dyDescent="0.25">
      <c r="B52" s="209" t="str">
        <f ca="1">IF(AND(Критерий[[#This Row],[Критерий]]&lt;&gt;"",Критерий[[#This Row],[O.K.Критерий]]=1),ROW()-ROW(Критерий[[#Headers],[№]]),"")</f>
        <v/>
      </c>
      <c r="C52" s="84"/>
      <c r="D52"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52" s="208" t="str">
        <f ca="1">IFERROR(IF(IFERROR(SEARCH("Прив",Критерий[[#This Row],[Фкритерий]]),0)&gt;0,"Критерий",IF(IFERROR(SEARCH("Матр",Критерий[[#This Row],[Фкритерий]]),0)&gt;0,"ошибка","ошибка")),"ошибка")</f>
        <v>ошибка</v>
      </c>
      <c r="F52" s="224" t="str">
        <f ca="1">IFERROR(IF(LEN((INDIRECT(Критерий[[#This Row],[СНаименование]],FALSE)))=0,"ошибка",IFERROR(INDIRECT(Критерий[[#This Row],[СНаименование]],FALSE),"ошибка")),"ошибка")</f>
        <v>ошибка</v>
      </c>
      <c r="G5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52" s="208" t="str">
        <f ca="1">IFERROR(IF(N(INDIRECT(Критерий[[#This Row],[СФизКритерий]],FALSE))=0,"ошибка",IFERROR(INDIRECT(Критерий[[#This Row],[СФизКритерий]],FALSE),"ошибка")),"ошибка")</f>
        <v>ошибка</v>
      </c>
      <c r="I5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52"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5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52" s="208" t="str">
        <f ca="1">IFERROR(_xlfn.FORMULATEXT(INDIRECT(Критерий[[#This Row],[Скритерий]],FALSE)),"ошибка")</f>
        <v>ошибка</v>
      </c>
      <c r="M52" s="208" t="str">
        <f ca="1">IFERROR(IF(N(INDIRECT(Критерий[[#This Row],[СМинФизКритерий]],FALSE))=0,"ошибка",IFERROR(INDIRECT(Критерий[[#This Row],[СМинФизКритерий]],FALSE),"ошибка")),"ошибка")</f>
        <v>ошибка</v>
      </c>
      <c r="N5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52" s="208" t="str">
        <f ca="1">IFERROR(IF(N(INDIRECT(Критерий[[#This Row],[СМаксФизКритерий]],FALSE))=0,"ошибка",IFERROR(INDIRECT(Критерий[[#This Row],[СМаксФизКритерий]],FALSE),"ошибка")),"ошибка")</f>
        <v>ошибка</v>
      </c>
      <c r="P5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52" s="208" t="str">
        <f ca="1">IFERROR(IF(N(INDIRECT(Критерий[[#This Row],[ССрФизКритерий]],FALSE))=0,"ошибка",IFERROR(INDIRECT(Критерий[[#This Row],[ССрФизКритерий]],FALSE),"ошибка")),"")</f>
        <v/>
      </c>
      <c r="R52"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52" s="212">
        <f ca="1">IFERROR(IF(AND(Критерий[[#This Row],[ВидКритерий]]="Критерий",IFERROR(SEARCH("Приведение",Критерий[[#This Row],[Фкритерий]]),0)&gt;0),1,-1),-1)</f>
        <v>-1</v>
      </c>
      <c r="U52" s="222" t="str">
        <f ca="1">IF(AND(Свёртка[[#This Row],[Свёртка]]&lt;&gt;"",Свёртка[[#This Row],[O.K.Свёртка]]=1),ROW()-ROW(Свёртка[[#Headers],[№]]),"")</f>
        <v/>
      </c>
      <c r="V52" s="84"/>
      <c r="W52"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52" s="208" t="str">
        <f ca="1">IFERROR(_xlfn.FORMULATEXT(INDIRECT(Свёртка[[#This Row],[ССвёртка]],FALSE)),"ошибка")</f>
        <v>ошибка</v>
      </c>
      <c r="Y52" s="208" t="str">
        <f ca="1">IFERROR(IF(IFERROR(SEARCH("Прив",Свёртка[[#This Row],[ФСвёртка]]),0)&gt;0,"ошибка",IF(IFERROR(SEARCH("Матр",Свёртка[[#This Row],[ФСвёртка]]),0)&gt;0,"Свёртка","ошибка")),"ошибка")</f>
        <v>ошибка</v>
      </c>
      <c r="Z52" s="208" t="str">
        <f ca="1">IFERROR(IF(LEN((INDIRECT(Свёртка[[#This Row],[СНаименование]],FALSE)))=0,"ошибка",IFERROR(INDIRECT(Свёртка[[#This Row],[СНаименование]],FALSE),"ошибка")),"ошибка")</f>
        <v>ошибка</v>
      </c>
      <c r="AA52"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52" s="212">
        <f ca="1">IF(Свёртка[[#This Row],[ВидСвёртка]]="Свёртка",1,-1)</f>
        <v>-1</v>
      </c>
      <c r="AG52" s="66">
        <f>IF(AND(Множество[[#This Row],[Y]]=1),ROW()-ROW(Множество[[#Headers],[№]]),"")</f>
        <v>43</v>
      </c>
      <c r="AH52" t="s">
        <v>608</v>
      </c>
      <c r="AI52" s="66">
        <v>1</v>
      </c>
      <c r="AJ52" s="66">
        <f>IF(LEN(Множество[[#This Row],[Свёртка]])&gt;0,1,-1)</f>
        <v>1</v>
      </c>
      <c r="AK52" s="66" t="s">
        <v>1781</v>
      </c>
      <c r="AL52" s="66">
        <f>IF(LEN(Множество[[#This Row],[Критерии]])&gt;0,1,-1)</f>
        <v>1</v>
      </c>
      <c r="AM52" s="66">
        <f>IF(AND(LEN(Множество[[#This Row],[Свёртка]])&gt;0,LEN(Множество[[#This Row],[Критерии]])&gt;0,LEN(Множество[[#This Row],[Оценки]])&gt;0),1,-1)</f>
        <v>1</v>
      </c>
      <c r="AN52">
        <v>5.06666666666667</v>
      </c>
      <c r="AO52">
        <v>-13.7</v>
      </c>
      <c r="AP52" s="208"/>
      <c r="AQ52" s="208"/>
      <c r="AR52" s="226"/>
      <c r="AS52" s="225"/>
      <c r="AT52" s="226"/>
      <c r="AU52" s="225"/>
      <c r="AV52" s="225"/>
      <c r="AW52" s="225"/>
      <c r="AX52" s="225"/>
      <c r="AY52" s="225"/>
    </row>
    <row r="53" spans="2:51" x14ac:dyDescent="0.25">
      <c r="B53" s="209" t="str">
        <f ca="1">IF(AND(Критерий[[#This Row],[Критерий]]&lt;&gt;"",Критерий[[#This Row],[O.K.Критерий]]=1),ROW()-ROW(Критерий[[#Headers],[№]]),"")</f>
        <v/>
      </c>
      <c r="C53" s="84"/>
      <c r="D53"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53" s="208" t="str">
        <f ca="1">IFERROR(IF(IFERROR(SEARCH("Прив",Критерий[[#This Row],[Фкритерий]]),0)&gt;0,"Критерий",IF(IFERROR(SEARCH("Матр",Критерий[[#This Row],[Фкритерий]]),0)&gt;0,"ошибка","ошибка")),"ошибка")</f>
        <v>ошибка</v>
      </c>
      <c r="F53" s="224" t="str">
        <f ca="1">IFERROR(IF(LEN((INDIRECT(Критерий[[#This Row],[СНаименование]],FALSE)))=0,"ошибка",IFERROR(INDIRECT(Критерий[[#This Row],[СНаименование]],FALSE),"ошибка")),"ошибка")</f>
        <v>ошибка</v>
      </c>
      <c r="G5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53" s="208" t="str">
        <f ca="1">IFERROR(IF(N(INDIRECT(Критерий[[#This Row],[СФизКритерий]],FALSE))=0,"ошибка",IFERROR(INDIRECT(Критерий[[#This Row],[СФизКритерий]],FALSE),"ошибка")),"ошибка")</f>
        <v>ошибка</v>
      </c>
      <c r="I5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53"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5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53" s="208" t="str">
        <f ca="1">IFERROR(_xlfn.FORMULATEXT(INDIRECT(Критерий[[#This Row],[Скритерий]],FALSE)),"ошибка")</f>
        <v>ошибка</v>
      </c>
      <c r="M53" s="208" t="str">
        <f ca="1">IFERROR(IF(N(INDIRECT(Критерий[[#This Row],[СМинФизКритерий]],FALSE))=0,"ошибка",IFERROR(INDIRECT(Критерий[[#This Row],[СМинФизКритерий]],FALSE),"ошибка")),"ошибка")</f>
        <v>ошибка</v>
      </c>
      <c r="N5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53" s="208" t="str">
        <f ca="1">IFERROR(IF(N(INDIRECT(Критерий[[#This Row],[СМаксФизКритерий]],FALSE))=0,"ошибка",IFERROR(INDIRECT(Критерий[[#This Row],[СМаксФизКритерий]],FALSE),"ошибка")),"ошибка")</f>
        <v>ошибка</v>
      </c>
      <c r="P5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53" s="208" t="str">
        <f ca="1">IFERROR(IF(N(INDIRECT(Критерий[[#This Row],[ССрФизКритерий]],FALSE))=0,"ошибка",IFERROR(INDIRECT(Критерий[[#This Row],[ССрФизКритерий]],FALSE),"ошибка")),"")</f>
        <v/>
      </c>
      <c r="R53"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53" s="212">
        <f ca="1">IFERROR(IF(AND(Критерий[[#This Row],[ВидКритерий]]="Критерий",IFERROR(SEARCH("Приведение",Критерий[[#This Row],[Фкритерий]]),0)&gt;0),1,-1),-1)</f>
        <v>-1</v>
      </c>
      <c r="U53" s="222" t="str">
        <f ca="1">IF(AND(Свёртка[[#This Row],[Свёртка]]&lt;&gt;"",Свёртка[[#This Row],[O.K.Свёртка]]=1),ROW()-ROW(Свёртка[[#Headers],[№]]),"")</f>
        <v/>
      </c>
      <c r="V53" s="84"/>
      <c r="W53"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53" s="208" t="str">
        <f ca="1">IFERROR(_xlfn.FORMULATEXT(INDIRECT(Свёртка[[#This Row],[ССвёртка]],FALSE)),"ошибка")</f>
        <v>ошибка</v>
      </c>
      <c r="Y53" s="208" t="str">
        <f ca="1">IFERROR(IF(IFERROR(SEARCH("Прив",Свёртка[[#This Row],[ФСвёртка]]),0)&gt;0,"ошибка",IF(IFERROR(SEARCH("Матр",Свёртка[[#This Row],[ФСвёртка]]),0)&gt;0,"Свёртка","ошибка")),"ошибка")</f>
        <v>ошибка</v>
      </c>
      <c r="Z53" s="208" t="str">
        <f ca="1">IFERROR(IF(LEN((INDIRECT(Свёртка[[#This Row],[СНаименование]],FALSE)))=0,"ошибка",IFERROR(INDIRECT(Свёртка[[#This Row],[СНаименование]],FALSE),"ошибка")),"ошибка")</f>
        <v>ошибка</v>
      </c>
      <c r="AA53"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53" s="212">
        <f ca="1">IF(Свёртка[[#This Row],[ВидСвёртка]]="Свёртка",1,-1)</f>
        <v>-1</v>
      </c>
      <c r="AG53" s="66">
        <f>IF(AND(Множество[[#This Row],[Y]]=1),ROW()-ROW(Множество[[#Headers],[№]]),"")</f>
        <v>44</v>
      </c>
      <c r="AH53" t="s">
        <v>608</v>
      </c>
      <c r="AI53" s="66">
        <v>1</v>
      </c>
      <c r="AJ53" s="66">
        <f>IF(LEN(Множество[[#This Row],[Свёртка]])&gt;0,1,-1)</f>
        <v>1</v>
      </c>
      <c r="AK53" s="66" t="s">
        <v>1781</v>
      </c>
      <c r="AL53" s="66">
        <f>IF(LEN(Множество[[#This Row],[Критерии]])&gt;0,1,-1)</f>
        <v>1</v>
      </c>
      <c r="AM53" s="66">
        <f>IF(AND(LEN(Множество[[#This Row],[Свёртка]])&gt;0,LEN(Множество[[#This Row],[Критерии]])&gt;0,LEN(Множество[[#This Row],[Оценки]])&gt;0),1,-1)</f>
        <v>1</v>
      </c>
      <c r="AN53">
        <v>5.0083333333333302</v>
      </c>
      <c r="AO53">
        <v>-13.716666666666701</v>
      </c>
      <c r="AP53" s="208"/>
      <c r="AQ53" s="208"/>
      <c r="AR53" s="226"/>
      <c r="AS53" s="225"/>
      <c r="AT53" s="226"/>
      <c r="AU53" s="225"/>
      <c r="AV53" s="225"/>
      <c r="AW53" s="225"/>
      <c r="AX53" s="225"/>
      <c r="AY53" s="225"/>
    </row>
    <row r="54" spans="2:51" x14ac:dyDescent="0.25">
      <c r="B54" s="209" t="str">
        <f ca="1">IF(AND(Критерий[[#This Row],[Критерий]]&lt;&gt;"",Критерий[[#This Row],[O.K.Критерий]]=1),ROW()-ROW(Критерий[[#Headers],[№]]),"")</f>
        <v/>
      </c>
      <c r="C54" s="84"/>
      <c r="D54"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54" s="208" t="str">
        <f ca="1">IFERROR(IF(IFERROR(SEARCH("Прив",Критерий[[#This Row],[Фкритерий]]),0)&gt;0,"Критерий",IF(IFERROR(SEARCH("Матр",Критерий[[#This Row],[Фкритерий]]),0)&gt;0,"ошибка","ошибка")),"ошибка")</f>
        <v>ошибка</v>
      </c>
      <c r="F54" s="224" t="str">
        <f ca="1">IFERROR(IF(LEN((INDIRECT(Критерий[[#This Row],[СНаименование]],FALSE)))=0,"ошибка",IFERROR(INDIRECT(Критерий[[#This Row],[СНаименование]],FALSE),"ошибка")),"ошибка")</f>
        <v>ошибка</v>
      </c>
      <c r="G5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54" s="208" t="str">
        <f ca="1">IFERROR(IF(N(INDIRECT(Критерий[[#This Row],[СФизКритерий]],FALSE))=0,"ошибка",IFERROR(INDIRECT(Критерий[[#This Row],[СФизКритерий]],FALSE),"ошибка")),"ошибка")</f>
        <v>ошибка</v>
      </c>
      <c r="I5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54"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5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54" s="208" t="str">
        <f ca="1">IFERROR(_xlfn.FORMULATEXT(INDIRECT(Критерий[[#This Row],[Скритерий]],FALSE)),"ошибка")</f>
        <v>ошибка</v>
      </c>
      <c r="M54" s="208" t="str">
        <f ca="1">IFERROR(IF(N(INDIRECT(Критерий[[#This Row],[СМинФизКритерий]],FALSE))=0,"ошибка",IFERROR(INDIRECT(Критерий[[#This Row],[СМинФизКритерий]],FALSE),"ошибка")),"ошибка")</f>
        <v>ошибка</v>
      </c>
      <c r="N5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54" s="208" t="str">
        <f ca="1">IFERROR(IF(N(INDIRECT(Критерий[[#This Row],[СМаксФизКритерий]],FALSE))=0,"ошибка",IFERROR(INDIRECT(Критерий[[#This Row],[СМаксФизКритерий]],FALSE),"ошибка")),"ошибка")</f>
        <v>ошибка</v>
      </c>
      <c r="P5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54" s="208" t="str">
        <f ca="1">IFERROR(IF(N(INDIRECT(Критерий[[#This Row],[ССрФизКритерий]],FALSE))=0,"ошибка",IFERROR(INDIRECT(Критерий[[#This Row],[ССрФизКритерий]],FALSE),"ошибка")),"")</f>
        <v/>
      </c>
      <c r="R54"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54" s="212">
        <f ca="1">IFERROR(IF(AND(Критерий[[#This Row],[ВидКритерий]]="Критерий",IFERROR(SEARCH("Приведение",Критерий[[#This Row],[Фкритерий]]),0)&gt;0),1,-1),-1)</f>
        <v>-1</v>
      </c>
      <c r="U54" s="222" t="str">
        <f ca="1">IF(AND(Свёртка[[#This Row],[Свёртка]]&lt;&gt;"",Свёртка[[#This Row],[O.K.Свёртка]]=1),ROW()-ROW(Свёртка[[#Headers],[№]]),"")</f>
        <v/>
      </c>
      <c r="V54" s="84"/>
      <c r="W54"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54" s="208" t="str">
        <f ca="1">IFERROR(_xlfn.FORMULATEXT(INDIRECT(Свёртка[[#This Row],[ССвёртка]],FALSE)),"ошибка")</f>
        <v>ошибка</v>
      </c>
      <c r="Y54" s="208" t="str">
        <f ca="1">IFERROR(IF(IFERROR(SEARCH("Прив",Свёртка[[#This Row],[ФСвёртка]]),0)&gt;0,"ошибка",IF(IFERROR(SEARCH("Матр",Свёртка[[#This Row],[ФСвёртка]]),0)&gt;0,"Свёртка","ошибка")),"ошибка")</f>
        <v>ошибка</v>
      </c>
      <c r="Z54" s="208" t="str">
        <f ca="1">IFERROR(IF(LEN((INDIRECT(Свёртка[[#This Row],[СНаименование]],FALSE)))=0,"ошибка",IFERROR(INDIRECT(Свёртка[[#This Row],[СНаименование]],FALSE),"ошибка")),"ошибка")</f>
        <v>ошибка</v>
      </c>
      <c r="AA54"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54" s="212">
        <f ca="1">IF(Свёртка[[#This Row],[ВидСвёртка]]="Свёртка",1,-1)</f>
        <v>-1</v>
      </c>
      <c r="AG54" s="66">
        <f>IF(AND(Множество[[#This Row],[Y]]=1),ROW()-ROW(Множество[[#Headers],[№]]),"")</f>
        <v>45</v>
      </c>
      <c r="AH54" t="s">
        <v>608</v>
      </c>
      <c r="AI54" s="66">
        <v>1</v>
      </c>
      <c r="AJ54" s="66">
        <f>IF(LEN(Множество[[#This Row],[Свёртка]])&gt;0,1,-1)</f>
        <v>1</v>
      </c>
      <c r="AK54" s="66" t="s">
        <v>1781</v>
      </c>
      <c r="AL54" s="66">
        <f>IF(LEN(Множество[[#This Row],[Критерии]])&gt;0,1,-1)</f>
        <v>1</v>
      </c>
      <c r="AM54" s="66">
        <f>IF(AND(LEN(Множество[[#This Row],[Свёртка]])&gt;0,LEN(Множество[[#This Row],[Критерии]])&gt;0,LEN(Множество[[#This Row],[Оценки]])&gt;0),1,-1)</f>
        <v>1</v>
      </c>
      <c r="AN54">
        <v>4.95</v>
      </c>
      <c r="AO54">
        <v>-13.716666666666701</v>
      </c>
      <c r="AP54" s="208"/>
      <c r="AQ54" s="208"/>
      <c r="AR54" s="226"/>
      <c r="AS54" s="225"/>
      <c r="AT54" s="226"/>
      <c r="AU54" s="225"/>
      <c r="AV54" s="225"/>
      <c r="AW54" s="225"/>
      <c r="AX54" s="225"/>
      <c r="AY54" s="225"/>
    </row>
    <row r="55" spans="2:51" x14ac:dyDescent="0.25">
      <c r="B55" s="209" t="str">
        <f ca="1">IF(AND(Критерий[[#This Row],[Критерий]]&lt;&gt;"",Критерий[[#This Row],[O.K.Критерий]]=1),ROW()-ROW(Критерий[[#Headers],[№]]),"")</f>
        <v/>
      </c>
      <c r="C55" s="84"/>
      <c r="D55"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55" s="208" t="str">
        <f ca="1">IFERROR(IF(IFERROR(SEARCH("Прив",Критерий[[#This Row],[Фкритерий]]),0)&gt;0,"Критерий",IF(IFERROR(SEARCH("Матр",Критерий[[#This Row],[Фкритерий]]),0)&gt;0,"ошибка","ошибка")),"ошибка")</f>
        <v>ошибка</v>
      </c>
      <c r="F55" s="224" t="str">
        <f ca="1">IFERROR(IF(LEN((INDIRECT(Критерий[[#This Row],[СНаименование]],FALSE)))=0,"ошибка",IFERROR(INDIRECT(Критерий[[#This Row],[СНаименование]],FALSE),"ошибка")),"ошибка")</f>
        <v>ошибка</v>
      </c>
      <c r="G5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55" s="208" t="str">
        <f ca="1">IFERROR(IF(N(INDIRECT(Критерий[[#This Row],[СФизКритерий]],FALSE))=0,"ошибка",IFERROR(INDIRECT(Критерий[[#This Row],[СФизКритерий]],FALSE),"ошибка")),"ошибка")</f>
        <v>ошибка</v>
      </c>
      <c r="I5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55"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5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55" s="208" t="str">
        <f ca="1">IFERROR(_xlfn.FORMULATEXT(INDIRECT(Критерий[[#This Row],[Скритерий]],FALSE)),"ошибка")</f>
        <v>ошибка</v>
      </c>
      <c r="M55" s="208" t="str">
        <f ca="1">IFERROR(IF(N(INDIRECT(Критерий[[#This Row],[СМинФизКритерий]],FALSE))=0,"ошибка",IFERROR(INDIRECT(Критерий[[#This Row],[СМинФизКритерий]],FALSE),"ошибка")),"ошибка")</f>
        <v>ошибка</v>
      </c>
      <c r="N5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55" s="208" t="str">
        <f ca="1">IFERROR(IF(N(INDIRECT(Критерий[[#This Row],[СМаксФизКритерий]],FALSE))=0,"ошибка",IFERROR(INDIRECT(Критерий[[#This Row],[СМаксФизКритерий]],FALSE),"ошибка")),"ошибка")</f>
        <v>ошибка</v>
      </c>
      <c r="P5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55" s="208" t="str">
        <f ca="1">IFERROR(IF(N(INDIRECT(Критерий[[#This Row],[ССрФизКритерий]],FALSE))=0,"ошибка",IFERROR(INDIRECT(Критерий[[#This Row],[ССрФизКритерий]],FALSE),"ошибка")),"")</f>
        <v/>
      </c>
      <c r="R55"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55" s="212">
        <f ca="1">IFERROR(IF(AND(Критерий[[#This Row],[ВидКритерий]]="Критерий",IFERROR(SEARCH("Приведение",Критерий[[#This Row],[Фкритерий]]),0)&gt;0),1,-1),-1)</f>
        <v>-1</v>
      </c>
      <c r="U55" s="222" t="str">
        <f ca="1">IF(AND(Свёртка[[#This Row],[Свёртка]]&lt;&gt;"",Свёртка[[#This Row],[O.K.Свёртка]]=1),ROW()-ROW(Свёртка[[#Headers],[№]]),"")</f>
        <v/>
      </c>
      <c r="V55" s="84"/>
      <c r="W55"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55" s="208" t="str">
        <f ca="1">IFERROR(_xlfn.FORMULATEXT(INDIRECT(Свёртка[[#This Row],[ССвёртка]],FALSE)),"ошибка")</f>
        <v>ошибка</v>
      </c>
      <c r="Y55" s="208" t="str">
        <f ca="1">IFERROR(IF(IFERROR(SEARCH("Прив",Свёртка[[#This Row],[ФСвёртка]]),0)&gt;0,"ошибка",IF(IFERROR(SEARCH("Матр",Свёртка[[#This Row],[ФСвёртка]]),0)&gt;0,"Свёртка","ошибка")),"ошибка")</f>
        <v>ошибка</v>
      </c>
      <c r="Z55" s="208" t="str">
        <f ca="1">IFERROR(IF(LEN((INDIRECT(Свёртка[[#This Row],[СНаименование]],FALSE)))=0,"ошибка",IFERROR(INDIRECT(Свёртка[[#This Row],[СНаименование]],FALSE),"ошибка")),"ошибка")</f>
        <v>ошибка</v>
      </c>
      <c r="AA55"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55" s="212">
        <f ca="1">IF(Свёртка[[#This Row],[ВидСвёртка]]="Свёртка",1,-1)</f>
        <v>-1</v>
      </c>
      <c r="AG55" s="66">
        <f>IF(AND(Множество[[#This Row],[Y]]=1),ROW()-ROW(Множество[[#Headers],[№]]),"")</f>
        <v>46</v>
      </c>
      <c r="AH55" t="s">
        <v>608</v>
      </c>
      <c r="AI55" s="66">
        <v>1</v>
      </c>
      <c r="AJ55" s="66">
        <f>IF(LEN(Множество[[#This Row],[Свёртка]])&gt;0,1,-1)</f>
        <v>1</v>
      </c>
      <c r="AK55" s="66" t="s">
        <v>1781</v>
      </c>
      <c r="AL55" s="66">
        <f>IF(LEN(Множество[[#This Row],[Критерии]])&gt;0,1,-1)</f>
        <v>1</v>
      </c>
      <c r="AM55" s="66">
        <f>IF(AND(LEN(Множество[[#This Row],[Свёртка]])&gt;0,LEN(Множество[[#This Row],[Критерии]])&gt;0,LEN(Множество[[#This Row],[Оценки]])&gt;0),1,-1)</f>
        <v>1</v>
      </c>
      <c r="AN55">
        <v>4.8916666666666702</v>
      </c>
      <c r="AO55">
        <v>-13.733333333333301</v>
      </c>
      <c r="AP55" s="208"/>
      <c r="AQ55" s="208"/>
      <c r="AR55" s="226"/>
      <c r="AS55" s="225"/>
      <c r="AT55" s="226"/>
      <c r="AU55" s="225"/>
      <c r="AV55" s="225"/>
      <c r="AW55" s="225"/>
      <c r="AX55" s="225"/>
      <c r="AY55" s="225"/>
    </row>
    <row r="56" spans="2:51" x14ac:dyDescent="0.25">
      <c r="B56" s="209" t="str">
        <f ca="1">IF(AND(Критерий[[#This Row],[Критерий]]&lt;&gt;"",Критерий[[#This Row],[O.K.Критерий]]=1),ROW()-ROW(Критерий[[#Headers],[№]]),"")</f>
        <v/>
      </c>
      <c r="C56" s="84"/>
      <c r="D56"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56" s="208" t="str">
        <f ca="1">IFERROR(IF(IFERROR(SEARCH("Прив",Критерий[[#This Row],[Фкритерий]]),0)&gt;0,"Критерий",IF(IFERROR(SEARCH("Матр",Критерий[[#This Row],[Фкритерий]]),0)&gt;0,"ошибка","ошибка")),"ошибка")</f>
        <v>ошибка</v>
      </c>
      <c r="F56" s="224" t="str">
        <f ca="1">IFERROR(IF(LEN((INDIRECT(Критерий[[#This Row],[СНаименование]],FALSE)))=0,"ошибка",IFERROR(INDIRECT(Критерий[[#This Row],[СНаименование]],FALSE),"ошибка")),"ошибка")</f>
        <v>ошибка</v>
      </c>
      <c r="G5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56" s="208" t="str">
        <f ca="1">IFERROR(IF(N(INDIRECT(Критерий[[#This Row],[СФизКритерий]],FALSE))=0,"ошибка",IFERROR(INDIRECT(Критерий[[#This Row],[СФизКритерий]],FALSE),"ошибка")),"ошибка")</f>
        <v>ошибка</v>
      </c>
      <c r="I5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56"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5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56" s="208" t="str">
        <f ca="1">IFERROR(_xlfn.FORMULATEXT(INDIRECT(Критерий[[#This Row],[Скритерий]],FALSE)),"ошибка")</f>
        <v>ошибка</v>
      </c>
      <c r="M56" s="208" t="str">
        <f ca="1">IFERROR(IF(N(INDIRECT(Критерий[[#This Row],[СМинФизКритерий]],FALSE))=0,"ошибка",IFERROR(INDIRECT(Критерий[[#This Row],[СМинФизКритерий]],FALSE),"ошибка")),"ошибка")</f>
        <v>ошибка</v>
      </c>
      <c r="N5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56" s="208" t="str">
        <f ca="1">IFERROR(IF(N(INDIRECT(Критерий[[#This Row],[СМаксФизКритерий]],FALSE))=0,"ошибка",IFERROR(INDIRECT(Критерий[[#This Row],[СМаксФизКритерий]],FALSE),"ошибка")),"ошибка")</f>
        <v>ошибка</v>
      </c>
      <c r="P5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56" s="208" t="str">
        <f ca="1">IFERROR(IF(N(INDIRECT(Критерий[[#This Row],[ССрФизКритерий]],FALSE))=0,"ошибка",IFERROR(INDIRECT(Критерий[[#This Row],[ССрФизКритерий]],FALSE),"ошибка")),"")</f>
        <v/>
      </c>
      <c r="R56"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56" s="212">
        <f ca="1">IFERROR(IF(AND(Критерий[[#This Row],[ВидКритерий]]="Критерий",IFERROR(SEARCH("Приведение",Критерий[[#This Row],[Фкритерий]]),0)&gt;0),1,-1),-1)</f>
        <v>-1</v>
      </c>
      <c r="U56" s="222" t="str">
        <f ca="1">IF(AND(Свёртка[[#This Row],[Свёртка]]&lt;&gt;"",Свёртка[[#This Row],[O.K.Свёртка]]=1),ROW()-ROW(Свёртка[[#Headers],[№]]),"")</f>
        <v/>
      </c>
      <c r="V56" s="84"/>
      <c r="W56"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56" s="208" t="str">
        <f ca="1">IFERROR(_xlfn.FORMULATEXT(INDIRECT(Свёртка[[#This Row],[ССвёртка]],FALSE)),"ошибка")</f>
        <v>ошибка</v>
      </c>
      <c r="Y56" s="208" t="str">
        <f ca="1">IFERROR(IF(IFERROR(SEARCH("Прив",Свёртка[[#This Row],[ФСвёртка]]),0)&gt;0,"ошибка",IF(IFERROR(SEARCH("Матр",Свёртка[[#This Row],[ФСвёртка]]),0)&gt;0,"Свёртка","ошибка")),"ошибка")</f>
        <v>ошибка</v>
      </c>
      <c r="Z56" s="208" t="str">
        <f ca="1">IFERROR(IF(LEN((INDIRECT(Свёртка[[#This Row],[СНаименование]],FALSE)))=0,"ошибка",IFERROR(INDIRECT(Свёртка[[#This Row],[СНаименование]],FALSE),"ошибка")),"ошибка")</f>
        <v>ошибка</v>
      </c>
      <c r="AA56"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56" s="212">
        <f ca="1">IF(Свёртка[[#This Row],[ВидСвёртка]]="Свёртка",1,-1)</f>
        <v>-1</v>
      </c>
      <c r="AG56" s="66">
        <f>IF(AND(Множество[[#This Row],[Y]]=1),ROW()-ROW(Множество[[#Headers],[№]]),"")</f>
        <v>47</v>
      </c>
      <c r="AH56" t="s">
        <v>608</v>
      </c>
      <c r="AI56" s="66">
        <v>1</v>
      </c>
      <c r="AJ56" s="66">
        <f>IF(LEN(Множество[[#This Row],[Свёртка]])&gt;0,1,-1)</f>
        <v>1</v>
      </c>
      <c r="AK56" s="66" t="s">
        <v>1781</v>
      </c>
      <c r="AL56" s="66">
        <f>IF(LEN(Множество[[#This Row],[Критерии]])&gt;0,1,-1)</f>
        <v>1</v>
      </c>
      <c r="AM56" s="66">
        <f>IF(AND(LEN(Множество[[#This Row],[Свёртка]])&gt;0,LEN(Множество[[#This Row],[Критерии]])&gt;0,LEN(Множество[[#This Row],[Оценки]])&gt;0),1,-1)</f>
        <v>1</v>
      </c>
      <c r="AN56">
        <v>4.8333333333333304</v>
      </c>
      <c r="AO56">
        <v>-13.75</v>
      </c>
      <c r="AP56" s="208"/>
      <c r="AQ56" s="208"/>
      <c r="AR56" s="226"/>
      <c r="AS56" s="225"/>
      <c r="AT56" s="226"/>
      <c r="AU56" s="225"/>
      <c r="AV56" s="225"/>
      <c r="AW56" s="225"/>
      <c r="AX56" s="225"/>
      <c r="AY56" s="225"/>
    </row>
    <row r="57" spans="2:51" x14ac:dyDescent="0.25">
      <c r="B57" s="209" t="str">
        <f ca="1">IF(AND(Критерий[[#This Row],[Критерий]]&lt;&gt;"",Критерий[[#This Row],[O.K.Критерий]]=1),ROW()-ROW(Критерий[[#Headers],[№]]),"")</f>
        <v/>
      </c>
      <c r="C57" s="84"/>
      <c r="D57"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57" s="208" t="str">
        <f ca="1">IFERROR(IF(IFERROR(SEARCH("Прив",Критерий[[#This Row],[Фкритерий]]),0)&gt;0,"Критерий",IF(IFERROR(SEARCH("Матр",Критерий[[#This Row],[Фкритерий]]),0)&gt;0,"ошибка","ошибка")),"ошибка")</f>
        <v>ошибка</v>
      </c>
      <c r="F57" s="224" t="str">
        <f ca="1">IFERROR(IF(LEN((INDIRECT(Критерий[[#This Row],[СНаименование]],FALSE)))=0,"ошибка",IFERROR(INDIRECT(Критерий[[#This Row],[СНаименование]],FALSE),"ошибка")),"ошибка")</f>
        <v>ошибка</v>
      </c>
      <c r="G5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57" s="208" t="str">
        <f ca="1">IFERROR(IF(N(INDIRECT(Критерий[[#This Row],[СФизКритерий]],FALSE))=0,"ошибка",IFERROR(INDIRECT(Критерий[[#This Row],[СФизКритерий]],FALSE),"ошибка")),"ошибка")</f>
        <v>ошибка</v>
      </c>
      <c r="I5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57"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5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57" s="208" t="str">
        <f ca="1">IFERROR(_xlfn.FORMULATEXT(INDIRECT(Критерий[[#This Row],[Скритерий]],FALSE)),"ошибка")</f>
        <v>ошибка</v>
      </c>
      <c r="M57" s="208" t="str">
        <f ca="1">IFERROR(IF(N(INDIRECT(Критерий[[#This Row],[СМинФизКритерий]],FALSE))=0,"ошибка",IFERROR(INDIRECT(Критерий[[#This Row],[СМинФизКритерий]],FALSE),"ошибка")),"ошибка")</f>
        <v>ошибка</v>
      </c>
      <c r="N5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57" s="208" t="str">
        <f ca="1">IFERROR(IF(N(INDIRECT(Критерий[[#This Row],[СМаксФизКритерий]],FALSE))=0,"ошибка",IFERROR(INDIRECT(Критерий[[#This Row],[СМаксФизКритерий]],FALSE),"ошибка")),"ошибка")</f>
        <v>ошибка</v>
      </c>
      <c r="P5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57" s="208" t="str">
        <f ca="1">IFERROR(IF(N(INDIRECT(Критерий[[#This Row],[ССрФизКритерий]],FALSE))=0,"ошибка",IFERROR(INDIRECT(Критерий[[#This Row],[ССрФизКритерий]],FALSE),"ошибка")),"")</f>
        <v/>
      </c>
      <c r="R57"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57" s="212">
        <f ca="1">IFERROR(IF(AND(Критерий[[#This Row],[ВидКритерий]]="Критерий",IFERROR(SEARCH("Приведение",Критерий[[#This Row],[Фкритерий]]),0)&gt;0),1,-1),-1)</f>
        <v>-1</v>
      </c>
      <c r="U57" s="222" t="str">
        <f ca="1">IF(AND(Свёртка[[#This Row],[Свёртка]]&lt;&gt;"",Свёртка[[#This Row],[O.K.Свёртка]]=1),ROW()-ROW(Свёртка[[#Headers],[№]]),"")</f>
        <v/>
      </c>
      <c r="V57" s="84"/>
      <c r="W57"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57" s="208" t="str">
        <f ca="1">IFERROR(_xlfn.FORMULATEXT(INDIRECT(Свёртка[[#This Row],[ССвёртка]],FALSE)),"ошибка")</f>
        <v>ошибка</v>
      </c>
      <c r="Y57" s="208" t="str">
        <f ca="1">IFERROR(IF(IFERROR(SEARCH("Прив",Свёртка[[#This Row],[ФСвёртка]]),0)&gt;0,"ошибка",IF(IFERROR(SEARCH("Матр",Свёртка[[#This Row],[ФСвёртка]]),0)&gt;0,"Свёртка","ошибка")),"ошибка")</f>
        <v>ошибка</v>
      </c>
      <c r="Z57" s="208" t="str">
        <f ca="1">IFERROR(IF(LEN((INDIRECT(Свёртка[[#This Row],[СНаименование]],FALSE)))=0,"ошибка",IFERROR(INDIRECT(Свёртка[[#This Row],[СНаименование]],FALSE),"ошибка")),"ошибка")</f>
        <v>ошибка</v>
      </c>
      <c r="AA57"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57" s="212">
        <f ca="1">IF(Свёртка[[#This Row],[ВидСвёртка]]="Свёртка",1,-1)</f>
        <v>-1</v>
      </c>
      <c r="AG57" s="66">
        <f>IF(AND(Множество[[#This Row],[Y]]=1),ROW()-ROW(Множество[[#Headers],[№]]),"")</f>
        <v>48</v>
      </c>
      <c r="AH57" t="s">
        <v>608</v>
      </c>
      <c r="AI57" s="66">
        <v>1</v>
      </c>
      <c r="AJ57" s="66">
        <f>IF(LEN(Множество[[#This Row],[Свёртка]])&gt;0,1,-1)</f>
        <v>1</v>
      </c>
      <c r="AK57" s="66" t="s">
        <v>1781</v>
      </c>
      <c r="AL57" s="66">
        <f>IF(LEN(Множество[[#This Row],[Критерии]])&gt;0,1,-1)</f>
        <v>1</v>
      </c>
      <c r="AM57" s="66">
        <f>IF(AND(LEN(Множество[[#This Row],[Свёртка]])&gt;0,LEN(Множество[[#This Row],[Критерии]])&gt;0,LEN(Множество[[#This Row],[Оценки]])&gt;0),1,-1)</f>
        <v>1</v>
      </c>
      <c r="AN57">
        <v>4.7750000000000004</v>
      </c>
      <c r="AO57">
        <v>-13.766666666666699</v>
      </c>
      <c r="AP57" s="208"/>
      <c r="AQ57" s="208"/>
      <c r="AR57" s="226"/>
      <c r="AS57" s="225"/>
      <c r="AT57" s="226"/>
      <c r="AU57" s="225"/>
      <c r="AV57" s="225"/>
      <c r="AW57" s="225"/>
      <c r="AX57" s="225"/>
      <c r="AY57" s="225"/>
    </row>
    <row r="58" spans="2:51" x14ac:dyDescent="0.25">
      <c r="B58" s="209" t="str">
        <f ca="1">IF(AND(Критерий[[#This Row],[Критерий]]&lt;&gt;"",Критерий[[#This Row],[O.K.Критерий]]=1),ROW()-ROW(Критерий[[#Headers],[№]]),"")</f>
        <v/>
      </c>
      <c r="C58" s="84"/>
      <c r="D58"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58" s="208" t="str">
        <f ca="1">IFERROR(IF(IFERROR(SEARCH("Прив",Критерий[[#This Row],[Фкритерий]]),0)&gt;0,"Критерий",IF(IFERROR(SEARCH("Матр",Критерий[[#This Row],[Фкритерий]]),0)&gt;0,"ошибка","ошибка")),"ошибка")</f>
        <v>ошибка</v>
      </c>
      <c r="F58" s="224" t="str">
        <f ca="1">IFERROR(IF(LEN((INDIRECT(Критерий[[#This Row],[СНаименование]],FALSE)))=0,"ошибка",IFERROR(INDIRECT(Критерий[[#This Row],[СНаименование]],FALSE),"ошибка")),"ошибка")</f>
        <v>ошибка</v>
      </c>
      <c r="G5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58" s="208" t="str">
        <f ca="1">IFERROR(IF(N(INDIRECT(Критерий[[#This Row],[СФизКритерий]],FALSE))=0,"ошибка",IFERROR(INDIRECT(Критерий[[#This Row],[СФизКритерий]],FALSE),"ошибка")),"ошибка")</f>
        <v>ошибка</v>
      </c>
      <c r="I5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58"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5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58" s="208" t="str">
        <f ca="1">IFERROR(_xlfn.FORMULATEXT(INDIRECT(Критерий[[#This Row],[Скритерий]],FALSE)),"ошибка")</f>
        <v>ошибка</v>
      </c>
      <c r="M58" s="208" t="str">
        <f ca="1">IFERROR(IF(N(INDIRECT(Критерий[[#This Row],[СМинФизКритерий]],FALSE))=0,"ошибка",IFERROR(INDIRECT(Критерий[[#This Row],[СМинФизКритерий]],FALSE),"ошибка")),"ошибка")</f>
        <v>ошибка</v>
      </c>
      <c r="N5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58" s="208" t="str">
        <f ca="1">IFERROR(IF(N(INDIRECT(Критерий[[#This Row],[СМаксФизКритерий]],FALSE))=0,"ошибка",IFERROR(INDIRECT(Критерий[[#This Row],[СМаксФизКритерий]],FALSE),"ошибка")),"ошибка")</f>
        <v>ошибка</v>
      </c>
      <c r="P5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58" s="208" t="str">
        <f ca="1">IFERROR(IF(N(INDIRECT(Критерий[[#This Row],[ССрФизКритерий]],FALSE))=0,"ошибка",IFERROR(INDIRECT(Критерий[[#This Row],[ССрФизКритерий]],FALSE),"ошибка")),"")</f>
        <v/>
      </c>
      <c r="R58"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58" s="212">
        <f ca="1">IFERROR(IF(AND(Критерий[[#This Row],[ВидКритерий]]="Критерий",IFERROR(SEARCH("Приведение",Критерий[[#This Row],[Фкритерий]]),0)&gt;0),1,-1),-1)</f>
        <v>-1</v>
      </c>
      <c r="U58" s="222" t="str">
        <f ca="1">IF(AND(Свёртка[[#This Row],[Свёртка]]&lt;&gt;"",Свёртка[[#This Row],[O.K.Свёртка]]=1),ROW()-ROW(Свёртка[[#Headers],[№]]),"")</f>
        <v/>
      </c>
      <c r="V58" s="84"/>
      <c r="W58"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58" s="208" t="str">
        <f ca="1">IFERROR(_xlfn.FORMULATEXT(INDIRECT(Свёртка[[#This Row],[ССвёртка]],FALSE)),"ошибка")</f>
        <v>ошибка</v>
      </c>
      <c r="Y58" s="208" t="str">
        <f ca="1">IFERROR(IF(IFERROR(SEARCH("Прив",Свёртка[[#This Row],[ФСвёртка]]),0)&gt;0,"ошибка",IF(IFERROR(SEARCH("Матр",Свёртка[[#This Row],[ФСвёртка]]),0)&gt;0,"Свёртка","ошибка")),"ошибка")</f>
        <v>ошибка</v>
      </c>
      <c r="Z58" s="208" t="str">
        <f ca="1">IFERROR(IF(LEN((INDIRECT(Свёртка[[#This Row],[СНаименование]],FALSE)))=0,"ошибка",IFERROR(INDIRECT(Свёртка[[#This Row],[СНаименование]],FALSE),"ошибка")),"ошибка")</f>
        <v>ошибка</v>
      </c>
      <c r="AA58"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58" s="212">
        <f ca="1">IF(Свёртка[[#This Row],[ВидСвёртка]]="Свёртка",1,-1)</f>
        <v>-1</v>
      </c>
      <c r="AG58" s="66">
        <f>IF(AND(Множество[[#This Row],[Y]]=1),ROW()-ROW(Множество[[#Headers],[№]]),"")</f>
        <v>49</v>
      </c>
      <c r="AH58" t="s">
        <v>608</v>
      </c>
      <c r="AI58" s="66">
        <v>1</v>
      </c>
      <c r="AJ58" s="66">
        <f>IF(LEN(Множество[[#This Row],[Свёртка]])&gt;0,1,-1)</f>
        <v>1</v>
      </c>
      <c r="AK58" s="66" t="s">
        <v>1781</v>
      </c>
      <c r="AL58" s="66">
        <f>IF(LEN(Множество[[#This Row],[Критерии]])&gt;0,1,-1)</f>
        <v>1</v>
      </c>
      <c r="AM58" s="66">
        <f>IF(AND(LEN(Множество[[#This Row],[Свёртка]])&gt;0,LEN(Множество[[#This Row],[Критерии]])&gt;0,LEN(Множество[[#This Row],[Оценки]])&gt;0),1,-1)</f>
        <v>1</v>
      </c>
      <c r="AN58">
        <v>4.6583333333333297</v>
      </c>
      <c r="AO58">
        <v>-13.783333333333299</v>
      </c>
      <c r="AP58" s="208"/>
      <c r="AQ58" s="208"/>
      <c r="AR58" s="226"/>
      <c r="AS58" s="225"/>
      <c r="AT58" s="226"/>
      <c r="AU58" s="225"/>
      <c r="AV58" s="225"/>
      <c r="AW58" s="225"/>
      <c r="AX58" s="225"/>
      <c r="AY58" s="225"/>
    </row>
    <row r="59" spans="2:51" x14ac:dyDescent="0.25">
      <c r="B59" s="209" t="str">
        <f ca="1">IF(AND(Критерий[[#This Row],[Критерий]]&lt;&gt;"",Критерий[[#This Row],[O.K.Критерий]]=1),ROW()-ROW(Критерий[[#Headers],[№]]),"")</f>
        <v/>
      </c>
      <c r="C59" s="84"/>
      <c r="D59"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59" s="208" t="str">
        <f ca="1">IFERROR(IF(IFERROR(SEARCH("Прив",Критерий[[#This Row],[Фкритерий]]),0)&gt;0,"Критерий",IF(IFERROR(SEARCH("Матр",Критерий[[#This Row],[Фкритерий]]),0)&gt;0,"ошибка","ошибка")),"ошибка")</f>
        <v>ошибка</v>
      </c>
      <c r="F59" s="224" t="str">
        <f ca="1">IFERROR(IF(LEN((INDIRECT(Критерий[[#This Row],[СНаименование]],FALSE)))=0,"ошибка",IFERROR(INDIRECT(Критерий[[#This Row],[СНаименование]],FALSE),"ошибка")),"ошибка")</f>
        <v>ошибка</v>
      </c>
      <c r="G5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59" s="208" t="str">
        <f ca="1">IFERROR(IF(N(INDIRECT(Критерий[[#This Row],[СФизКритерий]],FALSE))=0,"ошибка",IFERROR(INDIRECT(Критерий[[#This Row],[СФизКритерий]],FALSE),"ошибка")),"ошибка")</f>
        <v>ошибка</v>
      </c>
      <c r="I5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59"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5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59" s="208" t="str">
        <f ca="1">IFERROR(_xlfn.FORMULATEXT(INDIRECT(Критерий[[#This Row],[Скритерий]],FALSE)),"ошибка")</f>
        <v>ошибка</v>
      </c>
      <c r="M59" s="208" t="str">
        <f ca="1">IFERROR(IF(N(INDIRECT(Критерий[[#This Row],[СМинФизКритерий]],FALSE))=0,"ошибка",IFERROR(INDIRECT(Критерий[[#This Row],[СМинФизКритерий]],FALSE),"ошибка")),"ошибка")</f>
        <v>ошибка</v>
      </c>
      <c r="N5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59" s="208" t="str">
        <f ca="1">IFERROR(IF(N(INDIRECT(Критерий[[#This Row],[СМаксФизКритерий]],FALSE))=0,"ошибка",IFERROR(INDIRECT(Критерий[[#This Row],[СМаксФизКритерий]],FALSE),"ошибка")),"ошибка")</f>
        <v>ошибка</v>
      </c>
      <c r="P5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59" s="208" t="str">
        <f ca="1">IFERROR(IF(N(INDIRECT(Критерий[[#This Row],[ССрФизКритерий]],FALSE))=0,"ошибка",IFERROR(INDIRECT(Критерий[[#This Row],[ССрФизКритерий]],FALSE),"ошибка")),"")</f>
        <v/>
      </c>
      <c r="R59"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59" s="212">
        <f ca="1">IFERROR(IF(AND(Критерий[[#This Row],[ВидКритерий]]="Критерий",IFERROR(SEARCH("Приведение",Критерий[[#This Row],[Фкритерий]]),0)&gt;0),1,-1),-1)</f>
        <v>-1</v>
      </c>
      <c r="U59" s="222" t="str">
        <f ca="1">IF(AND(Свёртка[[#This Row],[Свёртка]]&lt;&gt;"",Свёртка[[#This Row],[O.K.Свёртка]]=1),ROW()-ROW(Свёртка[[#Headers],[№]]),"")</f>
        <v/>
      </c>
      <c r="V59" s="84"/>
      <c r="W59"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59" s="208" t="str">
        <f ca="1">IFERROR(_xlfn.FORMULATEXT(INDIRECT(Свёртка[[#This Row],[ССвёртка]],FALSE)),"ошибка")</f>
        <v>ошибка</v>
      </c>
      <c r="Y59" s="208" t="str">
        <f ca="1">IFERROR(IF(IFERROR(SEARCH("Прив",Свёртка[[#This Row],[ФСвёртка]]),0)&gt;0,"ошибка",IF(IFERROR(SEARCH("Матр",Свёртка[[#This Row],[ФСвёртка]]),0)&gt;0,"Свёртка","ошибка")),"ошибка")</f>
        <v>ошибка</v>
      </c>
      <c r="Z59" s="208" t="str">
        <f ca="1">IFERROR(IF(LEN((INDIRECT(Свёртка[[#This Row],[СНаименование]],FALSE)))=0,"ошибка",IFERROR(INDIRECT(Свёртка[[#This Row],[СНаименование]],FALSE),"ошибка")),"ошибка")</f>
        <v>ошибка</v>
      </c>
      <c r="AA59"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59" s="212">
        <f ca="1">IF(Свёртка[[#This Row],[ВидСвёртка]]="Свёртка",1,-1)</f>
        <v>-1</v>
      </c>
      <c r="AG59" s="66">
        <f>IF(AND(Множество[[#This Row],[Y]]=1),ROW()-ROW(Множество[[#Headers],[№]]),"")</f>
        <v>50</v>
      </c>
      <c r="AH59" t="s">
        <v>608</v>
      </c>
      <c r="AI59" s="66">
        <v>1</v>
      </c>
      <c r="AJ59" s="66">
        <f>IF(LEN(Множество[[#This Row],[Свёртка]])&gt;0,1,-1)</f>
        <v>1</v>
      </c>
      <c r="AK59" s="66" t="s">
        <v>1781</v>
      </c>
      <c r="AL59" s="66">
        <f>IF(LEN(Множество[[#This Row],[Критерии]])&gt;0,1,-1)</f>
        <v>1</v>
      </c>
      <c r="AM59" s="66">
        <f>IF(AND(LEN(Множество[[#This Row],[Свёртка]])&gt;0,LEN(Множество[[#This Row],[Критерии]])&gt;0,LEN(Множество[[#This Row],[Оценки]])&gt;0),1,-1)</f>
        <v>1</v>
      </c>
      <c r="AN59">
        <v>4.7166666666666703</v>
      </c>
      <c r="AO59">
        <v>-13.783333333333299</v>
      </c>
      <c r="AP59" s="208"/>
      <c r="AQ59" s="208"/>
      <c r="AR59" s="226"/>
      <c r="AS59" s="225"/>
      <c r="AT59" s="226"/>
      <c r="AU59" s="225"/>
      <c r="AV59" s="225"/>
      <c r="AW59" s="225"/>
      <c r="AX59" s="225"/>
      <c r="AY59" s="225"/>
    </row>
    <row r="60" spans="2:51" x14ac:dyDescent="0.25">
      <c r="B60" s="209" t="str">
        <f ca="1">IF(AND(Критерий[[#This Row],[Критерий]]&lt;&gt;"",Критерий[[#This Row],[O.K.Критерий]]=1),ROW()-ROW(Критерий[[#Headers],[№]]),"")</f>
        <v/>
      </c>
      <c r="C60" s="84"/>
      <c r="D60"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60" s="208" t="str">
        <f ca="1">IFERROR(IF(IFERROR(SEARCH("Прив",Критерий[[#This Row],[Фкритерий]]),0)&gt;0,"Критерий",IF(IFERROR(SEARCH("Матр",Критерий[[#This Row],[Фкритерий]]),0)&gt;0,"ошибка","ошибка")),"ошибка")</f>
        <v>ошибка</v>
      </c>
      <c r="F60" s="224" t="str">
        <f ca="1">IFERROR(IF(LEN((INDIRECT(Критерий[[#This Row],[СНаименование]],FALSE)))=0,"ошибка",IFERROR(INDIRECT(Критерий[[#This Row],[СНаименование]],FALSE),"ошибка")),"ошибка")</f>
        <v>ошибка</v>
      </c>
      <c r="G6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60" s="208" t="str">
        <f ca="1">IFERROR(IF(N(INDIRECT(Критерий[[#This Row],[СФизКритерий]],FALSE))=0,"ошибка",IFERROR(INDIRECT(Критерий[[#This Row],[СФизКритерий]],FALSE),"ошибка")),"ошибка")</f>
        <v>ошибка</v>
      </c>
      <c r="I6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60"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6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60" s="208" t="str">
        <f ca="1">IFERROR(_xlfn.FORMULATEXT(INDIRECT(Критерий[[#This Row],[Скритерий]],FALSE)),"ошибка")</f>
        <v>ошибка</v>
      </c>
      <c r="M60" s="208" t="str">
        <f ca="1">IFERROR(IF(N(INDIRECT(Критерий[[#This Row],[СМинФизКритерий]],FALSE))=0,"ошибка",IFERROR(INDIRECT(Критерий[[#This Row],[СМинФизКритерий]],FALSE),"ошибка")),"ошибка")</f>
        <v>ошибка</v>
      </c>
      <c r="N6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60" s="208" t="str">
        <f ca="1">IFERROR(IF(N(INDIRECT(Критерий[[#This Row],[СМаксФизКритерий]],FALSE))=0,"ошибка",IFERROR(INDIRECT(Критерий[[#This Row],[СМаксФизКритерий]],FALSE),"ошибка")),"ошибка")</f>
        <v>ошибка</v>
      </c>
      <c r="P6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60" s="208" t="str">
        <f ca="1">IFERROR(IF(N(INDIRECT(Критерий[[#This Row],[ССрФизКритерий]],FALSE))=0,"ошибка",IFERROR(INDIRECT(Критерий[[#This Row],[ССрФизКритерий]],FALSE),"ошибка")),"")</f>
        <v/>
      </c>
      <c r="R60"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60" s="212">
        <f ca="1">IFERROR(IF(AND(Критерий[[#This Row],[ВидКритерий]]="Критерий",IFERROR(SEARCH("Приведение",Критерий[[#This Row],[Фкритерий]]),0)&gt;0),1,-1),-1)</f>
        <v>-1</v>
      </c>
      <c r="U60" s="222" t="str">
        <f ca="1">IF(AND(Свёртка[[#This Row],[Свёртка]]&lt;&gt;"",Свёртка[[#This Row],[O.K.Свёртка]]=1),ROW()-ROW(Свёртка[[#Headers],[№]]),"")</f>
        <v/>
      </c>
      <c r="V60" s="84"/>
      <c r="W60"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60" s="208" t="str">
        <f ca="1">IFERROR(_xlfn.FORMULATEXT(INDIRECT(Свёртка[[#This Row],[ССвёртка]],FALSE)),"ошибка")</f>
        <v>ошибка</v>
      </c>
      <c r="Y60" s="208" t="str">
        <f ca="1">IFERROR(IF(IFERROR(SEARCH("Прив",Свёртка[[#This Row],[ФСвёртка]]),0)&gt;0,"ошибка",IF(IFERROR(SEARCH("Матр",Свёртка[[#This Row],[ФСвёртка]]),0)&gt;0,"Свёртка","ошибка")),"ошибка")</f>
        <v>ошибка</v>
      </c>
      <c r="Z60" s="208" t="str">
        <f ca="1">IFERROR(IF(LEN((INDIRECT(Свёртка[[#This Row],[СНаименование]],FALSE)))=0,"ошибка",IFERROR(INDIRECT(Свёртка[[#This Row],[СНаименование]],FALSE),"ошибка")),"ошибка")</f>
        <v>ошибка</v>
      </c>
      <c r="AA60"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60" s="212">
        <f ca="1">IF(Свёртка[[#This Row],[ВидСвёртка]]="Свёртка",1,-1)</f>
        <v>-1</v>
      </c>
      <c r="AG60" s="66">
        <f>IF(AND(Множество[[#This Row],[Y]]=1),ROW()-ROW(Множество[[#Headers],[№]]),"")</f>
        <v>51</v>
      </c>
      <c r="AH60" t="s">
        <v>608</v>
      </c>
      <c r="AI60" s="66">
        <v>1</v>
      </c>
      <c r="AJ60" s="66">
        <f>IF(LEN(Множество[[#This Row],[Свёртка]])&gt;0,1,-1)</f>
        <v>1</v>
      </c>
      <c r="AK60" s="66" t="s">
        <v>1781</v>
      </c>
      <c r="AL60" s="66">
        <f>IF(LEN(Множество[[#This Row],[Критерии]])&gt;0,1,-1)</f>
        <v>1</v>
      </c>
      <c r="AM60" s="66">
        <f>IF(AND(LEN(Множество[[#This Row],[Свёртка]])&gt;0,LEN(Множество[[#This Row],[Критерии]])&gt;0,LEN(Множество[[#This Row],[Оценки]])&gt;0),1,-1)</f>
        <v>1</v>
      </c>
      <c r="AN60">
        <v>4.5416666666666696</v>
      </c>
      <c r="AO60">
        <v>-13.8166666666667</v>
      </c>
      <c r="AP60" s="208"/>
      <c r="AQ60" s="208"/>
      <c r="AR60" s="226"/>
      <c r="AS60" s="225"/>
      <c r="AT60" s="226"/>
      <c r="AU60" s="225"/>
      <c r="AV60" s="225"/>
      <c r="AW60" s="225"/>
      <c r="AX60" s="225"/>
      <c r="AY60" s="225"/>
    </row>
    <row r="61" spans="2:51" x14ac:dyDescent="0.25">
      <c r="B61" s="209" t="str">
        <f ca="1">IF(AND(Критерий[[#This Row],[Критерий]]&lt;&gt;"",Критерий[[#This Row],[O.K.Критерий]]=1),ROW()-ROW(Критерий[[#Headers],[№]]),"")</f>
        <v/>
      </c>
      <c r="C61" s="84"/>
      <c r="D61"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61" s="208" t="str">
        <f ca="1">IFERROR(IF(IFERROR(SEARCH("Прив",Критерий[[#This Row],[Фкритерий]]),0)&gt;0,"Критерий",IF(IFERROR(SEARCH("Матр",Критерий[[#This Row],[Фкритерий]]),0)&gt;0,"ошибка","ошибка")),"ошибка")</f>
        <v>ошибка</v>
      </c>
      <c r="F61" s="224" t="str">
        <f ca="1">IFERROR(IF(LEN((INDIRECT(Критерий[[#This Row],[СНаименование]],FALSE)))=0,"ошибка",IFERROR(INDIRECT(Критерий[[#This Row],[СНаименование]],FALSE),"ошибка")),"ошибка")</f>
        <v>ошибка</v>
      </c>
      <c r="G6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61" s="208" t="str">
        <f ca="1">IFERROR(IF(N(INDIRECT(Критерий[[#This Row],[СФизКритерий]],FALSE))=0,"ошибка",IFERROR(INDIRECT(Критерий[[#This Row],[СФизКритерий]],FALSE),"ошибка")),"ошибка")</f>
        <v>ошибка</v>
      </c>
      <c r="I6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61"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6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61" s="208" t="str">
        <f ca="1">IFERROR(_xlfn.FORMULATEXT(INDIRECT(Критерий[[#This Row],[Скритерий]],FALSE)),"ошибка")</f>
        <v>ошибка</v>
      </c>
      <c r="M61" s="208" t="str">
        <f ca="1">IFERROR(IF(N(INDIRECT(Критерий[[#This Row],[СМинФизКритерий]],FALSE))=0,"ошибка",IFERROR(INDIRECT(Критерий[[#This Row],[СМинФизКритерий]],FALSE),"ошибка")),"ошибка")</f>
        <v>ошибка</v>
      </c>
      <c r="N6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61" s="208" t="str">
        <f ca="1">IFERROR(IF(N(INDIRECT(Критерий[[#This Row],[СМаксФизКритерий]],FALSE))=0,"ошибка",IFERROR(INDIRECT(Критерий[[#This Row],[СМаксФизКритерий]],FALSE),"ошибка")),"ошибка")</f>
        <v>ошибка</v>
      </c>
      <c r="P6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61" s="208" t="str">
        <f ca="1">IFERROR(IF(N(INDIRECT(Критерий[[#This Row],[ССрФизКритерий]],FALSE))=0,"ошибка",IFERROR(INDIRECT(Критерий[[#This Row],[ССрФизКритерий]],FALSE),"ошибка")),"")</f>
        <v/>
      </c>
      <c r="R61"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61" s="212">
        <f ca="1">IFERROR(IF(AND(Критерий[[#This Row],[ВидКритерий]]="Критерий",IFERROR(SEARCH("Приведение",Критерий[[#This Row],[Фкритерий]]),0)&gt;0),1,-1),-1)</f>
        <v>-1</v>
      </c>
      <c r="U61" s="222" t="str">
        <f ca="1">IF(AND(Свёртка[[#This Row],[Свёртка]]&lt;&gt;"",Свёртка[[#This Row],[O.K.Свёртка]]=1),ROW()-ROW(Свёртка[[#Headers],[№]]),"")</f>
        <v/>
      </c>
      <c r="V61" s="84"/>
      <c r="W61"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61" s="208" t="str">
        <f ca="1">IFERROR(_xlfn.FORMULATEXT(INDIRECT(Свёртка[[#This Row],[ССвёртка]],FALSE)),"ошибка")</f>
        <v>ошибка</v>
      </c>
      <c r="Y61" s="208" t="str">
        <f ca="1">IFERROR(IF(IFERROR(SEARCH("Прив",Свёртка[[#This Row],[ФСвёртка]]),0)&gt;0,"ошибка",IF(IFERROR(SEARCH("Матр",Свёртка[[#This Row],[ФСвёртка]]),0)&gt;0,"Свёртка","ошибка")),"ошибка")</f>
        <v>ошибка</v>
      </c>
      <c r="Z61" s="208" t="str">
        <f ca="1">IFERROR(IF(LEN((INDIRECT(Свёртка[[#This Row],[СНаименование]],FALSE)))=0,"ошибка",IFERROR(INDIRECT(Свёртка[[#This Row],[СНаименование]],FALSE),"ошибка")),"ошибка")</f>
        <v>ошибка</v>
      </c>
      <c r="AA61"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61" s="212">
        <f ca="1">IF(Свёртка[[#This Row],[ВидСвёртка]]="Свёртка",1,-1)</f>
        <v>-1</v>
      </c>
      <c r="AG61" s="66">
        <f>IF(AND(Множество[[#This Row],[Y]]=1),ROW()-ROW(Множество[[#Headers],[№]]),"")</f>
        <v>52</v>
      </c>
      <c r="AH61" t="s">
        <v>608</v>
      </c>
      <c r="AI61" s="66">
        <v>1</v>
      </c>
      <c r="AJ61" s="66">
        <f>IF(LEN(Множество[[#This Row],[Свёртка]])&gt;0,1,-1)</f>
        <v>1</v>
      </c>
      <c r="AK61" s="66" t="s">
        <v>1781</v>
      </c>
      <c r="AL61" s="66">
        <f>IF(LEN(Множество[[#This Row],[Критерии]])&gt;0,1,-1)</f>
        <v>1</v>
      </c>
      <c r="AM61" s="66">
        <f>IF(AND(LEN(Множество[[#This Row],[Свёртка]])&gt;0,LEN(Множество[[#This Row],[Критерии]])&gt;0,LEN(Множество[[#This Row],[Оценки]])&gt;0),1,-1)</f>
        <v>1</v>
      </c>
      <c r="AN61">
        <v>4.5999999999999996</v>
      </c>
      <c r="AO61">
        <v>-13.8</v>
      </c>
      <c r="AP61" s="208"/>
      <c r="AQ61" s="208"/>
      <c r="AR61" s="226"/>
      <c r="AS61" s="225"/>
      <c r="AT61" s="226"/>
      <c r="AU61" s="225"/>
      <c r="AV61" s="225"/>
      <c r="AW61" s="225"/>
      <c r="AX61" s="225"/>
      <c r="AY61" s="225"/>
    </row>
    <row r="62" spans="2:51" x14ac:dyDescent="0.25">
      <c r="B62" s="209" t="str">
        <f ca="1">IF(AND(Критерий[[#This Row],[Критерий]]&lt;&gt;"",Критерий[[#This Row],[O.K.Критерий]]=1),ROW()-ROW(Критерий[[#Headers],[№]]),"")</f>
        <v/>
      </c>
      <c r="C62" s="84"/>
      <c r="D62"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62" s="208" t="str">
        <f ca="1">IFERROR(IF(IFERROR(SEARCH("Прив",Критерий[[#This Row],[Фкритерий]]),0)&gt;0,"Критерий",IF(IFERROR(SEARCH("Матр",Критерий[[#This Row],[Фкритерий]]),0)&gt;0,"ошибка","ошибка")),"ошибка")</f>
        <v>ошибка</v>
      </c>
      <c r="F62" s="224" t="str">
        <f ca="1">IFERROR(IF(LEN((INDIRECT(Критерий[[#This Row],[СНаименование]],FALSE)))=0,"ошибка",IFERROR(INDIRECT(Критерий[[#This Row],[СНаименование]],FALSE),"ошибка")),"ошибка")</f>
        <v>ошибка</v>
      </c>
      <c r="G6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62" s="208" t="str">
        <f ca="1">IFERROR(IF(N(INDIRECT(Критерий[[#This Row],[СФизКритерий]],FALSE))=0,"ошибка",IFERROR(INDIRECT(Критерий[[#This Row],[СФизКритерий]],FALSE),"ошибка")),"ошибка")</f>
        <v>ошибка</v>
      </c>
      <c r="I6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62"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6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62" s="208" t="str">
        <f ca="1">IFERROR(_xlfn.FORMULATEXT(INDIRECT(Критерий[[#This Row],[Скритерий]],FALSE)),"ошибка")</f>
        <v>ошибка</v>
      </c>
      <c r="M62" s="208" t="str">
        <f ca="1">IFERROR(IF(N(INDIRECT(Критерий[[#This Row],[СМинФизКритерий]],FALSE))=0,"ошибка",IFERROR(INDIRECT(Критерий[[#This Row],[СМинФизКритерий]],FALSE),"ошибка")),"ошибка")</f>
        <v>ошибка</v>
      </c>
      <c r="N6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62" s="208" t="str">
        <f ca="1">IFERROR(IF(N(INDIRECT(Критерий[[#This Row],[СМаксФизКритерий]],FALSE))=0,"ошибка",IFERROR(INDIRECT(Критерий[[#This Row],[СМаксФизКритерий]],FALSE),"ошибка")),"ошибка")</f>
        <v>ошибка</v>
      </c>
      <c r="P6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62" s="208" t="str">
        <f ca="1">IFERROR(IF(N(INDIRECT(Критерий[[#This Row],[ССрФизКритерий]],FALSE))=0,"ошибка",IFERROR(INDIRECT(Критерий[[#This Row],[ССрФизКритерий]],FALSE),"ошибка")),"")</f>
        <v/>
      </c>
      <c r="R62"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62" s="212">
        <f ca="1">IFERROR(IF(AND(Критерий[[#This Row],[ВидКритерий]]="Критерий",IFERROR(SEARCH("Приведение",Критерий[[#This Row],[Фкритерий]]),0)&gt;0),1,-1),-1)</f>
        <v>-1</v>
      </c>
      <c r="U62" s="222" t="str">
        <f ca="1">IF(AND(Свёртка[[#This Row],[Свёртка]]&lt;&gt;"",Свёртка[[#This Row],[O.K.Свёртка]]=1),ROW()-ROW(Свёртка[[#Headers],[№]]),"")</f>
        <v/>
      </c>
      <c r="V62" s="84"/>
      <c r="W62"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62" s="208" t="str">
        <f ca="1">IFERROR(_xlfn.FORMULATEXT(INDIRECT(Свёртка[[#This Row],[ССвёртка]],FALSE)),"ошибка")</f>
        <v>ошибка</v>
      </c>
      <c r="Y62" s="208" t="str">
        <f ca="1">IFERROR(IF(IFERROR(SEARCH("Прив",Свёртка[[#This Row],[ФСвёртка]]),0)&gt;0,"ошибка",IF(IFERROR(SEARCH("Матр",Свёртка[[#This Row],[ФСвёртка]]),0)&gt;0,"Свёртка","ошибка")),"ошибка")</f>
        <v>ошибка</v>
      </c>
      <c r="Z62" s="208" t="str">
        <f ca="1">IFERROR(IF(LEN((INDIRECT(Свёртка[[#This Row],[СНаименование]],FALSE)))=0,"ошибка",IFERROR(INDIRECT(Свёртка[[#This Row],[СНаименование]],FALSE),"ошибка")),"ошибка")</f>
        <v>ошибка</v>
      </c>
      <c r="AA62"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62" s="212">
        <f ca="1">IF(Свёртка[[#This Row],[ВидСвёртка]]="Свёртка",1,-1)</f>
        <v>-1</v>
      </c>
      <c r="AG62" s="66">
        <f>IF(AND(Множество[[#This Row],[Y]]=1),ROW()-ROW(Множество[[#Headers],[№]]),"")</f>
        <v>53</v>
      </c>
      <c r="AH62" t="s">
        <v>608</v>
      </c>
      <c r="AI62" s="66">
        <v>1</v>
      </c>
      <c r="AJ62" s="66">
        <f>IF(LEN(Множество[[#This Row],[Свёртка]])&gt;0,1,-1)</f>
        <v>1</v>
      </c>
      <c r="AK62" s="66" t="s">
        <v>1781</v>
      </c>
      <c r="AL62" s="66">
        <f>IF(LEN(Множество[[#This Row],[Критерии]])&gt;0,1,-1)</f>
        <v>1</v>
      </c>
      <c r="AM62" s="66">
        <f>IF(AND(LEN(Множество[[#This Row],[Свёртка]])&gt;0,LEN(Множество[[#This Row],[Критерии]])&gt;0,LEN(Множество[[#This Row],[Оценки]])&gt;0),1,-1)</f>
        <v>1</v>
      </c>
      <c r="AN62">
        <v>4.4833333333333298</v>
      </c>
      <c r="AO62">
        <v>-13.8333333333333</v>
      </c>
      <c r="AP62" s="208"/>
      <c r="AQ62" s="208"/>
      <c r="AR62" s="226"/>
      <c r="AS62" s="225"/>
      <c r="AT62" s="226"/>
      <c r="AU62" s="225"/>
      <c r="AV62" s="225"/>
      <c r="AW62" s="225"/>
      <c r="AX62" s="225"/>
      <c r="AY62" s="225"/>
    </row>
    <row r="63" spans="2:51" x14ac:dyDescent="0.25">
      <c r="B63" s="209" t="str">
        <f ca="1">IF(AND(Критерий[[#This Row],[Критерий]]&lt;&gt;"",Критерий[[#This Row],[O.K.Критерий]]=1),ROW()-ROW(Критерий[[#Headers],[№]]),"")</f>
        <v/>
      </c>
      <c r="C63" s="84"/>
      <c r="D63"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63" s="208" t="str">
        <f ca="1">IFERROR(IF(IFERROR(SEARCH("Прив",Критерий[[#This Row],[Фкритерий]]),0)&gt;0,"Критерий",IF(IFERROR(SEARCH("Матр",Критерий[[#This Row],[Фкритерий]]),0)&gt;0,"ошибка","ошибка")),"ошибка")</f>
        <v>ошибка</v>
      </c>
      <c r="F63" s="224" t="str">
        <f ca="1">IFERROR(IF(LEN((INDIRECT(Критерий[[#This Row],[СНаименование]],FALSE)))=0,"ошибка",IFERROR(INDIRECT(Критерий[[#This Row],[СНаименование]],FALSE),"ошибка")),"ошибка")</f>
        <v>ошибка</v>
      </c>
      <c r="G6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63" s="208" t="str">
        <f ca="1">IFERROR(IF(N(INDIRECT(Критерий[[#This Row],[СФизКритерий]],FALSE))=0,"ошибка",IFERROR(INDIRECT(Критерий[[#This Row],[СФизКритерий]],FALSE),"ошибка")),"ошибка")</f>
        <v>ошибка</v>
      </c>
      <c r="I6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63"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6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63" s="208" t="str">
        <f ca="1">IFERROR(_xlfn.FORMULATEXT(INDIRECT(Критерий[[#This Row],[Скритерий]],FALSE)),"ошибка")</f>
        <v>ошибка</v>
      </c>
      <c r="M63" s="208" t="str">
        <f ca="1">IFERROR(IF(N(INDIRECT(Критерий[[#This Row],[СМинФизКритерий]],FALSE))=0,"ошибка",IFERROR(INDIRECT(Критерий[[#This Row],[СМинФизКритерий]],FALSE),"ошибка")),"ошибка")</f>
        <v>ошибка</v>
      </c>
      <c r="N6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63" s="208" t="str">
        <f ca="1">IFERROR(IF(N(INDIRECT(Критерий[[#This Row],[СМаксФизКритерий]],FALSE))=0,"ошибка",IFERROR(INDIRECT(Критерий[[#This Row],[СМаксФизКритерий]],FALSE),"ошибка")),"ошибка")</f>
        <v>ошибка</v>
      </c>
      <c r="P6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63" s="208" t="str">
        <f ca="1">IFERROR(IF(N(INDIRECT(Критерий[[#This Row],[ССрФизКритерий]],FALSE))=0,"ошибка",IFERROR(INDIRECT(Критерий[[#This Row],[ССрФизКритерий]],FALSE),"ошибка")),"")</f>
        <v/>
      </c>
      <c r="R63"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63" s="212">
        <f ca="1">IFERROR(IF(AND(Критерий[[#This Row],[ВидКритерий]]="Критерий",IFERROR(SEARCH("Приведение",Критерий[[#This Row],[Фкритерий]]),0)&gt;0),1,-1),-1)</f>
        <v>-1</v>
      </c>
      <c r="U63" s="223" t="str">
        <f ca="1">IF(AND(Свёртка[[#This Row],[Свёртка]]&lt;&gt;"",Свёртка[[#This Row],[O.K.Свёртка]]=1),ROW()-ROW(Свёртка[[#Headers],[№]]),"")</f>
        <v/>
      </c>
      <c r="V63" s="84"/>
      <c r="W63"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63" s="208" t="str">
        <f ca="1">IFERROR(_xlfn.FORMULATEXT(INDIRECT(Свёртка[[#This Row],[ССвёртка]],FALSE)),"ошибка")</f>
        <v>ошибка</v>
      </c>
      <c r="Y63" s="208" t="str">
        <f ca="1">IFERROR(IF(IFERROR(SEARCH("Прив",Свёртка[[#This Row],[ФСвёртка]]),0)&gt;0,"ошибка",IF(IFERROR(SEARCH("Матр",Свёртка[[#This Row],[ФСвёртка]]),0)&gt;0,"Свёртка","ошибка")),"ошибка")</f>
        <v>ошибка</v>
      </c>
      <c r="Z63" s="208" t="str">
        <f ca="1">IFERROR(IF(LEN((INDIRECT(Свёртка[[#This Row],[СНаименование]],FALSE)))=0,"ошибка",IFERROR(INDIRECT(Свёртка[[#This Row],[СНаименование]],FALSE),"ошибка")),"ошибка")</f>
        <v>ошибка</v>
      </c>
      <c r="AA63"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63" s="212">
        <f ca="1">IF(Свёртка[[#This Row],[ВидСвёртка]]="Свёртка",1,-1)</f>
        <v>-1</v>
      </c>
      <c r="AG63" s="66">
        <f>IF(AND(Множество[[#This Row],[Y]]=1),ROW()-ROW(Множество[[#Headers],[№]]),"")</f>
        <v>54</v>
      </c>
      <c r="AH63" t="s">
        <v>608</v>
      </c>
      <c r="AI63" s="66">
        <v>1</v>
      </c>
      <c r="AJ63" s="66">
        <f>IF(LEN(Множество[[#This Row],[Свёртка]])&gt;0,1,-1)</f>
        <v>1</v>
      </c>
      <c r="AK63" s="66" t="s">
        <v>1781</v>
      </c>
      <c r="AL63" s="66">
        <f>IF(LEN(Множество[[#This Row],[Критерии]])&gt;0,1,-1)</f>
        <v>1</v>
      </c>
      <c r="AM63" s="66">
        <f>IF(AND(LEN(Множество[[#This Row],[Свёртка]])&gt;0,LEN(Множество[[#This Row],[Критерии]])&gt;0,LEN(Множество[[#This Row],[Оценки]])&gt;0),1,-1)</f>
        <v>1</v>
      </c>
      <c r="AN63">
        <v>4.4249999999999998</v>
      </c>
      <c r="AO63">
        <v>-13.8333333333333</v>
      </c>
      <c r="AP63" s="208"/>
      <c r="AQ63" s="208"/>
      <c r="AR63" s="226"/>
      <c r="AS63" s="225"/>
      <c r="AT63" s="226"/>
      <c r="AU63" s="225"/>
      <c r="AV63" s="225"/>
      <c r="AW63" s="225"/>
      <c r="AX63" s="225"/>
      <c r="AY63" s="225"/>
    </row>
    <row r="64" spans="2:51" x14ac:dyDescent="0.25">
      <c r="B64" s="209" t="str">
        <f ca="1">IF(AND(Критерий[[#This Row],[Критерий]]&lt;&gt;"",Критерий[[#This Row],[O.K.Критерий]]=1),ROW()-ROW(Критерий[[#Headers],[№]]),"")</f>
        <v/>
      </c>
      <c r="C64" s="84"/>
      <c r="D64"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64" s="208" t="str">
        <f ca="1">IFERROR(IF(IFERROR(SEARCH("Прив",Критерий[[#This Row],[Фкритерий]]),0)&gt;0,"Критерий",IF(IFERROR(SEARCH("Матр",Критерий[[#This Row],[Фкритерий]]),0)&gt;0,"ошибка","ошибка")),"ошибка")</f>
        <v>ошибка</v>
      </c>
      <c r="F64" s="224" t="str">
        <f ca="1">IFERROR(IF(LEN((INDIRECT(Критерий[[#This Row],[СНаименование]],FALSE)))=0,"ошибка",IFERROR(INDIRECT(Критерий[[#This Row],[СНаименование]],FALSE),"ошибка")),"ошибка")</f>
        <v>ошибка</v>
      </c>
      <c r="G6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64" s="208" t="str">
        <f ca="1">IFERROR(IF(N(INDIRECT(Критерий[[#This Row],[СФизКритерий]],FALSE))=0,"ошибка",IFERROR(INDIRECT(Критерий[[#This Row],[СФизКритерий]],FALSE),"ошибка")),"ошибка")</f>
        <v>ошибка</v>
      </c>
      <c r="I6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64"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6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64" s="208" t="str">
        <f ca="1">IFERROR(_xlfn.FORMULATEXT(INDIRECT(Критерий[[#This Row],[Скритерий]],FALSE)),"ошибка")</f>
        <v>ошибка</v>
      </c>
      <c r="M64" s="208" t="str">
        <f ca="1">IFERROR(IF(N(INDIRECT(Критерий[[#This Row],[СМинФизКритерий]],FALSE))=0,"ошибка",IFERROR(INDIRECT(Критерий[[#This Row],[СМинФизКритерий]],FALSE),"ошибка")),"ошибка")</f>
        <v>ошибка</v>
      </c>
      <c r="N6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64" s="208" t="str">
        <f ca="1">IFERROR(IF(N(INDIRECT(Критерий[[#This Row],[СМаксФизКритерий]],FALSE))=0,"ошибка",IFERROR(INDIRECT(Критерий[[#This Row],[СМаксФизКритерий]],FALSE),"ошибка")),"ошибка")</f>
        <v>ошибка</v>
      </c>
      <c r="P6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64" s="208" t="str">
        <f ca="1">IFERROR(IF(N(INDIRECT(Критерий[[#This Row],[ССрФизКритерий]],FALSE))=0,"ошибка",IFERROR(INDIRECT(Критерий[[#This Row],[ССрФизКритерий]],FALSE),"ошибка")),"")</f>
        <v/>
      </c>
      <c r="R64"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64" s="212">
        <f ca="1">IFERROR(IF(AND(Критерий[[#This Row],[ВидКритерий]]="Критерий",IFERROR(SEARCH("Приведение",Критерий[[#This Row],[Фкритерий]]),0)&gt;0),1,-1),-1)</f>
        <v>-1</v>
      </c>
      <c r="U64" s="223" t="str">
        <f ca="1">IF(AND(Свёртка[[#This Row],[Свёртка]]&lt;&gt;"",Свёртка[[#This Row],[O.K.Свёртка]]=1),ROW()-ROW(Свёртка[[#Headers],[№]]),"")</f>
        <v/>
      </c>
      <c r="V64" s="84"/>
      <c r="W64"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64" s="208" t="str">
        <f ca="1">IFERROR(_xlfn.FORMULATEXT(INDIRECT(Свёртка[[#This Row],[ССвёртка]],FALSE)),"ошибка")</f>
        <v>ошибка</v>
      </c>
      <c r="Y64" s="208" t="str">
        <f ca="1">IFERROR(IF(IFERROR(SEARCH("Прив",Свёртка[[#This Row],[ФСвёртка]]),0)&gt;0,"ошибка",IF(IFERROR(SEARCH("Матр",Свёртка[[#This Row],[ФСвёртка]]),0)&gt;0,"Свёртка","ошибка")),"ошибка")</f>
        <v>ошибка</v>
      </c>
      <c r="Z64" s="208" t="str">
        <f ca="1">IFERROR(IF(LEN((INDIRECT(Свёртка[[#This Row],[СНаименование]],FALSE)))=0,"ошибка",IFERROR(INDIRECT(Свёртка[[#This Row],[СНаименование]],FALSE),"ошибка")),"ошибка")</f>
        <v>ошибка</v>
      </c>
      <c r="AA64"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64" s="212">
        <f ca="1">IF(Свёртка[[#This Row],[ВидСвёртка]]="Свёртка",1,-1)</f>
        <v>-1</v>
      </c>
      <c r="AG64" s="66">
        <f>IF(AND(Множество[[#This Row],[Y]]=1),ROW()-ROW(Множество[[#Headers],[№]]),"")</f>
        <v>55</v>
      </c>
      <c r="AH64" t="s">
        <v>608</v>
      </c>
      <c r="AI64" s="66">
        <v>1</v>
      </c>
      <c r="AJ64" s="66">
        <f>IF(LEN(Множество[[#This Row],[Свёртка]])&gt;0,1,-1)</f>
        <v>1</v>
      </c>
      <c r="AK64" s="66" t="s">
        <v>1781</v>
      </c>
      <c r="AL64" s="66">
        <f>IF(LEN(Множество[[#This Row],[Критерии]])&gt;0,1,-1)</f>
        <v>1</v>
      </c>
      <c r="AM64" s="66">
        <f>IF(AND(LEN(Множество[[#This Row],[Свёртка]])&gt;0,LEN(Множество[[#This Row],[Критерии]])&gt;0,LEN(Множество[[#This Row],[Оценки]])&gt;0),1,-1)</f>
        <v>1</v>
      </c>
      <c r="AN64">
        <v>4.3666666666666698</v>
      </c>
      <c r="AO64">
        <v>-13.85</v>
      </c>
      <c r="AP64" s="208"/>
      <c r="AQ64" s="208"/>
      <c r="AR64" s="226"/>
      <c r="AS64" s="225"/>
      <c r="AT64" s="226"/>
      <c r="AU64" s="225"/>
      <c r="AV64" s="225"/>
      <c r="AW64" s="225"/>
      <c r="AX64" s="225"/>
      <c r="AY64" s="225"/>
    </row>
    <row r="65" spans="2:51" x14ac:dyDescent="0.25">
      <c r="B65" s="209" t="str">
        <f ca="1">IF(AND(Критерий[[#This Row],[Критерий]]&lt;&gt;"",Критерий[[#This Row],[O.K.Критерий]]=1),ROW()-ROW(Критерий[[#Headers],[№]]),"")</f>
        <v/>
      </c>
      <c r="C65" s="84"/>
      <c r="D65"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65" s="208" t="str">
        <f ca="1">IFERROR(IF(IFERROR(SEARCH("Прив",Критерий[[#This Row],[Фкритерий]]),0)&gt;0,"Критерий",IF(IFERROR(SEARCH("Матр",Критерий[[#This Row],[Фкритерий]]),0)&gt;0,"ошибка","ошибка")),"ошибка")</f>
        <v>ошибка</v>
      </c>
      <c r="F65" s="224" t="str">
        <f ca="1">IFERROR(IF(LEN((INDIRECT(Критерий[[#This Row],[СНаименование]],FALSE)))=0,"ошибка",IFERROR(INDIRECT(Критерий[[#This Row],[СНаименование]],FALSE),"ошибка")),"ошибка")</f>
        <v>ошибка</v>
      </c>
      <c r="G6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65" s="208" t="str">
        <f ca="1">IFERROR(IF(N(INDIRECT(Критерий[[#This Row],[СФизКритерий]],FALSE))=0,"ошибка",IFERROR(INDIRECT(Критерий[[#This Row],[СФизКритерий]],FALSE),"ошибка")),"ошибка")</f>
        <v>ошибка</v>
      </c>
      <c r="I6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65"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6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65" s="208" t="str">
        <f ca="1">IFERROR(_xlfn.FORMULATEXT(INDIRECT(Критерий[[#This Row],[Скритерий]],FALSE)),"ошибка")</f>
        <v>ошибка</v>
      </c>
      <c r="M65" s="208" t="str">
        <f ca="1">IFERROR(IF(N(INDIRECT(Критерий[[#This Row],[СМинФизКритерий]],FALSE))=0,"ошибка",IFERROR(INDIRECT(Критерий[[#This Row],[СМинФизКритерий]],FALSE),"ошибка")),"ошибка")</f>
        <v>ошибка</v>
      </c>
      <c r="N6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65" s="208" t="str">
        <f ca="1">IFERROR(IF(N(INDIRECT(Критерий[[#This Row],[СМаксФизКритерий]],FALSE))=0,"ошибка",IFERROR(INDIRECT(Критерий[[#This Row],[СМаксФизКритерий]],FALSE),"ошибка")),"ошибка")</f>
        <v>ошибка</v>
      </c>
      <c r="P6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65" s="208" t="str">
        <f ca="1">IFERROR(IF(N(INDIRECT(Критерий[[#This Row],[ССрФизКритерий]],FALSE))=0,"ошибка",IFERROR(INDIRECT(Критерий[[#This Row],[ССрФизКритерий]],FALSE),"ошибка")),"")</f>
        <v/>
      </c>
      <c r="R65"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65" s="212">
        <f ca="1">IFERROR(IF(AND(Критерий[[#This Row],[ВидКритерий]]="Критерий",IFERROR(SEARCH("Приведение",Критерий[[#This Row],[Фкритерий]]),0)&gt;0),1,-1),-1)</f>
        <v>-1</v>
      </c>
      <c r="U65" s="223" t="str">
        <f ca="1">IF(AND(Свёртка[[#This Row],[Свёртка]]&lt;&gt;"",Свёртка[[#This Row],[O.K.Свёртка]]=1),ROW()-ROW(Свёртка[[#Headers],[№]]),"")</f>
        <v/>
      </c>
      <c r="V65" s="84"/>
      <c r="W65"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65" s="208" t="str">
        <f ca="1">IFERROR(_xlfn.FORMULATEXT(INDIRECT(Свёртка[[#This Row],[ССвёртка]],FALSE)),"ошибка")</f>
        <v>ошибка</v>
      </c>
      <c r="Y65" s="208" t="str">
        <f ca="1">IFERROR(IF(IFERROR(SEARCH("Прив",Свёртка[[#This Row],[ФСвёртка]]),0)&gt;0,"ошибка",IF(IFERROR(SEARCH("Матр",Свёртка[[#This Row],[ФСвёртка]]),0)&gt;0,"Свёртка","ошибка")),"ошибка")</f>
        <v>ошибка</v>
      </c>
      <c r="Z65" s="208" t="str">
        <f ca="1">IFERROR(IF(LEN((INDIRECT(Свёртка[[#This Row],[СНаименование]],FALSE)))=0,"ошибка",IFERROR(INDIRECT(Свёртка[[#This Row],[СНаименование]],FALSE),"ошибка")),"ошибка")</f>
        <v>ошибка</v>
      </c>
      <c r="AA65"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65" s="212">
        <f ca="1">IF(Свёртка[[#This Row],[ВидСвёртка]]="Свёртка",1,-1)</f>
        <v>-1</v>
      </c>
      <c r="AG65" s="66">
        <f>IF(AND(Множество[[#This Row],[Y]]=1),ROW()-ROW(Множество[[#Headers],[№]]),"")</f>
        <v>56</v>
      </c>
      <c r="AH65" t="s">
        <v>608</v>
      </c>
      <c r="AI65" s="66">
        <v>1</v>
      </c>
      <c r="AJ65" s="66">
        <f>IF(LEN(Множество[[#This Row],[Свёртка]])&gt;0,1,-1)</f>
        <v>1</v>
      </c>
      <c r="AK65" s="66" t="s">
        <v>1781</v>
      </c>
      <c r="AL65" s="66">
        <f>IF(LEN(Множество[[#This Row],[Критерии]])&gt;0,1,-1)</f>
        <v>1</v>
      </c>
      <c r="AM65" s="66">
        <f>IF(AND(LEN(Множество[[#This Row],[Свёртка]])&gt;0,LEN(Множество[[#This Row],[Критерии]])&gt;0,LEN(Множество[[#This Row],[Оценки]])&gt;0),1,-1)</f>
        <v>1</v>
      </c>
      <c r="AN65">
        <v>4.30833333333333</v>
      </c>
      <c r="AO65">
        <v>-13.866666666666699</v>
      </c>
      <c r="AP65" s="208"/>
      <c r="AQ65" s="208"/>
      <c r="AR65" s="226"/>
      <c r="AS65" s="225"/>
      <c r="AT65" s="226"/>
      <c r="AU65" s="225"/>
      <c r="AV65" s="225"/>
      <c r="AW65" s="225"/>
      <c r="AX65" s="225"/>
      <c r="AY65" s="225"/>
    </row>
    <row r="66" spans="2:51" x14ac:dyDescent="0.25">
      <c r="B66" s="209" t="str">
        <f ca="1">IF(AND(Критерий[[#This Row],[Критерий]]&lt;&gt;"",Критерий[[#This Row],[O.K.Критерий]]=1),ROW()-ROW(Критерий[[#Headers],[№]]),"")</f>
        <v/>
      </c>
      <c r="C66" s="84"/>
      <c r="D66"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66" s="208" t="str">
        <f ca="1">IFERROR(IF(IFERROR(SEARCH("Прив",Критерий[[#This Row],[Фкритерий]]),0)&gt;0,"Критерий",IF(IFERROR(SEARCH("Матр",Критерий[[#This Row],[Фкритерий]]),0)&gt;0,"ошибка","ошибка")),"ошибка")</f>
        <v>ошибка</v>
      </c>
      <c r="F66" s="224" t="str">
        <f ca="1">IFERROR(IF(LEN((INDIRECT(Критерий[[#This Row],[СНаименование]],FALSE)))=0,"ошибка",IFERROR(INDIRECT(Критерий[[#This Row],[СНаименование]],FALSE),"ошибка")),"ошибка")</f>
        <v>ошибка</v>
      </c>
      <c r="G6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66" s="208" t="str">
        <f ca="1">IFERROR(IF(N(INDIRECT(Критерий[[#This Row],[СФизКритерий]],FALSE))=0,"ошибка",IFERROR(INDIRECT(Критерий[[#This Row],[СФизКритерий]],FALSE),"ошибка")),"ошибка")</f>
        <v>ошибка</v>
      </c>
      <c r="I6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66"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6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66" s="208" t="str">
        <f ca="1">IFERROR(_xlfn.FORMULATEXT(INDIRECT(Критерий[[#This Row],[Скритерий]],FALSE)),"ошибка")</f>
        <v>ошибка</v>
      </c>
      <c r="M66" s="208" t="str">
        <f ca="1">IFERROR(IF(N(INDIRECT(Критерий[[#This Row],[СМинФизКритерий]],FALSE))=0,"ошибка",IFERROR(INDIRECT(Критерий[[#This Row],[СМинФизКритерий]],FALSE),"ошибка")),"ошибка")</f>
        <v>ошибка</v>
      </c>
      <c r="N6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66" s="208" t="str">
        <f ca="1">IFERROR(IF(N(INDIRECT(Критерий[[#This Row],[СМаксФизКритерий]],FALSE))=0,"ошибка",IFERROR(INDIRECT(Критерий[[#This Row],[СМаксФизКритерий]],FALSE),"ошибка")),"ошибка")</f>
        <v>ошибка</v>
      </c>
      <c r="P6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66" s="208" t="str">
        <f ca="1">IFERROR(IF(N(INDIRECT(Критерий[[#This Row],[ССрФизКритерий]],FALSE))=0,"ошибка",IFERROR(INDIRECT(Критерий[[#This Row],[ССрФизКритерий]],FALSE),"ошибка")),"")</f>
        <v/>
      </c>
      <c r="R66"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66" s="212">
        <f ca="1">IFERROR(IF(AND(Критерий[[#This Row],[ВидКритерий]]="Критерий",IFERROR(SEARCH("Приведение",Критерий[[#This Row],[Фкритерий]]),0)&gt;0),1,-1),-1)</f>
        <v>-1</v>
      </c>
      <c r="U66" s="222" t="str">
        <f ca="1">IF(AND(Свёртка[[#This Row],[Свёртка]]&lt;&gt;"",Свёртка[[#This Row],[O.K.Свёртка]]=1),ROW()-ROW(Свёртка[[#Headers],[№]]),"")</f>
        <v/>
      </c>
      <c r="V66" s="84"/>
      <c r="W66"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66" s="208" t="str">
        <f ca="1">IFERROR(_xlfn.FORMULATEXT(INDIRECT(Свёртка[[#This Row],[ССвёртка]],FALSE)),"ошибка")</f>
        <v>ошибка</v>
      </c>
      <c r="Y66" s="208" t="str">
        <f ca="1">IFERROR(IF(IFERROR(SEARCH("Прив",Свёртка[[#This Row],[ФСвёртка]]),0)&gt;0,"ошибка",IF(IFERROR(SEARCH("Матр",Свёртка[[#This Row],[ФСвёртка]]),0)&gt;0,"Свёртка","ошибка")),"ошибка")</f>
        <v>ошибка</v>
      </c>
      <c r="Z66" s="208" t="str">
        <f ca="1">IFERROR(IF(LEN((INDIRECT(Свёртка[[#This Row],[СНаименование]],FALSE)))=0,"ошибка",IFERROR(INDIRECT(Свёртка[[#This Row],[СНаименование]],FALSE),"ошибка")),"ошибка")</f>
        <v>ошибка</v>
      </c>
      <c r="AA66"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66" s="212">
        <f ca="1">IF(Свёртка[[#This Row],[ВидСвёртка]]="Свёртка",1,-1)</f>
        <v>-1</v>
      </c>
      <c r="AG66" s="66">
        <f>IF(AND(Множество[[#This Row],[Y]]=1),ROW()-ROW(Множество[[#Headers],[№]]),"")</f>
        <v>57</v>
      </c>
      <c r="AH66" t="s">
        <v>608</v>
      </c>
      <c r="AI66" s="66">
        <v>1</v>
      </c>
      <c r="AJ66" s="66">
        <f>IF(LEN(Множество[[#This Row],[Свёртка]])&gt;0,1,-1)</f>
        <v>1</v>
      </c>
      <c r="AK66" s="66" t="s">
        <v>1781</v>
      </c>
      <c r="AL66" s="66">
        <f>IF(LEN(Множество[[#This Row],[Критерии]])&gt;0,1,-1)</f>
        <v>1</v>
      </c>
      <c r="AM66" s="66">
        <f>IF(AND(LEN(Множество[[#This Row],[Свёртка]])&gt;0,LEN(Множество[[#This Row],[Критерии]])&gt;0,LEN(Множество[[#This Row],[Оценки]])&gt;0),1,-1)</f>
        <v>1</v>
      </c>
      <c r="AN66">
        <v>4.25</v>
      </c>
      <c r="AO66">
        <v>-13.9</v>
      </c>
      <c r="AP66" s="208"/>
      <c r="AQ66" s="208"/>
      <c r="AR66" s="226"/>
      <c r="AS66" s="225"/>
      <c r="AT66" s="226"/>
      <c r="AU66" s="225"/>
      <c r="AV66" s="225"/>
      <c r="AW66" s="225"/>
      <c r="AX66" s="225"/>
      <c r="AY66" s="225"/>
    </row>
    <row r="67" spans="2:51" x14ac:dyDescent="0.25">
      <c r="B67" s="209" t="str">
        <f ca="1">IF(AND(Критерий[[#This Row],[Критерий]]&lt;&gt;"",Критерий[[#This Row],[O.K.Критерий]]=1),ROW()-ROW(Критерий[[#Headers],[№]]),"")</f>
        <v/>
      </c>
      <c r="C67" s="84"/>
      <c r="D67"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67" s="208" t="str">
        <f ca="1">IFERROR(IF(IFERROR(SEARCH("Прив",Критерий[[#This Row],[Фкритерий]]),0)&gt;0,"Критерий",IF(IFERROR(SEARCH("Матр",Критерий[[#This Row],[Фкритерий]]),0)&gt;0,"ошибка","ошибка")),"ошибка")</f>
        <v>ошибка</v>
      </c>
      <c r="F67" s="224" t="str">
        <f ca="1">IFERROR(IF(LEN((INDIRECT(Критерий[[#This Row],[СНаименование]],FALSE)))=0,"ошибка",IFERROR(INDIRECT(Критерий[[#This Row],[СНаименование]],FALSE),"ошибка")),"ошибка")</f>
        <v>ошибка</v>
      </c>
      <c r="G6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67" s="208" t="str">
        <f ca="1">IFERROR(IF(N(INDIRECT(Критерий[[#This Row],[СФизКритерий]],FALSE))=0,"ошибка",IFERROR(INDIRECT(Критерий[[#This Row],[СФизКритерий]],FALSE),"ошибка")),"ошибка")</f>
        <v>ошибка</v>
      </c>
      <c r="I6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67"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6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67" s="208" t="str">
        <f ca="1">IFERROR(_xlfn.FORMULATEXT(INDIRECT(Критерий[[#This Row],[Скритерий]],FALSE)),"ошибка")</f>
        <v>ошибка</v>
      </c>
      <c r="M67" s="208" t="str">
        <f ca="1">IFERROR(IF(N(INDIRECT(Критерий[[#This Row],[СМинФизКритерий]],FALSE))=0,"ошибка",IFERROR(INDIRECT(Критерий[[#This Row],[СМинФизКритерий]],FALSE),"ошибка")),"ошибка")</f>
        <v>ошибка</v>
      </c>
      <c r="N6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67" s="208" t="str">
        <f ca="1">IFERROR(IF(N(INDIRECT(Критерий[[#This Row],[СМаксФизКритерий]],FALSE))=0,"ошибка",IFERROR(INDIRECT(Критерий[[#This Row],[СМаксФизКритерий]],FALSE),"ошибка")),"ошибка")</f>
        <v>ошибка</v>
      </c>
      <c r="P6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67" s="208" t="str">
        <f ca="1">IFERROR(IF(N(INDIRECT(Критерий[[#This Row],[ССрФизКритерий]],FALSE))=0,"ошибка",IFERROR(INDIRECT(Критерий[[#This Row],[ССрФизКритерий]],FALSE),"ошибка")),"")</f>
        <v/>
      </c>
      <c r="R67"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67" s="212">
        <f ca="1">IFERROR(IF(AND(Критерий[[#This Row],[ВидКритерий]]="Критерий",IFERROR(SEARCH("Приведение",Критерий[[#This Row],[Фкритерий]]),0)&gt;0),1,-1),-1)</f>
        <v>-1</v>
      </c>
      <c r="AG67" s="66">
        <f>IF(AND(Множество[[#This Row],[Y]]=1),ROW()-ROW(Множество[[#Headers],[№]]),"")</f>
        <v>58</v>
      </c>
      <c r="AH67" t="s">
        <v>608</v>
      </c>
      <c r="AI67" s="66">
        <v>1</v>
      </c>
      <c r="AJ67" s="66">
        <f>IF(LEN(Множество[[#This Row],[Свёртка]])&gt;0,1,-1)</f>
        <v>1</v>
      </c>
      <c r="AK67" s="66" t="s">
        <v>1781</v>
      </c>
      <c r="AL67" s="66">
        <f>IF(LEN(Множество[[#This Row],[Критерии]])&gt;0,1,-1)</f>
        <v>1</v>
      </c>
      <c r="AM67" s="66">
        <f>IF(AND(LEN(Множество[[#This Row],[Свёртка]])&gt;0,LEN(Множество[[#This Row],[Критерии]])&gt;0,LEN(Множество[[#This Row],[Оценки]])&gt;0),1,-1)</f>
        <v>1</v>
      </c>
      <c r="AN67">
        <v>4.19166666666667</v>
      </c>
      <c r="AO67">
        <v>-13.9166666666667</v>
      </c>
      <c r="AP67" s="208"/>
      <c r="AQ67" s="208"/>
      <c r="AR67" s="226"/>
      <c r="AS67" s="225"/>
      <c r="AT67" s="226"/>
      <c r="AU67" s="225"/>
      <c r="AV67" s="225"/>
      <c r="AW67" s="225"/>
      <c r="AX67" s="225"/>
      <c r="AY67" s="225"/>
    </row>
    <row r="68" spans="2:51" x14ac:dyDescent="0.25">
      <c r="B68" s="209" t="str">
        <f ca="1">IF(AND(Критерий[[#This Row],[Критерий]]&lt;&gt;"",Критерий[[#This Row],[O.K.Критерий]]=1),ROW()-ROW(Критерий[[#Headers],[№]]),"")</f>
        <v/>
      </c>
      <c r="C68" s="84"/>
      <c r="D68"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68" s="208" t="str">
        <f ca="1">IFERROR(IF(IFERROR(SEARCH("Прив",Критерий[[#This Row],[Фкритерий]]),0)&gt;0,"Критерий",IF(IFERROR(SEARCH("Матр",Критерий[[#This Row],[Фкритерий]]),0)&gt;0,"ошибка","ошибка")),"ошибка")</f>
        <v>ошибка</v>
      </c>
      <c r="F68" s="224" t="str">
        <f ca="1">IFERROR(IF(LEN((INDIRECT(Критерий[[#This Row],[СНаименование]],FALSE)))=0,"ошибка",IFERROR(INDIRECT(Критерий[[#This Row],[СНаименование]],FALSE),"ошибка")),"ошибка")</f>
        <v>ошибка</v>
      </c>
      <c r="G6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68" s="208" t="str">
        <f ca="1">IFERROR(IF(N(INDIRECT(Критерий[[#This Row],[СФизКритерий]],FALSE))=0,"ошибка",IFERROR(INDIRECT(Критерий[[#This Row],[СФизКритерий]],FALSE),"ошибка")),"ошибка")</f>
        <v>ошибка</v>
      </c>
      <c r="I6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68"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6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68" s="208" t="str">
        <f ca="1">IFERROR(_xlfn.FORMULATEXT(INDIRECT(Критерий[[#This Row],[Скритерий]],FALSE)),"ошибка")</f>
        <v>ошибка</v>
      </c>
      <c r="M68" s="208" t="str">
        <f ca="1">IFERROR(IF(N(INDIRECT(Критерий[[#This Row],[СМинФизКритерий]],FALSE))=0,"ошибка",IFERROR(INDIRECT(Критерий[[#This Row],[СМинФизКритерий]],FALSE),"ошибка")),"ошибка")</f>
        <v>ошибка</v>
      </c>
      <c r="N6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68" s="208" t="str">
        <f ca="1">IFERROR(IF(N(INDIRECT(Критерий[[#This Row],[СМаксФизКритерий]],FALSE))=0,"ошибка",IFERROR(INDIRECT(Критерий[[#This Row],[СМаксФизКритерий]],FALSE),"ошибка")),"ошибка")</f>
        <v>ошибка</v>
      </c>
      <c r="P6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68" s="208" t="str">
        <f ca="1">IFERROR(IF(N(INDIRECT(Критерий[[#This Row],[ССрФизКритерий]],FALSE))=0,"ошибка",IFERROR(INDIRECT(Критерий[[#This Row],[ССрФизКритерий]],FALSE),"ошибка")),"")</f>
        <v/>
      </c>
      <c r="R68"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68" s="212">
        <f ca="1">IFERROR(IF(AND(Критерий[[#This Row],[ВидКритерий]]="Критерий",IFERROR(SEARCH("Приведение",Критерий[[#This Row],[Фкритерий]]),0)&gt;0),1,-1),-1)</f>
        <v>-1</v>
      </c>
      <c r="AG68" s="66">
        <f>IF(AND(Множество[[#This Row],[Y]]=1),ROW()-ROW(Множество[[#Headers],[№]]),"")</f>
        <v>59</v>
      </c>
      <c r="AH68" t="s">
        <v>608</v>
      </c>
      <c r="AI68" s="66">
        <v>1</v>
      </c>
      <c r="AJ68" s="66">
        <f>IF(LEN(Множество[[#This Row],[Свёртка]])&gt;0,1,-1)</f>
        <v>1</v>
      </c>
      <c r="AK68" s="66" t="s">
        <v>1781</v>
      </c>
      <c r="AL68" s="66">
        <f>IF(LEN(Множество[[#This Row],[Критерии]])&gt;0,1,-1)</f>
        <v>1</v>
      </c>
      <c r="AM68" s="66">
        <f>IF(AND(LEN(Множество[[#This Row],[Свёртка]])&gt;0,LEN(Множество[[#This Row],[Критерии]])&gt;0,LEN(Множество[[#This Row],[Оценки]])&gt;0),1,-1)</f>
        <v>1</v>
      </c>
      <c r="AN68">
        <v>4.1333333333333302</v>
      </c>
      <c r="AO68">
        <v>-13.9333333333333</v>
      </c>
      <c r="AP68" s="208"/>
      <c r="AQ68" s="208"/>
      <c r="AR68" s="226"/>
      <c r="AS68" s="225"/>
      <c r="AT68" s="226"/>
      <c r="AU68" s="225"/>
      <c r="AV68" s="225"/>
      <c r="AW68" s="225"/>
      <c r="AX68" s="225"/>
      <c r="AY68" s="225"/>
    </row>
    <row r="69" spans="2:51" x14ac:dyDescent="0.25">
      <c r="B69" s="209" t="str">
        <f ca="1">IF(AND(Критерий[[#This Row],[Критерий]]&lt;&gt;"",Критерий[[#This Row],[O.K.Критерий]]=1),ROW()-ROW(Критерий[[#Headers],[№]]),"")</f>
        <v/>
      </c>
      <c r="C69" s="84"/>
      <c r="D69"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69" s="208" t="str">
        <f ca="1">IFERROR(IF(IFERROR(SEARCH("Прив",Критерий[[#This Row],[Фкритерий]]),0)&gt;0,"Критерий",IF(IFERROR(SEARCH("Матр",Критерий[[#This Row],[Фкритерий]]),0)&gt;0,"ошибка","ошибка")),"ошибка")</f>
        <v>ошибка</v>
      </c>
      <c r="F69" s="224" t="str">
        <f ca="1">IFERROR(IF(LEN((INDIRECT(Критерий[[#This Row],[СНаименование]],FALSE)))=0,"ошибка",IFERROR(INDIRECT(Критерий[[#This Row],[СНаименование]],FALSE),"ошибка")),"ошибка")</f>
        <v>ошибка</v>
      </c>
      <c r="G6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69" s="208" t="str">
        <f ca="1">IFERROR(IF(N(INDIRECT(Критерий[[#This Row],[СФизКритерий]],FALSE))=0,"ошибка",IFERROR(INDIRECT(Критерий[[#This Row],[СФизКритерий]],FALSE),"ошибка")),"ошибка")</f>
        <v>ошибка</v>
      </c>
      <c r="I6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69"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6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69" s="208" t="str">
        <f ca="1">IFERROR(_xlfn.FORMULATEXT(INDIRECT(Критерий[[#This Row],[Скритерий]],FALSE)),"ошибка")</f>
        <v>ошибка</v>
      </c>
      <c r="M69" s="208" t="str">
        <f ca="1">IFERROR(IF(N(INDIRECT(Критерий[[#This Row],[СМинФизКритерий]],FALSE))=0,"ошибка",IFERROR(INDIRECT(Критерий[[#This Row],[СМинФизКритерий]],FALSE),"ошибка")),"ошибка")</f>
        <v>ошибка</v>
      </c>
      <c r="N6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69" s="208" t="str">
        <f ca="1">IFERROR(IF(N(INDIRECT(Критерий[[#This Row],[СМаксФизКритерий]],FALSE))=0,"ошибка",IFERROR(INDIRECT(Критерий[[#This Row],[СМаксФизКритерий]],FALSE),"ошибка")),"ошибка")</f>
        <v>ошибка</v>
      </c>
      <c r="P6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69" s="208" t="str">
        <f ca="1">IFERROR(IF(N(INDIRECT(Критерий[[#This Row],[ССрФизКритерий]],FALSE))=0,"ошибка",IFERROR(INDIRECT(Критерий[[#This Row],[ССрФизКритерий]],FALSE),"ошибка")),"")</f>
        <v/>
      </c>
      <c r="R69"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69" s="212">
        <f ca="1">IFERROR(IF(AND(Критерий[[#This Row],[ВидКритерий]]="Критерий",IFERROR(SEARCH("Приведение",Критерий[[#This Row],[Фкритерий]]),0)&gt;0),1,-1),-1)</f>
        <v>-1</v>
      </c>
      <c r="AG69" s="66">
        <f>IF(AND(Множество[[#This Row],[Y]]=1),ROW()-ROW(Множество[[#Headers],[№]]),"")</f>
        <v>60</v>
      </c>
      <c r="AH69" t="s">
        <v>608</v>
      </c>
      <c r="AI69" s="66">
        <v>1</v>
      </c>
      <c r="AJ69" s="66">
        <f>IF(LEN(Множество[[#This Row],[Свёртка]])&gt;0,1,-1)</f>
        <v>1</v>
      </c>
      <c r="AK69" s="66" t="s">
        <v>1781</v>
      </c>
      <c r="AL69" s="66">
        <f>IF(LEN(Множество[[#This Row],[Критерии]])&gt;0,1,-1)</f>
        <v>1</v>
      </c>
      <c r="AM69" s="66">
        <f>IF(AND(LEN(Множество[[#This Row],[Свёртка]])&gt;0,LEN(Множество[[#This Row],[Критерии]])&gt;0,LEN(Множество[[#This Row],[Оценки]])&gt;0),1,-1)</f>
        <v>1</v>
      </c>
      <c r="AN69">
        <v>4.0750000000000002</v>
      </c>
      <c r="AO69">
        <v>-13.966666666666701</v>
      </c>
      <c r="AP69" s="208"/>
      <c r="AQ69" s="208"/>
      <c r="AR69" s="226"/>
      <c r="AS69" s="225"/>
      <c r="AT69" s="226"/>
      <c r="AU69" s="225"/>
      <c r="AV69" s="225"/>
      <c r="AW69" s="225"/>
      <c r="AX69" s="225"/>
      <c r="AY69" s="225"/>
    </row>
    <row r="70" spans="2:51" x14ac:dyDescent="0.25">
      <c r="B70" s="209" t="str">
        <f ca="1">IF(AND(Критерий[[#This Row],[Критерий]]&lt;&gt;"",Критерий[[#This Row],[O.K.Критерий]]=1),ROW()-ROW(Критерий[[#Headers],[№]]),"")</f>
        <v/>
      </c>
      <c r="C70" s="84"/>
      <c r="D70"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70" s="208" t="str">
        <f ca="1">IFERROR(IF(IFERROR(SEARCH("Прив",Критерий[[#This Row],[Фкритерий]]),0)&gt;0,"Критерий",IF(IFERROR(SEARCH("Матр",Критерий[[#This Row],[Фкритерий]]),0)&gt;0,"ошибка","ошибка")),"ошибка")</f>
        <v>ошибка</v>
      </c>
      <c r="F70" s="224" t="str">
        <f ca="1">IFERROR(IF(LEN((INDIRECT(Критерий[[#This Row],[СНаименование]],FALSE)))=0,"ошибка",IFERROR(INDIRECT(Критерий[[#This Row],[СНаименование]],FALSE),"ошибка")),"ошибка")</f>
        <v>ошибка</v>
      </c>
      <c r="G7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70" s="208" t="str">
        <f ca="1">IFERROR(IF(N(INDIRECT(Критерий[[#This Row],[СФизКритерий]],FALSE))=0,"ошибка",IFERROR(INDIRECT(Критерий[[#This Row],[СФизКритерий]],FALSE),"ошибка")),"ошибка")</f>
        <v>ошибка</v>
      </c>
      <c r="I7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70"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7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70" s="208" t="str">
        <f ca="1">IFERROR(_xlfn.FORMULATEXT(INDIRECT(Критерий[[#This Row],[Скритерий]],FALSE)),"ошибка")</f>
        <v>ошибка</v>
      </c>
      <c r="M70" s="208" t="str">
        <f ca="1">IFERROR(IF(N(INDIRECT(Критерий[[#This Row],[СМинФизКритерий]],FALSE))=0,"ошибка",IFERROR(INDIRECT(Критерий[[#This Row],[СМинФизКритерий]],FALSE),"ошибка")),"ошибка")</f>
        <v>ошибка</v>
      </c>
      <c r="N7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70" s="208" t="str">
        <f ca="1">IFERROR(IF(N(INDIRECT(Критерий[[#This Row],[СМаксФизКритерий]],FALSE))=0,"ошибка",IFERROR(INDIRECT(Критерий[[#This Row],[СМаксФизКритерий]],FALSE),"ошибка")),"ошибка")</f>
        <v>ошибка</v>
      </c>
      <c r="P7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70" s="208" t="str">
        <f ca="1">IFERROR(IF(N(INDIRECT(Критерий[[#This Row],[ССрФизКритерий]],FALSE))=0,"ошибка",IFERROR(INDIRECT(Критерий[[#This Row],[ССрФизКритерий]],FALSE),"ошибка")),"")</f>
        <v/>
      </c>
      <c r="R70"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70" s="212">
        <f ca="1">IFERROR(IF(AND(Критерий[[#This Row],[ВидКритерий]]="Критерий",IFERROR(SEARCH("Приведение",Критерий[[#This Row],[Фкритерий]]),0)&gt;0),1,-1),-1)</f>
        <v>-1</v>
      </c>
      <c r="AG70" s="66">
        <f>IF(AND(Множество[[#This Row],[Y]]=1),ROW()-ROW(Множество[[#Headers],[№]]),"")</f>
        <v>61</v>
      </c>
      <c r="AH70" t="s">
        <v>608</v>
      </c>
      <c r="AI70" s="66">
        <v>1</v>
      </c>
      <c r="AJ70" s="66">
        <f>IF(LEN(Множество[[#This Row],[Свёртка]])&gt;0,1,-1)</f>
        <v>1</v>
      </c>
      <c r="AK70" s="66" t="s">
        <v>1781</v>
      </c>
      <c r="AL70" s="66">
        <f>IF(LEN(Множество[[#This Row],[Критерии]])&gt;0,1,-1)</f>
        <v>1</v>
      </c>
      <c r="AM70" s="66">
        <f>IF(AND(LEN(Множество[[#This Row],[Свёртка]])&gt;0,LEN(Множество[[#This Row],[Критерии]])&gt;0,LEN(Множество[[#This Row],[Оценки]])&gt;0),1,-1)</f>
        <v>1</v>
      </c>
      <c r="AN70">
        <v>6.6416666666666702</v>
      </c>
      <c r="AO70">
        <v>-16.649999999999999</v>
      </c>
      <c r="AP70" s="208"/>
      <c r="AQ70" s="208"/>
      <c r="AR70" s="226"/>
      <c r="AS70" s="225"/>
      <c r="AT70" s="226"/>
      <c r="AU70" s="225"/>
      <c r="AV70" s="225"/>
      <c r="AW70" s="225"/>
      <c r="AX70" s="225"/>
      <c r="AY70" s="225"/>
    </row>
    <row r="71" spans="2:51" x14ac:dyDescent="0.25">
      <c r="B71" s="209" t="str">
        <f ca="1">IF(AND(Критерий[[#This Row],[Критерий]]&lt;&gt;"",Критерий[[#This Row],[O.K.Критерий]]=1),ROW()-ROW(Критерий[[#Headers],[№]]),"")</f>
        <v/>
      </c>
      <c r="C71" s="84"/>
      <c r="D71"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71" s="208" t="str">
        <f ca="1">IFERROR(IF(IFERROR(SEARCH("Прив",Критерий[[#This Row],[Фкритерий]]),0)&gt;0,"Критерий",IF(IFERROR(SEARCH("Матр",Критерий[[#This Row],[Фкритерий]]),0)&gt;0,"ошибка","ошибка")),"ошибка")</f>
        <v>ошибка</v>
      </c>
      <c r="F71" s="224" t="str">
        <f ca="1">IFERROR(IF(LEN((INDIRECT(Критерий[[#This Row],[СНаименование]],FALSE)))=0,"ошибка",IFERROR(INDIRECT(Критерий[[#This Row],[СНаименование]],FALSE),"ошибка")),"ошибка")</f>
        <v>ошибка</v>
      </c>
      <c r="G7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71" s="208" t="str">
        <f ca="1">IFERROR(IF(N(INDIRECT(Критерий[[#This Row],[СФизКритерий]],FALSE))=0,"ошибка",IFERROR(INDIRECT(Критерий[[#This Row],[СФизКритерий]],FALSE),"ошибка")),"ошибка")</f>
        <v>ошибка</v>
      </c>
      <c r="I7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71"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7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71" s="208" t="str">
        <f ca="1">IFERROR(_xlfn.FORMULATEXT(INDIRECT(Критерий[[#This Row],[Скритерий]],FALSE)),"ошибка")</f>
        <v>ошибка</v>
      </c>
      <c r="M71" s="208" t="str">
        <f ca="1">IFERROR(IF(N(INDIRECT(Критерий[[#This Row],[СМинФизКритерий]],FALSE))=0,"ошибка",IFERROR(INDIRECT(Критерий[[#This Row],[СМинФизКритерий]],FALSE),"ошибка")),"ошибка")</f>
        <v>ошибка</v>
      </c>
      <c r="N7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71" s="208" t="str">
        <f ca="1">IFERROR(IF(N(INDIRECT(Критерий[[#This Row],[СМаксФизКритерий]],FALSE))=0,"ошибка",IFERROR(INDIRECT(Критерий[[#This Row],[СМаксФизКритерий]],FALSE),"ошибка")),"ошибка")</f>
        <v>ошибка</v>
      </c>
      <c r="P7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71" s="208" t="str">
        <f ca="1">IFERROR(IF(N(INDIRECT(Критерий[[#This Row],[ССрФизКритерий]],FALSE))=0,"ошибка",IFERROR(INDIRECT(Критерий[[#This Row],[ССрФизКритерий]],FALSE),"ошибка")),"")</f>
        <v/>
      </c>
      <c r="R71"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71" s="212">
        <f ca="1">IFERROR(IF(AND(Критерий[[#This Row],[ВидКритерий]]="Критерий",IFERROR(SEARCH("Приведение",Критерий[[#This Row],[Фкритерий]]),0)&gt;0),1,-1),-1)</f>
        <v>-1</v>
      </c>
      <c r="AG71" s="66">
        <f>IF(AND(Множество[[#This Row],[Y]]=1),ROW()-ROW(Множество[[#Headers],[№]]),"")</f>
        <v>62</v>
      </c>
      <c r="AH71" t="s">
        <v>608</v>
      </c>
      <c r="AI71" s="66">
        <v>1</v>
      </c>
      <c r="AJ71" s="66">
        <f>IF(LEN(Множество[[#This Row],[Свёртка]])&gt;0,1,-1)</f>
        <v>1</v>
      </c>
      <c r="AK71" s="66" t="s">
        <v>1781</v>
      </c>
      <c r="AL71" s="66">
        <f>IF(LEN(Множество[[#This Row],[Критерии]])&gt;0,1,-1)</f>
        <v>1</v>
      </c>
      <c r="AM71" s="66">
        <f>IF(AND(LEN(Множество[[#This Row],[Свёртка]])&gt;0,LEN(Множество[[#This Row],[Критерии]])&gt;0,LEN(Множество[[#This Row],[Оценки]])&gt;0),1,-1)</f>
        <v>1</v>
      </c>
      <c r="AN71">
        <v>6.7</v>
      </c>
      <c r="AO71">
        <v>-16.6666666666667</v>
      </c>
      <c r="AP71" s="208"/>
      <c r="AQ71" s="208"/>
      <c r="AR71" s="226"/>
      <c r="AS71" s="225"/>
      <c r="AT71" s="226"/>
      <c r="AU71" s="225"/>
      <c r="AV71" s="225"/>
      <c r="AW71" s="225"/>
      <c r="AX71" s="225"/>
      <c r="AY71" s="225"/>
    </row>
    <row r="72" spans="2:51" x14ac:dyDescent="0.25">
      <c r="B72" s="209" t="str">
        <f ca="1">IF(AND(Критерий[[#This Row],[Критерий]]&lt;&gt;"",Критерий[[#This Row],[O.K.Критерий]]=1),ROW()-ROW(Критерий[[#Headers],[№]]),"")</f>
        <v/>
      </c>
      <c r="C72" s="84"/>
      <c r="D72"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72" s="208" t="str">
        <f ca="1">IFERROR(IF(IFERROR(SEARCH("Прив",Критерий[[#This Row],[Фкритерий]]),0)&gt;0,"Критерий",IF(IFERROR(SEARCH("Матр",Критерий[[#This Row],[Фкритерий]]),0)&gt;0,"ошибка","ошибка")),"ошибка")</f>
        <v>ошибка</v>
      </c>
      <c r="F72" s="224" t="str">
        <f ca="1">IFERROR(IF(LEN((INDIRECT(Критерий[[#This Row],[СНаименование]],FALSE)))=0,"ошибка",IFERROR(INDIRECT(Критерий[[#This Row],[СНаименование]],FALSE),"ошибка")),"ошибка")</f>
        <v>ошибка</v>
      </c>
      <c r="G7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72" s="208" t="str">
        <f ca="1">IFERROR(IF(N(INDIRECT(Критерий[[#This Row],[СФизКритерий]],FALSE))=0,"ошибка",IFERROR(INDIRECT(Критерий[[#This Row],[СФизКритерий]],FALSE),"ошибка")),"ошибка")</f>
        <v>ошибка</v>
      </c>
      <c r="I7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72"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7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72" s="208" t="str">
        <f ca="1">IFERROR(_xlfn.FORMULATEXT(INDIRECT(Критерий[[#This Row],[Скритерий]],FALSE)),"ошибка")</f>
        <v>ошибка</v>
      </c>
      <c r="M72" s="208" t="str">
        <f ca="1">IFERROR(IF(N(INDIRECT(Критерий[[#This Row],[СМинФизКритерий]],FALSE))=0,"ошибка",IFERROR(INDIRECT(Критерий[[#This Row],[СМинФизКритерий]],FALSE),"ошибка")),"ошибка")</f>
        <v>ошибка</v>
      </c>
      <c r="N7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72" s="208" t="str">
        <f ca="1">IFERROR(IF(N(INDIRECT(Критерий[[#This Row],[СМаксФизКритерий]],FALSE))=0,"ошибка",IFERROR(INDIRECT(Критерий[[#This Row],[СМаксФизКритерий]],FALSE),"ошибка")),"ошибка")</f>
        <v>ошибка</v>
      </c>
      <c r="P7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72" s="208" t="str">
        <f ca="1">IFERROR(IF(N(INDIRECT(Критерий[[#This Row],[ССрФизКритерий]],FALSE))=0,"ошибка",IFERROR(INDIRECT(Критерий[[#This Row],[ССрФизКритерий]],FALSE),"ошибка")),"")</f>
        <v/>
      </c>
      <c r="R72"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72" s="212">
        <f ca="1">IFERROR(IF(AND(Критерий[[#This Row],[ВидКритерий]]="Критерий",IFERROR(SEARCH("Приведение",Критерий[[#This Row],[Фкритерий]]),0)&gt;0),1,-1),-1)</f>
        <v>-1</v>
      </c>
      <c r="AG72" s="66">
        <f>IF(AND(Множество[[#This Row],[Y]]=1),ROW()-ROW(Множество[[#Headers],[№]]),"")</f>
        <v>63</v>
      </c>
      <c r="AH72" t="s">
        <v>608</v>
      </c>
      <c r="AI72" s="66">
        <v>1</v>
      </c>
      <c r="AJ72" s="66">
        <f>IF(LEN(Множество[[#This Row],[Свёртка]])&gt;0,1,-1)</f>
        <v>1</v>
      </c>
      <c r="AK72" s="66" t="s">
        <v>1781</v>
      </c>
      <c r="AL72" s="66">
        <f>IF(LEN(Множество[[#This Row],[Критерии]])&gt;0,1,-1)</f>
        <v>1</v>
      </c>
      <c r="AM72" s="66">
        <f>IF(AND(LEN(Множество[[#This Row],[Свёртка]])&gt;0,LEN(Множество[[#This Row],[Критерии]])&gt;0,LEN(Множество[[#This Row],[Оценки]])&gt;0),1,-1)</f>
        <v>1</v>
      </c>
      <c r="AN72">
        <v>3.9583333333333299</v>
      </c>
      <c r="AO72">
        <v>-14</v>
      </c>
      <c r="AP72" s="208"/>
      <c r="AQ72" s="208"/>
      <c r="AR72" s="226"/>
      <c r="AS72" s="225"/>
      <c r="AT72" s="226"/>
      <c r="AU72" s="225"/>
      <c r="AV72" s="225"/>
      <c r="AW72" s="225"/>
      <c r="AX72" s="225"/>
      <c r="AY72" s="225"/>
    </row>
    <row r="73" spans="2:51" x14ac:dyDescent="0.25">
      <c r="B73" s="209" t="str">
        <f ca="1">IF(AND(Критерий[[#This Row],[Критерий]]&lt;&gt;"",Критерий[[#This Row],[O.K.Критерий]]=1),ROW()-ROW(Критерий[[#Headers],[№]]),"")</f>
        <v/>
      </c>
      <c r="C73" s="84"/>
      <c r="D73"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73" s="208" t="str">
        <f ca="1">IFERROR(IF(IFERROR(SEARCH("Прив",Критерий[[#This Row],[Фкритерий]]),0)&gt;0,"Критерий",IF(IFERROR(SEARCH("Матр",Критерий[[#This Row],[Фкритерий]]),0)&gt;0,"ошибка","ошибка")),"ошибка")</f>
        <v>ошибка</v>
      </c>
      <c r="F73" s="224" t="str">
        <f ca="1">IFERROR(IF(LEN((INDIRECT(Критерий[[#This Row],[СНаименование]],FALSE)))=0,"ошибка",IFERROR(INDIRECT(Критерий[[#This Row],[СНаименование]],FALSE),"ошибка")),"ошибка")</f>
        <v>ошибка</v>
      </c>
      <c r="G7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73" s="208" t="str">
        <f ca="1">IFERROR(IF(N(INDIRECT(Критерий[[#This Row],[СФизКритерий]],FALSE))=0,"ошибка",IFERROR(INDIRECT(Критерий[[#This Row],[СФизКритерий]],FALSE),"ошибка")),"ошибка")</f>
        <v>ошибка</v>
      </c>
      <c r="I7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73"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7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73" s="208" t="str">
        <f ca="1">IFERROR(_xlfn.FORMULATEXT(INDIRECT(Критерий[[#This Row],[Скритерий]],FALSE)),"ошибка")</f>
        <v>ошибка</v>
      </c>
      <c r="M73" s="208" t="str">
        <f ca="1">IFERROR(IF(N(INDIRECT(Критерий[[#This Row],[СМинФизКритерий]],FALSE))=0,"ошибка",IFERROR(INDIRECT(Критерий[[#This Row],[СМинФизКритерий]],FALSE),"ошибка")),"ошибка")</f>
        <v>ошибка</v>
      </c>
      <c r="N7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73" s="208" t="str">
        <f ca="1">IFERROR(IF(N(INDIRECT(Критерий[[#This Row],[СМаксФизКритерий]],FALSE))=0,"ошибка",IFERROR(INDIRECT(Критерий[[#This Row],[СМаксФизКритерий]],FALSE),"ошибка")),"ошибка")</f>
        <v>ошибка</v>
      </c>
      <c r="P7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73" s="208" t="str">
        <f ca="1">IFERROR(IF(N(INDIRECT(Критерий[[#This Row],[ССрФизКритерий]],FALSE))=0,"ошибка",IFERROR(INDIRECT(Критерий[[#This Row],[ССрФизКритерий]],FALSE),"ошибка")),"")</f>
        <v/>
      </c>
      <c r="R73"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73" s="212">
        <f ca="1">IFERROR(IF(AND(Критерий[[#This Row],[ВидКритерий]]="Критерий",IFERROR(SEARCH("Приведение",Критерий[[#This Row],[Фкритерий]]),0)&gt;0),1,-1),-1)</f>
        <v>-1</v>
      </c>
      <c r="AG73" s="66">
        <f>IF(AND(Множество[[#This Row],[Y]]=1),ROW()-ROW(Множество[[#Headers],[№]]),"")</f>
        <v>64</v>
      </c>
      <c r="AH73" t="s">
        <v>608</v>
      </c>
      <c r="AI73" s="66">
        <v>1</v>
      </c>
      <c r="AJ73" s="66">
        <f>IF(LEN(Множество[[#This Row],[Свёртка]])&gt;0,1,-1)</f>
        <v>1</v>
      </c>
      <c r="AK73" s="66" t="s">
        <v>1781</v>
      </c>
      <c r="AL73" s="66">
        <f>IF(LEN(Множество[[#This Row],[Критерии]])&gt;0,1,-1)</f>
        <v>1</v>
      </c>
      <c r="AM73" s="66">
        <f>IF(AND(LEN(Множество[[#This Row],[Свёртка]])&gt;0,LEN(Множество[[#This Row],[Критерии]])&gt;0,LEN(Множество[[#This Row],[Оценки]])&gt;0),1,-1)</f>
        <v>1</v>
      </c>
      <c r="AN73">
        <v>4.0166666666666702</v>
      </c>
      <c r="AO73">
        <v>-13.983333333333301</v>
      </c>
      <c r="AP73" s="208"/>
      <c r="AQ73" s="208"/>
      <c r="AR73" s="226"/>
      <c r="AS73" s="225"/>
      <c r="AT73" s="226"/>
      <c r="AU73" s="225"/>
      <c r="AV73" s="225"/>
      <c r="AW73" s="225"/>
      <c r="AX73" s="225"/>
      <c r="AY73" s="225"/>
    </row>
    <row r="74" spans="2:51" x14ac:dyDescent="0.25">
      <c r="B74" s="209" t="str">
        <f ca="1">IF(AND(Критерий[[#This Row],[Критерий]]&lt;&gt;"",Критерий[[#This Row],[O.K.Критерий]]=1),ROW()-ROW(Критерий[[#Headers],[№]]),"")</f>
        <v/>
      </c>
      <c r="C74" s="84"/>
      <c r="D74"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74" s="208" t="str">
        <f ca="1">IFERROR(IF(IFERROR(SEARCH("Прив",Критерий[[#This Row],[Фкритерий]]),0)&gt;0,"Критерий",IF(IFERROR(SEARCH("Матр",Критерий[[#This Row],[Фкритерий]]),0)&gt;0,"ошибка","ошибка")),"ошибка")</f>
        <v>ошибка</v>
      </c>
      <c r="F74" s="224" t="str">
        <f ca="1">IFERROR(IF(LEN((INDIRECT(Критерий[[#This Row],[СНаименование]],FALSE)))=0,"ошибка",IFERROR(INDIRECT(Критерий[[#This Row],[СНаименование]],FALSE),"ошибка")),"ошибка")</f>
        <v>ошибка</v>
      </c>
      <c r="G7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74" s="208" t="str">
        <f ca="1">IFERROR(IF(N(INDIRECT(Критерий[[#This Row],[СФизКритерий]],FALSE))=0,"ошибка",IFERROR(INDIRECT(Критерий[[#This Row],[СФизКритерий]],FALSE),"ошибка")),"ошибка")</f>
        <v>ошибка</v>
      </c>
      <c r="I7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74"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7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74" s="208" t="str">
        <f ca="1">IFERROR(_xlfn.FORMULATEXT(INDIRECT(Критерий[[#This Row],[Скритерий]],FALSE)),"ошибка")</f>
        <v>ошибка</v>
      </c>
      <c r="M74" s="208" t="str">
        <f ca="1">IFERROR(IF(N(INDIRECT(Критерий[[#This Row],[СМинФизКритерий]],FALSE))=0,"ошибка",IFERROR(INDIRECT(Критерий[[#This Row],[СМинФизКритерий]],FALSE),"ошибка")),"ошибка")</f>
        <v>ошибка</v>
      </c>
      <c r="N7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74" s="208" t="str">
        <f ca="1">IFERROR(IF(N(INDIRECT(Критерий[[#This Row],[СМаксФизКритерий]],FALSE))=0,"ошибка",IFERROR(INDIRECT(Критерий[[#This Row],[СМаксФизКритерий]],FALSE),"ошибка")),"ошибка")</f>
        <v>ошибка</v>
      </c>
      <c r="P7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74" s="208" t="str">
        <f ca="1">IFERROR(IF(N(INDIRECT(Критерий[[#This Row],[ССрФизКритерий]],FALSE))=0,"ошибка",IFERROR(INDIRECT(Критерий[[#This Row],[ССрФизКритерий]],FALSE),"ошибка")),"")</f>
        <v/>
      </c>
      <c r="R74"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74" s="212">
        <f ca="1">IFERROR(IF(AND(Критерий[[#This Row],[ВидКритерий]]="Критерий",IFERROR(SEARCH("Приведение",Критерий[[#This Row],[Фкритерий]]),0)&gt;0),1,-1),-1)</f>
        <v>-1</v>
      </c>
      <c r="AG74" s="66">
        <f>IF(AND(Множество[[#This Row],[Y]]=1),ROW()-ROW(Множество[[#Headers],[№]]),"")</f>
        <v>65</v>
      </c>
      <c r="AH74" t="s">
        <v>608</v>
      </c>
      <c r="AI74" s="66">
        <v>1</v>
      </c>
      <c r="AJ74" s="66">
        <f>IF(LEN(Множество[[#This Row],[Свёртка]])&gt;0,1,-1)</f>
        <v>1</v>
      </c>
      <c r="AK74" s="66" t="s">
        <v>1781</v>
      </c>
      <c r="AL74" s="66">
        <f>IF(LEN(Множество[[#This Row],[Критерии]])&gt;0,1,-1)</f>
        <v>1</v>
      </c>
      <c r="AM74" s="66">
        <f>IF(AND(LEN(Множество[[#This Row],[Свёртка]])&gt;0,LEN(Множество[[#This Row],[Критерии]])&gt;0,LEN(Множество[[#This Row],[Оценки]])&gt;0),1,-1)</f>
        <v>1</v>
      </c>
      <c r="AN74">
        <v>6.4666666666666703</v>
      </c>
      <c r="AO74">
        <v>-16.616666666666699</v>
      </c>
      <c r="AP74" s="208"/>
      <c r="AQ74" s="208"/>
      <c r="AR74" s="226"/>
      <c r="AS74" s="225"/>
      <c r="AT74" s="226"/>
      <c r="AU74" s="225"/>
      <c r="AV74" s="225"/>
      <c r="AW74" s="225"/>
      <c r="AX74" s="225"/>
      <c r="AY74" s="225"/>
    </row>
    <row r="75" spans="2:51" x14ac:dyDescent="0.25">
      <c r="B75" s="209" t="str">
        <f ca="1">IF(AND(Критерий[[#This Row],[Критерий]]&lt;&gt;"",Критерий[[#This Row],[O.K.Критерий]]=1),ROW()-ROW(Критерий[[#Headers],[№]]),"")</f>
        <v/>
      </c>
      <c r="C75" s="84"/>
      <c r="D75"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75" s="208" t="str">
        <f ca="1">IFERROR(IF(IFERROR(SEARCH("Прив",Критерий[[#This Row],[Фкритерий]]),0)&gt;0,"Критерий",IF(IFERROR(SEARCH("Матр",Критерий[[#This Row],[Фкритерий]]),0)&gt;0,"ошибка","ошибка")),"ошибка")</f>
        <v>ошибка</v>
      </c>
      <c r="F75" s="224" t="str">
        <f ca="1">IFERROR(IF(LEN((INDIRECT(Критерий[[#This Row],[СНаименование]],FALSE)))=0,"ошибка",IFERROR(INDIRECT(Критерий[[#This Row],[СНаименование]],FALSE),"ошибка")),"ошибка")</f>
        <v>ошибка</v>
      </c>
      <c r="G7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75" s="208" t="str">
        <f ca="1">IFERROR(IF(N(INDIRECT(Критерий[[#This Row],[СФизКритерий]],FALSE))=0,"ошибка",IFERROR(INDIRECT(Критерий[[#This Row],[СФизКритерий]],FALSE),"ошибка")),"ошибка")</f>
        <v>ошибка</v>
      </c>
      <c r="I7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75"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7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75" s="208" t="str">
        <f ca="1">IFERROR(_xlfn.FORMULATEXT(INDIRECT(Критерий[[#This Row],[Скритерий]],FALSE)),"ошибка")</f>
        <v>ошибка</v>
      </c>
      <c r="M75" s="208" t="str">
        <f ca="1">IFERROR(IF(N(INDIRECT(Критерий[[#This Row],[СМинФизКритерий]],FALSE))=0,"ошибка",IFERROR(INDIRECT(Критерий[[#This Row],[СМинФизКритерий]],FALSE),"ошибка")),"ошибка")</f>
        <v>ошибка</v>
      </c>
      <c r="N7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75" s="208" t="str">
        <f ca="1">IFERROR(IF(N(INDIRECT(Критерий[[#This Row],[СМаксФизКритерий]],FALSE))=0,"ошибка",IFERROR(INDIRECT(Критерий[[#This Row],[СМаксФизКритерий]],FALSE),"ошибка")),"ошибка")</f>
        <v>ошибка</v>
      </c>
      <c r="P7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75" s="208" t="str">
        <f ca="1">IFERROR(IF(N(INDIRECT(Критерий[[#This Row],[ССрФизКритерий]],FALSE))=0,"ошибка",IFERROR(INDIRECT(Критерий[[#This Row],[ССрФизКритерий]],FALSE),"ошибка")),"")</f>
        <v/>
      </c>
      <c r="R75"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75" s="212">
        <f ca="1">IFERROR(IF(AND(Критерий[[#This Row],[ВидКритерий]]="Критерий",IFERROR(SEARCH("Приведение",Критерий[[#This Row],[Фкритерий]]),0)&gt;0),1,-1),-1)</f>
        <v>-1</v>
      </c>
      <c r="AG75" s="66">
        <f>IF(AND(Множество[[#This Row],[Y]]=1),ROW()-ROW(Множество[[#Headers],[№]]),"")</f>
        <v>66</v>
      </c>
      <c r="AH75" t="s">
        <v>608</v>
      </c>
      <c r="AI75" s="66">
        <v>1</v>
      </c>
      <c r="AJ75" s="66">
        <f>IF(LEN(Множество[[#This Row],[Свёртка]])&gt;0,1,-1)</f>
        <v>1</v>
      </c>
      <c r="AK75" s="66" t="s">
        <v>1781</v>
      </c>
      <c r="AL75" s="66">
        <f>IF(LEN(Множество[[#This Row],[Критерии]])&gt;0,1,-1)</f>
        <v>1</v>
      </c>
      <c r="AM75" s="66">
        <f>IF(AND(LEN(Множество[[#This Row],[Свёртка]])&gt;0,LEN(Множество[[#This Row],[Критерии]])&gt;0,LEN(Множество[[#This Row],[Оценки]])&gt;0),1,-1)</f>
        <v>1</v>
      </c>
      <c r="AN75">
        <v>6.5250000000000004</v>
      </c>
      <c r="AO75">
        <v>-16.633333333333301</v>
      </c>
      <c r="AP75" s="208"/>
      <c r="AQ75" s="208"/>
      <c r="AR75" s="226"/>
      <c r="AS75" s="225"/>
      <c r="AT75" s="226"/>
      <c r="AU75" s="225"/>
      <c r="AV75" s="225"/>
      <c r="AW75" s="225"/>
      <c r="AX75" s="225"/>
      <c r="AY75" s="225"/>
    </row>
    <row r="76" spans="2:51" x14ac:dyDescent="0.25">
      <c r="B76" s="209" t="str">
        <f ca="1">IF(AND(Критерий[[#This Row],[Критерий]]&lt;&gt;"",Критерий[[#This Row],[O.K.Критерий]]=1),ROW()-ROW(Критерий[[#Headers],[№]]),"")</f>
        <v/>
      </c>
      <c r="C76" s="84"/>
      <c r="D76"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76" s="208" t="str">
        <f ca="1">IFERROR(IF(IFERROR(SEARCH("Прив",Критерий[[#This Row],[Фкритерий]]),0)&gt;0,"Критерий",IF(IFERROR(SEARCH("Матр",Критерий[[#This Row],[Фкритерий]]),0)&gt;0,"ошибка","ошибка")),"ошибка")</f>
        <v>ошибка</v>
      </c>
      <c r="F76" s="224" t="str">
        <f ca="1">IFERROR(IF(LEN((INDIRECT(Критерий[[#This Row],[СНаименование]],FALSE)))=0,"ошибка",IFERROR(INDIRECT(Критерий[[#This Row],[СНаименование]],FALSE),"ошибка")),"ошибка")</f>
        <v>ошибка</v>
      </c>
      <c r="G7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76" s="208" t="str">
        <f ca="1">IFERROR(IF(N(INDIRECT(Критерий[[#This Row],[СФизКритерий]],FALSE))=0,"ошибка",IFERROR(INDIRECT(Критерий[[#This Row],[СФизКритерий]],FALSE),"ошибка")),"ошибка")</f>
        <v>ошибка</v>
      </c>
      <c r="I7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76"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7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76" s="208" t="str">
        <f ca="1">IFERROR(_xlfn.FORMULATEXT(INDIRECT(Критерий[[#This Row],[Скритерий]],FALSE)),"ошибка")</f>
        <v>ошибка</v>
      </c>
      <c r="M76" s="208" t="str">
        <f ca="1">IFERROR(IF(N(INDIRECT(Критерий[[#This Row],[СМинФизКритерий]],FALSE))=0,"ошибка",IFERROR(INDIRECT(Критерий[[#This Row],[СМинФизКритерий]],FALSE),"ошибка")),"ошибка")</f>
        <v>ошибка</v>
      </c>
      <c r="N7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76" s="208" t="str">
        <f ca="1">IFERROR(IF(N(INDIRECT(Критерий[[#This Row],[СМаксФизКритерий]],FALSE))=0,"ошибка",IFERROR(INDIRECT(Критерий[[#This Row],[СМаксФизКритерий]],FALSE),"ошибка")),"ошибка")</f>
        <v>ошибка</v>
      </c>
      <c r="P7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76" s="208" t="str">
        <f ca="1">IFERROR(IF(N(INDIRECT(Критерий[[#This Row],[ССрФизКритерий]],FALSE))=0,"ошибка",IFERROR(INDIRECT(Критерий[[#This Row],[ССрФизКритерий]],FALSE),"ошибка")),"")</f>
        <v/>
      </c>
      <c r="R76"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76" s="212">
        <f ca="1">IFERROR(IF(AND(Критерий[[#This Row],[ВидКритерий]]="Критерий",IFERROR(SEARCH("Приведение",Критерий[[#This Row],[Фкритерий]]),0)&gt;0),1,-1),-1)</f>
        <v>-1</v>
      </c>
      <c r="AG76" s="66">
        <f>IF(AND(Множество[[#This Row],[Y]]=1),ROW()-ROW(Множество[[#Headers],[№]]),"")</f>
        <v>67</v>
      </c>
      <c r="AH76" t="s">
        <v>608</v>
      </c>
      <c r="AI76" s="66">
        <v>1</v>
      </c>
      <c r="AJ76" s="66">
        <f>IF(LEN(Множество[[#This Row],[Свёртка]])&gt;0,1,-1)</f>
        <v>1</v>
      </c>
      <c r="AK76" s="66" t="s">
        <v>1781</v>
      </c>
      <c r="AL76" s="66">
        <f>IF(LEN(Множество[[#This Row],[Критерии]])&gt;0,1,-1)</f>
        <v>1</v>
      </c>
      <c r="AM76" s="66">
        <f>IF(AND(LEN(Множество[[#This Row],[Свёртка]])&gt;0,LEN(Множество[[#This Row],[Критерии]])&gt;0,LEN(Множество[[#This Row],[Оценки]])&gt;0),1,-1)</f>
        <v>1</v>
      </c>
      <c r="AN76">
        <v>3.9</v>
      </c>
      <c r="AO76">
        <v>-14.016666666666699</v>
      </c>
      <c r="AP76" s="208"/>
      <c r="AQ76" s="208"/>
      <c r="AR76" s="226"/>
      <c r="AS76" s="225"/>
      <c r="AT76" s="226"/>
      <c r="AU76" s="225"/>
      <c r="AV76" s="225"/>
      <c r="AW76" s="225"/>
      <c r="AX76" s="225"/>
      <c r="AY76" s="225"/>
    </row>
    <row r="77" spans="2:51" x14ac:dyDescent="0.25">
      <c r="B77" s="209" t="str">
        <f ca="1">IF(AND(Критерий[[#This Row],[Критерий]]&lt;&gt;"",Критерий[[#This Row],[O.K.Критерий]]=1),ROW()-ROW(Критерий[[#Headers],[№]]),"")</f>
        <v/>
      </c>
      <c r="C77" s="84"/>
      <c r="D77"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77" s="208" t="str">
        <f ca="1">IFERROR(IF(IFERROR(SEARCH("Прив",Критерий[[#This Row],[Фкритерий]]),0)&gt;0,"Критерий",IF(IFERROR(SEARCH("Матр",Критерий[[#This Row],[Фкритерий]]),0)&gt;0,"ошибка","ошибка")),"ошибка")</f>
        <v>ошибка</v>
      </c>
      <c r="F77" s="224" t="str">
        <f ca="1">IFERROR(IF(LEN((INDIRECT(Критерий[[#This Row],[СНаименование]],FALSE)))=0,"ошибка",IFERROR(INDIRECT(Критерий[[#This Row],[СНаименование]],FALSE),"ошибка")),"ошибка")</f>
        <v>ошибка</v>
      </c>
      <c r="G7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77" s="208" t="str">
        <f ca="1">IFERROR(IF(N(INDIRECT(Критерий[[#This Row],[СФизКритерий]],FALSE))=0,"ошибка",IFERROR(INDIRECT(Критерий[[#This Row],[СФизКритерий]],FALSE),"ошибка")),"ошибка")</f>
        <v>ошибка</v>
      </c>
      <c r="I7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77"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7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77" s="208" t="str">
        <f ca="1">IFERROR(_xlfn.FORMULATEXT(INDIRECT(Критерий[[#This Row],[Скритерий]],FALSE)),"ошибка")</f>
        <v>ошибка</v>
      </c>
      <c r="M77" s="208" t="str">
        <f ca="1">IFERROR(IF(N(INDIRECT(Критерий[[#This Row],[СМинФизКритерий]],FALSE))=0,"ошибка",IFERROR(INDIRECT(Критерий[[#This Row],[СМинФизКритерий]],FALSE),"ошибка")),"ошибка")</f>
        <v>ошибка</v>
      </c>
      <c r="N7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77" s="208" t="str">
        <f ca="1">IFERROR(IF(N(INDIRECT(Критерий[[#This Row],[СМаксФизКритерий]],FALSE))=0,"ошибка",IFERROR(INDIRECT(Критерий[[#This Row],[СМаксФизКритерий]],FALSE),"ошибка")),"ошибка")</f>
        <v>ошибка</v>
      </c>
      <c r="P7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77" s="208" t="str">
        <f ca="1">IFERROR(IF(N(INDIRECT(Критерий[[#This Row],[ССрФизКритерий]],FALSE))=0,"ошибка",IFERROR(INDIRECT(Критерий[[#This Row],[ССрФизКритерий]],FALSE),"ошибка")),"")</f>
        <v/>
      </c>
      <c r="R77"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77" s="212">
        <f ca="1">IFERROR(IF(AND(Критерий[[#This Row],[ВидКритерий]]="Критерий",IFERROR(SEARCH("Приведение",Критерий[[#This Row],[Фкритерий]]),0)&gt;0),1,-1),-1)</f>
        <v>-1</v>
      </c>
      <c r="AG77" s="66">
        <f>IF(AND(Множество[[#This Row],[Y]]=1),ROW()-ROW(Множество[[#Headers],[№]]),"")</f>
        <v>68</v>
      </c>
      <c r="AH77" t="s">
        <v>608</v>
      </c>
      <c r="AI77" s="66">
        <v>1</v>
      </c>
      <c r="AJ77" s="66">
        <f>IF(LEN(Множество[[#This Row],[Свёртка]])&gt;0,1,-1)</f>
        <v>1</v>
      </c>
      <c r="AK77" s="66" t="s">
        <v>1781</v>
      </c>
      <c r="AL77" s="66">
        <f>IF(LEN(Множество[[#This Row],[Критерии]])&gt;0,1,-1)</f>
        <v>1</v>
      </c>
      <c r="AM77" s="66">
        <f>IF(AND(LEN(Множество[[#This Row],[Свёртка]])&gt;0,LEN(Множество[[#This Row],[Критерии]])&gt;0,LEN(Множество[[#This Row],[Оценки]])&gt;0),1,-1)</f>
        <v>1</v>
      </c>
      <c r="AN77">
        <v>6.35</v>
      </c>
      <c r="AO77">
        <v>-16.5833333333333</v>
      </c>
      <c r="AP77" s="208"/>
      <c r="AQ77" s="208"/>
      <c r="AR77" s="226"/>
      <c r="AS77" s="225"/>
      <c r="AT77" s="226"/>
      <c r="AU77" s="225"/>
      <c r="AV77" s="225"/>
      <c r="AW77" s="225"/>
      <c r="AX77" s="225"/>
      <c r="AY77" s="225"/>
    </row>
    <row r="78" spans="2:51" x14ac:dyDescent="0.25">
      <c r="B78" s="209" t="str">
        <f ca="1">IF(AND(Критерий[[#This Row],[Критерий]]&lt;&gt;"",Критерий[[#This Row],[O.K.Критерий]]=1),ROW()-ROW(Критерий[[#Headers],[№]]),"")</f>
        <v/>
      </c>
      <c r="C78" s="84"/>
      <c r="D78"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78" s="208" t="str">
        <f ca="1">IFERROR(IF(IFERROR(SEARCH("Прив",Критерий[[#This Row],[Фкритерий]]),0)&gt;0,"Критерий",IF(IFERROR(SEARCH("Матр",Критерий[[#This Row],[Фкритерий]]),0)&gt;0,"ошибка","ошибка")),"ошибка")</f>
        <v>ошибка</v>
      </c>
      <c r="F78" s="224" t="str">
        <f ca="1">IFERROR(IF(LEN((INDIRECT(Критерий[[#This Row],[СНаименование]],FALSE)))=0,"ошибка",IFERROR(INDIRECT(Критерий[[#This Row],[СНаименование]],FALSE),"ошибка")),"ошибка")</f>
        <v>ошибка</v>
      </c>
      <c r="G7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78" s="208" t="str">
        <f ca="1">IFERROR(IF(N(INDIRECT(Критерий[[#This Row],[СФизКритерий]],FALSE))=0,"ошибка",IFERROR(INDIRECT(Критерий[[#This Row],[СФизКритерий]],FALSE),"ошибка")),"ошибка")</f>
        <v>ошибка</v>
      </c>
      <c r="I7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78"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7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78" s="208" t="str">
        <f ca="1">IFERROR(_xlfn.FORMULATEXT(INDIRECT(Критерий[[#This Row],[Скритерий]],FALSE)),"ошибка")</f>
        <v>ошибка</v>
      </c>
      <c r="M78" s="208" t="str">
        <f ca="1">IFERROR(IF(N(INDIRECT(Критерий[[#This Row],[СМинФизКритерий]],FALSE))=0,"ошибка",IFERROR(INDIRECT(Критерий[[#This Row],[СМинФизКритерий]],FALSE),"ошибка")),"ошибка")</f>
        <v>ошибка</v>
      </c>
      <c r="N7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78" s="208" t="str">
        <f ca="1">IFERROR(IF(N(INDIRECT(Критерий[[#This Row],[СМаксФизКритерий]],FALSE))=0,"ошибка",IFERROR(INDIRECT(Критерий[[#This Row],[СМаксФизКритерий]],FALSE),"ошибка")),"ошибка")</f>
        <v>ошибка</v>
      </c>
      <c r="P7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78" s="208" t="str">
        <f ca="1">IFERROR(IF(N(INDIRECT(Критерий[[#This Row],[ССрФизКритерий]],FALSE))=0,"ошибка",IFERROR(INDIRECT(Критерий[[#This Row],[ССрФизКритерий]],FALSE),"ошибка")),"")</f>
        <v/>
      </c>
      <c r="R78"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78" s="212">
        <f ca="1">IFERROR(IF(AND(Критерий[[#This Row],[ВидКритерий]]="Критерий",IFERROR(SEARCH("Приведение",Критерий[[#This Row],[Фкритерий]]),0)&gt;0),1,-1),-1)</f>
        <v>-1</v>
      </c>
      <c r="AG78" s="66">
        <f>IF(AND(Множество[[#This Row],[Y]]=1),ROW()-ROW(Множество[[#Headers],[№]]),"")</f>
        <v>69</v>
      </c>
      <c r="AH78" t="s">
        <v>608</v>
      </c>
      <c r="AI78" s="66">
        <v>1</v>
      </c>
      <c r="AJ78" s="66">
        <f>IF(LEN(Множество[[#This Row],[Свёртка]])&gt;0,1,-1)</f>
        <v>1</v>
      </c>
      <c r="AK78" s="66" t="s">
        <v>1781</v>
      </c>
      <c r="AL78" s="66">
        <f>IF(LEN(Множество[[#This Row],[Критерии]])&gt;0,1,-1)</f>
        <v>1</v>
      </c>
      <c r="AM78" s="66">
        <f>IF(AND(LEN(Множество[[#This Row],[Свёртка]])&gt;0,LEN(Множество[[#This Row],[Критерии]])&gt;0,LEN(Множество[[#This Row],[Оценки]])&gt;0),1,-1)</f>
        <v>1</v>
      </c>
      <c r="AN78">
        <v>6.4083333333333297</v>
      </c>
      <c r="AO78">
        <v>-16.600000000000001</v>
      </c>
      <c r="AP78" s="208"/>
      <c r="AQ78" s="208"/>
      <c r="AR78" s="226"/>
      <c r="AS78" s="225"/>
      <c r="AT78" s="226"/>
      <c r="AU78" s="225"/>
      <c r="AV78" s="225"/>
      <c r="AW78" s="225"/>
      <c r="AX78" s="225"/>
      <c r="AY78" s="225"/>
    </row>
    <row r="79" spans="2:51" x14ac:dyDescent="0.25">
      <c r="B79" s="209" t="str">
        <f ca="1">IF(AND(Критерий[[#This Row],[Критерий]]&lt;&gt;"",Критерий[[#This Row],[O.K.Критерий]]=1),ROW()-ROW(Критерий[[#Headers],[№]]),"")</f>
        <v/>
      </c>
      <c r="C79" s="84"/>
      <c r="D79"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79" s="208" t="str">
        <f ca="1">IFERROR(IF(IFERROR(SEARCH("Прив",Критерий[[#This Row],[Фкритерий]]),0)&gt;0,"Критерий",IF(IFERROR(SEARCH("Матр",Критерий[[#This Row],[Фкритерий]]),0)&gt;0,"ошибка","ошибка")),"ошибка")</f>
        <v>ошибка</v>
      </c>
      <c r="F79" s="224" t="str">
        <f ca="1">IFERROR(IF(LEN((INDIRECT(Критерий[[#This Row],[СНаименование]],FALSE)))=0,"ошибка",IFERROR(INDIRECT(Критерий[[#This Row],[СНаименование]],FALSE),"ошибка")),"ошибка")</f>
        <v>ошибка</v>
      </c>
      <c r="G7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79" s="208" t="str">
        <f ca="1">IFERROR(IF(N(INDIRECT(Критерий[[#This Row],[СФизКритерий]],FALSE))=0,"ошибка",IFERROR(INDIRECT(Критерий[[#This Row],[СФизКритерий]],FALSE),"ошибка")),"ошибка")</f>
        <v>ошибка</v>
      </c>
      <c r="I7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79"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7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79" s="208" t="str">
        <f ca="1">IFERROR(_xlfn.FORMULATEXT(INDIRECT(Критерий[[#This Row],[Скритерий]],FALSE)),"ошибка")</f>
        <v>ошибка</v>
      </c>
      <c r="M79" s="208" t="str">
        <f ca="1">IFERROR(IF(N(INDIRECT(Критерий[[#This Row],[СМинФизКритерий]],FALSE))=0,"ошибка",IFERROR(INDIRECT(Критерий[[#This Row],[СМинФизКритерий]],FALSE),"ошибка")),"ошибка")</f>
        <v>ошибка</v>
      </c>
      <c r="N7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79" s="208" t="str">
        <f ca="1">IFERROR(IF(N(INDIRECT(Критерий[[#This Row],[СМаксФизКритерий]],FALSE))=0,"ошибка",IFERROR(INDIRECT(Критерий[[#This Row],[СМаксФизКритерий]],FALSE),"ошибка")),"ошибка")</f>
        <v>ошибка</v>
      </c>
      <c r="P7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79" s="208" t="str">
        <f ca="1">IFERROR(IF(N(INDIRECT(Критерий[[#This Row],[ССрФизКритерий]],FALSE))=0,"ошибка",IFERROR(INDIRECT(Критерий[[#This Row],[ССрФизКритерий]],FALSE),"ошибка")),"")</f>
        <v/>
      </c>
      <c r="R79"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79" s="212">
        <f ca="1">IFERROR(IF(AND(Критерий[[#This Row],[ВидКритерий]]="Критерий",IFERROR(SEARCH("Приведение",Критерий[[#This Row],[Фкритерий]]),0)&gt;0),1,-1),-1)</f>
        <v>-1</v>
      </c>
      <c r="AG79" s="66">
        <f>IF(AND(Множество[[#This Row],[Y]]=1),ROW()-ROW(Множество[[#Headers],[№]]),"")</f>
        <v>70</v>
      </c>
      <c r="AH79" t="s">
        <v>608</v>
      </c>
      <c r="AI79" s="66">
        <v>1</v>
      </c>
      <c r="AJ79" s="66">
        <f>IF(LEN(Множество[[#This Row],[Свёртка]])&gt;0,1,-1)</f>
        <v>1</v>
      </c>
      <c r="AK79" s="66" t="s">
        <v>1781</v>
      </c>
      <c r="AL79" s="66">
        <f>IF(LEN(Множество[[#This Row],[Критерии]])&gt;0,1,-1)</f>
        <v>1</v>
      </c>
      <c r="AM79" s="66">
        <f>IF(AND(LEN(Множество[[#This Row],[Свёртка]])&gt;0,LEN(Множество[[#This Row],[Критерии]])&gt;0,LEN(Множество[[#This Row],[Оценки]])&gt;0),1,-1)</f>
        <v>1</v>
      </c>
      <c r="AN79">
        <v>3.8416666666666699</v>
      </c>
      <c r="AO79">
        <v>-14.05</v>
      </c>
      <c r="AP79" s="208"/>
      <c r="AQ79" s="208"/>
      <c r="AR79" s="226"/>
      <c r="AS79" s="225"/>
      <c r="AT79" s="226"/>
      <c r="AU79" s="225"/>
      <c r="AV79" s="225"/>
      <c r="AW79" s="225"/>
      <c r="AX79" s="225"/>
      <c r="AY79" s="225"/>
    </row>
    <row r="80" spans="2:51" x14ac:dyDescent="0.25">
      <c r="B80" s="209" t="str">
        <f ca="1">IF(AND(Критерий[[#This Row],[Критерий]]&lt;&gt;"",Критерий[[#This Row],[O.K.Критерий]]=1),ROW()-ROW(Критерий[[#Headers],[№]]),"")</f>
        <v/>
      </c>
      <c r="C80" s="84"/>
      <c r="D80"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80" s="208" t="str">
        <f ca="1">IFERROR(IF(IFERROR(SEARCH("Прив",Критерий[[#This Row],[Фкритерий]]),0)&gt;0,"Критерий",IF(IFERROR(SEARCH("Матр",Критерий[[#This Row],[Фкритерий]]),0)&gt;0,"ошибка","ошибка")),"ошибка")</f>
        <v>ошибка</v>
      </c>
      <c r="F80" s="224" t="str">
        <f ca="1">IFERROR(IF(LEN((INDIRECT(Критерий[[#This Row],[СНаименование]],FALSE)))=0,"ошибка",IFERROR(INDIRECT(Критерий[[#This Row],[СНаименование]],FALSE),"ошибка")),"ошибка")</f>
        <v>ошибка</v>
      </c>
      <c r="G8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80" s="208" t="str">
        <f ca="1">IFERROR(IF(N(INDIRECT(Критерий[[#This Row],[СФизКритерий]],FALSE))=0,"ошибка",IFERROR(INDIRECT(Критерий[[#This Row],[СФизКритерий]],FALSE),"ошибка")),"ошибка")</f>
        <v>ошибка</v>
      </c>
      <c r="I8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80"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8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80" s="208" t="str">
        <f ca="1">IFERROR(_xlfn.FORMULATEXT(INDIRECT(Критерий[[#This Row],[Скритерий]],FALSE)),"ошибка")</f>
        <v>ошибка</v>
      </c>
      <c r="M80" s="208" t="str">
        <f ca="1">IFERROR(IF(N(INDIRECT(Критерий[[#This Row],[СМинФизКритерий]],FALSE))=0,"ошибка",IFERROR(INDIRECT(Критерий[[#This Row],[СМинФизКритерий]],FALSE),"ошибка")),"ошибка")</f>
        <v>ошибка</v>
      </c>
      <c r="N8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80" s="208" t="str">
        <f ca="1">IFERROR(IF(N(INDIRECT(Критерий[[#This Row],[СМаксФизКритерий]],FALSE))=0,"ошибка",IFERROR(INDIRECT(Критерий[[#This Row],[СМаксФизКритерий]],FALSE),"ошибка")),"ошибка")</f>
        <v>ошибка</v>
      </c>
      <c r="P8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80" s="208" t="str">
        <f ca="1">IFERROR(IF(N(INDIRECT(Критерий[[#This Row],[ССрФизКритерий]],FALSE))=0,"ошибка",IFERROR(INDIRECT(Критерий[[#This Row],[ССрФизКритерий]],FALSE),"ошибка")),"")</f>
        <v/>
      </c>
      <c r="R80"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80" s="212">
        <f ca="1">IFERROR(IF(AND(Критерий[[#This Row],[ВидКритерий]]="Критерий",IFERROR(SEARCH("Приведение",Критерий[[#This Row],[Фкритерий]]),0)&gt;0),1,-1),-1)</f>
        <v>-1</v>
      </c>
      <c r="AG80" s="66">
        <f>IF(AND(Множество[[#This Row],[Y]]=1),ROW()-ROW(Множество[[#Headers],[№]]),"")</f>
        <v>71</v>
      </c>
      <c r="AH80" t="s">
        <v>608</v>
      </c>
      <c r="AI80" s="66">
        <v>1</v>
      </c>
      <c r="AJ80" s="66">
        <f>IF(LEN(Множество[[#This Row],[Свёртка]])&gt;0,1,-1)</f>
        <v>1</v>
      </c>
      <c r="AK80" s="66" t="s">
        <v>1781</v>
      </c>
      <c r="AL80" s="66">
        <f>IF(LEN(Множество[[#This Row],[Критерии]])&gt;0,1,-1)</f>
        <v>1</v>
      </c>
      <c r="AM80" s="66">
        <f>IF(AND(LEN(Множество[[#This Row],[Свёртка]])&gt;0,LEN(Множество[[#This Row],[Критерии]])&gt;0,LEN(Множество[[#This Row],[Оценки]])&gt;0),1,-1)</f>
        <v>1</v>
      </c>
      <c r="AN80">
        <v>7.1666666666666696</v>
      </c>
      <c r="AO80">
        <v>-17.466666666666701</v>
      </c>
      <c r="AP80" s="208"/>
      <c r="AQ80" s="208"/>
      <c r="AR80" s="226"/>
      <c r="AS80" s="225"/>
      <c r="AT80" s="226"/>
      <c r="AU80" s="225"/>
      <c r="AV80" s="225"/>
      <c r="AW80" s="225"/>
      <c r="AX80" s="225"/>
      <c r="AY80" s="225"/>
    </row>
    <row r="81" spans="2:51" x14ac:dyDescent="0.25">
      <c r="B81" s="209" t="str">
        <f ca="1">IF(AND(Критерий[[#This Row],[Критерий]]&lt;&gt;"",Критерий[[#This Row],[O.K.Критерий]]=1),ROW()-ROW(Критерий[[#Headers],[№]]),"")</f>
        <v/>
      </c>
      <c r="C81" s="84"/>
      <c r="D81"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81" s="208" t="str">
        <f ca="1">IFERROR(IF(IFERROR(SEARCH("Прив",Критерий[[#This Row],[Фкритерий]]),0)&gt;0,"Критерий",IF(IFERROR(SEARCH("Матр",Критерий[[#This Row],[Фкритерий]]),0)&gt;0,"ошибка","ошибка")),"ошибка")</f>
        <v>ошибка</v>
      </c>
      <c r="F81" s="224" t="str">
        <f ca="1">IFERROR(IF(LEN((INDIRECT(Критерий[[#This Row],[СНаименование]],FALSE)))=0,"ошибка",IFERROR(INDIRECT(Критерий[[#This Row],[СНаименование]],FALSE),"ошибка")),"ошибка")</f>
        <v>ошибка</v>
      </c>
      <c r="G8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81" s="208" t="str">
        <f ca="1">IFERROR(IF(N(INDIRECT(Критерий[[#This Row],[СФизКритерий]],FALSE))=0,"ошибка",IFERROR(INDIRECT(Критерий[[#This Row],[СФизКритерий]],FALSE),"ошибка")),"ошибка")</f>
        <v>ошибка</v>
      </c>
      <c r="I8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81"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8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81" s="208" t="str">
        <f ca="1">IFERROR(_xlfn.FORMULATEXT(INDIRECT(Критерий[[#This Row],[Скритерий]],FALSE)),"ошибка")</f>
        <v>ошибка</v>
      </c>
      <c r="M81" s="208" t="str">
        <f ca="1">IFERROR(IF(N(INDIRECT(Критерий[[#This Row],[СМинФизКритерий]],FALSE))=0,"ошибка",IFERROR(INDIRECT(Критерий[[#This Row],[СМинФизКритерий]],FALSE),"ошибка")),"ошибка")</f>
        <v>ошибка</v>
      </c>
      <c r="N8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81" s="208" t="str">
        <f ca="1">IFERROR(IF(N(INDIRECT(Критерий[[#This Row],[СМаксФизКритерий]],FALSE))=0,"ошибка",IFERROR(INDIRECT(Критерий[[#This Row],[СМаксФизКритерий]],FALSE),"ошибка")),"ошибка")</f>
        <v>ошибка</v>
      </c>
      <c r="P8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81" s="208" t="str">
        <f ca="1">IFERROR(IF(N(INDIRECT(Критерий[[#This Row],[ССрФизКритерий]],FALSE))=0,"ошибка",IFERROR(INDIRECT(Критерий[[#This Row],[ССрФизКритерий]],FALSE),"ошибка")),"")</f>
        <v/>
      </c>
      <c r="R81"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81" s="212">
        <f ca="1">IFERROR(IF(AND(Критерий[[#This Row],[ВидКритерий]]="Критерий",IFERROR(SEARCH("Приведение",Критерий[[#This Row],[Фкритерий]]),0)&gt;0),1,-1),-1)</f>
        <v>-1</v>
      </c>
      <c r="AG81" s="66">
        <f>IF(AND(Множество[[#This Row],[Y]]=1),ROW()-ROW(Множество[[#Headers],[№]]),"")</f>
        <v>72</v>
      </c>
      <c r="AH81" t="s">
        <v>608</v>
      </c>
      <c r="AI81" s="66">
        <v>1</v>
      </c>
      <c r="AJ81" s="66">
        <f>IF(LEN(Множество[[#This Row],[Свёртка]])&gt;0,1,-1)</f>
        <v>1</v>
      </c>
      <c r="AK81" s="66" t="s">
        <v>1781</v>
      </c>
      <c r="AL81" s="66">
        <f>IF(LEN(Множество[[#This Row],[Критерии]])&gt;0,1,-1)</f>
        <v>1</v>
      </c>
      <c r="AM81" s="66">
        <f>IF(AND(LEN(Множество[[#This Row],[Свёртка]])&gt;0,LEN(Множество[[#This Row],[Критерии]])&gt;0,LEN(Множество[[#This Row],[Оценки]])&gt;0),1,-1)</f>
        <v>1</v>
      </c>
      <c r="AN81">
        <v>7.05</v>
      </c>
      <c r="AO81">
        <v>-17.366666666666699</v>
      </c>
      <c r="AP81" s="208"/>
      <c r="AQ81" s="208"/>
      <c r="AR81" s="226"/>
      <c r="AS81" s="225"/>
      <c r="AT81" s="226"/>
      <c r="AU81" s="225"/>
      <c r="AV81" s="225"/>
      <c r="AW81" s="225"/>
      <c r="AX81" s="225"/>
      <c r="AY81" s="225"/>
    </row>
    <row r="82" spans="2:51" x14ac:dyDescent="0.25">
      <c r="B82" s="209" t="str">
        <f ca="1">IF(AND(Критерий[[#This Row],[Критерий]]&lt;&gt;"",Критерий[[#This Row],[O.K.Критерий]]=1),ROW()-ROW(Критерий[[#Headers],[№]]),"")</f>
        <v/>
      </c>
      <c r="C82" s="84"/>
      <c r="D82"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82" s="208" t="str">
        <f ca="1">IFERROR(IF(IFERROR(SEARCH("Прив",Критерий[[#This Row],[Фкритерий]]),0)&gt;0,"Критерий",IF(IFERROR(SEARCH("Матр",Критерий[[#This Row],[Фкритерий]]),0)&gt;0,"ошибка","ошибка")),"ошибка")</f>
        <v>ошибка</v>
      </c>
      <c r="F82" s="224" t="str">
        <f ca="1">IFERROR(IF(LEN((INDIRECT(Критерий[[#This Row],[СНаименование]],FALSE)))=0,"ошибка",IFERROR(INDIRECT(Критерий[[#This Row],[СНаименование]],FALSE),"ошибка")),"ошибка")</f>
        <v>ошибка</v>
      </c>
      <c r="G8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82" s="208" t="str">
        <f ca="1">IFERROR(IF(N(INDIRECT(Критерий[[#This Row],[СФизКритерий]],FALSE))=0,"ошибка",IFERROR(INDIRECT(Критерий[[#This Row],[СФизКритерий]],FALSE),"ошибка")),"ошибка")</f>
        <v>ошибка</v>
      </c>
      <c r="I8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82"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8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82" s="208" t="str">
        <f ca="1">IFERROR(_xlfn.FORMULATEXT(INDIRECT(Критерий[[#This Row],[Скритерий]],FALSE)),"ошибка")</f>
        <v>ошибка</v>
      </c>
      <c r="M82" s="208" t="str">
        <f ca="1">IFERROR(IF(N(INDIRECT(Критерий[[#This Row],[СМинФизКритерий]],FALSE))=0,"ошибка",IFERROR(INDIRECT(Критерий[[#This Row],[СМинФизКритерий]],FALSE),"ошибка")),"ошибка")</f>
        <v>ошибка</v>
      </c>
      <c r="N8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82" s="208" t="str">
        <f ca="1">IFERROR(IF(N(INDIRECT(Критерий[[#This Row],[СМаксФизКритерий]],FALSE))=0,"ошибка",IFERROR(INDIRECT(Критерий[[#This Row],[СМаксФизКритерий]],FALSE),"ошибка")),"ошибка")</f>
        <v>ошибка</v>
      </c>
      <c r="P8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82" s="208" t="str">
        <f ca="1">IFERROR(IF(N(INDIRECT(Критерий[[#This Row],[ССрФизКритерий]],FALSE))=0,"ошибка",IFERROR(INDIRECT(Критерий[[#This Row],[ССрФизКритерий]],FALSE),"ошибка")),"")</f>
        <v/>
      </c>
      <c r="R82"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82" s="212">
        <f ca="1">IFERROR(IF(AND(Критерий[[#This Row],[ВидКритерий]]="Критерий",IFERROR(SEARCH("Приведение",Критерий[[#This Row],[Фкритерий]]),0)&gt;0),1,-1),-1)</f>
        <v>-1</v>
      </c>
      <c r="AG82" s="66">
        <f>IF(AND(Множество[[#This Row],[Y]]=1),ROW()-ROW(Множество[[#Headers],[№]]),"")</f>
        <v>73</v>
      </c>
      <c r="AH82" t="s">
        <v>608</v>
      </c>
      <c r="AI82" s="66">
        <v>1</v>
      </c>
      <c r="AJ82" s="66">
        <f>IF(LEN(Множество[[#This Row],[Свёртка]])&gt;0,1,-1)</f>
        <v>1</v>
      </c>
      <c r="AK82" s="66" t="s">
        <v>1781</v>
      </c>
      <c r="AL82" s="66">
        <f>IF(LEN(Множество[[#This Row],[Критерии]])&gt;0,1,-1)</f>
        <v>1</v>
      </c>
      <c r="AM82" s="66">
        <f>IF(AND(LEN(Множество[[#This Row],[Свёртка]])&gt;0,LEN(Множество[[#This Row],[Критерии]])&gt;0,LEN(Множество[[#This Row],[Оценки]])&gt;0),1,-1)</f>
        <v>1</v>
      </c>
      <c r="AN82">
        <v>7.2249999999999996</v>
      </c>
      <c r="AO82">
        <v>-17.5</v>
      </c>
      <c r="AP82" s="208"/>
      <c r="AQ82" s="208"/>
      <c r="AR82" s="226"/>
      <c r="AS82" s="225"/>
      <c r="AT82" s="226"/>
      <c r="AU82" s="225"/>
      <c r="AV82" s="225"/>
      <c r="AW82" s="225"/>
      <c r="AX82" s="225"/>
      <c r="AY82" s="225"/>
    </row>
    <row r="83" spans="2:51" x14ac:dyDescent="0.25">
      <c r="B83" s="209" t="str">
        <f ca="1">IF(AND(Критерий[[#This Row],[Критерий]]&lt;&gt;"",Критерий[[#This Row],[O.K.Критерий]]=1),ROW()-ROW(Критерий[[#Headers],[№]]),"")</f>
        <v/>
      </c>
      <c r="C83" s="84"/>
      <c r="D83"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83" s="208" t="str">
        <f ca="1">IFERROR(IF(IFERROR(SEARCH("Прив",Критерий[[#This Row],[Фкритерий]]),0)&gt;0,"Критерий",IF(IFERROR(SEARCH("Матр",Критерий[[#This Row],[Фкритерий]]),0)&gt;0,"ошибка","ошибка")),"ошибка")</f>
        <v>ошибка</v>
      </c>
      <c r="F83" s="224" t="str">
        <f ca="1">IFERROR(IF(LEN((INDIRECT(Критерий[[#This Row],[СНаименование]],FALSE)))=0,"ошибка",IFERROR(INDIRECT(Критерий[[#This Row],[СНаименование]],FALSE),"ошибка")),"ошибка")</f>
        <v>ошибка</v>
      </c>
      <c r="G8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83" s="208" t="str">
        <f ca="1">IFERROR(IF(N(INDIRECT(Критерий[[#This Row],[СФизКритерий]],FALSE))=0,"ошибка",IFERROR(INDIRECT(Критерий[[#This Row],[СФизКритерий]],FALSE),"ошибка")),"ошибка")</f>
        <v>ошибка</v>
      </c>
      <c r="I8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83"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8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83" s="208" t="str">
        <f ca="1">IFERROR(_xlfn.FORMULATEXT(INDIRECT(Критерий[[#This Row],[Скритерий]],FALSE)),"ошибка")</f>
        <v>ошибка</v>
      </c>
      <c r="M83" s="208" t="str">
        <f ca="1">IFERROR(IF(N(INDIRECT(Критерий[[#This Row],[СМинФизКритерий]],FALSE))=0,"ошибка",IFERROR(INDIRECT(Критерий[[#This Row],[СМинФизКритерий]],FALSE),"ошибка")),"ошибка")</f>
        <v>ошибка</v>
      </c>
      <c r="N8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83" s="208" t="str">
        <f ca="1">IFERROR(IF(N(INDIRECT(Критерий[[#This Row],[СМаксФизКритерий]],FALSE))=0,"ошибка",IFERROR(INDIRECT(Критерий[[#This Row],[СМаксФизКритерий]],FALSE),"ошибка")),"ошибка")</f>
        <v>ошибка</v>
      </c>
      <c r="P8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83" s="208" t="str">
        <f ca="1">IFERROR(IF(N(INDIRECT(Критерий[[#This Row],[ССрФизКритерий]],FALSE))=0,"ошибка",IFERROR(INDIRECT(Критерий[[#This Row],[ССрФизКритерий]],FALSE),"ошибка")),"")</f>
        <v/>
      </c>
      <c r="R83"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83" s="212">
        <f ca="1">IFERROR(IF(AND(Критерий[[#This Row],[ВидКритерий]]="Критерий",IFERROR(SEARCH("Приведение",Критерий[[#This Row],[Фкритерий]]),0)&gt;0),1,-1),-1)</f>
        <v>-1</v>
      </c>
      <c r="AG83" s="66">
        <f>IF(AND(Множество[[#This Row],[Y]]=1),ROW()-ROW(Множество[[#Headers],[№]]),"")</f>
        <v>74</v>
      </c>
      <c r="AH83" t="s">
        <v>608</v>
      </c>
      <c r="AI83" s="66">
        <v>1</v>
      </c>
      <c r="AJ83" s="66">
        <f>IF(LEN(Множество[[#This Row],[Свёртка]])&gt;0,1,-1)</f>
        <v>1</v>
      </c>
      <c r="AK83" s="66" t="s">
        <v>1781</v>
      </c>
      <c r="AL83" s="66">
        <f>IF(LEN(Множество[[#This Row],[Критерии]])&gt;0,1,-1)</f>
        <v>1</v>
      </c>
      <c r="AM83" s="66">
        <f>IF(AND(LEN(Множество[[#This Row],[Свёртка]])&gt;0,LEN(Множество[[#This Row],[Критерии]])&gt;0,LEN(Множество[[#This Row],[Оценки]])&gt;0),1,-1)</f>
        <v>1</v>
      </c>
      <c r="AN83">
        <v>6.2333333333333298</v>
      </c>
      <c r="AO83">
        <v>-16.566666666666698</v>
      </c>
      <c r="AP83" s="208"/>
      <c r="AQ83" s="208"/>
      <c r="AR83" s="226"/>
      <c r="AS83" s="225"/>
      <c r="AT83" s="226"/>
      <c r="AU83" s="225"/>
      <c r="AV83" s="225"/>
      <c r="AW83" s="225"/>
      <c r="AX83" s="225"/>
      <c r="AY83" s="225"/>
    </row>
    <row r="84" spans="2:51" x14ac:dyDescent="0.25">
      <c r="B84" s="209" t="str">
        <f ca="1">IF(AND(Критерий[[#This Row],[Критерий]]&lt;&gt;"",Критерий[[#This Row],[O.K.Критерий]]=1),ROW()-ROW(Критерий[[#Headers],[№]]),"")</f>
        <v/>
      </c>
      <c r="C84" s="84"/>
      <c r="D84"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84" s="208" t="str">
        <f ca="1">IFERROR(IF(IFERROR(SEARCH("Прив",Критерий[[#This Row],[Фкритерий]]),0)&gt;0,"Критерий",IF(IFERROR(SEARCH("Матр",Критерий[[#This Row],[Фкритерий]]),0)&gt;0,"ошибка","ошибка")),"ошибка")</f>
        <v>ошибка</v>
      </c>
      <c r="F84" s="224" t="str">
        <f ca="1">IFERROR(IF(LEN((INDIRECT(Критерий[[#This Row],[СНаименование]],FALSE)))=0,"ошибка",IFERROR(INDIRECT(Критерий[[#This Row],[СНаименование]],FALSE),"ошибка")),"ошибка")</f>
        <v>ошибка</v>
      </c>
      <c r="G8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84" s="208" t="str">
        <f ca="1">IFERROR(IF(N(INDIRECT(Критерий[[#This Row],[СФизКритерий]],FALSE))=0,"ошибка",IFERROR(INDIRECT(Критерий[[#This Row],[СФизКритерий]],FALSE),"ошибка")),"ошибка")</f>
        <v>ошибка</v>
      </c>
      <c r="I8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84"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8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84" s="208" t="str">
        <f ca="1">IFERROR(_xlfn.FORMULATEXT(INDIRECT(Критерий[[#This Row],[Скритерий]],FALSE)),"ошибка")</f>
        <v>ошибка</v>
      </c>
      <c r="M84" s="208" t="str">
        <f ca="1">IFERROR(IF(N(INDIRECT(Критерий[[#This Row],[СМинФизКритерий]],FALSE))=0,"ошибка",IFERROR(INDIRECT(Критерий[[#This Row],[СМинФизКритерий]],FALSE),"ошибка")),"ошибка")</f>
        <v>ошибка</v>
      </c>
      <c r="N8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84" s="208" t="str">
        <f ca="1">IFERROR(IF(N(INDIRECT(Критерий[[#This Row],[СМаксФизКритерий]],FALSE))=0,"ошибка",IFERROR(INDIRECT(Критерий[[#This Row],[СМаксФизКритерий]],FALSE),"ошибка")),"ошибка")</f>
        <v>ошибка</v>
      </c>
      <c r="P8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84" s="208" t="str">
        <f ca="1">IFERROR(IF(N(INDIRECT(Критерий[[#This Row],[ССрФизКритерий]],FALSE))=0,"ошибка",IFERROR(INDIRECT(Критерий[[#This Row],[ССрФизКритерий]],FALSE),"ошибка")),"")</f>
        <v/>
      </c>
      <c r="R84"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84" s="212">
        <f ca="1">IFERROR(IF(AND(Критерий[[#This Row],[ВидКритерий]]="Критерий",IFERROR(SEARCH("Приведение",Критерий[[#This Row],[Фкритерий]]),0)&gt;0),1,-1),-1)</f>
        <v>-1</v>
      </c>
      <c r="AG84" s="66">
        <f>IF(AND(Множество[[#This Row],[Y]]=1),ROW()-ROW(Множество[[#Headers],[№]]),"")</f>
        <v>75</v>
      </c>
      <c r="AH84" t="s">
        <v>608</v>
      </c>
      <c r="AI84" s="66">
        <v>1</v>
      </c>
      <c r="AJ84" s="66">
        <f>IF(LEN(Множество[[#This Row],[Свёртка]])&gt;0,1,-1)</f>
        <v>1</v>
      </c>
      <c r="AK84" s="66" t="s">
        <v>1781</v>
      </c>
      <c r="AL84" s="66">
        <f>IF(LEN(Множество[[#This Row],[Критерии]])&gt;0,1,-1)</f>
        <v>1</v>
      </c>
      <c r="AM84" s="66">
        <f>IF(AND(LEN(Множество[[#This Row],[Свёртка]])&gt;0,LEN(Множество[[#This Row],[Критерии]])&gt;0,LEN(Множество[[#This Row],[Оценки]])&gt;0),1,-1)</f>
        <v>1</v>
      </c>
      <c r="AN84">
        <v>6.875</v>
      </c>
      <c r="AO84">
        <v>-17.25</v>
      </c>
      <c r="AP84" s="208"/>
      <c r="AQ84" s="208"/>
      <c r="AR84" s="226"/>
      <c r="AS84" s="225"/>
      <c r="AT84" s="226"/>
      <c r="AU84" s="225"/>
      <c r="AV84" s="225"/>
      <c r="AW84" s="225"/>
      <c r="AX84" s="225"/>
      <c r="AY84" s="225"/>
    </row>
    <row r="85" spans="2:51" x14ac:dyDescent="0.25">
      <c r="B85" s="209" t="str">
        <f ca="1">IF(AND(Критерий[[#This Row],[Критерий]]&lt;&gt;"",Критерий[[#This Row],[O.K.Критерий]]=1),ROW()-ROW(Критерий[[#Headers],[№]]),"")</f>
        <v/>
      </c>
      <c r="C85" s="84"/>
      <c r="D85"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85" s="208" t="str">
        <f ca="1">IFERROR(IF(IFERROR(SEARCH("Прив",Критерий[[#This Row],[Фкритерий]]),0)&gt;0,"Критерий",IF(IFERROR(SEARCH("Матр",Критерий[[#This Row],[Фкритерий]]),0)&gt;0,"ошибка","ошибка")),"ошибка")</f>
        <v>ошибка</v>
      </c>
      <c r="F85" s="224" t="str">
        <f ca="1">IFERROR(IF(LEN((INDIRECT(Критерий[[#This Row],[СНаименование]],FALSE)))=0,"ошибка",IFERROR(INDIRECT(Критерий[[#This Row],[СНаименование]],FALSE),"ошибка")),"ошибка")</f>
        <v>ошибка</v>
      </c>
      <c r="G8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85" s="208" t="str">
        <f ca="1">IFERROR(IF(N(INDIRECT(Критерий[[#This Row],[СФизКритерий]],FALSE))=0,"ошибка",IFERROR(INDIRECT(Критерий[[#This Row],[СФизКритерий]],FALSE),"ошибка")),"ошибка")</f>
        <v>ошибка</v>
      </c>
      <c r="I8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85"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8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85" s="208" t="str">
        <f ca="1">IFERROR(_xlfn.FORMULATEXT(INDIRECT(Критерий[[#This Row],[Скритерий]],FALSE)),"ошибка")</f>
        <v>ошибка</v>
      </c>
      <c r="M85" s="208" t="str">
        <f ca="1">IFERROR(IF(N(INDIRECT(Критерий[[#This Row],[СМинФизКритерий]],FALSE))=0,"ошибка",IFERROR(INDIRECT(Критерий[[#This Row],[СМинФизКритерий]],FALSE),"ошибка")),"ошибка")</f>
        <v>ошибка</v>
      </c>
      <c r="N8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85" s="208" t="str">
        <f ca="1">IFERROR(IF(N(INDIRECT(Критерий[[#This Row],[СМаксФизКритерий]],FALSE))=0,"ошибка",IFERROR(INDIRECT(Критерий[[#This Row],[СМаксФизКритерий]],FALSE),"ошибка")),"ошибка")</f>
        <v>ошибка</v>
      </c>
      <c r="P8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85" s="208" t="str">
        <f ca="1">IFERROR(IF(N(INDIRECT(Критерий[[#This Row],[ССрФизКритерий]],FALSE))=0,"ошибка",IFERROR(INDIRECT(Критерий[[#This Row],[ССрФизКритерий]],FALSE),"ошибка")),"")</f>
        <v/>
      </c>
      <c r="R85"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85" s="212">
        <f ca="1">IFERROR(IF(AND(Критерий[[#This Row],[ВидКритерий]]="Критерий",IFERROR(SEARCH("Приведение",Критерий[[#This Row],[Фкритерий]]),0)&gt;0),1,-1),-1)</f>
        <v>-1</v>
      </c>
      <c r="AG85" s="66">
        <f>IF(AND(Множество[[#This Row],[Y]]=1),ROW()-ROW(Множество[[#Headers],[№]]),"")</f>
        <v>76</v>
      </c>
      <c r="AH85" t="s">
        <v>608</v>
      </c>
      <c r="AI85" s="66">
        <v>1</v>
      </c>
      <c r="AJ85" s="66">
        <f>IF(LEN(Множество[[#This Row],[Свёртка]])&gt;0,1,-1)</f>
        <v>1</v>
      </c>
      <c r="AK85" s="66" t="s">
        <v>1781</v>
      </c>
      <c r="AL85" s="66">
        <f>IF(LEN(Множество[[#This Row],[Критерии]])&gt;0,1,-1)</f>
        <v>1</v>
      </c>
      <c r="AM85" s="66">
        <f>IF(AND(LEN(Множество[[#This Row],[Свёртка]])&gt;0,LEN(Множество[[#This Row],[Критерии]])&gt;0,LEN(Множество[[#This Row],[Оценки]])&gt;0),1,-1)</f>
        <v>1</v>
      </c>
      <c r="AN85">
        <v>3.7833333333333301</v>
      </c>
      <c r="AO85">
        <v>-14.0666666666667</v>
      </c>
      <c r="AP85" s="208"/>
      <c r="AQ85" s="208"/>
      <c r="AR85" s="226"/>
      <c r="AS85" s="225"/>
      <c r="AT85" s="226"/>
      <c r="AU85" s="225"/>
      <c r="AV85" s="225"/>
      <c r="AW85" s="225"/>
      <c r="AX85" s="225"/>
      <c r="AY85" s="225"/>
    </row>
    <row r="86" spans="2:51" x14ac:dyDescent="0.25">
      <c r="B86" s="209" t="str">
        <f ca="1">IF(AND(Критерий[[#This Row],[Критерий]]&lt;&gt;"",Критерий[[#This Row],[O.K.Критерий]]=1),ROW()-ROW(Критерий[[#Headers],[№]]),"")</f>
        <v/>
      </c>
      <c r="C86" s="84"/>
      <c r="D86"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86" s="208" t="str">
        <f ca="1">IFERROR(IF(IFERROR(SEARCH("Прив",Критерий[[#This Row],[Фкритерий]]),0)&gt;0,"Критерий",IF(IFERROR(SEARCH("Матр",Критерий[[#This Row],[Фкритерий]]),0)&gt;0,"ошибка","ошибка")),"ошибка")</f>
        <v>ошибка</v>
      </c>
      <c r="F86" s="224" t="str">
        <f ca="1">IFERROR(IF(LEN((INDIRECT(Критерий[[#This Row],[СНаименование]],FALSE)))=0,"ошибка",IFERROR(INDIRECT(Критерий[[#This Row],[СНаименование]],FALSE),"ошибка")),"ошибка")</f>
        <v>ошибка</v>
      </c>
      <c r="G8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86" s="208" t="str">
        <f ca="1">IFERROR(IF(N(INDIRECT(Критерий[[#This Row],[СФизКритерий]],FALSE))=0,"ошибка",IFERROR(INDIRECT(Критерий[[#This Row],[СФизКритерий]],FALSE),"ошибка")),"ошибка")</f>
        <v>ошибка</v>
      </c>
      <c r="I8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86"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8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86" s="208" t="str">
        <f ca="1">IFERROR(_xlfn.FORMULATEXT(INDIRECT(Критерий[[#This Row],[Скритерий]],FALSE)),"ошибка")</f>
        <v>ошибка</v>
      </c>
      <c r="M86" s="208" t="str">
        <f ca="1">IFERROR(IF(N(INDIRECT(Критерий[[#This Row],[СМинФизКритерий]],FALSE))=0,"ошибка",IFERROR(INDIRECT(Критерий[[#This Row],[СМинФизКритерий]],FALSE),"ошибка")),"ошибка")</f>
        <v>ошибка</v>
      </c>
      <c r="N8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86" s="208" t="str">
        <f ca="1">IFERROR(IF(N(INDIRECT(Критерий[[#This Row],[СМаксФизКритерий]],FALSE))=0,"ошибка",IFERROR(INDIRECT(Критерий[[#This Row],[СМаксФизКритерий]],FALSE),"ошибка")),"ошибка")</f>
        <v>ошибка</v>
      </c>
      <c r="P8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86" s="208" t="str">
        <f ca="1">IFERROR(IF(N(INDIRECT(Критерий[[#This Row],[ССрФизКритерий]],FALSE))=0,"ошибка",IFERROR(INDIRECT(Критерий[[#This Row],[ССрФизКритерий]],FALSE),"ошибка")),"")</f>
        <v/>
      </c>
      <c r="R86"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86" s="212">
        <f ca="1">IFERROR(IF(AND(Критерий[[#This Row],[ВидКритерий]]="Критерий",IFERROR(SEARCH("Приведение",Критерий[[#This Row],[Фкритерий]]),0)&gt;0),1,-1),-1)</f>
        <v>-1</v>
      </c>
      <c r="AG86" s="66">
        <f>IF(AND(Множество[[#This Row],[Y]]=1),ROW()-ROW(Множество[[#Headers],[№]]),"")</f>
        <v>77</v>
      </c>
      <c r="AH86" t="s">
        <v>608</v>
      </c>
      <c r="AI86" s="66">
        <v>1</v>
      </c>
      <c r="AJ86" s="66">
        <f>IF(LEN(Множество[[#This Row],[Свёртка]])&gt;0,1,-1)</f>
        <v>1</v>
      </c>
      <c r="AK86" s="66" t="s">
        <v>1781</v>
      </c>
      <c r="AL86" s="66">
        <f>IF(LEN(Множество[[#This Row],[Критерии]])&gt;0,1,-1)</f>
        <v>1</v>
      </c>
      <c r="AM86" s="66">
        <f>IF(AND(LEN(Множество[[#This Row],[Свёртка]])&gt;0,LEN(Множество[[#This Row],[Критерии]])&gt;0,LEN(Множество[[#This Row],[Оценки]])&gt;0),1,-1)</f>
        <v>1</v>
      </c>
      <c r="AN86">
        <v>6.7583333333333302</v>
      </c>
      <c r="AO86">
        <v>-17.149999999999999</v>
      </c>
      <c r="AP86" s="208"/>
      <c r="AQ86" s="208"/>
      <c r="AR86" s="226"/>
      <c r="AS86" s="225"/>
      <c r="AT86" s="226"/>
      <c r="AU86" s="225"/>
      <c r="AV86" s="225"/>
      <c r="AW86" s="225"/>
      <c r="AX86" s="225"/>
      <c r="AY86" s="225"/>
    </row>
    <row r="87" spans="2:51" x14ac:dyDescent="0.25">
      <c r="B87" s="209" t="str">
        <f ca="1">IF(AND(Критерий[[#This Row],[Критерий]]&lt;&gt;"",Критерий[[#This Row],[O.K.Критерий]]=1),ROW()-ROW(Критерий[[#Headers],[№]]),"")</f>
        <v/>
      </c>
      <c r="C87" s="84"/>
      <c r="D87"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87" s="208" t="str">
        <f ca="1">IFERROR(IF(IFERROR(SEARCH("Прив",Критерий[[#This Row],[Фкритерий]]),0)&gt;0,"Критерий",IF(IFERROR(SEARCH("Матр",Критерий[[#This Row],[Фкритерий]]),0)&gt;0,"ошибка","ошибка")),"ошибка")</f>
        <v>ошибка</v>
      </c>
      <c r="F87" s="224" t="str">
        <f ca="1">IFERROR(IF(LEN((INDIRECT(Критерий[[#This Row],[СНаименование]],FALSE)))=0,"ошибка",IFERROR(INDIRECT(Критерий[[#This Row],[СНаименование]],FALSE),"ошибка")),"ошибка")</f>
        <v>ошибка</v>
      </c>
      <c r="G8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87" s="208" t="str">
        <f ca="1">IFERROR(IF(N(INDIRECT(Критерий[[#This Row],[СФизКритерий]],FALSE))=0,"ошибка",IFERROR(INDIRECT(Критерий[[#This Row],[СФизКритерий]],FALSE),"ошибка")),"ошибка")</f>
        <v>ошибка</v>
      </c>
      <c r="I8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87"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8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87" s="208" t="str">
        <f ca="1">IFERROR(_xlfn.FORMULATEXT(INDIRECT(Критерий[[#This Row],[Скритерий]],FALSE)),"ошибка")</f>
        <v>ошибка</v>
      </c>
      <c r="M87" s="208" t="str">
        <f ca="1">IFERROR(IF(N(INDIRECT(Критерий[[#This Row],[СМинФизКритерий]],FALSE))=0,"ошибка",IFERROR(INDIRECT(Критерий[[#This Row],[СМинФизКритерий]],FALSE),"ошибка")),"ошибка")</f>
        <v>ошибка</v>
      </c>
      <c r="N8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87" s="208" t="str">
        <f ca="1">IFERROR(IF(N(INDIRECT(Критерий[[#This Row],[СМаксФизКритерий]],FALSE))=0,"ошибка",IFERROR(INDIRECT(Критерий[[#This Row],[СМаксФизКритерий]],FALSE),"ошибка")),"ошибка")</f>
        <v>ошибка</v>
      </c>
      <c r="P8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87" s="208" t="str">
        <f ca="1">IFERROR(IF(N(INDIRECT(Критерий[[#This Row],[ССрФизКритерий]],FALSE))=0,"ошибка",IFERROR(INDIRECT(Критерий[[#This Row],[ССрФизКритерий]],FALSE),"ошибка")),"")</f>
        <v/>
      </c>
      <c r="R87"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87" s="212">
        <f ca="1">IFERROR(IF(AND(Критерий[[#This Row],[ВидКритерий]]="Критерий",IFERROR(SEARCH("Приведение",Критерий[[#This Row],[Фкритерий]]),0)&gt;0),1,-1),-1)</f>
        <v>-1</v>
      </c>
      <c r="AG87" s="66">
        <f>IF(AND(Множество[[#This Row],[Y]]=1),ROW()-ROW(Множество[[#Headers],[№]]),"")</f>
        <v>78</v>
      </c>
      <c r="AH87" t="s">
        <v>608</v>
      </c>
      <c r="AI87" s="66">
        <v>1</v>
      </c>
      <c r="AJ87" s="66">
        <f>IF(LEN(Множество[[#This Row],[Свёртка]])&gt;0,1,-1)</f>
        <v>1</v>
      </c>
      <c r="AK87" s="66" t="s">
        <v>1781</v>
      </c>
      <c r="AL87" s="66">
        <f>IF(LEN(Множество[[#This Row],[Критерии]])&gt;0,1,-1)</f>
        <v>1</v>
      </c>
      <c r="AM87" s="66">
        <f>IF(AND(LEN(Множество[[#This Row],[Свёртка]])&gt;0,LEN(Множество[[#This Row],[Критерии]])&gt;0,LEN(Множество[[#This Row],[Оценки]])&gt;0),1,-1)</f>
        <v>1</v>
      </c>
      <c r="AN87">
        <v>6.93333333333333</v>
      </c>
      <c r="AO87">
        <v>-17.283333333333299</v>
      </c>
      <c r="AP87" s="208"/>
      <c r="AQ87" s="208"/>
      <c r="AR87" s="226"/>
      <c r="AS87" s="225"/>
      <c r="AT87" s="226"/>
      <c r="AU87" s="225"/>
      <c r="AV87" s="225"/>
      <c r="AW87" s="225"/>
      <c r="AX87" s="225"/>
      <c r="AY87" s="225"/>
    </row>
    <row r="88" spans="2:51" x14ac:dyDescent="0.25">
      <c r="B88" s="209" t="str">
        <f ca="1">IF(AND(Критерий[[#This Row],[Критерий]]&lt;&gt;"",Критерий[[#This Row],[O.K.Критерий]]=1),ROW()-ROW(Критерий[[#Headers],[№]]),"")</f>
        <v/>
      </c>
      <c r="C88" s="84"/>
      <c r="D88"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88" s="208" t="str">
        <f ca="1">IFERROR(IF(IFERROR(SEARCH("Прив",Критерий[[#This Row],[Фкритерий]]),0)&gt;0,"Критерий",IF(IFERROR(SEARCH("Матр",Критерий[[#This Row],[Фкритерий]]),0)&gt;0,"ошибка","ошибка")),"ошибка")</f>
        <v>ошибка</v>
      </c>
      <c r="F88" s="224" t="str">
        <f ca="1">IFERROR(IF(LEN((INDIRECT(Критерий[[#This Row],[СНаименование]],FALSE)))=0,"ошибка",IFERROR(INDIRECT(Критерий[[#This Row],[СНаименование]],FALSE),"ошибка")),"ошибка")</f>
        <v>ошибка</v>
      </c>
      <c r="G8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88" s="208" t="str">
        <f ca="1">IFERROR(IF(N(INDIRECT(Критерий[[#This Row],[СФизКритерий]],FALSE))=0,"ошибка",IFERROR(INDIRECT(Критерий[[#This Row],[СФизКритерий]],FALSE),"ошибка")),"ошибка")</f>
        <v>ошибка</v>
      </c>
      <c r="I8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88"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8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88" s="208" t="str">
        <f ca="1">IFERROR(_xlfn.FORMULATEXT(INDIRECT(Критерий[[#This Row],[Скритерий]],FALSE)),"ошибка")</f>
        <v>ошибка</v>
      </c>
      <c r="M88" s="208" t="str">
        <f ca="1">IFERROR(IF(N(INDIRECT(Критерий[[#This Row],[СМинФизКритерий]],FALSE))=0,"ошибка",IFERROR(INDIRECT(Критерий[[#This Row],[СМинФизКритерий]],FALSE),"ошибка")),"ошибка")</f>
        <v>ошибка</v>
      </c>
      <c r="N8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88" s="208" t="str">
        <f ca="1">IFERROR(IF(N(INDIRECT(Критерий[[#This Row],[СМаксФизКритерий]],FALSE))=0,"ошибка",IFERROR(INDIRECT(Критерий[[#This Row],[СМаксФизКритерий]],FALSE),"ошибка")),"ошибка")</f>
        <v>ошибка</v>
      </c>
      <c r="P8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88" s="208" t="str">
        <f ca="1">IFERROR(IF(N(INDIRECT(Критерий[[#This Row],[ССрФизКритерий]],FALSE))=0,"ошибка",IFERROR(INDIRECT(Критерий[[#This Row],[ССрФизКритерий]],FALSE),"ошибка")),"")</f>
        <v/>
      </c>
      <c r="R88"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88" s="212">
        <f ca="1">IFERROR(IF(AND(Критерий[[#This Row],[ВидКритерий]]="Критерий",IFERROR(SEARCH("Приведение",Критерий[[#This Row],[Фкритерий]]),0)&gt;0),1,-1),-1)</f>
        <v>-1</v>
      </c>
      <c r="AG88" s="66">
        <f>IF(AND(Множество[[#This Row],[Y]]=1),ROW()-ROW(Множество[[#Headers],[№]]),"")</f>
        <v>79</v>
      </c>
      <c r="AH88" t="s">
        <v>608</v>
      </c>
      <c r="AI88" s="66">
        <v>1</v>
      </c>
      <c r="AJ88" s="66">
        <f>IF(LEN(Множество[[#This Row],[Свёртка]])&gt;0,1,-1)</f>
        <v>1</v>
      </c>
      <c r="AK88" s="66" t="s">
        <v>1781</v>
      </c>
      <c r="AL88" s="66">
        <f>IF(LEN(Множество[[#This Row],[Критерии]])&gt;0,1,-1)</f>
        <v>1</v>
      </c>
      <c r="AM88" s="66">
        <f>IF(AND(LEN(Множество[[#This Row],[Свёртка]])&gt;0,LEN(Множество[[#This Row],[Критерии]])&gt;0,LEN(Множество[[#This Row],[Оценки]])&gt;0),1,-1)</f>
        <v>1</v>
      </c>
      <c r="AN88">
        <v>3.6666666666666701</v>
      </c>
      <c r="AO88">
        <v>-14.1</v>
      </c>
      <c r="AP88" s="208"/>
      <c r="AQ88" s="208"/>
      <c r="AR88" s="226"/>
      <c r="AS88" s="225"/>
      <c r="AT88" s="226"/>
      <c r="AU88" s="225"/>
      <c r="AV88" s="225"/>
      <c r="AW88" s="225"/>
      <c r="AX88" s="225"/>
      <c r="AY88" s="225"/>
    </row>
    <row r="89" spans="2:51" x14ac:dyDescent="0.25">
      <c r="B89" s="209" t="str">
        <f ca="1">IF(AND(Критерий[[#This Row],[Критерий]]&lt;&gt;"",Критерий[[#This Row],[O.K.Критерий]]=1),ROW()-ROW(Критерий[[#Headers],[№]]),"")</f>
        <v/>
      </c>
      <c r="C89" s="84"/>
      <c r="D89"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89" s="208" t="str">
        <f ca="1">IFERROR(IF(IFERROR(SEARCH("Прив",Критерий[[#This Row],[Фкритерий]]),0)&gt;0,"Критерий",IF(IFERROR(SEARCH("Матр",Критерий[[#This Row],[Фкритерий]]),0)&gt;0,"ошибка","ошибка")),"ошибка")</f>
        <v>ошибка</v>
      </c>
      <c r="F89" s="224" t="str">
        <f ca="1">IFERROR(IF(LEN((INDIRECT(Критерий[[#This Row],[СНаименование]],FALSE)))=0,"ошибка",IFERROR(INDIRECT(Критерий[[#This Row],[СНаименование]],FALSE),"ошибка")),"ошибка")</f>
        <v>ошибка</v>
      </c>
      <c r="G8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89" s="208" t="str">
        <f ca="1">IFERROR(IF(N(INDIRECT(Критерий[[#This Row],[СФизКритерий]],FALSE))=0,"ошибка",IFERROR(INDIRECT(Критерий[[#This Row],[СФизКритерий]],FALSE),"ошибка")),"ошибка")</f>
        <v>ошибка</v>
      </c>
      <c r="I8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89"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8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89" s="208" t="str">
        <f ca="1">IFERROR(_xlfn.FORMULATEXT(INDIRECT(Критерий[[#This Row],[Скритерий]],FALSE)),"ошибка")</f>
        <v>ошибка</v>
      </c>
      <c r="M89" s="208" t="str">
        <f ca="1">IFERROR(IF(N(INDIRECT(Критерий[[#This Row],[СМинФизКритерий]],FALSE))=0,"ошибка",IFERROR(INDIRECT(Критерий[[#This Row],[СМинФизКритерий]],FALSE),"ошибка")),"ошибка")</f>
        <v>ошибка</v>
      </c>
      <c r="N8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89" s="208" t="str">
        <f ca="1">IFERROR(IF(N(INDIRECT(Критерий[[#This Row],[СМаксФизКритерий]],FALSE))=0,"ошибка",IFERROR(INDIRECT(Критерий[[#This Row],[СМаксФизКритерий]],FALSE),"ошибка")),"ошибка")</f>
        <v>ошибка</v>
      </c>
      <c r="P8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89" s="208" t="str">
        <f ca="1">IFERROR(IF(N(INDIRECT(Критерий[[#This Row],[ССрФизКритерий]],FALSE))=0,"ошибка",IFERROR(INDIRECT(Критерий[[#This Row],[ССрФизКритерий]],FALSE),"ошибка")),"")</f>
        <v/>
      </c>
      <c r="R89"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89" s="212">
        <f ca="1">IFERROR(IF(AND(Критерий[[#This Row],[ВидКритерий]]="Критерий",IFERROR(SEARCH("Приведение",Критерий[[#This Row],[Фкритерий]]),0)&gt;0),1,-1),-1)</f>
        <v>-1</v>
      </c>
      <c r="AG89" s="66">
        <f>IF(AND(Множество[[#This Row],[Y]]=1),ROW()-ROW(Множество[[#Headers],[№]]),"")</f>
        <v>80</v>
      </c>
      <c r="AH89" t="s">
        <v>608</v>
      </c>
      <c r="AI89" s="66">
        <v>1</v>
      </c>
      <c r="AJ89" s="66">
        <f>IF(LEN(Множество[[#This Row],[Свёртка]])&gt;0,1,-1)</f>
        <v>1</v>
      </c>
      <c r="AK89" s="66" t="s">
        <v>1781</v>
      </c>
      <c r="AL89" s="66">
        <f>IF(LEN(Множество[[#This Row],[Критерии]])&gt;0,1,-1)</f>
        <v>1</v>
      </c>
      <c r="AM89" s="66">
        <f>IF(AND(LEN(Множество[[#This Row],[Свёртка]])&gt;0,LEN(Множество[[#This Row],[Критерии]])&gt;0,LEN(Множество[[#This Row],[Оценки]])&gt;0),1,-1)</f>
        <v>1</v>
      </c>
      <c r="AN89">
        <v>3.7250000000000001</v>
      </c>
      <c r="AO89">
        <v>-14.0833333333333</v>
      </c>
      <c r="AP89" s="208"/>
      <c r="AQ89" s="208"/>
      <c r="AR89" s="226"/>
      <c r="AS89" s="225"/>
      <c r="AT89" s="226"/>
      <c r="AU89" s="225"/>
      <c r="AV89" s="225"/>
      <c r="AW89" s="225"/>
      <c r="AX89" s="225"/>
      <c r="AY89" s="225"/>
    </row>
    <row r="90" spans="2:51" x14ac:dyDescent="0.25">
      <c r="B90" s="209" t="str">
        <f ca="1">IF(AND(Критерий[[#This Row],[Критерий]]&lt;&gt;"",Критерий[[#This Row],[O.K.Критерий]]=1),ROW()-ROW(Критерий[[#Headers],[№]]),"")</f>
        <v/>
      </c>
      <c r="C90" s="84"/>
      <c r="D90"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90" s="208" t="str">
        <f ca="1">IFERROR(IF(IFERROR(SEARCH("Прив",Критерий[[#This Row],[Фкритерий]]),0)&gt;0,"Критерий",IF(IFERROR(SEARCH("Матр",Критерий[[#This Row],[Фкритерий]]),0)&gt;0,"ошибка","ошибка")),"ошибка")</f>
        <v>ошибка</v>
      </c>
      <c r="F90" s="224" t="str">
        <f ca="1">IFERROR(IF(LEN((INDIRECT(Критерий[[#This Row],[СНаименование]],FALSE)))=0,"ошибка",IFERROR(INDIRECT(Критерий[[#This Row],[СНаименование]],FALSE),"ошибка")),"ошибка")</f>
        <v>ошибка</v>
      </c>
      <c r="G9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90" s="208" t="str">
        <f ca="1">IFERROR(IF(N(INDIRECT(Критерий[[#This Row],[СФизКритерий]],FALSE))=0,"ошибка",IFERROR(INDIRECT(Критерий[[#This Row],[СФизКритерий]],FALSE),"ошибка")),"ошибка")</f>
        <v>ошибка</v>
      </c>
      <c r="I9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90"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9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90" s="208" t="str">
        <f ca="1">IFERROR(_xlfn.FORMULATEXT(INDIRECT(Критерий[[#This Row],[Скритерий]],FALSE)),"ошибка")</f>
        <v>ошибка</v>
      </c>
      <c r="M90" s="208" t="str">
        <f ca="1">IFERROR(IF(N(INDIRECT(Критерий[[#This Row],[СМинФизКритерий]],FALSE))=0,"ошибка",IFERROR(INDIRECT(Критерий[[#This Row],[СМинФизКритерий]],FALSE),"ошибка")),"ошибка")</f>
        <v>ошибка</v>
      </c>
      <c r="N9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90" s="208" t="str">
        <f ca="1">IFERROR(IF(N(INDIRECT(Критерий[[#This Row],[СМаксФизКритерий]],FALSE))=0,"ошибка",IFERROR(INDIRECT(Критерий[[#This Row],[СМаксФизКритерий]],FALSE),"ошибка")),"ошибка")</f>
        <v>ошибка</v>
      </c>
      <c r="P9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90" s="208" t="str">
        <f ca="1">IFERROR(IF(N(INDIRECT(Критерий[[#This Row],[ССрФизКритерий]],FALSE))=0,"ошибка",IFERROR(INDIRECT(Критерий[[#This Row],[ССрФизКритерий]],FALSE),"ошибка")),"")</f>
        <v/>
      </c>
      <c r="R90"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90" s="212">
        <f ca="1">IFERROR(IF(AND(Критерий[[#This Row],[ВидКритерий]]="Критерий",IFERROR(SEARCH("Приведение",Критерий[[#This Row],[Фкритерий]]),0)&gt;0),1,-1),-1)</f>
        <v>-1</v>
      </c>
      <c r="AG90" s="66">
        <f>IF(AND(Множество[[#This Row],[Y]]=1),ROW()-ROW(Множество[[#Headers],[№]]),"")</f>
        <v>81</v>
      </c>
      <c r="AH90" t="s">
        <v>608</v>
      </c>
      <c r="AI90" s="66">
        <v>1</v>
      </c>
      <c r="AJ90" s="66">
        <f>IF(LEN(Множество[[#This Row],[Свёртка]])&gt;0,1,-1)</f>
        <v>1</v>
      </c>
      <c r="AK90" s="66" t="s">
        <v>1781</v>
      </c>
      <c r="AL90" s="66">
        <f>IF(LEN(Множество[[#This Row],[Критерии]])&gt;0,1,-1)</f>
        <v>1</v>
      </c>
      <c r="AM90" s="66">
        <f>IF(AND(LEN(Множество[[#This Row],[Свёртка]])&gt;0,LEN(Множество[[#This Row],[Критерии]])&gt;0,LEN(Множество[[#This Row],[Оценки]])&gt;0),1,-1)</f>
        <v>1</v>
      </c>
      <c r="AN90">
        <v>7.1083333333333298</v>
      </c>
      <c r="AO90">
        <v>-17.4166666666667</v>
      </c>
      <c r="AP90" s="208"/>
      <c r="AQ90" s="208"/>
      <c r="AR90" s="226"/>
      <c r="AS90" s="225"/>
      <c r="AT90" s="226"/>
      <c r="AU90" s="225"/>
      <c r="AV90" s="225"/>
      <c r="AW90" s="225"/>
      <c r="AX90" s="225"/>
      <c r="AY90" s="225"/>
    </row>
    <row r="91" spans="2:51" x14ac:dyDescent="0.25">
      <c r="B91" s="209" t="str">
        <f ca="1">IF(AND(Критерий[[#This Row],[Критерий]]&lt;&gt;"",Критерий[[#This Row],[O.K.Критерий]]=1),ROW()-ROW(Критерий[[#Headers],[№]]),"")</f>
        <v/>
      </c>
      <c r="C91" s="84"/>
      <c r="D91"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91" s="208" t="str">
        <f ca="1">IFERROR(IF(IFERROR(SEARCH("Прив",Критерий[[#This Row],[Фкритерий]]),0)&gt;0,"Критерий",IF(IFERROR(SEARCH("Матр",Критерий[[#This Row],[Фкритерий]]),0)&gt;0,"ошибка","ошибка")),"ошибка")</f>
        <v>ошибка</v>
      </c>
      <c r="F91" s="224" t="str">
        <f ca="1">IFERROR(IF(LEN((INDIRECT(Критерий[[#This Row],[СНаименование]],FALSE)))=0,"ошибка",IFERROR(INDIRECT(Критерий[[#This Row],[СНаименование]],FALSE),"ошибка")),"ошибка")</f>
        <v>ошибка</v>
      </c>
      <c r="G9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91" s="208" t="str">
        <f ca="1">IFERROR(IF(N(INDIRECT(Критерий[[#This Row],[СФизКритерий]],FALSE))=0,"ошибка",IFERROR(INDIRECT(Критерий[[#This Row],[СФизКритерий]],FALSE),"ошибка")),"ошибка")</f>
        <v>ошибка</v>
      </c>
      <c r="I9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91"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9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91" s="208" t="str">
        <f ca="1">IFERROR(_xlfn.FORMULATEXT(INDIRECT(Критерий[[#This Row],[Скритерий]],FALSE)),"ошибка")</f>
        <v>ошибка</v>
      </c>
      <c r="M91" s="208" t="str">
        <f ca="1">IFERROR(IF(N(INDIRECT(Критерий[[#This Row],[СМинФизКритерий]],FALSE))=0,"ошибка",IFERROR(INDIRECT(Критерий[[#This Row],[СМинФизКритерий]],FALSE),"ошибка")),"ошибка")</f>
        <v>ошибка</v>
      </c>
      <c r="N9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91" s="208" t="str">
        <f ca="1">IFERROR(IF(N(INDIRECT(Критерий[[#This Row],[СМаксФизКритерий]],FALSE))=0,"ошибка",IFERROR(INDIRECT(Критерий[[#This Row],[СМаксФизКритерий]],FALSE),"ошибка")),"ошибка")</f>
        <v>ошибка</v>
      </c>
      <c r="P9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91" s="208" t="str">
        <f ca="1">IFERROR(IF(N(INDIRECT(Критерий[[#This Row],[ССрФизКритерий]],FALSE))=0,"ошибка",IFERROR(INDIRECT(Критерий[[#This Row],[ССрФизКритерий]],FALSE),"ошибка")),"")</f>
        <v/>
      </c>
      <c r="R91"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91" s="212">
        <f ca="1">IFERROR(IF(AND(Критерий[[#This Row],[ВидКритерий]]="Критерий",IFERROR(SEARCH("Приведение",Критерий[[#This Row],[Фкритерий]]),0)&gt;0),1,-1),-1)</f>
        <v>-1</v>
      </c>
      <c r="AG91" s="66">
        <f>IF(AND(Множество[[#This Row],[Y]]=1),ROW()-ROW(Множество[[#Headers],[№]]),"")</f>
        <v>82</v>
      </c>
      <c r="AH91" t="s">
        <v>608</v>
      </c>
      <c r="AI91" s="66">
        <v>1</v>
      </c>
      <c r="AJ91" s="66">
        <f>IF(LEN(Множество[[#This Row],[Свёртка]])&gt;0,1,-1)</f>
        <v>1</v>
      </c>
      <c r="AK91" s="66" t="s">
        <v>1781</v>
      </c>
      <c r="AL91" s="66">
        <f>IF(LEN(Множество[[#This Row],[Критерии]])&gt;0,1,-1)</f>
        <v>1</v>
      </c>
      <c r="AM91" s="66">
        <f>IF(AND(LEN(Множество[[#This Row],[Свёртка]])&gt;0,LEN(Множество[[#This Row],[Критерии]])&gt;0,LEN(Множество[[#This Row],[Оценки]])&gt;0),1,-1)</f>
        <v>1</v>
      </c>
      <c r="AN91">
        <v>6.81666666666667</v>
      </c>
      <c r="AO91">
        <v>-17.2</v>
      </c>
      <c r="AP91" s="208"/>
      <c r="AQ91" s="208"/>
      <c r="AR91" s="226"/>
      <c r="AS91" s="225"/>
      <c r="AT91" s="226"/>
      <c r="AU91" s="225"/>
      <c r="AV91" s="225"/>
      <c r="AW91" s="225"/>
      <c r="AX91" s="225"/>
      <c r="AY91" s="225"/>
    </row>
    <row r="92" spans="2:51" x14ac:dyDescent="0.25">
      <c r="B92" s="209" t="str">
        <f ca="1">IF(AND(Критерий[[#This Row],[Критерий]]&lt;&gt;"",Критерий[[#This Row],[O.K.Критерий]]=1),ROW()-ROW(Критерий[[#Headers],[№]]),"")</f>
        <v/>
      </c>
      <c r="C92" s="84"/>
      <c r="D92"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92" s="208" t="str">
        <f ca="1">IFERROR(IF(IFERROR(SEARCH("Прив",Критерий[[#This Row],[Фкритерий]]),0)&gt;0,"Критерий",IF(IFERROR(SEARCH("Матр",Критерий[[#This Row],[Фкритерий]]),0)&gt;0,"ошибка","ошибка")),"ошибка")</f>
        <v>ошибка</v>
      </c>
      <c r="F92" s="224" t="str">
        <f ca="1">IFERROR(IF(LEN((INDIRECT(Критерий[[#This Row],[СНаименование]],FALSE)))=0,"ошибка",IFERROR(INDIRECT(Критерий[[#This Row],[СНаименование]],FALSE),"ошибка")),"ошибка")</f>
        <v>ошибка</v>
      </c>
      <c r="G9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92" s="208" t="str">
        <f ca="1">IFERROR(IF(N(INDIRECT(Критерий[[#This Row],[СФизКритерий]],FALSE))=0,"ошибка",IFERROR(INDIRECT(Критерий[[#This Row],[СФизКритерий]],FALSE),"ошибка")),"ошибка")</f>
        <v>ошибка</v>
      </c>
      <c r="I9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92"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9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92" s="208" t="str">
        <f ca="1">IFERROR(_xlfn.FORMULATEXT(INDIRECT(Критерий[[#This Row],[Скритерий]],FALSE)),"ошибка")</f>
        <v>ошибка</v>
      </c>
      <c r="M92" s="208" t="str">
        <f ca="1">IFERROR(IF(N(INDIRECT(Критерий[[#This Row],[СМинФизКритерий]],FALSE))=0,"ошибка",IFERROR(INDIRECT(Критерий[[#This Row],[СМинФизКритерий]],FALSE),"ошибка")),"ошибка")</f>
        <v>ошибка</v>
      </c>
      <c r="N9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92" s="208" t="str">
        <f ca="1">IFERROR(IF(N(INDIRECT(Критерий[[#This Row],[СМаксФизКритерий]],FALSE))=0,"ошибка",IFERROR(INDIRECT(Критерий[[#This Row],[СМаксФизКритерий]],FALSE),"ошибка")),"ошибка")</f>
        <v>ошибка</v>
      </c>
      <c r="P9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92" s="208" t="str">
        <f ca="1">IFERROR(IF(N(INDIRECT(Критерий[[#This Row],[ССрФизКритерий]],FALSE))=0,"ошибка",IFERROR(INDIRECT(Критерий[[#This Row],[ССрФизКритерий]],FALSE),"ошибка")),"")</f>
        <v/>
      </c>
      <c r="R92"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92" s="212">
        <f ca="1">IFERROR(IF(AND(Критерий[[#This Row],[ВидКритерий]]="Критерий",IFERROR(SEARCH("Приведение",Критерий[[#This Row],[Фкритерий]]),0)&gt;0),1,-1),-1)</f>
        <v>-1</v>
      </c>
      <c r="AG92" s="66">
        <f>IF(AND(Множество[[#This Row],[Y]]=1),ROW()-ROW(Множество[[#Headers],[№]]),"")</f>
        <v>83</v>
      </c>
      <c r="AH92" t="s">
        <v>608</v>
      </c>
      <c r="AI92" s="66">
        <v>1</v>
      </c>
      <c r="AJ92" s="66">
        <f>IF(LEN(Множество[[#This Row],[Свёртка]])&gt;0,1,-1)</f>
        <v>1</v>
      </c>
      <c r="AK92" s="66" t="s">
        <v>1781</v>
      </c>
      <c r="AL92" s="66">
        <f>IF(LEN(Множество[[#This Row],[Критерии]])&gt;0,1,-1)</f>
        <v>1</v>
      </c>
      <c r="AM92" s="66">
        <f>IF(AND(LEN(Множество[[#This Row],[Свёртка]])&gt;0,LEN(Множество[[#This Row],[Критерии]])&gt;0,LEN(Множество[[#This Row],[Оценки]])&gt;0),1,-1)</f>
        <v>1</v>
      </c>
      <c r="AN92">
        <v>6.9916666666666698</v>
      </c>
      <c r="AO92">
        <v>-17.3333333333333</v>
      </c>
      <c r="AP92" s="208"/>
      <c r="AQ92" s="208"/>
      <c r="AR92" s="226"/>
      <c r="AS92" s="225"/>
      <c r="AT92" s="226"/>
      <c r="AU92" s="225"/>
      <c r="AV92" s="225"/>
      <c r="AW92" s="225"/>
      <c r="AX92" s="225"/>
      <c r="AY92" s="225"/>
    </row>
    <row r="93" spans="2:51" x14ac:dyDescent="0.25">
      <c r="B93" s="209" t="str">
        <f ca="1">IF(AND(Критерий[[#This Row],[Критерий]]&lt;&gt;"",Критерий[[#This Row],[O.K.Критерий]]=1),ROW()-ROW(Критерий[[#Headers],[№]]),"")</f>
        <v/>
      </c>
      <c r="C93" s="84"/>
      <c r="D93"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93" s="208" t="str">
        <f ca="1">IFERROR(IF(IFERROR(SEARCH("Прив",Критерий[[#This Row],[Фкритерий]]),0)&gt;0,"Критерий",IF(IFERROR(SEARCH("Матр",Критерий[[#This Row],[Фкритерий]]),0)&gt;0,"ошибка","ошибка")),"ошибка")</f>
        <v>ошибка</v>
      </c>
      <c r="F93" s="224" t="str">
        <f ca="1">IFERROR(IF(LEN((INDIRECT(Критерий[[#This Row],[СНаименование]],FALSE)))=0,"ошибка",IFERROR(INDIRECT(Критерий[[#This Row],[СНаименование]],FALSE),"ошибка")),"ошибка")</f>
        <v>ошибка</v>
      </c>
      <c r="G9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93" s="208" t="str">
        <f ca="1">IFERROR(IF(N(INDIRECT(Критерий[[#This Row],[СФизКритерий]],FALSE))=0,"ошибка",IFERROR(INDIRECT(Критерий[[#This Row],[СФизКритерий]],FALSE),"ошибка")),"ошибка")</f>
        <v>ошибка</v>
      </c>
      <c r="I9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93"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9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93" s="208" t="str">
        <f ca="1">IFERROR(_xlfn.FORMULATEXT(INDIRECT(Критерий[[#This Row],[Скритерий]],FALSE)),"ошибка")</f>
        <v>ошибка</v>
      </c>
      <c r="M93" s="208" t="str">
        <f ca="1">IFERROR(IF(N(INDIRECT(Критерий[[#This Row],[СМинФизКритерий]],FALSE))=0,"ошибка",IFERROR(INDIRECT(Критерий[[#This Row],[СМинФизКритерий]],FALSE),"ошибка")),"ошибка")</f>
        <v>ошибка</v>
      </c>
      <c r="N9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93" s="208" t="str">
        <f ca="1">IFERROR(IF(N(INDIRECT(Критерий[[#This Row],[СМаксФизКритерий]],FALSE))=0,"ошибка",IFERROR(INDIRECT(Критерий[[#This Row],[СМаксФизКритерий]],FALSE),"ошибка")),"ошибка")</f>
        <v>ошибка</v>
      </c>
      <c r="P9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93" s="208" t="str">
        <f ca="1">IFERROR(IF(N(INDIRECT(Критерий[[#This Row],[ССрФизКритерий]],FALSE))=0,"ошибка",IFERROR(INDIRECT(Критерий[[#This Row],[ССрФизКритерий]],FALSE),"ошибка")),"")</f>
        <v/>
      </c>
      <c r="R93"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93" s="212">
        <f ca="1">IFERROR(IF(AND(Критерий[[#This Row],[ВидКритерий]]="Критерий",IFERROR(SEARCH("Приведение",Критерий[[#This Row],[Фкритерий]]),0)&gt;0),1,-1),-1)</f>
        <v>-1</v>
      </c>
      <c r="AG93" s="66">
        <f>IF(AND(Множество[[#This Row],[Y]]=1),ROW()-ROW(Множество[[#Headers],[№]]),"")</f>
        <v>84</v>
      </c>
      <c r="AH93" t="s">
        <v>608</v>
      </c>
      <c r="AI93" s="66">
        <v>1</v>
      </c>
      <c r="AJ93" s="66">
        <f>IF(LEN(Множество[[#This Row],[Свёртка]])&gt;0,1,-1)</f>
        <v>1</v>
      </c>
      <c r="AK93" s="66" t="s">
        <v>1781</v>
      </c>
      <c r="AL93" s="66">
        <f>IF(LEN(Множество[[#This Row],[Критерии]])&gt;0,1,-1)</f>
        <v>1</v>
      </c>
      <c r="AM93" s="66">
        <f>IF(AND(LEN(Множество[[#This Row],[Свёртка]])&gt;0,LEN(Множество[[#This Row],[Критерии]])&gt;0,LEN(Множество[[#This Row],[Оценки]])&gt;0),1,-1)</f>
        <v>1</v>
      </c>
      <c r="AN93">
        <v>6.1166666666666698</v>
      </c>
      <c r="AO93">
        <v>-16.533333333333299</v>
      </c>
      <c r="AP93" s="208"/>
      <c r="AQ93" s="208"/>
      <c r="AR93" s="226"/>
      <c r="AS93" s="225"/>
      <c r="AT93" s="226"/>
      <c r="AU93" s="225"/>
      <c r="AV93" s="225"/>
      <c r="AW93" s="225"/>
      <c r="AX93" s="225"/>
      <c r="AY93" s="225"/>
    </row>
    <row r="94" spans="2:51" x14ac:dyDescent="0.25">
      <c r="B94" s="209" t="str">
        <f ca="1">IF(AND(Критерий[[#This Row],[Критерий]]&lt;&gt;"",Критерий[[#This Row],[O.K.Критерий]]=1),ROW()-ROW(Критерий[[#Headers],[№]]),"")</f>
        <v/>
      </c>
      <c r="C94" s="84"/>
      <c r="D94"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94" s="208" t="str">
        <f ca="1">IFERROR(IF(IFERROR(SEARCH("Прив",Критерий[[#This Row],[Фкритерий]]),0)&gt;0,"Критерий",IF(IFERROR(SEARCH("Матр",Критерий[[#This Row],[Фкритерий]]),0)&gt;0,"ошибка","ошибка")),"ошибка")</f>
        <v>ошибка</v>
      </c>
      <c r="F94" s="224" t="str">
        <f ca="1">IFERROR(IF(LEN((INDIRECT(Критерий[[#This Row],[СНаименование]],FALSE)))=0,"ошибка",IFERROR(INDIRECT(Критерий[[#This Row],[СНаименование]],FALSE),"ошибка")),"ошибка")</f>
        <v>ошибка</v>
      </c>
      <c r="G9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94" s="208" t="str">
        <f ca="1">IFERROR(IF(N(INDIRECT(Критерий[[#This Row],[СФизКритерий]],FALSE))=0,"ошибка",IFERROR(INDIRECT(Критерий[[#This Row],[СФизКритерий]],FALSE),"ошибка")),"ошибка")</f>
        <v>ошибка</v>
      </c>
      <c r="I9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94"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9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94" s="208" t="str">
        <f ca="1">IFERROR(_xlfn.FORMULATEXT(INDIRECT(Критерий[[#This Row],[Скритерий]],FALSE)),"ошибка")</f>
        <v>ошибка</v>
      </c>
      <c r="M94" s="208" t="str">
        <f ca="1">IFERROR(IF(N(INDIRECT(Критерий[[#This Row],[СМинФизКритерий]],FALSE))=0,"ошибка",IFERROR(INDIRECT(Критерий[[#This Row],[СМинФизКритерий]],FALSE),"ошибка")),"ошибка")</f>
        <v>ошибка</v>
      </c>
      <c r="N9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94" s="208" t="str">
        <f ca="1">IFERROR(IF(N(INDIRECT(Критерий[[#This Row],[СМаксФизКритерий]],FALSE))=0,"ошибка",IFERROR(INDIRECT(Критерий[[#This Row],[СМаксФизКритерий]],FALSE),"ошибка")),"ошибка")</f>
        <v>ошибка</v>
      </c>
      <c r="P9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94" s="208" t="str">
        <f ca="1">IFERROR(IF(N(INDIRECT(Критерий[[#This Row],[ССрФизКритерий]],FALSE))=0,"ошибка",IFERROR(INDIRECT(Критерий[[#This Row],[ССрФизКритерий]],FALSE),"ошибка")),"")</f>
        <v/>
      </c>
      <c r="R94"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94" s="212">
        <f ca="1">IFERROR(IF(AND(Критерий[[#This Row],[ВидКритерий]]="Критерий",IFERROR(SEARCH("Приведение",Критерий[[#This Row],[Фкритерий]]),0)&gt;0),1,-1),-1)</f>
        <v>-1</v>
      </c>
      <c r="AG94" s="66">
        <f>IF(AND(Множество[[#This Row],[Y]]=1),ROW()-ROW(Множество[[#Headers],[№]]),"")</f>
        <v>85</v>
      </c>
      <c r="AH94" t="s">
        <v>608</v>
      </c>
      <c r="AI94" s="66">
        <v>1</v>
      </c>
      <c r="AJ94" s="66">
        <f>IF(LEN(Множество[[#This Row],[Свёртка]])&gt;0,1,-1)</f>
        <v>1</v>
      </c>
      <c r="AK94" s="66" t="s">
        <v>1781</v>
      </c>
      <c r="AL94" s="66">
        <f>IF(LEN(Множество[[#This Row],[Критерии]])&gt;0,1,-1)</f>
        <v>1</v>
      </c>
      <c r="AM94" s="66">
        <f>IF(AND(LEN(Множество[[#This Row],[Свёртка]])&gt;0,LEN(Множество[[#This Row],[Критерии]])&gt;0,LEN(Множество[[#This Row],[Оценки]])&gt;0),1,-1)</f>
        <v>1</v>
      </c>
      <c r="AN94">
        <v>6.1749999999999998</v>
      </c>
      <c r="AO94">
        <v>-16.55</v>
      </c>
      <c r="AP94" s="208"/>
      <c r="AQ94" s="208"/>
      <c r="AR94" s="226"/>
      <c r="AS94" s="225"/>
      <c r="AT94" s="226"/>
      <c r="AU94" s="225"/>
      <c r="AV94" s="225"/>
      <c r="AW94" s="225"/>
      <c r="AX94" s="225"/>
      <c r="AY94" s="225"/>
    </row>
    <row r="95" spans="2:51" x14ac:dyDescent="0.25">
      <c r="B95" s="209" t="str">
        <f ca="1">IF(AND(Критерий[[#This Row],[Критерий]]&lt;&gt;"",Критерий[[#This Row],[O.K.Критерий]]=1),ROW()-ROW(Критерий[[#Headers],[№]]),"")</f>
        <v/>
      </c>
      <c r="C95" s="84"/>
      <c r="D95"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95" s="208" t="str">
        <f ca="1">IFERROR(IF(IFERROR(SEARCH("Прив",Критерий[[#This Row],[Фкритерий]]),0)&gt;0,"Критерий",IF(IFERROR(SEARCH("Матр",Критерий[[#This Row],[Фкритерий]]),0)&gt;0,"ошибка","ошибка")),"ошибка")</f>
        <v>ошибка</v>
      </c>
      <c r="F95" s="224" t="str">
        <f ca="1">IFERROR(IF(LEN((INDIRECT(Критерий[[#This Row],[СНаименование]],FALSE)))=0,"ошибка",IFERROR(INDIRECT(Критерий[[#This Row],[СНаименование]],FALSE),"ошибка")),"ошибка")</f>
        <v>ошибка</v>
      </c>
      <c r="G9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95" s="208" t="str">
        <f ca="1">IFERROR(IF(N(INDIRECT(Критерий[[#This Row],[СФизКритерий]],FALSE))=0,"ошибка",IFERROR(INDIRECT(Критерий[[#This Row],[СФизКритерий]],FALSE),"ошибка")),"ошибка")</f>
        <v>ошибка</v>
      </c>
      <c r="I9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95"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9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95" s="208" t="str">
        <f ca="1">IFERROR(_xlfn.FORMULATEXT(INDIRECT(Критерий[[#This Row],[Скритерий]],FALSE)),"ошибка")</f>
        <v>ошибка</v>
      </c>
      <c r="M95" s="208" t="str">
        <f ca="1">IFERROR(IF(N(INDIRECT(Критерий[[#This Row],[СМинФизКритерий]],FALSE))=0,"ошибка",IFERROR(INDIRECT(Критерий[[#This Row],[СМинФизКритерий]],FALSE),"ошибка")),"ошибка")</f>
        <v>ошибка</v>
      </c>
      <c r="N9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95" s="208" t="str">
        <f ca="1">IFERROR(IF(N(INDIRECT(Критерий[[#This Row],[СМаксФизКритерий]],FALSE))=0,"ошибка",IFERROR(INDIRECT(Критерий[[#This Row],[СМаксФизКритерий]],FALSE),"ошибка")),"ошибка")</f>
        <v>ошибка</v>
      </c>
      <c r="P9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95" s="208" t="str">
        <f ca="1">IFERROR(IF(N(INDIRECT(Критерий[[#This Row],[ССрФизКритерий]],FALSE))=0,"ошибка",IFERROR(INDIRECT(Критерий[[#This Row],[ССрФизКритерий]],FALSE),"ошибка")),"")</f>
        <v/>
      </c>
      <c r="R95"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95" s="212">
        <f ca="1">IFERROR(IF(AND(Критерий[[#This Row],[ВидКритерий]]="Критерий",IFERROR(SEARCH("Приведение",Критерий[[#This Row],[Фкритерий]]),0)&gt;0),1,-1),-1)</f>
        <v>-1</v>
      </c>
      <c r="AG95" s="66">
        <f>IF(AND(Множество[[#This Row],[Y]]=1),ROW()-ROW(Множество[[#Headers],[№]]),"")</f>
        <v>86</v>
      </c>
      <c r="AH95" t="s">
        <v>608</v>
      </c>
      <c r="AI95" s="66">
        <v>1</v>
      </c>
      <c r="AJ95" s="66">
        <f>IF(LEN(Множество[[#This Row],[Свёртка]])&gt;0,1,-1)</f>
        <v>1</v>
      </c>
      <c r="AK95" s="66" t="s">
        <v>1781</v>
      </c>
      <c r="AL95" s="66">
        <f>IF(LEN(Множество[[#This Row],[Критерии]])&gt;0,1,-1)</f>
        <v>1</v>
      </c>
      <c r="AM95" s="66">
        <f>IF(AND(LEN(Множество[[#This Row],[Свёртка]])&gt;0,LEN(Множество[[#This Row],[Критерии]])&gt;0,LEN(Множество[[#This Row],[Оценки]])&gt;0),1,-1)</f>
        <v>1</v>
      </c>
      <c r="AN95">
        <v>5.94166666666667</v>
      </c>
      <c r="AO95">
        <v>-16.5</v>
      </c>
      <c r="AP95" s="208"/>
      <c r="AQ95" s="208"/>
      <c r="AR95" s="226"/>
      <c r="AS95" s="225"/>
      <c r="AT95" s="226"/>
      <c r="AU95" s="225"/>
      <c r="AV95" s="225"/>
      <c r="AW95" s="225"/>
      <c r="AX95" s="225"/>
      <c r="AY95" s="225"/>
    </row>
    <row r="96" spans="2:51" x14ac:dyDescent="0.25">
      <c r="B96" s="209" t="str">
        <f ca="1">IF(AND(Критерий[[#This Row],[Критерий]]&lt;&gt;"",Критерий[[#This Row],[O.K.Критерий]]=1),ROW()-ROW(Критерий[[#Headers],[№]]),"")</f>
        <v/>
      </c>
      <c r="C96" s="84"/>
      <c r="D96"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96" s="208" t="str">
        <f ca="1">IFERROR(IF(IFERROR(SEARCH("Прив",Критерий[[#This Row],[Фкритерий]]),0)&gt;0,"Критерий",IF(IFERROR(SEARCH("Матр",Критерий[[#This Row],[Фкритерий]]),0)&gt;0,"ошибка","ошибка")),"ошибка")</f>
        <v>ошибка</v>
      </c>
      <c r="F96" s="224" t="str">
        <f ca="1">IFERROR(IF(LEN((INDIRECT(Критерий[[#This Row],[СНаименование]],FALSE)))=0,"ошибка",IFERROR(INDIRECT(Критерий[[#This Row],[СНаименование]],FALSE),"ошибка")),"ошибка")</f>
        <v>ошибка</v>
      </c>
      <c r="G9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96" s="208" t="str">
        <f ca="1">IFERROR(IF(N(INDIRECT(Критерий[[#This Row],[СФизКритерий]],FALSE))=0,"ошибка",IFERROR(INDIRECT(Критерий[[#This Row],[СФизКритерий]],FALSE),"ошибка")),"ошибка")</f>
        <v>ошибка</v>
      </c>
      <c r="I9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96"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9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96" s="208" t="str">
        <f ca="1">IFERROR(_xlfn.FORMULATEXT(INDIRECT(Критерий[[#This Row],[Скритерий]],FALSE)),"ошибка")</f>
        <v>ошибка</v>
      </c>
      <c r="M96" s="208" t="str">
        <f ca="1">IFERROR(IF(N(INDIRECT(Критерий[[#This Row],[СМинФизКритерий]],FALSE))=0,"ошибка",IFERROR(INDIRECT(Критерий[[#This Row],[СМинФизКритерий]],FALSE),"ошибка")),"ошибка")</f>
        <v>ошибка</v>
      </c>
      <c r="N9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96" s="208" t="str">
        <f ca="1">IFERROR(IF(N(INDIRECT(Критерий[[#This Row],[СМаксФизКритерий]],FALSE))=0,"ошибка",IFERROR(INDIRECT(Критерий[[#This Row],[СМаксФизКритерий]],FALSE),"ошибка")),"ошибка")</f>
        <v>ошибка</v>
      </c>
      <c r="P9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96" s="208" t="str">
        <f ca="1">IFERROR(IF(N(INDIRECT(Критерий[[#This Row],[ССрФизКритерий]],FALSE))=0,"ошибка",IFERROR(INDIRECT(Критерий[[#This Row],[ССрФизКритерий]],FALSE),"ошибка")),"")</f>
        <v/>
      </c>
      <c r="R96"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96" s="212">
        <f ca="1">IFERROR(IF(AND(Критерий[[#This Row],[ВидКритерий]]="Критерий",IFERROR(SEARCH("Приведение",Критерий[[#This Row],[Фкритерий]]),0)&gt;0),1,-1),-1)</f>
        <v>-1</v>
      </c>
      <c r="AG96" s="66">
        <f>IF(AND(Множество[[#This Row],[Y]]=1),ROW()-ROW(Множество[[#Headers],[№]]),"")</f>
        <v>87</v>
      </c>
      <c r="AH96" t="s">
        <v>608</v>
      </c>
      <c r="AI96" s="66">
        <v>1</v>
      </c>
      <c r="AJ96" s="66">
        <f>IF(LEN(Множество[[#This Row],[Свёртка]])&gt;0,1,-1)</f>
        <v>1</v>
      </c>
      <c r="AK96" s="66" t="s">
        <v>1781</v>
      </c>
      <c r="AL96" s="66">
        <f>IF(LEN(Множество[[#This Row],[Критерии]])&gt;0,1,-1)</f>
        <v>1</v>
      </c>
      <c r="AM96" s="66">
        <f>IF(AND(LEN(Множество[[#This Row],[Свёртка]])&gt;0,LEN(Множество[[#This Row],[Критерии]])&gt;0,LEN(Множество[[#This Row],[Оценки]])&gt;0),1,-1)</f>
        <v>1</v>
      </c>
      <c r="AN96">
        <v>6</v>
      </c>
      <c r="AO96">
        <v>-16.516666666666701</v>
      </c>
      <c r="AP96" s="208"/>
      <c r="AQ96" s="208"/>
      <c r="AR96" s="226"/>
      <c r="AS96" s="225"/>
      <c r="AT96" s="226"/>
      <c r="AU96" s="225"/>
      <c r="AV96" s="225"/>
      <c r="AW96" s="225"/>
      <c r="AX96" s="225"/>
      <c r="AY96" s="225"/>
    </row>
    <row r="97" spans="2:51" x14ac:dyDescent="0.25">
      <c r="B97" s="209" t="str">
        <f ca="1">IF(AND(Критерий[[#This Row],[Критерий]]&lt;&gt;"",Критерий[[#This Row],[O.K.Критерий]]=1),ROW()-ROW(Критерий[[#Headers],[№]]),"")</f>
        <v/>
      </c>
      <c r="C97" s="84"/>
      <c r="D97"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97" s="208" t="str">
        <f ca="1">IFERROR(IF(IFERROR(SEARCH("Прив",Критерий[[#This Row],[Фкритерий]]),0)&gt;0,"Критерий",IF(IFERROR(SEARCH("Матр",Критерий[[#This Row],[Фкритерий]]),0)&gt;0,"ошибка","ошибка")),"ошибка")</f>
        <v>ошибка</v>
      </c>
      <c r="F97" s="224" t="str">
        <f ca="1">IFERROR(IF(LEN((INDIRECT(Критерий[[#This Row],[СНаименование]],FALSE)))=0,"ошибка",IFERROR(INDIRECT(Критерий[[#This Row],[СНаименование]],FALSE),"ошибка")),"ошибка")</f>
        <v>ошибка</v>
      </c>
      <c r="G9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97" s="208" t="str">
        <f ca="1">IFERROR(IF(N(INDIRECT(Критерий[[#This Row],[СФизКритерий]],FALSE))=0,"ошибка",IFERROR(INDIRECT(Критерий[[#This Row],[СФизКритерий]],FALSE),"ошибка")),"ошибка")</f>
        <v>ошибка</v>
      </c>
      <c r="I9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97"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9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97" s="208" t="str">
        <f ca="1">IFERROR(_xlfn.FORMULATEXT(INDIRECT(Критерий[[#This Row],[Скритерий]],FALSE)),"ошибка")</f>
        <v>ошибка</v>
      </c>
      <c r="M97" s="208" t="str">
        <f ca="1">IFERROR(IF(N(INDIRECT(Критерий[[#This Row],[СМинФизКритерий]],FALSE))=0,"ошибка",IFERROR(INDIRECT(Критерий[[#This Row],[СМинФизКритерий]],FALSE),"ошибка")),"ошибка")</f>
        <v>ошибка</v>
      </c>
      <c r="N9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97" s="208" t="str">
        <f ca="1">IFERROR(IF(N(INDIRECT(Критерий[[#This Row],[СМаксФизКритерий]],FALSE))=0,"ошибка",IFERROR(INDIRECT(Критерий[[#This Row],[СМаксФизКритерий]],FALSE),"ошибка")),"ошибка")</f>
        <v>ошибка</v>
      </c>
      <c r="P9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97" s="208" t="str">
        <f ca="1">IFERROR(IF(N(INDIRECT(Критерий[[#This Row],[ССрФизКритерий]],FALSE))=0,"ошибка",IFERROR(INDIRECT(Критерий[[#This Row],[ССрФизКритерий]],FALSE),"ошибка")),"")</f>
        <v/>
      </c>
      <c r="R97"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97" s="212">
        <f ca="1">IFERROR(IF(AND(Критерий[[#This Row],[ВидКритерий]]="Критерий",IFERROR(SEARCH("Приведение",Критерий[[#This Row],[Фкритерий]]),0)&gt;0),1,-1),-1)</f>
        <v>-1</v>
      </c>
      <c r="AG97" s="66">
        <f>IF(AND(Множество[[#This Row],[Y]]=1),ROW()-ROW(Множество[[#Headers],[№]]),"")</f>
        <v>88</v>
      </c>
      <c r="AH97" t="s">
        <v>608</v>
      </c>
      <c r="AI97" s="66">
        <v>1</v>
      </c>
      <c r="AJ97" s="66">
        <f>IF(LEN(Множество[[#This Row],[Свёртка]])&gt;0,1,-1)</f>
        <v>1</v>
      </c>
      <c r="AK97" s="66" t="s">
        <v>1781</v>
      </c>
      <c r="AL97" s="66">
        <f>IF(LEN(Множество[[#This Row],[Критерии]])&gt;0,1,-1)</f>
        <v>1</v>
      </c>
      <c r="AM97" s="66">
        <f>IF(AND(LEN(Множество[[#This Row],[Свёртка]])&gt;0,LEN(Множество[[#This Row],[Критерии]])&gt;0,LEN(Множество[[#This Row],[Оценки]])&gt;0),1,-1)</f>
        <v>1</v>
      </c>
      <c r="AN97">
        <v>6.05833333333333</v>
      </c>
      <c r="AO97">
        <v>-16.516666666666701</v>
      </c>
      <c r="AP97" s="208"/>
      <c r="AQ97" s="208"/>
      <c r="AR97" s="226"/>
      <c r="AS97" s="225"/>
      <c r="AT97" s="226"/>
      <c r="AU97" s="225"/>
      <c r="AV97" s="225"/>
      <c r="AW97" s="225"/>
      <c r="AX97" s="225"/>
      <c r="AY97" s="225"/>
    </row>
    <row r="98" spans="2:51" x14ac:dyDescent="0.25">
      <c r="B98" s="209" t="str">
        <f ca="1">IF(AND(Критерий[[#This Row],[Критерий]]&lt;&gt;"",Критерий[[#This Row],[O.K.Критерий]]=1),ROW()-ROW(Критерий[[#Headers],[№]]),"")</f>
        <v/>
      </c>
      <c r="C98" s="84"/>
      <c r="D98"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98" s="208" t="str">
        <f ca="1">IFERROR(IF(IFERROR(SEARCH("Прив",Критерий[[#This Row],[Фкритерий]]),0)&gt;0,"Критерий",IF(IFERROR(SEARCH("Матр",Критерий[[#This Row],[Фкритерий]]),0)&gt;0,"ошибка","ошибка")),"ошибка")</f>
        <v>ошибка</v>
      </c>
      <c r="F98" s="224" t="str">
        <f ca="1">IFERROR(IF(LEN((INDIRECT(Критерий[[#This Row],[СНаименование]],FALSE)))=0,"ошибка",IFERROR(INDIRECT(Критерий[[#This Row],[СНаименование]],FALSE),"ошибка")),"ошибка")</f>
        <v>ошибка</v>
      </c>
      <c r="G9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98" s="208" t="str">
        <f ca="1">IFERROR(IF(N(INDIRECT(Критерий[[#This Row],[СФизКритерий]],FALSE))=0,"ошибка",IFERROR(INDIRECT(Критерий[[#This Row],[СФизКритерий]],FALSE),"ошибка")),"ошибка")</f>
        <v>ошибка</v>
      </c>
      <c r="I9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98"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9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98" s="208" t="str">
        <f ca="1">IFERROR(_xlfn.FORMULATEXT(INDIRECT(Критерий[[#This Row],[Скритерий]],FALSE)),"ошибка")</f>
        <v>ошибка</v>
      </c>
      <c r="M98" s="208" t="str">
        <f ca="1">IFERROR(IF(N(INDIRECT(Критерий[[#This Row],[СМинФизКритерий]],FALSE))=0,"ошибка",IFERROR(INDIRECT(Критерий[[#This Row],[СМинФизКритерий]],FALSE),"ошибка")),"ошибка")</f>
        <v>ошибка</v>
      </c>
      <c r="N9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98" s="208" t="str">
        <f ca="1">IFERROR(IF(N(INDIRECT(Критерий[[#This Row],[СМаксФизКритерий]],FALSE))=0,"ошибка",IFERROR(INDIRECT(Критерий[[#This Row],[СМаксФизКритерий]],FALSE),"ошибка")),"ошибка")</f>
        <v>ошибка</v>
      </c>
      <c r="P9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98" s="208" t="str">
        <f ca="1">IFERROR(IF(N(INDIRECT(Критерий[[#This Row],[ССрФизКритерий]],FALSE))=0,"ошибка",IFERROR(INDIRECT(Критерий[[#This Row],[ССрФизКритерий]],FALSE),"ошибка")),"")</f>
        <v/>
      </c>
      <c r="R98"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98" s="212">
        <f ca="1">IFERROR(IF(AND(Критерий[[#This Row],[ВидКритерий]]="Критерий",IFERROR(SEARCH("Приведение",Критерий[[#This Row],[Фкритерий]]),0)&gt;0),1,-1),-1)</f>
        <v>-1</v>
      </c>
      <c r="AG98" s="66">
        <f>IF(AND(Множество[[#This Row],[Y]]=1),ROW()-ROW(Множество[[#Headers],[№]]),"")</f>
        <v>89</v>
      </c>
      <c r="AH98" t="s">
        <v>608</v>
      </c>
      <c r="AI98" s="66">
        <v>1</v>
      </c>
      <c r="AJ98" s="66">
        <f>IF(LEN(Множество[[#This Row],[Свёртка]])&gt;0,1,-1)</f>
        <v>1</v>
      </c>
      <c r="AK98" s="66" t="s">
        <v>1781</v>
      </c>
      <c r="AL98" s="66">
        <f>IF(LEN(Множество[[#This Row],[Критерии]])&gt;0,1,-1)</f>
        <v>1</v>
      </c>
      <c r="AM98" s="66">
        <f>IF(AND(LEN(Множество[[#This Row],[Свёртка]])&gt;0,LEN(Множество[[#This Row],[Критерии]])&gt;0,LEN(Множество[[#This Row],[Оценки]])&gt;0),1,-1)</f>
        <v>1</v>
      </c>
      <c r="AN98">
        <v>3.6083333333333298</v>
      </c>
      <c r="AO98">
        <v>-14.133333333333301</v>
      </c>
      <c r="AP98" s="208"/>
      <c r="AQ98" s="208"/>
      <c r="AR98" s="226"/>
      <c r="AS98" s="225"/>
      <c r="AT98" s="226"/>
      <c r="AU98" s="225"/>
      <c r="AV98" s="225"/>
      <c r="AW98" s="225"/>
      <c r="AX98" s="225"/>
      <c r="AY98" s="225"/>
    </row>
    <row r="99" spans="2:51" x14ac:dyDescent="0.25">
      <c r="B99" s="209" t="str">
        <f ca="1">IF(AND(Критерий[[#This Row],[Критерий]]&lt;&gt;"",Критерий[[#This Row],[O.K.Критерий]]=1),ROW()-ROW(Критерий[[#Headers],[№]]),"")</f>
        <v/>
      </c>
      <c r="C99" s="84"/>
      <c r="D99"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99" s="208" t="str">
        <f ca="1">IFERROR(IF(IFERROR(SEARCH("Прив",Критерий[[#This Row],[Фкритерий]]),0)&gt;0,"Критерий",IF(IFERROR(SEARCH("Матр",Критерий[[#This Row],[Фкритерий]]),0)&gt;0,"ошибка","ошибка")),"ошибка")</f>
        <v>ошибка</v>
      </c>
      <c r="F99" s="224" t="str">
        <f ca="1">IFERROR(IF(LEN((INDIRECT(Критерий[[#This Row],[СНаименование]],FALSE)))=0,"ошибка",IFERROR(INDIRECT(Критерий[[#This Row],[СНаименование]],FALSE),"ошибка")),"ошибка")</f>
        <v>ошибка</v>
      </c>
      <c r="G9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99" s="208" t="str">
        <f ca="1">IFERROR(IF(N(INDIRECT(Критерий[[#This Row],[СФизКритерий]],FALSE))=0,"ошибка",IFERROR(INDIRECT(Критерий[[#This Row],[СФизКритерий]],FALSE),"ошибка")),"ошибка")</f>
        <v>ошибка</v>
      </c>
      <c r="I9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99"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9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99" s="208" t="str">
        <f ca="1">IFERROR(_xlfn.FORMULATEXT(INDIRECT(Критерий[[#This Row],[Скритерий]],FALSE)),"ошибка")</f>
        <v>ошибка</v>
      </c>
      <c r="M99" s="208" t="str">
        <f ca="1">IFERROR(IF(N(INDIRECT(Критерий[[#This Row],[СМинФизКритерий]],FALSE))=0,"ошибка",IFERROR(INDIRECT(Критерий[[#This Row],[СМинФизКритерий]],FALSE),"ошибка")),"ошибка")</f>
        <v>ошибка</v>
      </c>
      <c r="N9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99" s="208" t="str">
        <f ca="1">IFERROR(IF(N(INDIRECT(Критерий[[#This Row],[СМаксФизКритерий]],FALSE))=0,"ошибка",IFERROR(INDIRECT(Критерий[[#This Row],[СМаксФизКритерий]],FALSE),"ошибка")),"ошибка")</f>
        <v>ошибка</v>
      </c>
      <c r="P9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99" s="208" t="str">
        <f ca="1">IFERROR(IF(N(INDIRECT(Критерий[[#This Row],[ССрФизКритерий]],FALSE))=0,"ошибка",IFERROR(INDIRECT(Критерий[[#This Row],[ССрФизКритерий]],FALSE),"ошибка")),"")</f>
        <v/>
      </c>
      <c r="R99"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99" s="212">
        <f ca="1">IFERROR(IF(AND(Критерий[[#This Row],[ВидКритерий]]="Критерий",IFERROR(SEARCH("Приведение",Критерий[[#This Row],[Фкритерий]]),0)&gt;0),1,-1),-1)</f>
        <v>-1</v>
      </c>
      <c r="AG99" s="66">
        <f>IF(AND(Множество[[#This Row],[Y]]=1),ROW()-ROW(Множество[[#Headers],[№]]),"")</f>
        <v>90</v>
      </c>
      <c r="AH99" t="s">
        <v>608</v>
      </c>
      <c r="AI99" s="66">
        <v>1</v>
      </c>
      <c r="AJ99" s="66">
        <f>IF(LEN(Множество[[#This Row],[Свёртка]])&gt;0,1,-1)</f>
        <v>1</v>
      </c>
      <c r="AK99" s="66" t="s">
        <v>1781</v>
      </c>
      <c r="AL99" s="66">
        <f>IF(LEN(Множество[[#This Row],[Критерии]])&gt;0,1,-1)</f>
        <v>1</v>
      </c>
      <c r="AM99" s="66">
        <f>IF(AND(LEN(Множество[[#This Row],[Свёртка]])&gt;0,LEN(Множество[[#This Row],[Критерии]])&gt;0,LEN(Множество[[#This Row],[Оценки]])&gt;0),1,-1)</f>
        <v>1</v>
      </c>
      <c r="AN99">
        <v>3.55</v>
      </c>
      <c r="AO99">
        <v>-14.15</v>
      </c>
      <c r="AP99" s="208"/>
      <c r="AQ99" s="208"/>
      <c r="AR99" s="226"/>
      <c r="AS99" s="225"/>
      <c r="AT99" s="226"/>
      <c r="AU99" s="225"/>
      <c r="AV99" s="225"/>
      <c r="AW99" s="225"/>
      <c r="AX99" s="225"/>
      <c r="AY99" s="225"/>
    </row>
    <row r="100" spans="2:51" x14ac:dyDescent="0.25">
      <c r="B100" s="209" t="str">
        <f ca="1">IF(AND(Критерий[[#This Row],[Критерий]]&lt;&gt;"",Критерий[[#This Row],[O.K.Критерий]]=1),ROW()-ROW(Критерий[[#Headers],[№]]),"")</f>
        <v/>
      </c>
      <c r="C100" s="84"/>
      <c r="D100"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00" s="208" t="str">
        <f ca="1">IFERROR(IF(IFERROR(SEARCH("Прив",Критерий[[#This Row],[Фкритерий]]),0)&gt;0,"Критерий",IF(IFERROR(SEARCH("Матр",Критерий[[#This Row],[Фкритерий]]),0)&gt;0,"ошибка","ошибка")),"ошибка")</f>
        <v>ошибка</v>
      </c>
      <c r="F100" s="224" t="str">
        <f ca="1">IFERROR(IF(LEN((INDIRECT(Критерий[[#This Row],[СНаименование]],FALSE)))=0,"ошибка",IFERROR(INDIRECT(Критерий[[#This Row],[СНаименование]],FALSE),"ошибка")),"ошибка")</f>
        <v>ошибка</v>
      </c>
      <c r="G10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00" s="208" t="str">
        <f ca="1">IFERROR(IF(N(INDIRECT(Критерий[[#This Row],[СФизКритерий]],FALSE))=0,"ошибка",IFERROR(INDIRECT(Критерий[[#This Row],[СФизКритерий]],FALSE),"ошибка")),"ошибка")</f>
        <v>ошибка</v>
      </c>
      <c r="I10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00"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0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00" s="208" t="str">
        <f ca="1">IFERROR(_xlfn.FORMULATEXT(INDIRECT(Критерий[[#This Row],[Скритерий]],FALSE)),"ошибка")</f>
        <v>ошибка</v>
      </c>
      <c r="M100" s="208" t="str">
        <f ca="1">IFERROR(IF(N(INDIRECT(Критерий[[#This Row],[СМинФизКритерий]],FALSE))=0,"ошибка",IFERROR(INDIRECT(Критерий[[#This Row],[СМинФизКритерий]],FALSE),"ошибка")),"ошибка")</f>
        <v>ошибка</v>
      </c>
      <c r="N10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00" s="208" t="str">
        <f ca="1">IFERROR(IF(N(INDIRECT(Критерий[[#This Row],[СМаксФизКритерий]],FALSE))=0,"ошибка",IFERROR(INDIRECT(Критерий[[#This Row],[СМаксФизКритерий]],FALSE),"ошибка")),"ошибка")</f>
        <v>ошибка</v>
      </c>
      <c r="P10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00" s="208" t="str">
        <f ca="1">IFERROR(IF(N(INDIRECT(Критерий[[#This Row],[ССрФизКритерий]],FALSE))=0,"ошибка",IFERROR(INDIRECT(Критерий[[#This Row],[ССрФизКритерий]],FALSE),"ошибка")),"")</f>
        <v/>
      </c>
      <c r="R100"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00" s="212">
        <f ca="1">IFERROR(IF(AND(Критерий[[#This Row],[ВидКритерий]]="Критерий",IFERROR(SEARCH("Приведение",Критерий[[#This Row],[Фкритерий]]),0)&gt;0),1,-1),-1)</f>
        <v>-1</v>
      </c>
      <c r="AG100" s="66">
        <f>IF(AND(Множество[[#This Row],[Y]]=1),ROW()-ROW(Множество[[#Headers],[№]]),"")</f>
        <v>91</v>
      </c>
      <c r="AH100" t="s">
        <v>608</v>
      </c>
      <c r="AI100" s="66">
        <v>1</v>
      </c>
      <c r="AJ100" s="66">
        <f>IF(LEN(Множество[[#This Row],[Свёртка]])&gt;0,1,-1)</f>
        <v>1</v>
      </c>
      <c r="AK100" s="66" t="s">
        <v>1781</v>
      </c>
      <c r="AL100" s="66">
        <f>IF(LEN(Множество[[#This Row],[Критерии]])&gt;0,1,-1)</f>
        <v>1</v>
      </c>
      <c r="AM100" s="66">
        <f>IF(AND(LEN(Множество[[#This Row],[Свёртка]])&gt;0,LEN(Множество[[#This Row],[Критерии]])&gt;0,LEN(Множество[[#This Row],[Оценки]])&gt;0),1,-1)</f>
        <v>1</v>
      </c>
      <c r="AN100">
        <v>5.8250000000000002</v>
      </c>
      <c r="AO100">
        <v>-16.466666666666701</v>
      </c>
      <c r="AP100" s="208"/>
      <c r="AQ100" s="208"/>
      <c r="AR100" s="226"/>
      <c r="AS100" s="225"/>
      <c r="AT100" s="226"/>
      <c r="AU100" s="225"/>
      <c r="AV100" s="225"/>
      <c r="AW100" s="225"/>
      <c r="AX100" s="225"/>
      <c r="AY100" s="225"/>
    </row>
    <row r="101" spans="2:51" x14ac:dyDescent="0.25">
      <c r="B101" s="209" t="str">
        <f ca="1">IF(AND(Критерий[[#This Row],[Критерий]]&lt;&gt;"",Критерий[[#This Row],[O.K.Критерий]]=1),ROW()-ROW(Критерий[[#Headers],[№]]),"")</f>
        <v/>
      </c>
      <c r="C101" s="84"/>
      <c r="D101"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01" s="208" t="str">
        <f ca="1">IFERROR(IF(IFERROR(SEARCH("Прив",Критерий[[#This Row],[Фкритерий]]),0)&gt;0,"Критерий",IF(IFERROR(SEARCH("Матр",Критерий[[#This Row],[Фкритерий]]),0)&gt;0,"ошибка","ошибка")),"ошибка")</f>
        <v>ошибка</v>
      </c>
      <c r="F101" s="224" t="str">
        <f ca="1">IFERROR(IF(LEN((INDIRECT(Критерий[[#This Row],[СНаименование]],FALSE)))=0,"ошибка",IFERROR(INDIRECT(Критерий[[#This Row],[СНаименование]],FALSE),"ошибка")),"ошибка")</f>
        <v>ошибка</v>
      </c>
      <c r="G10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01" s="208" t="str">
        <f ca="1">IFERROR(IF(N(INDIRECT(Критерий[[#This Row],[СФизКритерий]],FALSE))=0,"ошибка",IFERROR(INDIRECT(Критерий[[#This Row],[СФизКритерий]],FALSE),"ошибка")),"ошибка")</f>
        <v>ошибка</v>
      </c>
      <c r="I10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01"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0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01" s="208" t="str">
        <f ca="1">IFERROR(_xlfn.FORMULATEXT(INDIRECT(Критерий[[#This Row],[Скритерий]],FALSE)),"ошибка")</f>
        <v>ошибка</v>
      </c>
      <c r="M101" s="208" t="str">
        <f ca="1">IFERROR(IF(N(INDIRECT(Критерий[[#This Row],[СМинФизКритерий]],FALSE))=0,"ошибка",IFERROR(INDIRECT(Критерий[[#This Row],[СМинФизКритерий]],FALSE),"ошибка")),"ошибка")</f>
        <v>ошибка</v>
      </c>
      <c r="N10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01" s="208" t="str">
        <f ca="1">IFERROR(IF(N(INDIRECT(Критерий[[#This Row],[СМаксФизКритерий]],FALSE))=0,"ошибка",IFERROR(INDIRECT(Критерий[[#This Row],[СМаксФизКритерий]],FALSE),"ошибка")),"ошибка")</f>
        <v>ошибка</v>
      </c>
      <c r="P10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01" s="208" t="str">
        <f ca="1">IFERROR(IF(N(INDIRECT(Критерий[[#This Row],[ССрФизКритерий]],FALSE))=0,"ошибка",IFERROR(INDIRECT(Критерий[[#This Row],[ССрФизКритерий]],FALSE),"ошибка")),"")</f>
        <v/>
      </c>
      <c r="R101"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01" s="212">
        <f ca="1">IFERROR(IF(AND(Критерий[[#This Row],[ВидКритерий]]="Критерий",IFERROR(SEARCH("Приведение",Критерий[[#This Row],[Фкритерий]]),0)&gt;0),1,-1),-1)</f>
        <v>-1</v>
      </c>
      <c r="AG101" s="66">
        <f>IF(AND(Множество[[#This Row],[Y]]=1),ROW()-ROW(Множество[[#Headers],[№]]),"")</f>
        <v>92</v>
      </c>
      <c r="AH101" t="s">
        <v>608</v>
      </c>
      <c r="AI101" s="66">
        <v>1</v>
      </c>
      <c r="AJ101" s="66">
        <f>IF(LEN(Множество[[#This Row],[Свёртка]])&gt;0,1,-1)</f>
        <v>1</v>
      </c>
      <c r="AK101" s="66" t="s">
        <v>1781</v>
      </c>
      <c r="AL101" s="66">
        <f>IF(LEN(Множество[[#This Row],[Критерии]])&gt;0,1,-1)</f>
        <v>1</v>
      </c>
      <c r="AM101" s="66">
        <f>IF(AND(LEN(Множество[[#This Row],[Свёртка]])&gt;0,LEN(Множество[[#This Row],[Критерии]])&gt;0,LEN(Множество[[#This Row],[Оценки]])&gt;0),1,-1)</f>
        <v>1</v>
      </c>
      <c r="AN101">
        <v>5.8833333333333302</v>
      </c>
      <c r="AO101">
        <v>-16.483333333333299</v>
      </c>
      <c r="AP101" s="208"/>
      <c r="AQ101" s="208"/>
      <c r="AR101" s="226"/>
      <c r="AS101" s="225"/>
      <c r="AT101" s="226"/>
      <c r="AU101" s="225"/>
      <c r="AV101" s="225"/>
      <c r="AW101" s="225"/>
      <c r="AX101" s="225"/>
      <c r="AY101" s="225"/>
    </row>
    <row r="102" spans="2:51" x14ac:dyDescent="0.25">
      <c r="B102" s="209" t="str">
        <f ca="1">IF(AND(Критерий[[#This Row],[Критерий]]&lt;&gt;"",Критерий[[#This Row],[O.K.Критерий]]=1),ROW()-ROW(Критерий[[#Headers],[№]]),"")</f>
        <v/>
      </c>
      <c r="C102" s="84"/>
      <c r="D102"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02" s="208" t="str">
        <f ca="1">IFERROR(IF(IFERROR(SEARCH("Прив",Критерий[[#This Row],[Фкритерий]]),0)&gt;0,"Критерий",IF(IFERROR(SEARCH("Матр",Критерий[[#This Row],[Фкритерий]]),0)&gt;0,"ошибка","ошибка")),"ошибка")</f>
        <v>ошибка</v>
      </c>
      <c r="F102" s="224" t="str">
        <f ca="1">IFERROR(IF(LEN((INDIRECT(Критерий[[#This Row],[СНаименование]],FALSE)))=0,"ошибка",IFERROR(INDIRECT(Критерий[[#This Row],[СНаименование]],FALSE),"ошибка")),"ошибка")</f>
        <v>ошибка</v>
      </c>
      <c r="G10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02" s="208" t="str">
        <f ca="1">IFERROR(IF(N(INDIRECT(Критерий[[#This Row],[СФизКритерий]],FALSE))=0,"ошибка",IFERROR(INDIRECT(Критерий[[#This Row],[СФизКритерий]],FALSE),"ошибка")),"ошибка")</f>
        <v>ошибка</v>
      </c>
      <c r="I10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02"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0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02" s="208" t="str">
        <f ca="1">IFERROR(_xlfn.FORMULATEXT(INDIRECT(Критерий[[#This Row],[Скритерий]],FALSE)),"ошибка")</f>
        <v>ошибка</v>
      </c>
      <c r="M102" s="208" t="str">
        <f ca="1">IFERROR(IF(N(INDIRECT(Критерий[[#This Row],[СМинФизКритерий]],FALSE))=0,"ошибка",IFERROR(INDIRECT(Критерий[[#This Row],[СМинФизКритерий]],FALSE),"ошибка")),"ошибка")</f>
        <v>ошибка</v>
      </c>
      <c r="N10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02" s="208" t="str">
        <f ca="1">IFERROR(IF(N(INDIRECT(Критерий[[#This Row],[СМаксФизКритерий]],FALSE))=0,"ошибка",IFERROR(INDIRECT(Критерий[[#This Row],[СМаксФизКритерий]],FALSE),"ошибка")),"ошибка")</f>
        <v>ошибка</v>
      </c>
      <c r="P10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02" s="208" t="str">
        <f ca="1">IFERROR(IF(N(INDIRECT(Критерий[[#This Row],[ССрФизКритерий]],FALSE))=0,"ошибка",IFERROR(INDIRECT(Критерий[[#This Row],[ССрФизКритерий]],FALSE),"ошибка")),"")</f>
        <v/>
      </c>
      <c r="R102"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02" s="212">
        <f ca="1">IFERROR(IF(AND(Критерий[[#This Row],[ВидКритерий]]="Критерий",IFERROR(SEARCH("Приведение",Критерий[[#This Row],[Фкритерий]]),0)&gt;0),1,-1),-1)</f>
        <v>-1</v>
      </c>
      <c r="AG102" s="66">
        <f>IF(AND(Множество[[#This Row],[Y]]=1),ROW()-ROW(Множество[[#Headers],[№]]),"")</f>
        <v>93</v>
      </c>
      <c r="AH102" t="s">
        <v>608</v>
      </c>
      <c r="AI102" s="66">
        <v>1</v>
      </c>
      <c r="AJ102" s="66">
        <f>IF(LEN(Множество[[#This Row],[Свёртка]])&gt;0,1,-1)</f>
        <v>1</v>
      </c>
      <c r="AK102" s="66" t="s">
        <v>1781</v>
      </c>
      <c r="AL102" s="66">
        <f>IF(LEN(Множество[[#This Row],[Критерии]])&gt;0,1,-1)</f>
        <v>1</v>
      </c>
      <c r="AM102" s="66">
        <f>IF(AND(LEN(Множество[[#This Row],[Свёртка]])&gt;0,LEN(Множество[[#This Row],[Критерии]])&gt;0,LEN(Множество[[#This Row],[Оценки]])&gt;0),1,-1)</f>
        <v>1</v>
      </c>
      <c r="AN102">
        <v>5.7083333333333304</v>
      </c>
      <c r="AO102">
        <v>-16.45</v>
      </c>
      <c r="AP102" s="208"/>
      <c r="AQ102" s="208"/>
      <c r="AR102" s="226"/>
      <c r="AS102" s="225"/>
      <c r="AT102" s="226"/>
      <c r="AU102" s="225"/>
      <c r="AV102" s="225"/>
      <c r="AW102" s="225"/>
      <c r="AX102" s="225"/>
      <c r="AY102" s="225"/>
    </row>
    <row r="103" spans="2:51" x14ac:dyDescent="0.25">
      <c r="B103" s="209" t="str">
        <f ca="1">IF(AND(Критерий[[#This Row],[Критерий]]&lt;&gt;"",Критерий[[#This Row],[O.K.Критерий]]=1),ROW()-ROW(Критерий[[#Headers],[№]]),"")</f>
        <v/>
      </c>
      <c r="C103" s="84"/>
      <c r="D103"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03" s="208" t="str">
        <f ca="1">IFERROR(IF(IFERROR(SEARCH("Прив",Критерий[[#This Row],[Фкритерий]]),0)&gt;0,"Критерий",IF(IFERROR(SEARCH("Матр",Критерий[[#This Row],[Фкритерий]]),0)&gt;0,"ошибка","ошибка")),"ошибка")</f>
        <v>ошибка</v>
      </c>
      <c r="F103" s="224" t="str">
        <f ca="1">IFERROR(IF(LEN((INDIRECT(Критерий[[#This Row],[СНаименование]],FALSE)))=0,"ошибка",IFERROR(INDIRECT(Критерий[[#This Row],[СНаименование]],FALSE),"ошибка")),"ошибка")</f>
        <v>ошибка</v>
      </c>
      <c r="G10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03" s="208" t="str">
        <f ca="1">IFERROR(IF(N(INDIRECT(Критерий[[#This Row],[СФизКритерий]],FALSE))=0,"ошибка",IFERROR(INDIRECT(Критерий[[#This Row],[СФизКритерий]],FALSE),"ошибка")),"ошибка")</f>
        <v>ошибка</v>
      </c>
      <c r="I10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03"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0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03" s="208" t="str">
        <f ca="1">IFERROR(_xlfn.FORMULATEXT(INDIRECT(Критерий[[#This Row],[Скритерий]],FALSE)),"ошибка")</f>
        <v>ошибка</v>
      </c>
      <c r="M103" s="208" t="str">
        <f ca="1">IFERROR(IF(N(INDIRECT(Критерий[[#This Row],[СМинФизКритерий]],FALSE))=0,"ошибка",IFERROR(INDIRECT(Критерий[[#This Row],[СМинФизКритерий]],FALSE),"ошибка")),"ошибка")</f>
        <v>ошибка</v>
      </c>
      <c r="N10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03" s="208" t="str">
        <f ca="1">IFERROR(IF(N(INDIRECT(Критерий[[#This Row],[СМаксФизКритерий]],FALSE))=0,"ошибка",IFERROR(INDIRECT(Критерий[[#This Row],[СМаксФизКритерий]],FALSE),"ошибка")),"ошибка")</f>
        <v>ошибка</v>
      </c>
      <c r="P10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03" s="208" t="str">
        <f ca="1">IFERROR(IF(N(INDIRECT(Критерий[[#This Row],[ССрФизКритерий]],FALSE))=0,"ошибка",IFERROR(INDIRECT(Критерий[[#This Row],[ССрФизКритерий]],FALSE),"ошибка")),"")</f>
        <v/>
      </c>
      <c r="R103"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03" s="212">
        <f ca="1">IFERROR(IF(AND(Критерий[[#This Row],[ВидКритерий]]="Критерий",IFERROR(SEARCH("Приведение",Критерий[[#This Row],[Фкритерий]]),0)&gt;0),1,-1),-1)</f>
        <v>-1</v>
      </c>
      <c r="AG103" s="66">
        <f>IF(AND(Множество[[#This Row],[Y]]=1),ROW()-ROW(Множество[[#Headers],[№]]),"")</f>
        <v>94</v>
      </c>
      <c r="AH103" t="s">
        <v>608</v>
      </c>
      <c r="AI103" s="66">
        <v>1</v>
      </c>
      <c r="AJ103" s="66">
        <f>IF(LEN(Множество[[#This Row],[Свёртка]])&gt;0,1,-1)</f>
        <v>1</v>
      </c>
      <c r="AK103" s="66" t="s">
        <v>1781</v>
      </c>
      <c r="AL103" s="66">
        <f>IF(LEN(Множество[[#This Row],[Критерии]])&gt;0,1,-1)</f>
        <v>1</v>
      </c>
      <c r="AM103" s="66">
        <f>IF(AND(LEN(Множество[[#This Row],[Свёртка]])&gt;0,LEN(Множество[[#This Row],[Критерии]])&gt;0,LEN(Множество[[#This Row],[Оценки]])&gt;0),1,-1)</f>
        <v>1</v>
      </c>
      <c r="AN103">
        <v>3.4916666666666698</v>
      </c>
      <c r="AO103">
        <v>-14.1666666666667</v>
      </c>
      <c r="AP103" s="208"/>
      <c r="AQ103" s="208"/>
      <c r="AR103" s="226"/>
      <c r="AS103" s="225"/>
      <c r="AT103" s="226"/>
      <c r="AU103" s="225"/>
      <c r="AV103" s="225"/>
      <c r="AW103" s="225"/>
      <c r="AX103" s="225"/>
      <c r="AY103" s="225"/>
    </row>
    <row r="104" spans="2:51" x14ac:dyDescent="0.25">
      <c r="B104" s="209" t="str">
        <f ca="1">IF(AND(Критерий[[#This Row],[Критерий]]&lt;&gt;"",Критерий[[#This Row],[O.K.Критерий]]=1),ROW()-ROW(Критерий[[#Headers],[№]]),"")</f>
        <v/>
      </c>
      <c r="C104" s="84"/>
      <c r="D104"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04" s="208" t="str">
        <f ca="1">IFERROR(IF(IFERROR(SEARCH("Прив",Критерий[[#This Row],[Фкритерий]]),0)&gt;0,"Критерий",IF(IFERROR(SEARCH("Матр",Критерий[[#This Row],[Фкритерий]]),0)&gt;0,"ошибка","ошибка")),"ошибка")</f>
        <v>ошибка</v>
      </c>
      <c r="F104" s="224" t="str">
        <f ca="1">IFERROR(IF(LEN((INDIRECT(Критерий[[#This Row],[СНаименование]],FALSE)))=0,"ошибка",IFERROR(INDIRECT(Критерий[[#This Row],[СНаименование]],FALSE),"ошибка")),"ошибка")</f>
        <v>ошибка</v>
      </c>
      <c r="G10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04" s="208" t="str">
        <f ca="1">IFERROR(IF(N(INDIRECT(Критерий[[#This Row],[СФизКритерий]],FALSE))=0,"ошибка",IFERROR(INDIRECT(Критерий[[#This Row],[СФизКритерий]],FALSE),"ошибка")),"ошибка")</f>
        <v>ошибка</v>
      </c>
      <c r="I10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04"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0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04" s="208" t="str">
        <f ca="1">IFERROR(_xlfn.FORMULATEXT(INDIRECT(Критерий[[#This Row],[Скритерий]],FALSE)),"ошибка")</f>
        <v>ошибка</v>
      </c>
      <c r="M104" s="208" t="str">
        <f ca="1">IFERROR(IF(N(INDIRECT(Критерий[[#This Row],[СМинФизКритерий]],FALSE))=0,"ошибка",IFERROR(INDIRECT(Критерий[[#This Row],[СМинФизКритерий]],FALSE),"ошибка")),"ошибка")</f>
        <v>ошибка</v>
      </c>
      <c r="N10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04" s="208" t="str">
        <f ca="1">IFERROR(IF(N(INDIRECT(Критерий[[#This Row],[СМаксФизКритерий]],FALSE))=0,"ошибка",IFERROR(INDIRECT(Критерий[[#This Row],[СМаксФизКритерий]],FALSE),"ошибка")),"ошибка")</f>
        <v>ошибка</v>
      </c>
      <c r="P10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04" s="208" t="str">
        <f ca="1">IFERROR(IF(N(INDIRECT(Критерий[[#This Row],[ССрФизКритерий]],FALSE))=0,"ошибка",IFERROR(INDIRECT(Критерий[[#This Row],[ССрФизКритерий]],FALSE),"ошибка")),"")</f>
        <v/>
      </c>
      <c r="R104"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04" s="212">
        <f ca="1">IFERROR(IF(AND(Критерий[[#This Row],[ВидКритерий]]="Критерий",IFERROR(SEARCH("Приведение",Критерий[[#This Row],[Фкритерий]]),0)&gt;0),1,-1),-1)</f>
        <v>-1</v>
      </c>
      <c r="AG104" s="66">
        <f>IF(AND(Множество[[#This Row],[Y]]=1),ROW()-ROW(Множество[[#Headers],[№]]),"")</f>
        <v>95</v>
      </c>
      <c r="AH104" t="s">
        <v>608</v>
      </c>
      <c r="AI104" s="66">
        <v>1</v>
      </c>
      <c r="AJ104" s="66">
        <f>IF(LEN(Множество[[#This Row],[Свёртка]])&gt;0,1,-1)</f>
        <v>1</v>
      </c>
      <c r="AK104" s="66" t="s">
        <v>1781</v>
      </c>
      <c r="AL104" s="66">
        <f>IF(LEN(Множество[[#This Row],[Критерии]])&gt;0,1,-1)</f>
        <v>1</v>
      </c>
      <c r="AM104" s="66">
        <f>IF(AND(LEN(Множество[[#This Row],[Свёртка]])&gt;0,LEN(Множество[[#This Row],[Критерии]])&gt;0,LEN(Множество[[#This Row],[Оценки]])&gt;0),1,-1)</f>
        <v>1</v>
      </c>
      <c r="AN104">
        <v>3.43333333333333</v>
      </c>
      <c r="AO104">
        <v>-14.2</v>
      </c>
      <c r="AP104" s="208"/>
      <c r="AQ104" s="208"/>
      <c r="AR104" s="226"/>
      <c r="AS104" s="225"/>
      <c r="AT104" s="226"/>
      <c r="AU104" s="225"/>
      <c r="AV104" s="225"/>
      <c r="AW104" s="225"/>
      <c r="AX104" s="225"/>
      <c r="AY104" s="225"/>
    </row>
    <row r="105" spans="2:51" x14ac:dyDescent="0.25">
      <c r="B105" s="209" t="str">
        <f ca="1">IF(AND(Критерий[[#This Row],[Критерий]]&lt;&gt;"",Критерий[[#This Row],[O.K.Критерий]]=1),ROW()-ROW(Критерий[[#Headers],[№]]),"")</f>
        <v/>
      </c>
      <c r="C105" s="84"/>
      <c r="D105"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05" s="208" t="str">
        <f ca="1">IFERROR(IF(IFERROR(SEARCH("Прив",Критерий[[#This Row],[Фкритерий]]),0)&gt;0,"Критерий",IF(IFERROR(SEARCH("Матр",Критерий[[#This Row],[Фкритерий]]),0)&gt;0,"ошибка","ошибка")),"ошибка")</f>
        <v>ошибка</v>
      </c>
      <c r="F105" s="224" t="str">
        <f ca="1">IFERROR(IF(LEN((INDIRECT(Критерий[[#This Row],[СНаименование]],FALSE)))=0,"ошибка",IFERROR(INDIRECT(Критерий[[#This Row],[СНаименование]],FALSE),"ошибка")),"ошибка")</f>
        <v>ошибка</v>
      </c>
      <c r="G10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05" s="208" t="str">
        <f ca="1">IFERROR(IF(N(INDIRECT(Критерий[[#This Row],[СФизКритерий]],FALSE))=0,"ошибка",IFERROR(INDIRECT(Критерий[[#This Row],[СФизКритерий]],FALSE),"ошибка")),"ошибка")</f>
        <v>ошибка</v>
      </c>
      <c r="I10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05"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0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05" s="208" t="str">
        <f ca="1">IFERROR(_xlfn.FORMULATEXT(INDIRECT(Критерий[[#This Row],[Скритерий]],FALSE)),"ошибка")</f>
        <v>ошибка</v>
      </c>
      <c r="M105" s="208" t="str">
        <f ca="1">IFERROR(IF(N(INDIRECT(Критерий[[#This Row],[СМинФизКритерий]],FALSE))=0,"ошибка",IFERROR(INDIRECT(Критерий[[#This Row],[СМинФизКритерий]],FALSE),"ошибка")),"ошибка")</f>
        <v>ошибка</v>
      </c>
      <c r="N10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05" s="208" t="str">
        <f ca="1">IFERROR(IF(N(INDIRECT(Критерий[[#This Row],[СМаксФизКритерий]],FALSE))=0,"ошибка",IFERROR(INDIRECT(Критерий[[#This Row],[СМаксФизКритерий]],FALSE),"ошибка")),"ошибка")</f>
        <v>ошибка</v>
      </c>
      <c r="P10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05" s="208" t="str">
        <f ca="1">IFERROR(IF(N(INDIRECT(Критерий[[#This Row],[ССрФизКритерий]],FALSE))=0,"ошибка",IFERROR(INDIRECT(Критерий[[#This Row],[ССрФизКритерий]],FALSE),"ошибка")),"")</f>
        <v/>
      </c>
      <c r="R105"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05" s="212">
        <f ca="1">IFERROR(IF(AND(Критерий[[#This Row],[ВидКритерий]]="Критерий",IFERROR(SEARCH("Приведение",Критерий[[#This Row],[Фкритерий]]),0)&gt;0),1,-1),-1)</f>
        <v>-1</v>
      </c>
      <c r="AG105" s="66">
        <f>IF(AND(Множество[[#This Row],[Y]]=1),ROW()-ROW(Множество[[#Headers],[№]]),"")</f>
        <v>96</v>
      </c>
      <c r="AH105" t="s">
        <v>608</v>
      </c>
      <c r="AI105" s="66">
        <v>1</v>
      </c>
      <c r="AJ105" s="66">
        <f>IF(LEN(Множество[[#This Row],[Свёртка]])&gt;0,1,-1)</f>
        <v>1</v>
      </c>
      <c r="AK105" s="66" t="s">
        <v>1781</v>
      </c>
      <c r="AL105" s="66">
        <f>IF(LEN(Множество[[#This Row],[Критерии]])&gt;0,1,-1)</f>
        <v>1</v>
      </c>
      <c r="AM105" s="66">
        <f>IF(AND(LEN(Множество[[#This Row],[Свёртка]])&gt;0,LEN(Множество[[#This Row],[Критерии]])&gt;0,LEN(Множество[[#This Row],[Оценки]])&gt;0),1,-1)</f>
        <v>1</v>
      </c>
      <c r="AN105">
        <v>5.5333333333333297</v>
      </c>
      <c r="AO105">
        <v>-16.399999999999999</v>
      </c>
      <c r="AP105" s="208"/>
      <c r="AQ105" s="208"/>
      <c r="AR105" s="226"/>
      <c r="AS105" s="225"/>
      <c r="AT105" s="226"/>
      <c r="AU105" s="225"/>
      <c r="AV105" s="225"/>
      <c r="AW105" s="225"/>
      <c r="AX105" s="225"/>
      <c r="AY105" s="225"/>
    </row>
    <row r="106" spans="2:51" x14ac:dyDescent="0.25">
      <c r="B106" s="209" t="str">
        <f ca="1">IF(AND(Критерий[[#This Row],[Критерий]]&lt;&gt;"",Критерий[[#This Row],[O.K.Критерий]]=1),ROW()-ROW(Критерий[[#Headers],[№]]),"")</f>
        <v/>
      </c>
      <c r="C106" s="84"/>
      <c r="D106"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06" s="208" t="str">
        <f ca="1">IFERROR(IF(IFERROR(SEARCH("Прив",Критерий[[#This Row],[Фкритерий]]),0)&gt;0,"Критерий",IF(IFERROR(SEARCH("Матр",Критерий[[#This Row],[Фкритерий]]),0)&gt;0,"ошибка","ошибка")),"ошибка")</f>
        <v>ошибка</v>
      </c>
      <c r="F106" s="224" t="str">
        <f ca="1">IFERROR(IF(LEN((INDIRECT(Критерий[[#This Row],[СНаименование]],FALSE)))=0,"ошибка",IFERROR(INDIRECT(Критерий[[#This Row],[СНаименование]],FALSE),"ошибка")),"ошибка")</f>
        <v>ошибка</v>
      </c>
      <c r="G10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06" s="208" t="str">
        <f ca="1">IFERROR(IF(N(INDIRECT(Критерий[[#This Row],[СФизКритерий]],FALSE))=0,"ошибка",IFERROR(INDIRECT(Критерий[[#This Row],[СФизКритерий]],FALSE),"ошибка")),"ошибка")</f>
        <v>ошибка</v>
      </c>
      <c r="I10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06"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0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06" s="208" t="str">
        <f ca="1">IFERROR(_xlfn.FORMULATEXT(INDIRECT(Критерий[[#This Row],[Скритерий]],FALSE)),"ошибка")</f>
        <v>ошибка</v>
      </c>
      <c r="M106" s="208" t="str">
        <f ca="1">IFERROR(IF(N(INDIRECT(Критерий[[#This Row],[СМинФизКритерий]],FALSE))=0,"ошибка",IFERROR(INDIRECT(Критерий[[#This Row],[СМинФизКритерий]],FALSE),"ошибка")),"ошибка")</f>
        <v>ошибка</v>
      </c>
      <c r="N10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06" s="208" t="str">
        <f ca="1">IFERROR(IF(N(INDIRECT(Критерий[[#This Row],[СМаксФизКритерий]],FALSE))=0,"ошибка",IFERROR(INDIRECT(Критерий[[#This Row],[СМаксФизКритерий]],FALSE),"ошибка")),"ошибка")</f>
        <v>ошибка</v>
      </c>
      <c r="P10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06" s="208" t="str">
        <f ca="1">IFERROR(IF(N(INDIRECT(Критерий[[#This Row],[ССрФизКритерий]],FALSE))=0,"ошибка",IFERROR(INDIRECT(Критерий[[#This Row],[ССрФизКритерий]],FALSE),"ошибка")),"")</f>
        <v/>
      </c>
      <c r="R106"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06" s="212">
        <f ca="1">IFERROR(IF(AND(Критерий[[#This Row],[ВидКритерий]]="Критерий",IFERROR(SEARCH("Приведение",Критерий[[#This Row],[Фкритерий]]),0)&gt;0),1,-1),-1)</f>
        <v>-1</v>
      </c>
      <c r="AG106" s="66">
        <f>IF(AND(Множество[[#This Row],[Y]]=1),ROW()-ROW(Множество[[#Headers],[№]]),"")</f>
        <v>97</v>
      </c>
      <c r="AH106" t="s">
        <v>608</v>
      </c>
      <c r="AI106" s="66">
        <v>1</v>
      </c>
      <c r="AJ106" s="66">
        <f>IF(LEN(Множество[[#This Row],[Свёртка]])&gt;0,1,-1)</f>
        <v>1</v>
      </c>
      <c r="AK106" s="66" t="s">
        <v>1781</v>
      </c>
      <c r="AL106" s="66">
        <f>IF(LEN(Множество[[#This Row],[Критерии]])&gt;0,1,-1)</f>
        <v>1</v>
      </c>
      <c r="AM106" s="66">
        <f>IF(AND(LEN(Множество[[#This Row],[Свёртка]])&gt;0,LEN(Множество[[#This Row],[Критерии]])&gt;0,LEN(Множество[[#This Row],[Оценки]])&gt;0),1,-1)</f>
        <v>1</v>
      </c>
      <c r="AN106">
        <v>5.5916666666666703</v>
      </c>
      <c r="AO106">
        <v>-16.4166666666667</v>
      </c>
      <c r="AP106" s="208"/>
      <c r="AQ106" s="208"/>
      <c r="AR106" s="226"/>
      <c r="AS106" s="225"/>
      <c r="AT106" s="226"/>
      <c r="AU106" s="225"/>
      <c r="AV106" s="225"/>
      <c r="AW106" s="225"/>
      <c r="AX106" s="225"/>
      <c r="AY106" s="225"/>
    </row>
    <row r="107" spans="2:51" x14ac:dyDescent="0.25">
      <c r="B107" s="209" t="str">
        <f ca="1">IF(AND(Критерий[[#This Row],[Критерий]]&lt;&gt;"",Критерий[[#This Row],[O.K.Критерий]]=1),ROW()-ROW(Критерий[[#Headers],[№]]),"")</f>
        <v/>
      </c>
      <c r="C107" s="84"/>
      <c r="D107"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07" s="208" t="str">
        <f ca="1">IFERROR(IF(IFERROR(SEARCH("Прив",Критерий[[#This Row],[Фкритерий]]),0)&gt;0,"Критерий",IF(IFERROR(SEARCH("Матр",Критерий[[#This Row],[Фкритерий]]),0)&gt;0,"ошибка","ошибка")),"ошибка")</f>
        <v>ошибка</v>
      </c>
      <c r="F107" s="224" t="str">
        <f ca="1">IFERROR(IF(LEN((INDIRECT(Критерий[[#This Row],[СНаименование]],FALSE)))=0,"ошибка",IFERROR(INDIRECT(Критерий[[#This Row],[СНаименование]],FALSE),"ошибка")),"ошибка")</f>
        <v>ошибка</v>
      </c>
      <c r="G10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07" s="208" t="str">
        <f ca="1">IFERROR(IF(N(INDIRECT(Критерий[[#This Row],[СФизКритерий]],FALSE))=0,"ошибка",IFERROR(INDIRECT(Критерий[[#This Row],[СФизКритерий]],FALSE),"ошибка")),"ошибка")</f>
        <v>ошибка</v>
      </c>
      <c r="I10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07"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0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07" s="208" t="str">
        <f ca="1">IFERROR(_xlfn.FORMULATEXT(INDIRECT(Критерий[[#This Row],[Скритерий]],FALSE)),"ошибка")</f>
        <v>ошибка</v>
      </c>
      <c r="M107" s="208" t="str">
        <f ca="1">IFERROR(IF(N(INDIRECT(Критерий[[#This Row],[СМинФизКритерий]],FALSE))=0,"ошибка",IFERROR(INDIRECT(Критерий[[#This Row],[СМинФизКритерий]],FALSE),"ошибка")),"ошибка")</f>
        <v>ошибка</v>
      </c>
      <c r="N10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07" s="208" t="str">
        <f ca="1">IFERROR(IF(N(INDIRECT(Критерий[[#This Row],[СМаксФизКритерий]],FALSE))=0,"ошибка",IFERROR(INDIRECT(Критерий[[#This Row],[СМаксФизКритерий]],FALSE),"ошибка")),"ошибка")</f>
        <v>ошибка</v>
      </c>
      <c r="P10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07" s="208" t="str">
        <f ca="1">IFERROR(IF(N(INDIRECT(Критерий[[#This Row],[ССрФизКритерий]],FALSE))=0,"ошибка",IFERROR(INDIRECT(Критерий[[#This Row],[ССрФизКритерий]],FALSE),"ошибка")),"")</f>
        <v/>
      </c>
      <c r="R107"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07" s="212">
        <f ca="1">IFERROR(IF(AND(Критерий[[#This Row],[ВидКритерий]]="Критерий",IFERROR(SEARCH("Приведение",Критерий[[#This Row],[Фкритерий]]),0)&gt;0),1,-1),-1)</f>
        <v>-1</v>
      </c>
      <c r="AG107" s="66">
        <f>IF(AND(Множество[[#This Row],[Y]]=1),ROW()-ROW(Множество[[#Headers],[№]]),"")</f>
        <v>98</v>
      </c>
      <c r="AH107" t="s">
        <v>608</v>
      </c>
      <c r="AI107" s="66">
        <v>1</v>
      </c>
      <c r="AJ107" s="66">
        <f>IF(LEN(Множество[[#This Row],[Свёртка]])&gt;0,1,-1)</f>
        <v>1</v>
      </c>
      <c r="AK107" s="66" t="s">
        <v>1781</v>
      </c>
      <c r="AL107" s="66">
        <f>IF(LEN(Множество[[#This Row],[Критерии]])&gt;0,1,-1)</f>
        <v>1</v>
      </c>
      <c r="AM107" s="66">
        <f>IF(AND(LEN(Множество[[#This Row],[Свёртка]])&gt;0,LEN(Множество[[#This Row],[Критерии]])&gt;0,LEN(Множество[[#This Row],[Оценки]])&gt;0),1,-1)</f>
        <v>1</v>
      </c>
      <c r="AN107">
        <v>5.65</v>
      </c>
      <c r="AO107">
        <v>-16.433333333333302</v>
      </c>
      <c r="AP107" s="208"/>
      <c r="AQ107" s="208"/>
      <c r="AR107" s="226"/>
      <c r="AS107" s="225"/>
      <c r="AT107" s="226"/>
      <c r="AU107" s="225"/>
      <c r="AV107" s="225"/>
      <c r="AW107" s="225"/>
      <c r="AX107" s="225"/>
      <c r="AY107" s="225"/>
    </row>
    <row r="108" spans="2:51" x14ac:dyDescent="0.25">
      <c r="B108" s="209" t="str">
        <f ca="1">IF(AND(Критерий[[#This Row],[Критерий]]&lt;&gt;"",Критерий[[#This Row],[O.K.Критерий]]=1),ROW()-ROW(Критерий[[#Headers],[№]]),"")</f>
        <v/>
      </c>
      <c r="C108" s="84"/>
      <c r="D108"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08" s="208" t="str">
        <f ca="1">IFERROR(IF(IFERROR(SEARCH("Прив",Критерий[[#This Row],[Фкритерий]]),0)&gt;0,"Критерий",IF(IFERROR(SEARCH("Матр",Критерий[[#This Row],[Фкритерий]]),0)&gt;0,"ошибка","ошибка")),"ошибка")</f>
        <v>ошибка</v>
      </c>
      <c r="F108" s="224" t="str">
        <f ca="1">IFERROR(IF(LEN((INDIRECT(Критерий[[#This Row],[СНаименование]],FALSE)))=0,"ошибка",IFERROR(INDIRECT(Критерий[[#This Row],[СНаименование]],FALSE),"ошибка")),"ошибка")</f>
        <v>ошибка</v>
      </c>
      <c r="G10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08" s="208" t="str">
        <f ca="1">IFERROR(IF(N(INDIRECT(Критерий[[#This Row],[СФизКритерий]],FALSE))=0,"ошибка",IFERROR(INDIRECT(Критерий[[#This Row],[СФизКритерий]],FALSE),"ошибка")),"ошибка")</f>
        <v>ошибка</v>
      </c>
      <c r="I10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08"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0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08" s="208" t="str">
        <f ca="1">IFERROR(_xlfn.FORMULATEXT(INDIRECT(Критерий[[#This Row],[Скритерий]],FALSE)),"ошибка")</f>
        <v>ошибка</v>
      </c>
      <c r="M108" s="208" t="str">
        <f ca="1">IFERROR(IF(N(INDIRECT(Критерий[[#This Row],[СМинФизКритерий]],FALSE))=0,"ошибка",IFERROR(INDIRECT(Критерий[[#This Row],[СМинФизКритерий]],FALSE),"ошибка")),"ошибка")</f>
        <v>ошибка</v>
      </c>
      <c r="N10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08" s="208" t="str">
        <f ca="1">IFERROR(IF(N(INDIRECT(Критерий[[#This Row],[СМаксФизКритерий]],FALSE))=0,"ошибка",IFERROR(INDIRECT(Критерий[[#This Row],[СМаксФизКритерий]],FALSE),"ошибка")),"ошибка")</f>
        <v>ошибка</v>
      </c>
      <c r="P10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08" s="208" t="str">
        <f ca="1">IFERROR(IF(N(INDIRECT(Критерий[[#This Row],[ССрФизКритерий]],FALSE))=0,"ошибка",IFERROR(INDIRECT(Критерий[[#This Row],[ССрФизКритерий]],FALSE),"ошибка")),"")</f>
        <v/>
      </c>
      <c r="R108"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08" s="212">
        <f ca="1">IFERROR(IF(AND(Критерий[[#This Row],[ВидКритерий]]="Критерий",IFERROR(SEARCH("Приведение",Критерий[[#This Row],[Фкритерий]]),0)&gt;0),1,-1),-1)</f>
        <v>-1</v>
      </c>
      <c r="AG108" s="66">
        <f>IF(AND(Множество[[#This Row],[Y]]=1),ROW()-ROW(Множество[[#Headers],[№]]),"")</f>
        <v>99</v>
      </c>
      <c r="AH108" t="s">
        <v>608</v>
      </c>
      <c r="AI108" s="66">
        <v>1</v>
      </c>
      <c r="AJ108" s="66">
        <f>IF(LEN(Множество[[#This Row],[Свёртка]])&gt;0,1,-1)</f>
        <v>1</v>
      </c>
      <c r="AK108" s="66" t="s">
        <v>1781</v>
      </c>
      <c r="AL108" s="66">
        <f>IF(LEN(Множество[[#This Row],[Критерии]])&gt;0,1,-1)</f>
        <v>1</v>
      </c>
      <c r="AM108" s="66">
        <f>IF(AND(LEN(Множество[[#This Row],[Свёртка]])&gt;0,LEN(Множество[[#This Row],[Критерии]])&gt;0,LEN(Множество[[#This Row],[Оценки]])&gt;0),1,-1)</f>
        <v>1</v>
      </c>
      <c r="AN108">
        <v>3.375</v>
      </c>
      <c r="AO108">
        <v>-14.216666666666701</v>
      </c>
      <c r="AP108" s="208"/>
      <c r="AQ108" s="208"/>
      <c r="AR108" s="226"/>
      <c r="AS108" s="225"/>
      <c r="AT108" s="226"/>
      <c r="AU108" s="225"/>
      <c r="AV108" s="225"/>
      <c r="AW108" s="225"/>
      <c r="AX108" s="225"/>
      <c r="AY108" s="225"/>
    </row>
    <row r="109" spans="2:51" x14ac:dyDescent="0.25">
      <c r="B109" s="209" t="str">
        <f ca="1">IF(AND(Критерий[[#This Row],[Критерий]]&lt;&gt;"",Критерий[[#This Row],[O.K.Критерий]]=1),ROW()-ROW(Критерий[[#Headers],[№]]),"")</f>
        <v/>
      </c>
      <c r="C109" s="84"/>
      <c r="D109"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09" s="208" t="str">
        <f ca="1">IFERROR(IF(IFERROR(SEARCH("Прив",Критерий[[#This Row],[Фкритерий]]),0)&gt;0,"Критерий",IF(IFERROR(SEARCH("Матр",Критерий[[#This Row],[Фкритерий]]),0)&gt;0,"ошибка","ошибка")),"ошибка")</f>
        <v>ошибка</v>
      </c>
      <c r="F109" s="224" t="str">
        <f ca="1">IFERROR(IF(LEN((INDIRECT(Критерий[[#This Row],[СНаименование]],FALSE)))=0,"ошибка",IFERROR(INDIRECT(Критерий[[#This Row],[СНаименование]],FALSE),"ошибка")),"ошибка")</f>
        <v>ошибка</v>
      </c>
      <c r="G10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09" s="208" t="str">
        <f ca="1">IFERROR(IF(N(INDIRECT(Критерий[[#This Row],[СФизКритерий]],FALSE))=0,"ошибка",IFERROR(INDIRECT(Критерий[[#This Row],[СФизКритерий]],FALSE),"ошибка")),"ошибка")</f>
        <v>ошибка</v>
      </c>
      <c r="I10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09"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0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09" s="208" t="str">
        <f ca="1">IFERROR(_xlfn.FORMULATEXT(INDIRECT(Критерий[[#This Row],[Скритерий]],FALSE)),"ошибка")</f>
        <v>ошибка</v>
      </c>
      <c r="M109" s="208" t="str">
        <f ca="1">IFERROR(IF(N(INDIRECT(Критерий[[#This Row],[СМинФизКритерий]],FALSE))=0,"ошибка",IFERROR(INDIRECT(Критерий[[#This Row],[СМинФизКритерий]],FALSE),"ошибка")),"ошибка")</f>
        <v>ошибка</v>
      </c>
      <c r="N10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09" s="208" t="str">
        <f ca="1">IFERROR(IF(N(INDIRECT(Критерий[[#This Row],[СМаксФизКритерий]],FALSE))=0,"ошибка",IFERROR(INDIRECT(Критерий[[#This Row],[СМаксФизКритерий]],FALSE),"ошибка")),"ошибка")</f>
        <v>ошибка</v>
      </c>
      <c r="P10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09" s="208" t="str">
        <f ca="1">IFERROR(IF(N(INDIRECT(Критерий[[#This Row],[ССрФизКритерий]],FALSE))=0,"ошибка",IFERROR(INDIRECT(Критерий[[#This Row],[ССрФизКритерий]],FALSE),"ошибка")),"")</f>
        <v/>
      </c>
      <c r="R109"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09" s="212">
        <f ca="1">IFERROR(IF(AND(Критерий[[#This Row],[ВидКритерий]]="Критерий",IFERROR(SEARCH("Приведение",Критерий[[#This Row],[Фкритерий]]),0)&gt;0),1,-1),-1)</f>
        <v>-1</v>
      </c>
      <c r="AG109" s="66">
        <f>IF(AND(Множество[[#This Row],[Y]]=1),ROW()-ROW(Множество[[#Headers],[№]]),"")</f>
        <v>100</v>
      </c>
      <c r="AH109" t="s">
        <v>608</v>
      </c>
      <c r="AI109" s="66">
        <v>1</v>
      </c>
      <c r="AJ109" s="66">
        <f>IF(LEN(Множество[[#This Row],[Свёртка]])&gt;0,1,-1)</f>
        <v>1</v>
      </c>
      <c r="AK109" s="66" t="s">
        <v>1781</v>
      </c>
      <c r="AL109" s="66">
        <f>IF(LEN(Множество[[#This Row],[Критерии]])&gt;0,1,-1)</f>
        <v>1</v>
      </c>
      <c r="AM109" s="66">
        <f>IF(AND(LEN(Множество[[#This Row],[Свёртка]])&gt;0,LEN(Множество[[#This Row],[Критерии]])&gt;0,LEN(Множество[[#This Row],[Оценки]])&gt;0),1,-1)</f>
        <v>1</v>
      </c>
      <c r="AN109">
        <v>5.4166666666666696</v>
      </c>
      <c r="AO109">
        <v>-16.383333333333301</v>
      </c>
      <c r="AP109" s="208"/>
      <c r="AQ109" s="208"/>
      <c r="AR109" s="226"/>
      <c r="AS109" s="225"/>
      <c r="AT109" s="226"/>
      <c r="AU109" s="225"/>
      <c r="AV109" s="225"/>
      <c r="AW109" s="225"/>
      <c r="AX109" s="225"/>
      <c r="AY109" s="225"/>
    </row>
    <row r="110" spans="2:51" x14ac:dyDescent="0.25">
      <c r="B110" s="209" t="str">
        <f ca="1">IF(AND(Критерий[[#This Row],[Критерий]]&lt;&gt;"",Критерий[[#This Row],[O.K.Критерий]]=1),ROW()-ROW(Критерий[[#Headers],[№]]),"")</f>
        <v/>
      </c>
      <c r="C110" s="84"/>
      <c r="D110"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10" s="208" t="str">
        <f ca="1">IFERROR(IF(IFERROR(SEARCH("Прив",Критерий[[#This Row],[Фкритерий]]),0)&gt;0,"Критерий",IF(IFERROR(SEARCH("Матр",Критерий[[#This Row],[Фкритерий]]),0)&gt;0,"ошибка","ошибка")),"ошибка")</f>
        <v>ошибка</v>
      </c>
      <c r="F110" s="224" t="str">
        <f ca="1">IFERROR(IF(LEN((INDIRECT(Критерий[[#This Row],[СНаименование]],FALSE)))=0,"ошибка",IFERROR(INDIRECT(Критерий[[#This Row],[СНаименование]],FALSE),"ошибка")),"ошибка")</f>
        <v>ошибка</v>
      </c>
      <c r="G11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10" s="208" t="str">
        <f ca="1">IFERROR(IF(N(INDIRECT(Критерий[[#This Row],[СФизКритерий]],FALSE))=0,"ошибка",IFERROR(INDIRECT(Критерий[[#This Row],[СФизКритерий]],FALSE),"ошибка")),"ошибка")</f>
        <v>ошибка</v>
      </c>
      <c r="I11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10"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1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10" s="208" t="str">
        <f ca="1">IFERROR(_xlfn.FORMULATEXT(INDIRECT(Критерий[[#This Row],[Скритерий]],FALSE)),"ошибка")</f>
        <v>ошибка</v>
      </c>
      <c r="M110" s="208" t="str">
        <f ca="1">IFERROR(IF(N(INDIRECT(Критерий[[#This Row],[СМинФизКритерий]],FALSE))=0,"ошибка",IFERROR(INDIRECT(Критерий[[#This Row],[СМинФизКритерий]],FALSE),"ошибка")),"ошибка")</f>
        <v>ошибка</v>
      </c>
      <c r="N11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10" s="208" t="str">
        <f ca="1">IFERROR(IF(N(INDIRECT(Критерий[[#This Row],[СМаксФизКритерий]],FALSE))=0,"ошибка",IFERROR(INDIRECT(Критерий[[#This Row],[СМаксФизКритерий]],FALSE),"ошибка")),"ошибка")</f>
        <v>ошибка</v>
      </c>
      <c r="P11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10" s="208" t="str">
        <f ca="1">IFERROR(IF(N(INDIRECT(Критерий[[#This Row],[ССрФизКритерий]],FALSE))=0,"ошибка",IFERROR(INDIRECT(Критерий[[#This Row],[ССрФизКритерий]],FALSE),"ошибка")),"")</f>
        <v/>
      </c>
      <c r="R110"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10" s="212">
        <f ca="1">IFERROR(IF(AND(Критерий[[#This Row],[ВидКритерий]]="Критерий",IFERROR(SEARCH("Приведение",Критерий[[#This Row],[Фкритерий]]),0)&gt;0),1,-1),-1)</f>
        <v>-1</v>
      </c>
      <c r="AG110" s="66">
        <f>IF(AND(Множество[[#This Row],[Y]]=1),ROW()-ROW(Множество[[#Headers],[№]]),"")</f>
        <v>101</v>
      </c>
      <c r="AH110" t="s">
        <v>608</v>
      </c>
      <c r="AI110" s="66">
        <v>1</v>
      </c>
      <c r="AJ110" s="66">
        <f>IF(LEN(Множество[[#This Row],[Свёртка]])&gt;0,1,-1)</f>
        <v>1</v>
      </c>
      <c r="AK110" s="66" t="s">
        <v>1781</v>
      </c>
      <c r="AL110" s="66">
        <f>IF(LEN(Множество[[#This Row],[Критерии]])&gt;0,1,-1)</f>
        <v>1</v>
      </c>
      <c r="AM110" s="66">
        <f>IF(AND(LEN(Множество[[#This Row],[Свёртка]])&gt;0,LEN(Множество[[#This Row],[Критерии]])&gt;0,LEN(Множество[[#This Row],[Оценки]])&gt;0),1,-1)</f>
        <v>1</v>
      </c>
      <c r="AN110">
        <v>3.31666666666667</v>
      </c>
      <c r="AO110">
        <v>-14.233333333333301</v>
      </c>
      <c r="AP110" s="208"/>
      <c r="AQ110" s="208"/>
      <c r="AR110" s="226"/>
      <c r="AS110" s="225"/>
      <c r="AT110" s="226"/>
      <c r="AU110" s="225"/>
      <c r="AV110" s="225"/>
      <c r="AW110" s="225"/>
      <c r="AX110" s="225"/>
      <c r="AY110" s="225"/>
    </row>
    <row r="111" spans="2:51" x14ac:dyDescent="0.25">
      <c r="B111" s="209" t="str">
        <f ca="1">IF(AND(Критерий[[#This Row],[Критерий]]&lt;&gt;"",Критерий[[#This Row],[O.K.Критерий]]=1),ROW()-ROW(Критерий[[#Headers],[№]]),"")</f>
        <v/>
      </c>
      <c r="C111" s="84"/>
      <c r="D111"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11" s="208" t="str">
        <f ca="1">IFERROR(IF(IFERROR(SEARCH("Прив",Критерий[[#This Row],[Фкритерий]]),0)&gt;0,"Критерий",IF(IFERROR(SEARCH("Матр",Критерий[[#This Row],[Фкритерий]]),0)&gt;0,"ошибка","ошибка")),"ошибка")</f>
        <v>ошибка</v>
      </c>
      <c r="F111" s="224" t="str">
        <f ca="1">IFERROR(IF(LEN((INDIRECT(Критерий[[#This Row],[СНаименование]],FALSE)))=0,"ошибка",IFERROR(INDIRECT(Критерий[[#This Row],[СНаименование]],FALSE),"ошибка")),"ошибка")</f>
        <v>ошибка</v>
      </c>
      <c r="G11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11" s="208" t="str">
        <f ca="1">IFERROR(IF(N(INDIRECT(Критерий[[#This Row],[СФизКритерий]],FALSE))=0,"ошибка",IFERROR(INDIRECT(Критерий[[#This Row],[СФизКритерий]],FALSE),"ошибка")),"ошибка")</f>
        <v>ошибка</v>
      </c>
      <c r="I11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11"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1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11" s="208" t="str">
        <f ca="1">IFERROR(_xlfn.FORMULATEXT(INDIRECT(Критерий[[#This Row],[Скритерий]],FALSE)),"ошибка")</f>
        <v>ошибка</v>
      </c>
      <c r="M111" s="208" t="str">
        <f ca="1">IFERROR(IF(N(INDIRECT(Критерий[[#This Row],[СМинФизКритерий]],FALSE))=0,"ошибка",IFERROR(INDIRECT(Критерий[[#This Row],[СМинФизКритерий]],FALSE),"ошибка")),"ошибка")</f>
        <v>ошибка</v>
      </c>
      <c r="N11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11" s="208" t="str">
        <f ca="1">IFERROR(IF(N(INDIRECT(Критерий[[#This Row],[СМаксФизКритерий]],FALSE))=0,"ошибка",IFERROR(INDIRECT(Критерий[[#This Row],[СМаксФизКритерий]],FALSE),"ошибка")),"ошибка")</f>
        <v>ошибка</v>
      </c>
      <c r="P11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11" s="208" t="str">
        <f ca="1">IFERROR(IF(N(INDIRECT(Критерий[[#This Row],[ССрФизКритерий]],FALSE))=0,"ошибка",IFERROR(INDIRECT(Критерий[[#This Row],[ССрФизКритерий]],FALSE),"ошибка")),"")</f>
        <v/>
      </c>
      <c r="R111"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11" s="212">
        <f ca="1">IFERROR(IF(AND(Критерий[[#This Row],[ВидКритерий]]="Критерий",IFERROR(SEARCH("Приведение",Критерий[[#This Row],[Фкритерий]]),0)&gt;0),1,-1),-1)</f>
        <v>-1</v>
      </c>
      <c r="AG111" s="66">
        <f>IF(AND(Множество[[#This Row],[Y]]=1),ROW()-ROW(Множество[[#Headers],[№]]),"")</f>
        <v>102</v>
      </c>
      <c r="AH111" t="s">
        <v>608</v>
      </c>
      <c r="AI111" s="66">
        <v>1</v>
      </c>
      <c r="AJ111" s="66">
        <f>IF(LEN(Множество[[#This Row],[Свёртка]])&gt;0,1,-1)</f>
        <v>1</v>
      </c>
      <c r="AK111" s="66" t="s">
        <v>1781</v>
      </c>
      <c r="AL111" s="66">
        <f>IF(LEN(Множество[[#This Row],[Критерии]])&gt;0,1,-1)</f>
        <v>1</v>
      </c>
      <c r="AM111" s="66">
        <f>IF(AND(LEN(Множество[[#This Row],[Свёртка]])&gt;0,LEN(Множество[[#This Row],[Критерии]])&gt;0,LEN(Множество[[#This Row],[Оценки]])&gt;0),1,-1)</f>
        <v>1</v>
      </c>
      <c r="AN111">
        <v>5.4749999999999996</v>
      </c>
      <c r="AO111">
        <v>-16.399999999999999</v>
      </c>
      <c r="AP111" s="208"/>
      <c r="AQ111" s="208"/>
      <c r="AR111" s="226"/>
      <c r="AS111" s="225"/>
      <c r="AT111" s="226"/>
      <c r="AU111" s="225"/>
      <c r="AV111" s="225"/>
      <c r="AW111" s="225"/>
      <c r="AX111" s="225"/>
      <c r="AY111" s="225"/>
    </row>
    <row r="112" spans="2:51" x14ac:dyDescent="0.25">
      <c r="B112" s="209" t="str">
        <f ca="1">IF(AND(Критерий[[#This Row],[Критерий]]&lt;&gt;"",Критерий[[#This Row],[O.K.Критерий]]=1),ROW()-ROW(Критерий[[#Headers],[№]]),"")</f>
        <v/>
      </c>
      <c r="C112" s="84"/>
      <c r="D112"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12" s="208" t="str">
        <f ca="1">IFERROR(IF(IFERROR(SEARCH("Прив",Критерий[[#This Row],[Фкритерий]]),0)&gt;0,"Критерий",IF(IFERROR(SEARCH("Матр",Критерий[[#This Row],[Фкритерий]]),0)&gt;0,"ошибка","ошибка")),"ошибка")</f>
        <v>ошибка</v>
      </c>
      <c r="F112" s="224" t="str">
        <f ca="1">IFERROR(IF(LEN((INDIRECT(Критерий[[#This Row],[СНаименование]],FALSE)))=0,"ошибка",IFERROR(INDIRECT(Критерий[[#This Row],[СНаименование]],FALSE),"ошибка")),"ошибка")</f>
        <v>ошибка</v>
      </c>
      <c r="G11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12" s="208" t="str">
        <f ca="1">IFERROR(IF(N(INDIRECT(Критерий[[#This Row],[СФизКритерий]],FALSE))=0,"ошибка",IFERROR(INDIRECT(Критерий[[#This Row],[СФизКритерий]],FALSE),"ошибка")),"ошибка")</f>
        <v>ошибка</v>
      </c>
      <c r="I11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12"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1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12" s="208" t="str">
        <f ca="1">IFERROR(_xlfn.FORMULATEXT(INDIRECT(Критерий[[#This Row],[Скритерий]],FALSE)),"ошибка")</f>
        <v>ошибка</v>
      </c>
      <c r="M112" s="208" t="str">
        <f ca="1">IFERROR(IF(N(INDIRECT(Критерий[[#This Row],[СМинФизКритерий]],FALSE))=0,"ошибка",IFERROR(INDIRECT(Критерий[[#This Row],[СМинФизКритерий]],FALSE),"ошибка")),"ошибка")</f>
        <v>ошибка</v>
      </c>
      <c r="N11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12" s="208" t="str">
        <f ca="1">IFERROR(IF(N(INDIRECT(Критерий[[#This Row],[СМаксФизКритерий]],FALSE))=0,"ошибка",IFERROR(INDIRECT(Критерий[[#This Row],[СМаксФизКритерий]],FALSE),"ошибка")),"ошибка")</f>
        <v>ошибка</v>
      </c>
      <c r="P11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12" s="208" t="str">
        <f ca="1">IFERROR(IF(N(INDIRECT(Критерий[[#This Row],[ССрФизКритерий]],FALSE))=0,"ошибка",IFERROR(INDIRECT(Критерий[[#This Row],[ССрФизКритерий]],FALSE),"ошибка")),"")</f>
        <v/>
      </c>
      <c r="R112"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12" s="212">
        <f ca="1">IFERROR(IF(AND(Критерий[[#This Row],[ВидКритерий]]="Критерий",IFERROR(SEARCH("Приведение",Критерий[[#This Row],[Фкритерий]]),0)&gt;0),1,-1),-1)</f>
        <v>-1</v>
      </c>
      <c r="AG112" s="66">
        <f>IF(AND(Множество[[#This Row],[Y]]=1),ROW()-ROW(Множество[[#Headers],[№]]),"")</f>
        <v>103</v>
      </c>
      <c r="AH112" t="s">
        <v>608</v>
      </c>
      <c r="AI112" s="66">
        <v>1</v>
      </c>
      <c r="AJ112" s="66">
        <f>IF(LEN(Множество[[#This Row],[Свёртка]])&gt;0,1,-1)</f>
        <v>1</v>
      </c>
      <c r="AK112" s="66" t="s">
        <v>1781</v>
      </c>
      <c r="AL112" s="66">
        <f>IF(LEN(Множество[[#This Row],[Критерии]])&gt;0,1,-1)</f>
        <v>1</v>
      </c>
      <c r="AM112" s="66">
        <f>IF(AND(LEN(Множество[[#This Row],[Свёртка]])&gt;0,LEN(Множество[[#This Row],[Критерии]])&gt;0,LEN(Множество[[#This Row],[Оценки]])&gt;0),1,-1)</f>
        <v>1</v>
      </c>
      <c r="AN112">
        <v>5.3</v>
      </c>
      <c r="AO112">
        <v>-16.350000000000001</v>
      </c>
      <c r="AP112" s="208"/>
      <c r="AQ112" s="208"/>
      <c r="AR112" s="226"/>
      <c r="AS112" s="225"/>
      <c r="AT112" s="226"/>
      <c r="AU112" s="225"/>
      <c r="AV112" s="225"/>
      <c r="AW112" s="225"/>
      <c r="AX112" s="225"/>
      <c r="AY112" s="225"/>
    </row>
    <row r="113" spans="2:51" x14ac:dyDescent="0.25">
      <c r="B113" s="209" t="str">
        <f ca="1">IF(AND(Критерий[[#This Row],[Критерий]]&lt;&gt;"",Критерий[[#This Row],[O.K.Критерий]]=1),ROW()-ROW(Критерий[[#Headers],[№]]),"")</f>
        <v/>
      </c>
      <c r="C113" s="84"/>
      <c r="D113"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13" s="208" t="str">
        <f ca="1">IFERROR(IF(IFERROR(SEARCH("Прив",Критерий[[#This Row],[Фкритерий]]),0)&gt;0,"Критерий",IF(IFERROR(SEARCH("Матр",Критерий[[#This Row],[Фкритерий]]),0)&gt;0,"ошибка","ошибка")),"ошибка")</f>
        <v>ошибка</v>
      </c>
      <c r="F113" s="224" t="str">
        <f ca="1">IFERROR(IF(LEN((INDIRECT(Критерий[[#This Row],[СНаименование]],FALSE)))=0,"ошибка",IFERROR(INDIRECT(Критерий[[#This Row],[СНаименование]],FALSE),"ошибка")),"ошибка")</f>
        <v>ошибка</v>
      </c>
      <c r="G11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13" s="208" t="str">
        <f ca="1">IFERROR(IF(N(INDIRECT(Критерий[[#This Row],[СФизКритерий]],FALSE))=0,"ошибка",IFERROR(INDIRECT(Критерий[[#This Row],[СФизКритерий]],FALSE),"ошибка")),"ошибка")</f>
        <v>ошибка</v>
      </c>
      <c r="I11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13"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1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13" s="208" t="str">
        <f ca="1">IFERROR(_xlfn.FORMULATEXT(INDIRECT(Критерий[[#This Row],[Скритерий]],FALSE)),"ошибка")</f>
        <v>ошибка</v>
      </c>
      <c r="M113" s="208" t="str">
        <f ca="1">IFERROR(IF(N(INDIRECT(Критерий[[#This Row],[СМинФизКритерий]],FALSE))=0,"ошибка",IFERROR(INDIRECT(Критерий[[#This Row],[СМинФизКритерий]],FALSE),"ошибка")),"ошибка")</f>
        <v>ошибка</v>
      </c>
      <c r="N11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13" s="208" t="str">
        <f ca="1">IFERROR(IF(N(INDIRECT(Критерий[[#This Row],[СМаксФизКритерий]],FALSE))=0,"ошибка",IFERROR(INDIRECT(Критерий[[#This Row],[СМаксФизКритерий]],FALSE),"ошибка")),"ошибка")</f>
        <v>ошибка</v>
      </c>
      <c r="P11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13" s="208" t="str">
        <f ca="1">IFERROR(IF(N(INDIRECT(Критерий[[#This Row],[ССрФизКритерий]],FALSE))=0,"ошибка",IFERROR(INDIRECT(Критерий[[#This Row],[ССрФизКритерий]],FALSE),"ошибка")),"")</f>
        <v/>
      </c>
      <c r="R113"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13" s="212">
        <f ca="1">IFERROR(IF(AND(Критерий[[#This Row],[ВидКритерий]]="Критерий",IFERROR(SEARCH("Приведение",Критерий[[#This Row],[Фкритерий]]),0)&gt;0),1,-1),-1)</f>
        <v>-1</v>
      </c>
      <c r="AG113" s="66">
        <f>IF(AND(Множество[[#This Row],[Y]]=1),ROW()-ROW(Множество[[#Headers],[№]]),"")</f>
        <v>104</v>
      </c>
      <c r="AH113" t="s">
        <v>608</v>
      </c>
      <c r="AI113" s="66">
        <v>1</v>
      </c>
      <c r="AJ113" s="66">
        <f>IF(LEN(Множество[[#This Row],[Свёртка]])&gt;0,1,-1)</f>
        <v>1</v>
      </c>
      <c r="AK113" s="66" t="s">
        <v>1781</v>
      </c>
      <c r="AL113" s="66">
        <f>IF(LEN(Множество[[#This Row],[Критерии]])&gt;0,1,-1)</f>
        <v>1</v>
      </c>
      <c r="AM113" s="66">
        <f>IF(AND(LEN(Множество[[#This Row],[Свёртка]])&gt;0,LEN(Множество[[#This Row],[Критерии]])&gt;0,LEN(Множество[[#This Row],[Оценки]])&gt;0),1,-1)</f>
        <v>1</v>
      </c>
      <c r="AN113">
        <v>5.3583333333333298</v>
      </c>
      <c r="AO113">
        <v>-16.366666666666699</v>
      </c>
      <c r="AP113" s="208"/>
      <c r="AQ113" s="208"/>
      <c r="AR113" s="226"/>
      <c r="AS113" s="225"/>
      <c r="AT113" s="226"/>
      <c r="AU113" s="225"/>
      <c r="AV113" s="225"/>
      <c r="AW113" s="225"/>
      <c r="AX113" s="225"/>
      <c r="AY113" s="225"/>
    </row>
    <row r="114" spans="2:51" x14ac:dyDescent="0.25">
      <c r="B114" s="209" t="str">
        <f ca="1">IF(AND(Критерий[[#This Row],[Критерий]]&lt;&gt;"",Критерий[[#This Row],[O.K.Критерий]]=1),ROW()-ROW(Критерий[[#Headers],[№]]),"")</f>
        <v/>
      </c>
      <c r="C114" s="84"/>
      <c r="D114"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14" s="208" t="str">
        <f ca="1">IFERROR(IF(IFERROR(SEARCH("Прив",Критерий[[#This Row],[Фкритерий]]),0)&gt;0,"Критерий",IF(IFERROR(SEARCH("Матр",Критерий[[#This Row],[Фкритерий]]),0)&gt;0,"ошибка","ошибка")),"ошибка")</f>
        <v>ошибка</v>
      </c>
      <c r="F114" s="224" t="str">
        <f ca="1">IFERROR(IF(LEN((INDIRECT(Критерий[[#This Row],[СНаименование]],FALSE)))=0,"ошибка",IFERROR(INDIRECT(Критерий[[#This Row],[СНаименование]],FALSE),"ошибка")),"ошибка")</f>
        <v>ошибка</v>
      </c>
      <c r="G11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14" s="208" t="str">
        <f ca="1">IFERROR(IF(N(INDIRECT(Критерий[[#This Row],[СФизКритерий]],FALSE))=0,"ошибка",IFERROR(INDIRECT(Критерий[[#This Row],[СФизКритерий]],FALSE),"ошибка")),"ошибка")</f>
        <v>ошибка</v>
      </c>
      <c r="I11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14"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1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14" s="208" t="str">
        <f ca="1">IFERROR(_xlfn.FORMULATEXT(INDIRECT(Критерий[[#This Row],[Скритерий]],FALSE)),"ошибка")</f>
        <v>ошибка</v>
      </c>
      <c r="M114" s="208" t="str">
        <f ca="1">IFERROR(IF(N(INDIRECT(Критерий[[#This Row],[СМинФизКритерий]],FALSE))=0,"ошибка",IFERROR(INDIRECT(Критерий[[#This Row],[СМинФизКритерий]],FALSE),"ошибка")),"ошибка")</f>
        <v>ошибка</v>
      </c>
      <c r="N11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14" s="208" t="str">
        <f ca="1">IFERROR(IF(N(INDIRECT(Критерий[[#This Row],[СМаксФизКритерий]],FALSE))=0,"ошибка",IFERROR(INDIRECT(Критерий[[#This Row],[СМаксФизКритерий]],FALSE),"ошибка")),"ошибка")</f>
        <v>ошибка</v>
      </c>
      <c r="P11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14" s="208" t="str">
        <f ca="1">IFERROR(IF(N(INDIRECT(Критерий[[#This Row],[ССрФизКритерий]],FALSE))=0,"ошибка",IFERROR(INDIRECT(Критерий[[#This Row],[ССрФизКритерий]],FALSE),"ошибка")),"")</f>
        <v/>
      </c>
      <c r="R114"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14" s="212">
        <f ca="1">IFERROR(IF(AND(Критерий[[#This Row],[ВидКритерий]]="Критерий",IFERROR(SEARCH("Приведение",Критерий[[#This Row],[Фкритерий]]),0)&gt;0),1,-1),-1)</f>
        <v>-1</v>
      </c>
      <c r="AG114" s="66">
        <f>IF(AND(Множество[[#This Row],[Y]]=1),ROW()-ROW(Множество[[#Headers],[№]]),"")</f>
        <v>105</v>
      </c>
      <c r="AH114" t="s">
        <v>608</v>
      </c>
      <c r="AI114" s="66">
        <v>1</v>
      </c>
      <c r="AJ114" s="66">
        <f>IF(LEN(Множество[[#This Row],[Свёртка]])&gt;0,1,-1)</f>
        <v>1</v>
      </c>
      <c r="AK114" s="66" t="s">
        <v>1781</v>
      </c>
      <c r="AL114" s="66">
        <f>IF(LEN(Множество[[#This Row],[Критерии]])&gt;0,1,-1)</f>
        <v>1</v>
      </c>
      <c r="AM114" s="66">
        <f>IF(AND(LEN(Множество[[#This Row],[Свёртка]])&gt;0,LEN(Множество[[#This Row],[Критерии]])&gt;0,LEN(Множество[[#This Row],[Оценки]])&gt;0),1,-1)</f>
        <v>1</v>
      </c>
      <c r="AN114">
        <v>3.2583333333333302</v>
      </c>
      <c r="AO114">
        <v>-14.25</v>
      </c>
      <c r="AP114" s="208"/>
      <c r="AQ114" s="208"/>
      <c r="AR114" s="226"/>
      <c r="AS114" s="225"/>
      <c r="AT114" s="226"/>
      <c r="AU114" s="225"/>
      <c r="AV114" s="225"/>
      <c r="AW114" s="225"/>
      <c r="AX114" s="225"/>
      <c r="AY114" s="225"/>
    </row>
    <row r="115" spans="2:51" x14ac:dyDescent="0.25">
      <c r="B115" s="209" t="str">
        <f ca="1">IF(AND(Критерий[[#This Row],[Критерий]]&lt;&gt;"",Критерий[[#This Row],[O.K.Критерий]]=1),ROW()-ROW(Критерий[[#Headers],[№]]),"")</f>
        <v/>
      </c>
      <c r="C115" s="84"/>
      <c r="D115"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15" s="208" t="str">
        <f ca="1">IFERROR(IF(IFERROR(SEARCH("Прив",Критерий[[#This Row],[Фкритерий]]),0)&gt;0,"Критерий",IF(IFERROR(SEARCH("Матр",Критерий[[#This Row],[Фкритерий]]),0)&gt;0,"ошибка","ошибка")),"ошибка")</f>
        <v>ошибка</v>
      </c>
      <c r="F115" s="224" t="str">
        <f ca="1">IFERROR(IF(LEN((INDIRECT(Критерий[[#This Row],[СНаименование]],FALSE)))=0,"ошибка",IFERROR(INDIRECT(Критерий[[#This Row],[СНаименование]],FALSE),"ошибка")),"ошибка")</f>
        <v>ошибка</v>
      </c>
      <c r="G11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15" s="208" t="str">
        <f ca="1">IFERROR(IF(N(INDIRECT(Критерий[[#This Row],[СФизКритерий]],FALSE))=0,"ошибка",IFERROR(INDIRECT(Критерий[[#This Row],[СФизКритерий]],FALSE),"ошибка")),"ошибка")</f>
        <v>ошибка</v>
      </c>
      <c r="I11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15"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1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15" s="208" t="str">
        <f ca="1">IFERROR(_xlfn.FORMULATEXT(INDIRECT(Критерий[[#This Row],[Скритерий]],FALSE)),"ошибка")</f>
        <v>ошибка</v>
      </c>
      <c r="M115" s="208" t="str">
        <f ca="1">IFERROR(IF(N(INDIRECT(Критерий[[#This Row],[СМинФизКритерий]],FALSE))=0,"ошибка",IFERROR(INDIRECT(Критерий[[#This Row],[СМинФизКритерий]],FALSE),"ошибка")),"ошибка")</f>
        <v>ошибка</v>
      </c>
      <c r="N11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15" s="208" t="str">
        <f ca="1">IFERROR(IF(N(INDIRECT(Критерий[[#This Row],[СМаксФизКритерий]],FALSE))=0,"ошибка",IFERROR(INDIRECT(Критерий[[#This Row],[СМаксФизКритерий]],FALSE),"ошибка")),"ошибка")</f>
        <v>ошибка</v>
      </c>
      <c r="P11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15" s="208" t="str">
        <f ca="1">IFERROR(IF(N(INDIRECT(Критерий[[#This Row],[ССрФизКритерий]],FALSE))=0,"ошибка",IFERROR(INDIRECT(Критерий[[#This Row],[ССрФизКритерий]],FALSE),"ошибка")),"")</f>
        <v/>
      </c>
      <c r="R115"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15" s="212">
        <f ca="1">IFERROR(IF(AND(Критерий[[#This Row],[ВидКритерий]]="Критерий",IFERROR(SEARCH("Приведение",Критерий[[#This Row],[Фкритерий]]),0)&gt;0),1,-1),-1)</f>
        <v>-1</v>
      </c>
      <c r="AG115" s="66">
        <f>IF(AND(Множество[[#This Row],[Y]]=1),ROW()-ROW(Множество[[#Headers],[№]]),"")</f>
        <v>106</v>
      </c>
      <c r="AH115" t="s">
        <v>608</v>
      </c>
      <c r="AI115" s="66">
        <v>1</v>
      </c>
      <c r="AJ115" s="66">
        <f>IF(LEN(Множество[[#This Row],[Свёртка]])&gt;0,1,-1)</f>
        <v>1</v>
      </c>
      <c r="AK115" s="66" t="s">
        <v>1781</v>
      </c>
      <c r="AL115" s="66">
        <f>IF(LEN(Множество[[#This Row],[Критерии]])&gt;0,1,-1)</f>
        <v>1</v>
      </c>
      <c r="AM115" s="66">
        <f>IF(AND(LEN(Множество[[#This Row],[Свёртка]])&gt;0,LEN(Множество[[#This Row],[Критерии]])&gt;0,LEN(Множество[[#This Row],[Оценки]])&gt;0),1,-1)</f>
        <v>1</v>
      </c>
      <c r="AN115">
        <v>3.2</v>
      </c>
      <c r="AO115">
        <v>-14.283333333333299</v>
      </c>
      <c r="AP115" s="208"/>
      <c r="AQ115" s="208"/>
      <c r="AR115" s="226"/>
      <c r="AS115" s="225"/>
      <c r="AT115" s="226"/>
      <c r="AU115" s="225"/>
      <c r="AV115" s="225"/>
      <c r="AW115" s="225"/>
      <c r="AX115" s="225"/>
      <c r="AY115" s="225"/>
    </row>
    <row r="116" spans="2:51" x14ac:dyDescent="0.25">
      <c r="B116" s="209" t="str">
        <f ca="1">IF(AND(Критерий[[#This Row],[Критерий]]&lt;&gt;"",Критерий[[#This Row],[O.K.Критерий]]=1),ROW()-ROW(Критерий[[#Headers],[№]]),"")</f>
        <v/>
      </c>
      <c r="C116" s="84"/>
      <c r="D116"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16" s="208" t="str">
        <f ca="1">IFERROR(IF(IFERROR(SEARCH("Прив",Критерий[[#This Row],[Фкритерий]]),0)&gt;0,"Критерий",IF(IFERROR(SEARCH("Матр",Критерий[[#This Row],[Фкритерий]]),0)&gt;0,"ошибка","ошибка")),"ошибка")</f>
        <v>ошибка</v>
      </c>
      <c r="F116" s="224" t="str">
        <f ca="1">IFERROR(IF(LEN((INDIRECT(Критерий[[#This Row],[СНаименование]],FALSE)))=0,"ошибка",IFERROR(INDIRECT(Критерий[[#This Row],[СНаименование]],FALSE),"ошибка")),"ошибка")</f>
        <v>ошибка</v>
      </c>
      <c r="G11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16" s="208" t="str">
        <f ca="1">IFERROR(IF(N(INDIRECT(Критерий[[#This Row],[СФизКритерий]],FALSE))=0,"ошибка",IFERROR(INDIRECT(Критерий[[#This Row],[СФизКритерий]],FALSE),"ошибка")),"ошибка")</f>
        <v>ошибка</v>
      </c>
      <c r="I11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16"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1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16" s="208" t="str">
        <f ca="1">IFERROR(_xlfn.FORMULATEXT(INDIRECT(Критерий[[#This Row],[Скритерий]],FALSE)),"ошибка")</f>
        <v>ошибка</v>
      </c>
      <c r="M116" s="208" t="str">
        <f ca="1">IFERROR(IF(N(INDIRECT(Критерий[[#This Row],[СМинФизКритерий]],FALSE))=0,"ошибка",IFERROR(INDIRECT(Критерий[[#This Row],[СМинФизКритерий]],FALSE),"ошибка")),"ошибка")</f>
        <v>ошибка</v>
      </c>
      <c r="N11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16" s="208" t="str">
        <f ca="1">IFERROR(IF(N(INDIRECT(Критерий[[#This Row],[СМаксФизКритерий]],FALSE))=0,"ошибка",IFERROR(INDIRECT(Критерий[[#This Row],[СМаксФизКритерий]],FALSE),"ошибка")),"ошибка")</f>
        <v>ошибка</v>
      </c>
      <c r="P11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16" s="208" t="str">
        <f ca="1">IFERROR(IF(N(INDIRECT(Критерий[[#This Row],[ССрФизКритерий]],FALSE))=0,"ошибка",IFERROR(INDIRECT(Критерий[[#This Row],[ССрФизКритерий]],FALSE),"ошибка")),"")</f>
        <v/>
      </c>
      <c r="R116"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16" s="212">
        <f ca="1">IFERROR(IF(AND(Критерий[[#This Row],[ВидКритерий]]="Критерий",IFERROR(SEARCH("Приведение",Критерий[[#This Row],[Фкритерий]]),0)&gt;0),1,-1),-1)</f>
        <v>-1</v>
      </c>
      <c r="AG116" s="66">
        <f>IF(AND(Множество[[#This Row],[Y]]=1),ROW()-ROW(Множество[[#Headers],[№]]),"")</f>
        <v>107</v>
      </c>
      <c r="AH116" t="s">
        <v>608</v>
      </c>
      <c r="AI116" s="66">
        <v>1</v>
      </c>
      <c r="AJ116" s="66">
        <f>IF(LEN(Множество[[#This Row],[Свёртка]])&gt;0,1,-1)</f>
        <v>1</v>
      </c>
      <c r="AK116" s="66" t="s">
        <v>1781</v>
      </c>
      <c r="AL116" s="66">
        <f>IF(LEN(Множество[[#This Row],[Критерии]])&gt;0,1,-1)</f>
        <v>1</v>
      </c>
      <c r="AM116" s="66">
        <f>IF(AND(LEN(Множество[[#This Row],[Свёртка]])&gt;0,LEN(Множество[[#This Row],[Критерии]])&gt;0,LEN(Множество[[#This Row],[Оценки]])&gt;0),1,-1)</f>
        <v>1</v>
      </c>
      <c r="AN116">
        <v>3.1416666666666702</v>
      </c>
      <c r="AO116">
        <v>-14.3</v>
      </c>
      <c r="AP116" s="208"/>
      <c r="AQ116" s="208"/>
      <c r="AR116" s="226"/>
      <c r="AS116" s="225"/>
      <c r="AT116" s="226"/>
      <c r="AU116" s="225"/>
      <c r="AV116" s="225"/>
      <c r="AW116" s="225"/>
      <c r="AX116" s="225"/>
      <c r="AY116" s="225"/>
    </row>
    <row r="117" spans="2:51" x14ac:dyDescent="0.25">
      <c r="B117" s="209" t="str">
        <f ca="1">IF(AND(Критерий[[#This Row],[Критерий]]&lt;&gt;"",Критерий[[#This Row],[O.K.Критерий]]=1),ROW()-ROW(Критерий[[#Headers],[№]]),"")</f>
        <v/>
      </c>
      <c r="C117" s="84"/>
      <c r="D117"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17" s="208" t="str">
        <f ca="1">IFERROR(IF(IFERROR(SEARCH("Прив",Критерий[[#This Row],[Фкритерий]]),0)&gt;0,"Критерий",IF(IFERROR(SEARCH("Матр",Критерий[[#This Row],[Фкритерий]]),0)&gt;0,"ошибка","ошибка")),"ошибка")</f>
        <v>ошибка</v>
      </c>
      <c r="F117" s="224" t="str">
        <f ca="1">IFERROR(IF(LEN((INDIRECT(Критерий[[#This Row],[СНаименование]],FALSE)))=0,"ошибка",IFERROR(INDIRECT(Критерий[[#This Row],[СНаименование]],FALSE),"ошибка")),"ошибка")</f>
        <v>ошибка</v>
      </c>
      <c r="G11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17" s="208" t="str">
        <f ca="1">IFERROR(IF(N(INDIRECT(Критерий[[#This Row],[СФизКритерий]],FALSE))=0,"ошибка",IFERROR(INDIRECT(Критерий[[#This Row],[СФизКритерий]],FALSE),"ошибка")),"ошибка")</f>
        <v>ошибка</v>
      </c>
      <c r="I11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17"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1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17" s="208" t="str">
        <f ca="1">IFERROR(_xlfn.FORMULATEXT(INDIRECT(Критерий[[#This Row],[Скритерий]],FALSE)),"ошибка")</f>
        <v>ошибка</v>
      </c>
      <c r="M117" s="208" t="str">
        <f ca="1">IFERROR(IF(N(INDIRECT(Критерий[[#This Row],[СМинФизКритерий]],FALSE))=0,"ошибка",IFERROR(INDIRECT(Критерий[[#This Row],[СМинФизКритерий]],FALSE),"ошибка")),"ошибка")</f>
        <v>ошибка</v>
      </c>
      <c r="N11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17" s="208" t="str">
        <f ca="1">IFERROR(IF(N(INDIRECT(Критерий[[#This Row],[СМаксФизКритерий]],FALSE))=0,"ошибка",IFERROR(INDIRECT(Критерий[[#This Row],[СМаксФизКритерий]],FALSE),"ошибка")),"ошибка")</f>
        <v>ошибка</v>
      </c>
      <c r="P11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17" s="208" t="str">
        <f ca="1">IFERROR(IF(N(INDIRECT(Критерий[[#This Row],[ССрФизКритерий]],FALSE))=0,"ошибка",IFERROR(INDIRECT(Критерий[[#This Row],[ССрФизКритерий]],FALSE),"ошибка")),"")</f>
        <v/>
      </c>
      <c r="R117"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17" s="212">
        <f ca="1">IFERROR(IF(AND(Критерий[[#This Row],[ВидКритерий]]="Критерий",IFERROR(SEARCH("Приведение",Критерий[[#This Row],[Фкритерий]]),0)&gt;0),1,-1),-1)</f>
        <v>-1</v>
      </c>
      <c r="AG117" s="66">
        <f>IF(AND(Множество[[#This Row],[Y]]=1),ROW()-ROW(Множество[[#Headers],[№]]),"")</f>
        <v>108</v>
      </c>
      <c r="AH117" t="s">
        <v>608</v>
      </c>
      <c r="AI117" s="66">
        <v>1</v>
      </c>
      <c r="AJ117" s="66">
        <f>IF(LEN(Множество[[#This Row],[Свёртка]])&gt;0,1,-1)</f>
        <v>1</v>
      </c>
      <c r="AK117" s="66" t="s">
        <v>1781</v>
      </c>
      <c r="AL117" s="66">
        <f>IF(LEN(Множество[[#This Row],[Критерии]])&gt;0,1,-1)</f>
        <v>1</v>
      </c>
      <c r="AM117" s="66">
        <f>IF(AND(LEN(Множество[[#This Row],[Свёртка]])&gt;0,LEN(Множество[[#This Row],[Критерии]])&gt;0,LEN(Множество[[#This Row],[Оценки]])&gt;0),1,-1)</f>
        <v>1</v>
      </c>
      <c r="AN117">
        <v>5.18333333333333</v>
      </c>
      <c r="AO117">
        <v>-16.3333333333333</v>
      </c>
      <c r="AP117" s="208"/>
      <c r="AQ117" s="208"/>
      <c r="AR117" s="226"/>
      <c r="AS117" s="225"/>
      <c r="AT117" s="226"/>
      <c r="AU117" s="225"/>
      <c r="AV117" s="225"/>
      <c r="AW117" s="225"/>
      <c r="AX117" s="225"/>
      <c r="AY117" s="225"/>
    </row>
    <row r="118" spans="2:51" x14ac:dyDescent="0.25">
      <c r="B118" s="209" t="str">
        <f ca="1">IF(AND(Критерий[[#This Row],[Критерий]]&lt;&gt;"",Критерий[[#This Row],[O.K.Критерий]]=1),ROW()-ROW(Критерий[[#Headers],[№]]),"")</f>
        <v/>
      </c>
      <c r="C118" s="84"/>
      <c r="D118"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18" s="208" t="str">
        <f ca="1">IFERROR(IF(IFERROR(SEARCH("Прив",Критерий[[#This Row],[Фкритерий]]),0)&gt;0,"Критерий",IF(IFERROR(SEARCH("Матр",Критерий[[#This Row],[Фкритерий]]),0)&gt;0,"ошибка","ошибка")),"ошибка")</f>
        <v>ошибка</v>
      </c>
      <c r="F118" s="224" t="str">
        <f ca="1">IFERROR(IF(LEN((INDIRECT(Критерий[[#This Row],[СНаименование]],FALSE)))=0,"ошибка",IFERROR(INDIRECT(Критерий[[#This Row],[СНаименование]],FALSE),"ошибка")),"ошибка")</f>
        <v>ошибка</v>
      </c>
      <c r="G11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18" s="208" t="str">
        <f ca="1">IFERROR(IF(N(INDIRECT(Критерий[[#This Row],[СФизКритерий]],FALSE))=0,"ошибка",IFERROR(INDIRECT(Критерий[[#This Row],[СФизКритерий]],FALSE),"ошибка")),"ошибка")</f>
        <v>ошибка</v>
      </c>
      <c r="I11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18"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1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18" s="208" t="str">
        <f ca="1">IFERROR(_xlfn.FORMULATEXT(INDIRECT(Критерий[[#This Row],[Скритерий]],FALSE)),"ошибка")</f>
        <v>ошибка</v>
      </c>
      <c r="M118" s="208" t="str">
        <f ca="1">IFERROR(IF(N(INDIRECT(Критерий[[#This Row],[СМинФизКритерий]],FALSE))=0,"ошибка",IFERROR(INDIRECT(Критерий[[#This Row],[СМинФизКритерий]],FALSE),"ошибка")),"ошибка")</f>
        <v>ошибка</v>
      </c>
      <c r="N11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18" s="208" t="str">
        <f ca="1">IFERROR(IF(N(INDIRECT(Критерий[[#This Row],[СМаксФизКритерий]],FALSE))=0,"ошибка",IFERROR(INDIRECT(Критерий[[#This Row],[СМаксФизКритерий]],FALSE),"ошибка")),"ошибка")</f>
        <v>ошибка</v>
      </c>
      <c r="P11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18" s="208" t="str">
        <f ca="1">IFERROR(IF(N(INDIRECT(Критерий[[#This Row],[ССрФизКритерий]],FALSE))=0,"ошибка",IFERROR(INDIRECT(Критерий[[#This Row],[ССрФизКритерий]],FALSE),"ошибка")),"")</f>
        <v/>
      </c>
      <c r="R118"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18" s="212">
        <f ca="1">IFERROR(IF(AND(Критерий[[#This Row],[ВидКритерий]]="Критерий",IFERROR(SEARCH("Приведение",Критерий[[#This Row],[Фкритерий]]),0)&gt;0),1,-1),-1)</f>
        <v>-1</v>
      </c>
      <c r="AG118" s="66">
        <f>IF(AND(Множество[[#This Row],[Y]]=1),ROW()-ROW(Множество[[#Headers],[№]]),"")</f>
        <v>109</v>
      </c>
      <c r="AH118" t="s">
        <v>608</v>
      </c>
      <c r="AI118" s="66">
        <v>1</v>
      </c>
      <c r="AJ118" s="66">
        <f>IF(LEN(Множество[[#This Row],[Свёртка]])&gt;0,1,-1)</f>
        <v>1</v>
      </c>
      <c r="AK118" s="66" t="s">
        <v>1781</v>
      </c>
      <c r="AL118" s="66">
        <f>IF(LEN(Множество[[#This Row],[Критерии]])&gt;0,1,-1)</f>
        <v>1</v>
      </c>
      <c r="AM118" s="66">
        <f>IF(AND(LEN(Множество[[#This Row],[Свёртка]])&gt;0,LEN(Множество[[#This Row],[Критерии]])&gt;0,LEN(Множество[[#This Row],[Оценки]])&gt;0),1,-1)</f>
        <v>1</v>
      </c>
      <c r="AN118">
        <v>5.0083333333333302</v>
      </c>
      <c r="AO118">
        <v>-16.283333333333299</v>
      </c>
      <c r="AP118" s="208"/>
      <c r="AQ118" s="208"/>
      <c r="AR118" s="226"/>
      <c r="AS118" s="225"/>
      <c r="AT118" s="226"/>
      <c r="AU118" s="225"/>
      <c r="AV118" s="225"/>
      <c r="AW118" s="225"/>
      <c r="AX118" s="225"/>
      <c r="AY118" s="225"/>
    </row>
    <row r="119" spans="2:51" x14ac:dyDescent="0.25">
      <c r="B119" s="209" t="str">
        <f ca="1">IF(AND(Критерий[[#This Row],[Критерий]]&lt;&gt;"",Критерий[[#This Row],[O.K.Критерий]]=1),ROW()-ROW(Критерий[[#Headers],[№]]),"")</f>
        <v/>
      </c>
      <c r="C119" s="84"/>
      <c r="D119"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19" s="208" t="str">
        <f ca="1">IFERROR(IF(IFERROR(SEARCH("Прив",Критерий[[#This Row],[Фкритерий]]),0)&gt;0,"Критерий",IF(IFERROR(SEARCH("Матр",Критерий[[#This Row],[Фкритерий]]),0)&gt;0,"ошибка","ошибка")),"ошибка")</f>
        <v>ошибка</v>
      </c>
      <c r="F119" s="211" t="str">
        <f ca="1">IFERROR(IF(LEN((INDIRECT(Критерий[[#This Row],[СНаименование]],FALSE)))=0,"ошибка",IFERROR(INDIRECT(Критерий[[#This Row],[СНаименование]],FALSE),"ошибка")),"ошибка")</f>
        <v>ошибка</v>
      </c>
      <c r="G11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19" s="208" t="str">
        <f ca="1">IFERROR(IF(N(INDIRECT(Критерий[[#This Row],[СФизКритерий]],FALSE))=0,"ошибка",IFERROR(INDIRECT(Критерий[[#This Row],[СФизКритерий]],FALSE),"ошибка")),"ошибка")</f>
        <v>ошибка</v>
      </c>
      <c r="I11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19"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1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19" s="208" t="str">
        <f ca="1">IFERROR(_xlfn.FORMULATEXT(INDIRECT(Критерий[[#This Row],[Скритерий]],FALSE)),"ошибка")</f>
        <v>ошибка</v>
      </c>
      <c r="M119" s="208" t="str">
        <f ca="1">IFERROR(IF(N(INDIRECT(Критерий[[#This Row],[СМинФизКритерий]],FALSE))=0,"ошибка",IFERROR(INDIRECT(Критерий[[#This Row],[СМинФизКритерий]],FALSE),"ошибка")),"ошибка")</f>
        <v>ошибка</v>
      </c>
      <c r="N11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19" s="208" t="str">
        <f ca="1">IFERROR(IF(N(INDIRECT(Критерий[[#This Row],[СМаксФизКритерий]],FALSE))=0,"ошибка",IFERROR(INDIRECT(Критерий[[#This Row],[СМаксФизКритерий]],FALSE),"ошибка")),"ошибка")</f>
        <v>ошибка</v>
      </c>
      <c r="P11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19" s="208" t="str">
        <f ca="1">IFERROR(IF(N(INDIRECT(Критерий[[#This Row],[ССрФизКритерий]],FALSE))=0,"ошибка",IFERROR(INDIRECT(Критерий[[#This Row],[ССрФизКритерий]],FALSE),"ошибка")),"")</f>
        <v/>
      </c>
      <c r="R119"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19" s="212">
        <f ca="1">IFERROR(IF(AND(Критерий[[#This Row],[ВидКритерий]]="Критерий",IFERROR(SEARCH("Приведение",Критерий[[#This Row],[Фкритерий]]),0)&gt;0),1,-1),-1)</f>
        <v>-1</v>
      </c>
      <c r="AG119" s="66">
        <f>IF(AND(Множество[[#This Row],[Y]]=1),ROW()-ROW(Множество[[#Headers],[№]]),"")</f>
        <v>110</v>
      </c>
      <c r="AH119" t="s">
        <v>608</v>
      </c>
      <c r="AI119" s="66">
        <v>1</v>
      </c>
      <c r="AJ119" s="66">
        <f>IF(LEN(Множество[[#This Row],[Свёртка]])&gt;0,1,-1)</f>
        <v>1</v>
      </c>
      <c r="AK119" s="66" t="s">
        <v>1781</v>
      </c>
      <c r="AL119" s="66">
        <f>IF(LEN(Множество[[#This Row],[Критерии]])&gt;0,1,-1)</f>
        <v>1</v>
      </c>
      <c r="AM119" s="66">
        <f>IF(AND(LEN(Множество[[#This Row],[Свёртка]])&gt;0,LEN(Множество[[#This Row],[Критерии]])&gt;0,LEN(Множество[[#This Row],[Оценки]])&gt;0),1,-1)</f>
        <v>1</v>
      </c>
      <c r="AN119">
        <v>5.06666666666667</v>
      </c>
      <c r="AO119">
        <v>-16.3</v>
      </c>
      <c r="AP119" s="208"/>
      <c r="AQ119" s="208"/>
      <c r="AR119" s="226"/>
      <c r="AS119" s="225"/>
      <c r="AT119" s="226"/>
      <c r="AU119" s="225"/>
      <c r="AV119" s="225"/>
      <c r="AW119" s="225"/>
      <c r="AX119" s="225"/>
      <c r="AY119" s="225"/>
    </row>
    <row r="120" spans="2:51" x14ac:dyDescent="0.25">
      <c r="B120" s="209" t="str">
        <f ca="1">IF(AND(Критерий[[#This Row],[Критерий]]&lt;&gt;"",Критерий[[#This Row],[O.K.Критерий]]=1),ROW()-ROW(Критерий[[#Headers],[№]]),"")</f>
        <v/>
      </c>
      <c r="C120" s="84"/>
      <c r="D120"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20" s="208" t="str">
        <f ca="1">IFERROR(IF(IFERROR(SEARCH("Прив",Критерий[[#This Row],[Фкритерий]]),0)&gt;0,"Критерий",IF(IFERROR(SEARCH("Матр",Критерий[[#This Row],[Фкритерий]]),0)&gt;0,"ошибка","ошибка")),"ошибка")</f>
        <v>ошибка</v>
      </c>
      <c r="F120" s="211" t="str">
        <f ca="1">IFERROR(IF(LEN((INDIRECT(Критерий[[#This Row],[СНаименование]],FALSE)))=0,"ошибка",IFERROR(INDIRECT(Критерий[[#This Row],[СНаименование]],FALSE),"ошибка")),"ошибка")</f>
        <v>ошибка</v>
      </c>
      <c r="G12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20" s="208" t="str">
        <f ca="1">IFERROR(IF(N(INDIRECT(Критерий[[#This Row],[СФизКритерий]],FALSE))=0,"ошибка",IFERROR(INDIRECT(Критерий[[#This Row],[СФизКритерий]],FALSE),"ошибка")),"ошибка")</f>
        <v>ошибка</v>
      </c>
      <c r="I12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20"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2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20" s="208" t="str">
        <f ca="1">IFERROR(_xlfn.FORMULATEXT(INDIRECT(Критерий[[#This Row],[Скритерий]],FALSE)),"ошибка")</f>
        <v>ошибка</v>
      </c>
      <c r="M120" s="208" t="str">
        <f ca="1">IFERROR(IF(N(INDIRECT(Критерий[[#This Row],[СМинФизКритерий]],FALSE))=0,"ошибка",IFERROR(INDIRECT(Критерий[[#This Row],[СМинФизКритерий]],FALSE),"ошибка")),"ошибка")</f>
        <v>ошибка</v>
      </c>
      <c r="N12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20" s="208" t="str">
        <f ca="1">IFERROR(IF(N(INDIRECT(Критерий[[#This Row],[СМаксФизКритерий]],FALSE))=0,"ошибка",IFERROR(INDIRECT(Критерий[[#This Row],[СМаксФизКритерий]],FALSE),"ошибка")),"ошибка")</f>
        <v>ошибка</v>
      </c>
      <c r="P12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20" s="208" t="str">
        <f ca="1">IFERROR(IF(N(INDIRECT(Критерий[[#This Row],[ССрФизКритерий]],FALSE))=0,"ошибка",IFERROR(INDIRECT(Критерий[[#This Row],[ССрФизКритерий]],FALSE),"ошибка")),"")</f>
        <v/>
      </c>
      <c r="R120"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20" s="212">
        <f ca="1">IFERROR(IF(AND(Критерий[[#This Row],[ВидКритерий]]="Критерий",IFERROR(SEARCH("Приведение",Критерий[[#This Row],[Фкритерий]]),0)&gt;0),1,-1),-1)</f>
        <v>-1</v>
      </c>
      <c r="AG120" s="66">
        <f>IF(AND(Множество[[#This Row],[Y]]=1),ROW()-ROW(Множество[[#Headers],[№]]),"")</f>
        <v>111</v>
      </c>
      <c r="AH120" t="s">
        <v>608</v>
      </c>
      <c r="AI120" s="66">
        <v>1</v>
      </c>
      <c r="AJ120" s="66">
        <f>IF(LEN(Множество[[#This Row],[Свёртка]])&gt;0,1,-1)</f>
        <v>1</v>
      </c>
      <c r="AK120" s="66" t="s">
        <v>1781</v>
      </c>
      <c r="AL120" s="66">
        <f>IF(LEN(Множество[[#This Row],[Критерии]])&gt;0,1,-1)</f>
        <v>1</v>
      </c>
      <c r="AM120" s="66">
        <f>IF(AND(LEN(Множество[[#This Row],[Свёртка]])&gt;0,LEN(Множество[[#This Row],[Критерии]])&gt;0,LEN(Множество[[#This Row],[Оценки]])&gt;0),1,-1)</f>
        <v>1</v>
      </c>
      <c r="AN120">
        <v>5.125</v>
      </c>
      <c r="AO120">
        <v>-16.316666666666698</v>
      </c>
      <c r="AP120" s="208"/>
      <c r="AQ120" s="208"/>
      <c r="AR120" s="226"/>
      <c r="AS120" s="225"/>
      <c r="AT120" s="226"/>
      <c r="AU120" s="225"/>
      <c r="AV120" s="225"/>
      <c r="AW120" s="225"/>
      <c r="AX120" s="225"/>
      <c r="AY120" s="225"/>
    </row>
    <row r="121" spans="2:51" x14ac:dyDescent="0.25">
      <c r="B121" s="209" t="str">
        <f ca="1">IF(AND(Критерий[[#This Row],[Критерий]]&lt;&gt;"",Критерий[[#This Row],[O.K.Критерий]]=1),ROW()-ROW(Критерий[[#Headers],[№]]),"")</f>
        <v/>
      </c>
      <c r="C121" s="84"/>
      <c r="D121"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21" s="208" t="str">
        <f ca="1">IFERROR(IF(IFERROR(SEARCH("Прив",Критерий[[#This Row],[Фкритерий]]),0)&gt;0,"Критерий",IF(IFERROR(SEARCH("Матр",Критерий[[#This Row],[Фкритерий]]),0)&gt;0,"ошибка","ошибка")),"ошибка")</f>
        <v>ошибка</v>
      </c>
      <c r="F121" s="211" t="str">
        <f ca="1">IFERROR(IF(LEN((INDIRECT(Критерий[[#This Row],[СНаименование]],FALSE)))=0,"ошибка",IFERROR(INDIRECT(Критерий[[#This Row],[СНаименование]],FALSE),"ошибка")),"ошибка")</f>
        <v>ошибка</v>
      </c>
      <c r="G12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21" s="208" t="str">
        <f ca="1">IFERROR(IF(N(INDIRECT(Критерий[[#This Row],[СФизКритерий]],FALSE))=0,"ошибка",IFERROR(INDIRECT(Критерий[[#This Row],[СФизКритерий]],FALSE),"ошибка")),"ошибка")</f>
        <v>ошибка</v>
      </c>
      <c r="I12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21"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2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21" s="208" t="str">
        <f ca="1">IFERROR(_xlfn.FORMULATEXT(INDIRECT(Критерий[[#This Row],[Скритерий]],FALSE)),"ошибка")</f>
        <v>ошибка</v>
      </c>
      <c r="M121" s="208" t="str">
        <f ca="1">IFERROR(IF(N(INDIRECT(Критерий[[#This Row],[СМинФизКритерий]],FALSE))=0,"ошибка",IFERROR(INDIRECT(Критерий[[#This Row],[СМинФизКритерий]],FALSE),"ошибка")),"ошибка")</f>
        <v>ошибка</v>
      </c>
      <c r="N12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21" s="208" t="str">
        <f ca="1">IFERROR(IF(N(INDIRECT(Критерий[[#This Row],[СМаксФизКритерий]],FALSE))=0,"ошибка",IFERROR(INDIRECT(Критерий[[#This Row],[СМаксФизКритерий]],FALSE),"ошибка")),"ошибка")</f>
        <v>ошибка</v>
      </c>
      <c r="P12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21" s="208" t="str">
        <f ca="1">IFERROR(IF(N(INDIRECT(Критерий[[#This Row],[ССрФизКритерий]],FALSE))=0,"ошибка",IFERROR(INDIRECT(Критерий[[#This Row],[ССрФизКритерий]],FALSE),"ошибка")),"")</f>
        <v/>
      </c>
      <c r="R121"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21" s="212">
        <f ca="1">IFERROR(IF(AND(Критерий[[#This Row],[ВидКритерий]]="Критерий",IFERROR(SEARCH("Приведение",Критерий[[#This Row],[Фкритерий]]),0)&gt;0),1,-1),-1)</f>
        <v>-1</v>
      </c>
      <c r="AG121" s="66">
        <f>IF(AND(Множество[[#This Row],[Y]]=1),ROW()-ROW(Множество[[#Headers],[№]]),"")</f>
        <v>112</v>
      </c>
      <c r="AH121" t="s">
        <v>608</v>
      </c>
      <c r="AI121" s="66">
        <v>1</v>
      </c>
      <c r="AJ121" s="66">
        <f>IF(LEN(Множество[[#This Row],[Свёртка]])&gt;0,1,-1)</f>
        <v>1</v>
      </c>
      <c r="AK121" s="66" t="s">
        <v>1781</v>
      </c>
      <c r="AL121" s="66">
        <f>IF(LEN(Множество[[#This Row],[Критерии]])&gt;0,1,-1)</f>
        <v>1</v>
      </c>
      <c r="AM121" s="66">
        <f>IF(AND(LEN(Множество[[#This Row],[Свёртка]])&gt;0,LEN(Множество[[#This Row],[Критерии]])&gt;0,LEN(Множество[[#This Row],[Оценки]])&gt;0),1,-1)</f>
        <v>1</v>
      </c>
      <c r="AN121">
        <v>3.0833333333333299</v>
      </c>
      <c r="AO121">
        <v>-14.3166666666667</v>
      </c>
      <c r="AP121" s="208"/>
      <c r="AQ121" s="208"/>
      <c r="AR121" s="226"/>
      <c r="AS121" s="225"/>
      <c r="AT121" s="226"/>
      <c r="AU121" s="225"/>
      <c r="AV121" s="225"/>
      <c r="AW121" s="225"/>
      <c r="AX121" s="225"/>
      <c r="AY121" s="225"/>
    </row>
    <row r="122" spans="2:51" x14ac:dyDescent="0.25">
      <c r="B122" s="209" t="str">
        <f ca="1">IF(AND(Критерий[[#This Row],[Критерий]]&lt;&gt;"",Критерий[[#This Row],[O.K.Критерий]]=1),ROW()-ROW(Критерий[[#Headers],[№]]),"")</f>
        <v/>
      </c>
      <c r="C122" s="84"/>
      <c r="D122"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22" s="208" t="str">
        <f ca="1">IFERROR(IF(IFERROR(SEARCH("Прив",Критерий[[#This Row],[Фкритерий]]),0)&gt;0,"Критерий",IF(IFERROR(SEARCH("Матр",Критерий[[#This Row],[Фкритерий]]),0)&gt;0,"ошибка","ошибка")),"ошибка")</f>
        <v>ошибка</v>
      </c>
      <c r="F122" s="211" t="str">
        <f ca="1">IFERROR(IF(LEN((INDIRECT(Критерий[[#This Row],[СНаименование]],FALSE)))=0,"ошибка",IFERROR(INDIRECT(Критерий[[#This Row],[СНаименование]],FALSE),"ошибка")),"ошибка")</f>
        <v>ошибка</v>
      </c>
      <c r="G12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22" s="208" t="str">
        <f ca="1">IFERROR(IF(N(INDIRECT(Критерий[[#This Row],[СФизКритерий]],FALSE))=0,"ошибка",IFERROR(INDIRECT(Критерий[[#This Row],[СФизКритерий]],FALSE),"ошибка")),"ошибка")</f>
        <v>ошибка</v>
      </c>
      <c r="I12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22"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2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22" s="208" t="str">
        <f ca="1">IFERROR(_xlfn.FORMULATEXT(INDIRECT(Критерий[[#This Row],[Скритерий]],FALSE)),"ошибка")</f>
        <v>ошибка</v>
      </c>
      <c r="M122" s="208" t="str">
        <f ca="1">IFERROR(IF(N(INDIRECT(Критерий[[#This Row],[СМинФизКритерий]],FALSE))=0,"ошибка",IFERROR(INDIRECT(Критерий[[#This Row],[СМинФизКритерий]],FALSE),"ошибка")),"ошибка")</f>
        <v>ошибка</v>
      </c>
      <c r="N12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22" s="208" t="str">
        <f ca="1">IFERROR(IF(N(INDIRECT(Критерий[[#This Row],[СМаксФизКритерий]],FALSE))=0,"ошибка",IFERROR(INDIRECT(Критерий[[#This Row],[СМаксФизКритерий]],FALSE),"ошибка")),"ошибка")</f>
        <v>ошибка</v>
      </c>
      <c r="P12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22" s="208" t="str">
        <f ca="1">IFERROR(IF(N(INDIRECT(Критерий[[#This Row],[ССрФизКритерий]],FALSE))=0,"ошибка",IFERROR(INDIRECT(Критерий[[#This Row],[ССрФизКритерий]],FALSE),"ошибка")),"")</f>
        <v/>
      </c>
      <c r="R122"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22" s="212">
        <f ca="1">IFERROR(IF(AND(Критерий[[#This Row],[ВидКритерий]]="Критерий",IFERROR(SEARCH("Приведение",Критерий[[#This Row],[Фкритерий]]),0)&gt;0),1,-1),-1)</f>
        <v>-1</v>
      </c>
      <c r="AG122" s="66">
        <f>IF(AND(Множество[[#This Row],[Y]]=1),ROW()-ROW(Множество[[#Headers],[№]]),"")</f>
        <v>113</v>
      </c>
      <c r="AH122" t="s">
        <v>608</v>
      </c>
      <c r="AI122" s="66">
        <v>1</v>
      </c>
      <c r="AJ122" s="66">
        <f>IF(LEN(Множество[[#This Row],[Свёртка]])&gt;0,1,-1)</f>
        <v>1</v>
      </c>
      <c r="AK122" s="66" t="s">
        <v>1781</v>
      </c>
      <c r="AL122" s="66">
        <f>IF(LEN(Множество[[#This Row],[Критерии]])&gt;0,1,-1)</f>
        <v>1</v>
      </c>
      <c r="AM122" s="66">
        <f>IF(AND(LEN(Множество[[#This Row],[Свёртка]])&gt;0,LEN(Множество[[#This Row],[Критерии]])&gt;0,LEN(Множество[[#This Row],[Оценки]])&gt;0),1,-1)</f>
        <v>1</v>
      </c>
      <c r="AN122">
        <v>3.0249999999999999</v>
      </c>
      <c r="AO122">
        <v>-14.35</v>
      </c>
      <c r="AP122" s="208"/>
      <c r="AQ122" s="208"/>
      <c r="AR122" s="226"/>
      <c r="AS122" s="225"/>
      <c r="AT122" s="226"/>
      <c r="AU122" s="225"/>
      <c r="AV122" s="225"/>
      <c r="AW122" s="225"/>
      <c r="AX122" s="225"/>
      <c r="AY122" s="225"/>
    </row>
    <row r="123" spans="2:51" x14ac:dyDescent="0.25">
      <c r="B123" s="209" t="str">
        <f ca="1">IF(AND(Критерий[[#This Row],[Критерий]]&lt;&gt;"",Критерий[[#This Row],[O.K.Критерий]]=1),ROW()-ROW(Критерий[[#Headers],[№]]),"")</f>
        <v/>
      </c>
      <c r="C123" s="84"/>
      <c r="D123"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23" s="208" t="str">
        <f ca="1">IFERROR(IF(IFERROR(SEARCH("Прив",Критерий[[#This Row],[Фкритерий]]),0)&gt;0,"Критерий",IF(IFERROR(SEARCH("Матр",Критерий[[#This Row],[Фкритерий]]),0)&gt;0,"ошибка","ошибка")),"ошибка")</f>
        <v>ошибка</v>
      </c>
      <c r="F123" s="211" t="str">
        <f ca="1">IFERROR(IF(LEN((INDIRECT(Критерий[[#This Row],[СНаименование]],FALSE)))=0,"ошибка",IFERROR(INDIRECT(Критерий[[#This Row],[СНаименование]],FALSE),"ошибка")),"ошибка")</f>
        <v>ошибка</v>
      </c>
      <c r="G12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23" s="208" t="str">
        <f ca="1">IFERROR(IF(N(INDIRECT(Критерий[[#This Row],[СФизКритерий]],FALSE))=0,"ошибка",IFERROR(INDIRECT(Критерий[[#This Row],[СФизКритерий]],FALSE),"ошибка")),"ошибка")</f>
        <v>ошибка</v>
      </c>
      <c r="I12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23"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2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23" s="208" t="str">
        <f ca="1">IFERROR(_xlfn.FORMULATEXT(INDIRECT(Критерий[[#This Row],[Скритерий]],FALSE)),"ошибка")</f>
        <v>ошибка</v>
      </c>
      <c r="M123" s="208" t="str">
        <f ca="1">IFERROR(IF(N(INDIRECT(Критерий[[#This Row],[СМинФизКритерий]],FALSE))=0,"ошибка",IFERROR(INDIRECT(Критерий[[#This Row],[СМинФизКритерий]],FALSE),"ошибка")),"ошибка")</f>
        <v>ошибка</v>
      </c>
      <c r="N12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23" s="208" t="str">
        <f ca="1">IFERROR(IF(N(INDIRECT(Критерий[[#This Row],[СМаксФизКритерий]],FALSE))=0,"ошибка",IFERROR(INDIRECT(Критерий[[#This Row],[СМаксФизКритерий]],FALSE),"ошибка")),"ошибка")</f>
        <v>ошибка</v>
      </c>
      <c r="P12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23" s="208" t="str">
        <f ca="1">IFERROR(IF(N(INDIRECT(Критерий[[#This Row],[ССрФизКритерий]],FALSE))=0,"ошибка",IFERROR(INDIRECT(Критерий[[#This Row],[ССрФизКритерий]],FALSE),"ошибка")),"")</f>
        <v/>
      </c>
      <c r="R123"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23" s="212">
        <f ca="1">IFERROR(IF(AND(Критерий[[#This Row],[ВидКритерий]]="Критерий",IFERROR(SEARCH("Приведение",Критерий[[#This Row],[Фкритерий]]),0)&gt;0),1,-1),-1)</f>
        <v>-1</v>
      </c>
      <c r="AG123" s="66">
        <f>IF(AND(Множество[[#This Row],[Y]]=1),ROW()-ROW(Множество[[#Headers],[№]]),"")</f>
        <v>114</v>
      </c>
      <c r="AH123" t="s">
        <v>608</v>
      </c>
      <c r="AI123" s="66">
        <v>1</v>
      </c>
      <c r="AJ123" s="66">
        <f>IF(LEN(Множество[[#This Row],[Свёртка]])&gt;0,1,-1)</f>
        <v>1</v>
      </c>
      <c r="AK123" s="66" t="s">
        <v>1781</v>
      </c>
      <c r="AL123" s="66">
        <f>IF(LEN(Множество[[#This Row],[Критерии]])&gt;0,1,-1)</f>
        <v>1</v>
      </c>
      <c r="AM123" s="66">
        <f>IF(AND(LEN(Множество[[#This Row],[Свёртка]])&gt;0,LEN(Множество[[#This Row],[Критерии]])&gt;0,LEN(Множество[[#This Row],[Оценки]])&gt;0),1,-1)</f>
        <v>1</v>
      </c>
      <c r="AN123">
        <v>4.95</v>
      </c>
      <c r="AO123">
        <v>-16.283333333333299</v>
      </c>
      <c r="AP123" s="208"/>
      <c r="AQ123" s="208"/>
      <c r="AR123" s="226"/>
      <c r="AS123" s="225"/>
      <c r="AT123" s="226"/>
      <c r="AU123" s="225"/>
      <c r="AV123" s="225"/>
      <c r="AW123" s="225"/>
      <c r="AX123" s="225"/>
      <c r="AY123" s="225"/>
    </row>
    <row r="124" spans="2:51" x14ac:dyDescent="0.25">
      <c r="AG124" s="66">
        <f>IF(AND(Множество[[#This Row],[Y]]=1),ROW()-ROW(Множество[[#Headers],[№]]),"")</f>
        <v>115</v>
      </c>
      <c r="AH124" t="s">
        <v>608</v>
      </c>
      <c r="AI124" s="66">
        <v>1</v>
      </c>
      <c r="AJ124" s="66">
        <f>IF(LEN(Множество[[#This Row],[Свёртка]])&gt;0,1,-1)</f>
        <v>1</v>
      </c>
      <c r="AK124" s="66" t="s">
        <v>1781</v>
      </c>
      <c r="AL124" s="66">
        <f>IF(LEN(Множество[[#This Row],[Критерии]])&gt;0,1,-1)</f>
        <v>1</v>
      </c>
      <c r="AM124" s="66">
        <f>IF(AND(LEN(Множество[[#This Row],[Свёртка]])&gt;0,LEN(Множество[[#This Row],[Критерии]])&gt;0,LEN(Множество[[#This Row],[Оценки]])&gt;0),1,-1)</f>
        <v>1</v>
      </c>
      <c r="AN124">
        <v>4.8916666666666702</v>
      </c>
      <c r="AO124">
        <v>-16.266666666666701</v>
      </c>
      <c r="AP124" s="208"/>
      <c r="AQ124" s="208"/>
      <c r="AR124" s="226"/>
      <c r="AS124" s="225"/>
      <c r="AT124" s="226"/>
      <c r="AU124" s="225"/>
      <c r="AV124" s="225"/>
      <c r="AW124" s="225"/>
      <c r="AX124" s="225"/>
      <c r="AY124" s="225"/>
    </row>
    <row r="125" spans="2:51" x14ac:dyDescent="0.25">
      <c r="AG125" s="66">
        <f>IF(AND(Множество[[#This Row],[Y]]=1),ROW()-ROW(Множество[[#Headers],[№]]),"")</f>
        <v>116</v>
      </c>
      <c r="AH125" t="s">
        <v>608</v>
      </c>
      <c r="AI125" s="66">
        <v>1</v>
      </c>
      <c r="AJ125" s="66">
        <f>IF(LEN(Множество[[#This Row],[Свёртка]])&gt;0,1,-1)</f>
        <v>1</v>
      </c>
      <c r="AK125" s="66" t="s">
        <v>1781</v>
      </c>
      <c r="AL125" s="66">
        <f>IF(LEN(Множество[[#This Row],[Критерии]])&gt;0,1,-1)</f>
        <v>1</v>
      </c>
      <c r="AM125" s="66">
        <f>IF(AND(LEN(Множество[[#This Row],[Свёртка]])&gt;0,LEN(Множество[[#This Row],[Критерии]])&gt;0,LEN(Множество[[#This Row],[Оценки]])&gt;0),1,-1)</f>
        <v>1</v>
      </c>
      <c r="AN125">
        <v>2.9083333333333301</v>
      </c>
      <c r="AO125">
        <v>-14.383333333333301</v>
      </c>
      <c r="AP125" s="208"/>
      <c r="AQ125" s="208"/>
      <c r="AR125" s="226"/>
      <c r="AS125" s="225"/>
      <c r="AT125" s="226"/>
      <c r="AU125" s="225"/>
      <c r="AV125" s="225"/>
      <c r="AW125" s="225"/>
      <c r="AX125" s="225"/>
      <c r="AY125" s="225"/>
    </row>
    <row r="126" spans="2:51" x14ac:dyDescent="0.25">
      <c r="AG126" s="66">
        <f>IF(AND(Множество[[#This Row],[Y]]=1),ROW()-ROW(Множество[[#Headers],[№]]),"")</f>
        <v>117</v>
      </c>
      <c r="AH126" t="s">
        <v>608</v>
      </c>
      <c r="AI126" s="66">
        <v>1</v>
      </c>
      <c r="AJ126" s="66">
        <f>IF(LEN(Множество[[#This Row],[Свёртка]])&gt;0,1,-1)</f>
        <v>1</v>
      </c>
      <c r="AK126" s="66" t="s">
        <v>1781</v>
      </c>
      <c r="AL126" s="66">
        <f>IF(LEN(Множество[[#This Row],[Критерии]])&gt;0,1,-1)</f>
        <v>1</v>
      </c>
      <c r="AM126" s="66">
        <f>IF(AND(LEN(Множество[[#This Row],[Свёртка]])&gt;0,LEN(Множество[[#This Row],[Критерии]])&gt;0,LEN(Множество[[#This Row],[Оценки]])&gt;0),1,-1)</f>
        <v>1</v>
      </c>
      <c r="AN126">
        <v>2.9666666666666699</v>
      </c>
      <c r="AO126">
        <v>-14.366666666666699</v>
      </c>
      <c r="AP126" s="208"/>
      <c r="AQ126" s="208"/>
      <c r="AR126" s="226"/>
      <c r="AS126" s="225"/>
      <c r="AT126" s="226"/>
      <c r="AU126" s="225"/>
      <c r="AV126" s="225"/>
      <c r="AW126" s="225"/>
      <c r="AX126" s="225"/>
      <c r="AY126" s="225"/>
    </row>
    <row r="127" spans="2:51" x14ac:dyDescent="0.25">
      <c r="AG127" s="66">
        <f>IF(AND(Множество[[#This Row],[Y]]=1),ROW()-ROW(Множество[[#Headers],[№]]),"")</f>
        <v>118</v>
      </c>
      <c r="AH127" t="s">
        <v>608</v>
      </c>
      <c r="AI127" s="66">
        <v>1</v>
      </c>
      <c r="AJ127" s="66">
        <f>IF(LEN(Множество[[#This Row],[Свёртка]])&gt;0,1,-1)</f>
        <v>1</v>
      </c>
      <c r="AK127" s="66" t="s">
        <v>1781</v>
      </c>
      <c r="AL127" s="66">
        <f>IF(LEN(Множество[[#This Row],[Критерии]])&gt;0,1,-1)</f>
        <v>1</v>
      </c>
      <c r="AM127" s="66">
        <f>IF(AND(LEN(Множество[[#This Row],[Свёртка]])&gt;0,LEN(Множество[[#This Row],[Критерии]])&gt;0,LEN(Множество[[#This Row],[Оценки]])&gt;0),1,-1)</f>
        <v>1</v>
      </c>
      <c r="AN127">
        <v>4.7750000000000004</v>
      </c>
      <c r="AO127">
        <v>-16.233333333333299</v>
      </c>
      <c r="AP127" s="208"/>
      <c r="AQ127" s="208"/>
      <c r="AR127" s="226"/>
      <c r="AS127" s="225"/>
      <c r="AT127" s="226"/>
      <c r="AU127" s="225"/>
      <c r="AV127" s="225"/>
      <c r="AW127" s="225"/>
      <c r="AX127" s="225"/>
      <c r="AY127" s="225"/>
    </row>
    <row r="128" spans="2:51" x14ac:dyDescent="0.25">
      <c r="AG128" s="66">
        <f>IF(AND(Множество[[#This Row],[Y]]=1),ROW()-ROW(Множество[[#Headers],[№]]),"")</f>
        <v>119</v>
      </c>
      <c r="AH128" t="s">
        <v>608</v>
      </c>
      <c r="AI128" s="66">
        <v>1</v>
      </c>
      <c r="AJ128" s="66">
        <f>IF(LEN(Множество[[#This Row],[Свёртка]])&gt;0,1,-1)</f>
        <v>1</v>
      </c>
      <c r="AK128" s="66" t="s">
        <v>1781</v>
      </c>
      <c r="AL128" s="66">
        <f>IF(LEN(Множество[[#This Row],[Критерии]])&gt;0,1,-1)</f>
        <v>1</v>
      </c>
      <c r="AM128" s="66">
        <f>IF(AND(LEN(Множество[[#This Row],[Свёртка]])&gt;0,LEN(Множество[[#This Row],[Критерии]])&gt;0,LEN(Множество[[#This Row],[Оценки]])&gt;0),1,-1)</f>
        <v>1</v>
      </c>
      <c r="AN128">
        <v>4.8333333333333304</v>
      </c>
      <c r="AO128">
        <v>-16.25</v>
      </c>
      <c r="AP128" s="208"/>
      <c r="AQ128" s="208"/>
      <c r="AR128" s="226"/>
      <c r="AS128" s="225"/>
      <c r="AT128" s="226"/>
      <c r="AU128" s="225"/>
      <c r="AV128" s="225"/>
      <c r="AW128" s="225"/>
      <c r="AX128" s="225"/>
      <c r="AY128" s="225"/>
    </row>
    <row r="129" spans="33:51" x14ac:dyDescent="0.25">
      <c r="AG129" s="66">
        <f>IF(AND(Множество[[#This Row],[Y]]=1),ROW()-ROW(Множество[[#Headers],[№]]),"")</f>
        <v>120</v>
      </c>
      <c r="AH129" t="s">
        <v>608</v>
      </c>
      <c r="AI129" s="66">
        <v>1</v>
      </c>
      <c r="AJ129" s="66">
        <f>IF(LEN(Множество[[#This Row],[Свёртка]])&gt;0,1,-1)</f>
        <v>1</v>
      </c>
      <c r="AK129" s="66" t="s">
        <v>1781</v>
      </c>
      <c r="AL129" s="66">
        <f>IF(LEN(Множество[[#This Row],[Критерии]])&gt;0,1,-1)</f>
        <v>1</v>
      </c>
      <c r="AM129" s="66">
        <f>IF(AND(LEN(Множество[[#This Row],[Свёртка]])&gt;0,LEN(Множество[[#This Row],[Критерии]])&gt;0,LEN(Множество[[#This Row],[Оценки]])&gt;0),1,-1)</f>
        <v>1</v>
      </c>
      <c r="AN129">
        <v>4.7166666666666703</v>
      </c>
      <c r="AO129">
        <v>-16.216666666666701</v>
      </c>
      <c r="AP129" s="208"/>
      <c r="AQ129" s="208"/>
      <c r="AR129" s="226"/>
      <c r="AS129" s="225"/>
      <c r="AT129" s="226"/>
      <c r="AU129" s="225"/>
      <c r="AV129" s="225"/>
      <c r="AW129" s="225"/>
      <c r="AX129" s="225"/>
      <c r="AY129" s="225"/>
    </row>
    <row r="130" spans="33:51" x14ac:dyDescent="0.25">
      <c r="AG130" s="66">
        <f>IF(AND(Множество[[#This Row],[Y]]=1),ROW()-ROW(Множество[[#Headers],[№]]),"")</f>
        <v>121</v>
      </c>
      <c r="AH130" t="s">
        <v>608</v>
      </c>
      <c r="AI130" s="66">
        <v>1</v>
      </c>
      <c r="AJ130" s="66">
        <f>IF(LEN(Множество[[#This Row],[Свёртка]])&gt;0,1,-1)</f>
        <v>1</v>
      </c>
      <c r="AK130" s="66" t="s">
        <v>1781</v>
      </c>
      <c r="AL130" s="66">
        <f>IF(LEN(Множество[[#This Row],[Критерии]])&gt;0,1,-1)</f>
        <v>1</v>
      </c>
      <c r="AM130" s="66">
        <f>IF(AND(LEN(Множество[[#This Row],[Свёртка]])&gt;0,LEN(Множество[[#This Row],[Критерии]])&gt;0,LEN(Множество[[#This Row],[Оценки]])&gt;0),1,-1)</f>
        <v>1</v>
      </c>
      <c r="AN130">
        <v>4.6583333333333297</v>
      </c>
      <c r="AO130">
        <v>-16.216666666666701</v>
      </c>
      <c r="AP130" s="208"/>
      <c r="AQ130" s="208"/>
      <c r="AR130" s="226"/>
      <c r="AS130" s="225"/>
      <c r="AT130" s="226"/>
      <c r="AU130" s="225"/>
      <c r="AV130" s="225"/>
      <c r="AW130" s="225"/>
      <c r="AX130" s="225"/>
      <c r="AY130" s="225"/>
    </row>
    <row r="131" spans="33:51" x14ac:dyDescent="0.25">
      <c r="AG131" s="66">
        <f>IF(AND(Множество[[#This Row],[Y]]=1),ROW()-ROW(Множество[[#Headers],[№]]),"")</f>
        <v>122</v>
      </c>
      <c r="AH131" t="s">
        <v>608</v>
      </c>
      <c r="AI131" s="66">
        <v>1</v>
      </c>
      <c r="AJ131" s="66">
        <f>IF(LEN(Множество[[#This Row],[Свёртка]])&gt;0,1,-1)</f>
        <v>1</v>
      </c>
      <c r="AK131" s="66" t="s">
        <v>1781</v>
      </c>
      <c r="AL131" s="66">
        <f>IF(LEN(Множество[[#This Row],[Критерии]])&gt;0,1,-1)</f>
        <v>1</v>
      </c>
      <c r="AM131" s="66">
        <f>IF(AND(LEN(Множество[[#This Row],[Свёртка]])&gt;0,LEN(Множество[[#This Row],[Критерии]])&gt;0,LEN(Множество[[#This Row],[Оценки]])&gt;0),1,-1)</f>
        <v>1</v>
      </c>
      <c r="AN131">
        <v>2.85</v>
      </c>
      <c r="AO131">
        <v>-14.4</v>
      </c>
      <c r="AP131" s="208"/>
      <c r="AQ131" s="208"/>
      <c r="AR131" s="226"/>
      <c r="AS131" s="225"/>
      <c r="AT131" s="226"/>
      <c r="AU131" s="225"/>
      <c r="AV131" s="225"/>
      <c r="AW131" s="225"/>
      <c r="AX131" s="225"/>
      <c r="AY131" s="225"/>
    </row>
    <row r="132" spans="33:51" x14ac:dyDescent="0.25">
      <c r="AG132" s="66">
        <f>IF(AND(Множество[[#This Row],[Y]]=1),ROW()-ROW(Множество[[#Headers],[№]]),"")</f>
        <v>123</v>
      </c>
      <c r="AH132" t="s">
        <v>608</v>
      </c>
      <c r="AI132" s="66">
        <v>1</v>
      </c>
      <c r="AJ132" s="66">
        <f>IF(LEN(Множество[[#This Row],[Свёртка]])&gt;0,1,-1)</f>
        <v>1</v>
      </c>
      <c r="AK132" s="66" t="s">
        <v>1781</v>
      </c>
      <c r="AL132" s="66">
        <f>IF(LEN(Множество[[#This Row],[Критерии]])&gt;0,1,-1)</f>
        <v>1</v>
      </c>
      <c r="AM132" s="66">
        <f>IF(AND(LEN(Множество[[#This Row],[Свёртка]])&gt;0,LEN(Множество[[#This Row],[Критерии]])&gt;0,LEN(Множество[[#This Row],[Оценки]])&gt;0),1,-1)</f>
        <v>1</v>
      </c>
      <c r="AN132">
        <v>4.4833333333333298</v>
      </c>
      <c r="AO132">
        <v>-16.1666666666667</v>
      </c>
      <c r="AP132" s="208"/>
      <c r="AQ132" s="208"/>
      <c r="AR132" s="226"/>
      <c r="AS132" s="225"/>
      <c r="AT132" s="226"/>
      <c r="AU132" s="225"/>
      <c r="AV132" s="225"/>
      <c r="AW132" s="225"/>
      <c r="AX132" s="225"/>
      <c r="AY132" s="225"/>
    </row>
    <row r="133" spans="33:51" x14ac:dyDescent="0.25">
      <c r="AG133" s="66">
        <f>IF(AND(Множество[[#This Row],[Y]]=1),ROW()-ROW(Множество[[#Headers],[№]]),"")</f>
        <v>124</v>
      </c>
      <c r="AH133" t="s">
        <v>608</v>
      </c>
      <c r="AI133" s="66">
        <v>1</v>
      </c>
      <c r="AJ133" s="66">
        <f>IF(LEN(Множество[[#This Row],[Свёртка]])&gt;0,1,-1)</f>
        <v>1</v>
      </c>
      <c r="AK133" s="66" t="s">
        <v>1781</v>
      </c>
      <c r="AL133" s="66">
        <f>IF(LEN(Множество[[#This Row],[Критерии]])&gt;0,1,-1)</f>
        <v>1</v>
      </c>
      <c r="AM133" s="66">
        <f>IF(AND(LEN(Множество[[#This Row],[Свёртка]])&gt;0,LEN(Множество[[#This Row],[Критерии]])&gt;0,LEN(Множество[[#This Row],[Оценки]])&gt;0),1,-1)</f>
        <v>1</v>
      </c>
      <c r="AN133">
        <v>2.7916666666666701</v>
      </c>
      <c r="AO133">
        <v>-14.4333333333333</v>
      </c>
      <c r="AP133" s="208"/>
      <c r="AQ133" s="208"/>
      <c r="AR133" s="226"/>
      <c r="AS133" s="225"/>
      <c r="AT133" s="226"/>
      <c r="AU133" s="225"/>
      <c r="AV133" s="225"/>
      <c r="AW133" s="225"/>
      <c r="AX133" s="225"/>
      <c r="AY133" s="225"/>
    </row>
    <row r="134" spans="33:51" x14ac:dyDescent="0.25">
      <c r="AG134" s="66">
        <f>IF(AND(Множество[[#This Row],[Y]]=1),ROW()-ROW(Множество[[#Headers],[№]]),"")</f>
        <v>125</v>
      </c>
      <c r="AH134" t="s">
        <v>608</v>
      </c>
      <c r="AI134" s="66">
        <v>1</v>
      </c>
      <c r="AJ134" s="66">
        <f>IF(LEN(Множество[[#This Row],[Свёртка]])&gt;0,1,-1)</f>
        <v>1</v>
      </c>
      <c r="AK134" s="66" t="s">
        <v>1781</v>
      </c>
      <c r="AL134" s="66">
        <f>IF(LEN(Множество[[#This Row],[Критерии]])&gt;0,1,-1)</f>
        <v>1</v>
      </c>
      <c r="AM134" s="66">
        <f>IF(AND(LEN(Множество[[#This Row],[Свёртка]])&gt;0,LEN(Множество[[#This Row],[Критерии]])&gt;0,LEN(Множество[[#This Row],[Оценки]])&gt;0),1,-1)</f>
        <v>1</v>
      </c>
      <c r="AN134">
        <v>4.5999999999999996</v>
      </c>
      <c r="AO134">
        <v>-16.2</v>
      </c>
      <c r="AP134" s="208"/>
      <c r="AQ134" s="208"/>
      <c r="AR134" s="226"/>
      <c r="AS134" s="225"/>
      <c r="AT134" s="226"/>
      <c r="AU134" s="225"/>
      <c r="AV134" s="225"/>
      <c r="AW134" s="225"/>
      <c r="AX134" s="225"/>
      <c r="AY134" s="225"/>
    </row>
    <row r="135" spans="33:51" x14ac:dyDescent="0.25">
      <c r="AG135" s="66">
        <f>IF(AND(Множество[[#This Row],[Y]]=1),ROW()-ROW(Множество[[#Headers],[№]]),"")</f>
        <v>126</v>
      </c>
      <c r="AH135" t="s">
        <v>608</v>
      </c>
      <c r="AI135" s="66">
        <v>1</v>
      </c>
      <c r="AJ135" s="66">
        <f>IF(LEN(Множество[[#This Row],[Свёртка]])&gt;0,1,-1)</f>
        <v>1</v>
      </c>
      <c r="AK135" s="66" t="s">
        <v>1781</v>
      </c>
      <c r="AL135" s="66">
        <f>IF(LEN(Множество[[#This Row],[Критерии]])&gt;0,1,-1)</f>
        <v>1</v>
      </c>
      <c r="AM135" s="66">
        <f>IF(AND(LEN(Множество[[#This Row],[Свёртка]])&gt;0,LEN(Множество[[#This Row],[Критерии]])&gt;0,LEN(Множество[[#This Row],[Оценки]])&gt;0),1,-1)</f>
        <v>1</v>
      </c>
      <c r="AN135">
        <v>4.5416666666666696</v>
      </c>
      <c r="AO135">
        <v>-16.183333333333302</v>
      </c>
      <c r="AP135" s="208"/>
      <c r="AQ135" s="208"/>
      <c r="AR135" s="226"/>
      <c r="AS135" s="225"/>
      <c r="AT135" s="226"/>
      <c r="AU135" s="225"/>
      <c r="AV135" s="225"/>
      <c r="AW135" s="225"/>
      <c r="AX135" s="225"/>
      <c r="AY135" s="225"/>
    </row>
    <row r="136" spans="33:51" x14ac:dyDescent="0.25">
      <c r="AG136" s="66">
        <f>IF(AND(Множество[[#This Row],[Y]]=1),ROW()-ROW(Множество[[#Headers],[№]]),"")</f>
        <v>127</v>
      </c>
      <c r="AH136" t="s">
        <v>608</v>
      </c>
      <c r="AI136" s="66">
        <v>1</v>
      </c>
      <c r="AJ136" s="66">
        <f>IF(LEN(Множество[[#This Row],[Свёртка]])&gt;0,1,-1)</f>
        <v>1</v>
      </c>
      <c r="AK136" s="66" t="s">
        <v>1781</v>
      </c>
      <c r="AL136" s="66">
        <f>IF(LEN(Множество[[#This Row],[Критерии]])&gt;0,1,-1)</f>
        <v>1</v>
      </c>
      <c r="AM136" s="66">
        <f>IF(AND(LEN(Множество[[#This Row],[Свёртка]])&gt;0,LEN(Множество[[#This Row],[Критерии]])&gt;0,LEN(Множество[[#This Row],[Оценки]])&gt;0),1,-1)</f>
        <v>1</v>
      </c>
      <c r="AN136">
        <v>6.7</v>
      </c>
      <c r="AO136">
        <v>-18.3333333333333</v>
      </c>
      <c r="AP136" s="208"/>
      <c r="AQ136" s="208"/>
      <c r="AR136" s="226"/>
      <c r="AS136" s="225"/>
      <c r="AT136" s="226"/>
      <c r="AU136" s="225"/>
      <c r="AV136" s="225"/>
      <c r="AW136" s="225"/>
      <c r="AX136" s="225"/>
      <c r="AY136" s="225"/>
    </row>
    <row r="137" spans="33:51" x14ac:dyDescent="0.25">
      <c r="AG137" s="66">
        <f>IF(AND(Множество[[#This Row],[Y]]=1),ROW()-ROW(Множество[[#Headers],[№]]),"")</f>
        <v>128</v>
      </c>
      <c r="AH137" t="s">
        <v>608</v>
      </c>
      <c r="AI137" s="66">
        <v>1</v>
      </c>
      <c r="AJ137" s="66">
        <f>IF(LEN(Множество[[#This Row],[Свёртка]])&gt;0,1,-1)</f>
        <v>1</v>
      </c>
      <c r="AK137" s="66" t="s">
        <v>1781</v>
      </c>
      <c r="AL137" s="66">
        <f>IF(LEN(Множество[[#This Row],[Критерии]])&gt;0,1,-1)</f>
        <v>1</v>
      </c>
      <c r="AM137" s="66">
        <f>IF(AND(LEN(Множество[[#This Row],[Свёртка]])&gt;0,LEN(Множество[[#This Row],[Критерии]])&gt;0,LEN(Множество[[#This Row],[Оценки]])&gt;0),1,-1)</f>
        <v>1</v>
      </c>
      <c r="AN137">
        <v>4.3666666666666698</v>
      </c>
      <c r="AO137">
        <v>-16.149999999999999</v>
      </c>
      <c r="AP137" s="208"/>
      <c r="AQ137" s="208"/>
      <c r="AR137" s="226"/>
      <c r="AS137" s="225"/>
      <c r="AT137" s="226"/>
      <c r="AU137" s="225"/>
      <c r="AV137" s="225"/>
      <c r="AW137" s="225"/>
      <c r="AX137" s="225"/>
      <c r="AY137" s="225"/>
    </row>
    <row r="138" spans="33:51" x14ac:dyDescent="0.25">
      <c r="AG138" s="66">
        <f>IF(AND(Множество[[#This Row],[Y]]=1),ROW()-ROW(Множество[[#Headers],[№]]),"")</f>
        <v>129</v>
      </c>
      <c r="AH138" t="s">
        <v>608</v>
      </c>
      <c r="AI138" s="66">
        <v>1</v>
      </c>
      <c r="AJ138" s="66">
        <f>IF(LEN(Множество[[#This Row],[Свёртка]])&gt;0,1,-1)</f>
        <v>1</v>
      </c>
      <c r="AK138" s="66" t="s">
        <v>1781</v>
      </c>
      <c r="AL138" s="66">
        <f>IF(LEN(Множество[[#This Row],[Критерии]])&gt;0,1,-1)</f>
        <v>1</v>
      </c>
      <c r="AM138" s="66">
        <f>IF(AND(LEN(Множество[[#This Row],[Свёртка]])&gt;0,LEN(Множество[[#This Row],[Критерии]])&gt;0,LEN(Множество[[#This Row],[Оценки]])&gt;0),1,-1)</f>
        <v>1</v>
      </c>
      <c r="AN138">
        <v>4.4249999999999998</v>
      </c>
      <c r="AO138">
        <v>-16.1666666666667</v>
      </c>
      <c r="AP138" s="208"/>
      <c r="AQ138" s="208"/>
      <c r="AR138" s="226"/>
      <c r="AS138" s="225"/>
      <c r="AT138" s="226"/>
      <c r="AU138" s="225"/>
      <c r="AV138" s="225"/>
      <c r="AW138" s="225"/>
      <c r="AX138" s="225"/>
      <c r="AY138" s="225"/>
    </row>
    <row r="139" spans="33:51" x14ac:dyDescent="0.25">
      <c r="AG139" s="66">
        <f>IF(AND(Множество[[#This Row],[Y]]=1),ROW()-ROW(Множество[[#Headers],[№]]),"")</f>
        <v>130</v>
      </c>
      <c r="AH139" t="s">
        <v>608</v>
      </c>
      <c r="AI139" s="66">
        <v>1</v>
      </c>
      <c r="AJ139" s="66">
        <f>IF(LEN(Множество[[#This Row],[Свёртка]])&gt;0,1,-1)</f>
        <v>1</v>
      </c>
      <c r="AK139" s="66" t="s">
        <v>1781</v>
      </c>
      <c r="AL139" s="66">
        <f>IF(LEN(Множество[[#This Row],[Критерии]])&gt;0,1,-1)</f>
        <v>1</v>
      </c>
      <c r="AM139" s="66">
        <f>IF(AND(LEN(Множество[[#This Row],[Свёртка]])&gt;0,LEN(Множество[[#This Row],[Критерии]])&gt;0,LEN(Множество[[#This Row],[Оценки]])&gt;0),1,-1)</f>
        <v>1</v>
      </c>
      <c r="AN139">
        <v>2.7333333333333298</v>
      </c>
      <c r="AO139">
        <v>-14.45</v>
      </c>
      <c r="AP139" s="208"/>
      <c r="AQ139" s="208"/>
      <c r="AR139" s="226"/>
      <c r="AS139" s="225"/>
      <c r="AT139" s="226"/>
      <c r="AU139" s="225"/>
      <c r="AV139" s="225"/>
      <c r="AW139" s="225"/>
      <c r="AX139" s="225"/>
      <c r="AY139" s="225"/>
    </row>
    <row r="140" spans="33:51" x14ac:dyDescent="0.25">
      <c r="AG140" s="66">
        <f>IF(AND(Множество[[#This Row],[Y]]=1),ROW()-ROW(Множество[[#Headers],[№]]),"")</f>
        <v>131</v>
      </c>
      <c r="AH140" t="s">
        <v>608</v>
      </c>
      <c r="AI140" s="66">
        <v>1</v>
      </c>
      <c r="AJ140" s="66">
        <f>IF(LEN(Множество[[#This Row],[Свёртка]])&gt;0,1,-1)</f>
        <v>1</v>
      </c>
      <c r="AK140" s="66" t="s">
        <v>1781</v>
      </c>
      <c r="AL140" s="66">
        <f>IF(LEN(Множество[[#This Row],[Критерии]])&gt;0,1,-1)</f>
        <v>1</v>
      </c>
      <c r="AM140" s="66">
        <f>IF(AND(LEN(Множество[[#This Row],[Свёртка]])&gt;0,LEN(Множество[[#This Row],[Критерии]])&gt;0,LEN(Множество[[#This Row],[Оценки]])&gt;0),1,-1)</f>
        <v>1</v>
      </c>
      <c r="AN140">
        <v>2.6749999999999998</v>
      </c>
      <c r="AO140">
        <v>-14.466666666666701</v>
      </c>
      <c r="AP140" s="208"/>
      <c r="AQ140" s="208"/>
      <c r="AR140" s="226"/>
      <c r="AS140" s="225"/>
      <c r="AT140" s="226"/>
      <c r="AU140" s="225"/>
      <c r="AV140" s="225"/>
      <c r="AW140" s="225"/>
      <c r="AX140" s="225"/>
      <c r="AY140" s="225"/>
    </row>
    <row r="141" spans="33:51" x14ac:dyDescent="0.25">
      <c r="AG141" s="66">
        <f>IF(AND(Множество[[#This Row],[Y]]=1),ROW()-ROW(Множество[[#Headers],[№]]),"")</f>
        <v>132</v>
      </c>
      <c r="AH141" t="s">
        <v>608</v>
      </c>
      <c r="AI141" s="66">
        <v>1</v>
      </c>
      <c r="AJ141" s="66">
        <f>IF(LEN(Множество[[#This Row],[Свёртка]])&gt;0,1,-1)</f>
        <v>1</v>
      </c>
      <c r="AK141" s="66" t="s">
        <v>1781</v>
      </c>
      <c r="AL141" s="66">
        <f>IF(LEN(Множество[[#This Row],[Критерии]])&gt;0,1,-1)</f>
        <v>1</v>
      </c>
      <c r="AM141" s="66">
        <f>IF(AND(LEN(Множество[[#This Row],[Свёртка]])&gt;0,LEN(Множество[[#This Row],[Критерии]])&gt;0,LEN(Множество[[#This Row],[Оценки]])&gt;0),1,-1)</f>
        <v>1</v>
      </c>
      <c r="AN141">
        <v>2.6166666666666698</v>
      </c>
      <c r="AO141">
        <v>-14.483333333333301</v>
      </c>
      <c r="AP141" s="208"/>
      <c r="AQ141" s="208"/>
      <c r="AR141" s="226"/>
      <c r="AS141" s="225"/>
      <c r="AT141" s="226"/>
      <c r="AU141" s="225"/>
      <c r="AV141" s="225"/>
      <c r="AW141" s="225"/>
      <c r="AX141" s="225"/>
      <c r="AY141" s="225"/>
    </row>
    <row r="142" spans="33:51" x14ac:dyDescent="0.25">
      <c r="AG142" s="66">
        <f>IF(AND(Множество[[#This Row],[Y]]=1),ROW()-ROW(Множество[[#Headers],[№]]),"")</f>
        <v>133</v>
      </c>
      <c r="AH142" t="s">
        <v>608</v>
      </c>
      <c r="AI142" s="66">
        <v>1</v>
      </c>
      <c r="AJ142" s="66">
        <f>IF(LEN(Множество[[#This Row],[Свёртка]])&gt;0,1,-1)</f>
        <v>1</v>
      </c>
      <c r="AK142" s="66" t="s">
        <v>1781</v>
      </c>
      <c r="AL142" s="66">
        <f>IF(LEN(Множество[[#This Row],[Критерии]])&gt;0,1,-1)</f>
        <v>1</v>
      </c>
      <c r="AM142" s="66">
        <f>IF(AND(LEN(Множество[[#This Row],[Свёртка]])&gt;0,LEN(Множество[[#This Row],[Критерии]])&gt;0,LEN(Множество[[#This Row],[Оценки]])&gt;0),1,-1)</f>
        <v>1</v>
      </c>
      <c r="AN142">
        <v>4.25</v>
      </c>
      <c r="AO142">
        <v>-16.100000000000001</v>
      </c>
      <c r="AP142" s="208"/>
      <c r="AQ142" s="208"/>
      <c r="AR142" s="226"/>
      <c r="AS142" s="225"/>
      <c r="AT142" s="226"/>
      <c r="AU142" s="225"/>
      <c r="AV142" s="225"/>
      <c r="AW142" s="225"/>
      <c r="AX142" s="225"/>
      <c r="AY142" s="225"/>
    </row>
    <row r="143" spans="33:51" x14ac:dyDescent="0.25">
      <c r="AG143" s="66">
        <f>IF(AND(Множество[[#This Row],[Y]]=1),ROW()-ROW(Множество[[#Headers],[№]]),"")</f>
        <v>134</v>
      </c>
      <c r="AH143" t="s">
        <v>608</v>
      </c>
      <c r="AI143" s="66">
        <v>1</v>
      </c>
      <c r="AJ143" s="66">
        <f>IF(LEN(Множество[[#This Row],[Свёртка]])&gt;0,1,-1)</f>
        <v>1</v>
      </c>
      <c r="AK143" s="66" t="s">
        <v>1781</v>
      </c>
      <c r="AL143" s="66">
        <f>IF(LEN(Множество[[#This Row],[Критерии]])&gt;0,1,-1)</f>
        <v>1</v>
      </c>
      <c r="AM143" s="66">
        <f>IF(AND(LEN(Множество[[#This Row],[Свёртка]])&gt;0,LEN(Множество[[#This Row],[Критерии]])&gt;0,LEN(Множество[[#This Row],[Оценки]])&gt;0),1,-1)</f>
        <v>1</v>
      </c>
      <c r="AN143">
        <v>4.30833333333333</v>
      </c>
      <c r="AO143">
        <v>-16.133333333333301</v>
      </c>
      <c r="AP143" s="208"/>
      <c r="AQ143" s="208"/>
      <c r="AR143" s="226"/>
      <c r="AS143" s="225"/>
      <c r="AT143" s="226"/>
      <c r="AU143" s="225"/>
      <c r="AV143" s="225"/>
      <c r="AW143" s="225"/>
      <c r="AX143" s="225"/>
      <c r="AY143" s="225"/>
    </row>
    <row r="144" spans="33:51" x14ac:dyDescent="0.25">
      <c r="AG144" s="66">
        <f>IF(AND(Множество[[#This Row],[Y]]=1),ROW()-ROW(Множество[[#Headers],[№]]),"")</f>
        <v>135</v>
      </c>
      <c r="AH144" t="s">
        <v>608</v>
      </c>
      <c r="AI144" s="66">
        <v>1</v>
      </c>
      <c r="AJ144" s="66">
        <f>IF(LEN(Множество[[#This Row],[Свёртка]])&gt;0,1,-1)</f>
        <v>1</v>
      </c>
      <c r="AK144" s="66" t="s">
        <v>1781</v>
      </c>
      <c r="AL144" s="66">
        <f>IF(LEN(Множество[[#This Row],[Критерии]])&gt;0,1,-1)</f>
        <v>1</v>
      </c>
      <c r="AM144" s="66">
        <f>IF(AND(LEN(Множество[[#This Row],[Свёртка]])&gt;0,LEN(Множество[[#This Row],[Критерии]])&gt;0,LEN(Множество[[#This Row],[Оценки]])&gt;0),1,-1)</f>
        <v>1</v>
      </c>
      <c r="AN144">
        <v>4.0750000000000002</v>
      </c>
      <c r="AO144">
        <v>-16.033333333333299</v>
      </c>
      <c r="AP144" s="208"/>
      <c r="AQ144" s="208"/>
      <c r="AR144" s="226"/>
      <c r="AS144" s="225"/>
      <c r="AT144" s="226"/>
      <c r="AU144" s="225"/>
      <c r="AV144" s="225"/>
      <c r="AW144" s="225"/>
      <c r="AX144" s="225"/>
      <c r="AY144" s="225"/>
    </row>
    <row r="145" spans="33:51" x14ac:dyDescent="0.25">
      <c r="AG145" s="66">
        <f>IF(AND(Множество[[#This Row],[Y]]=1),ROW()-ROW(Множество[[#Headers],[№]]),"")</f>
        <v>136</v>
      </c>
      <c r="AH145" t="s">
        <v>608</v>
      </c>
      <c r="AI145" s="66">
        <v>1</v>
      </c>
      <c r="AJ145" s="66">
        <f>IF(LEN(Множество[[#This Row],[Свёртка]])&gt;0,1,-1)</f>
        <v>1</v>
      </c>
      <c r="AK145" s="66" t="s">
        <v>1781</v>
      </c>
      <c r="AL145" s="66">
        <f>IF(LEN(Множество[[#This Row],[Критерии]])&gt;0,1,-1)</f>
        <v>1</v>
      </c>
      <c r="AM145" s="66">
        <f>IF(AND(LEN(Множество[[#This Row],[Свёртка]])&gt;0,LEN(Множество[[#This Row],[Критерии]])&gt;0,LEN(Множество[[#This Row],[Оценки]])&gt;0),1,-1)</f>
        <v>1</v>
      </c>
      <c r="AN145">
        <v>4.19166666666667</v>
      </c>
      <c r="AO145">
        <v>-16.0833333333333</v>
      </c>
      <c r="AP145" s="208"/>
      <c r="AQ145" s="208"/>
      <c r="AR145" s="226"/>
      <c r="AS145" s="225"/>
      <c r="AT145" s="226"/>
      <c r="AU145" s="225"/>
      <c r="AV145" s="225"/>
      <c r="AW145" s="225"/>
      <c r="AX145" s="225"/>
      <c r="AY145" s="225"/>
    </row>
    <row r="146" spans="33:51" x14ac:dyDescent="0.25">
      <c r="AG146" s="66">
        <f>IF(AND(Множество[[#This Row],[Y]]=1),ROW()-ROW(Множество[[#Headers],[№]]),"")</f>
        <v>137</v>
      </c>
      <c r="AH146" t="s">
        <v>608</v>
      </c>
      <c r="AI146" s="66">
        <v>1</v>
      </c>
      <c r="AJ146" s="66">
        <f>IF(LEN(Множество[[#This Row],[Свёртка]])&gt;0,1,-1)</f>
        <v>1</v>
      </c>
      <c r="AK146" s="66" t="s">
        <v>1781</v>
      </c>
      <c r="AL146" s="66">
        <f>IF(LEN(Множество[[#This Row],[Критерии]])&gt;0,1,-1)</f>
        <v>1</v>
      </c>
      <c r="AM146" s="66">
        <f>IF(AND(LEN(Множество[[#This Row],[Свёртка]])&gt;0,LEN(Множество[[#This Row],[Критерии]])&gt;0,LEN(Множество[[#This Row],[Оценки]])&gt;0),1,-1)</f>
        <v>1</v>
      </c>
      <c r="AN146">
        <v>4.1333333333333302</v>
      </c>
      <c r="AO146">
        <v>-16.066666666666698</v>
      </c>
      <c r="AP146" s="208"/>
      <c r="AQ146" s="208"/>
      <c r="AR146" s="226"/>
      <c r="AS146" s="225"/>
      <c r="AT146" s="226"/>
      <c r="AU146" s="225"/>
      <c r="AV146" s="225"/>
      <c r="AW146" s="225"/>
      <c r="AX146" s="225"/>
      <c r="AY146" s="225"/>
    </row>
    <row r="147" spans="33:51" x14ac:dyDescent="0.25">
      <c r="AG147" s="66">
        <f>IF(AND(Множество[[#This Row],[Y]]=1),ROW()-ROW(Множество[[#Headers],[№]]),"")</f>
        <v>138</v>
      </c>
      <c r="AH147" t="s">
        <v>608</v>
      </c>
      <c r="AI147" s="66">
        <v>1</v>
      </c>
      <c r="AJ147" s="66">
        <f>IF(LEN(Множество[[#This Row],[Свёртка]])&gt;0,1,-1)</f>
        <v>1</v>
      </c>
      <c r="AK147" s="66" t="s">
        <v>1781</v>
      </c>
      <c r="AL147" s="66">
        <f>IF(LEN(Множество[[#This Row],[Критерии]])&gt;0,1,-1)</f>
        <v>1</v>
      </c>
      <c r="AM147" s="66">
        <f>IF(AND(LEN(Множество[[#This Row],[Свёртка]])&gt;0,LEN(Множество[[#This Row],[Критерии]])&gt;0,LEN(Множество[[#This Row],[Оценки]])&gt;0),1,-1)</f>
        <v>1</v>
      </c>
      <c r="AN147">
        <v>7.1666666666666696</v>
      </c>
      <c r="AO147">
        <v>-19.133333333333301</v>
      </c>
      <c r="AP147" s="208"/>
      <c r="AQ147" s="208"/>
      <c r="AR147" s="226"/>
      <c r="AS147" s="225"/>
      <c r="AT147" s="226"/>
      <c r="AU147" s="225"/>
      <c r="AV147" s="225"/>
      <c r="AW147" s="225"/>
      <c r="AX147" s="225"/>
      <c r="AY147" s="225"/>
    </row>
    <row r="148" spans="33:51" x14ac:dyDescent="0.25">
      <c r="AG148" s="66">
        <f>IF(AND(Множество[[#This Row],[Y]]=1),ROW()-ROW(Множество[[#Headers],[№]]),"")</f>
        <v>139</v>
      </c>
      <c r="AH148" t="s">
        <v>608</v>
      </c>
      <c r="AI148" s="66">
        <v>1</v>
      </c>
      <c r="AJ148" s="66">
        <f>IF(LEN(Множество[[#This Row],[Свёртка]])&gt;0,1,-1)</f>
        <v>1</v>
      </c>
      <c r="AK148" s="66" t="s">
        <v>1781</v>
      </c>
      <c r="AL148" s="66">
        <f>IF(LEN(Множество[[#This Row],[Критерии]])&gt;0,1,-1)</f>
        <v>1</v>
      </c>
      <c r="AM148" s="66">
        <f>IF(AND(LEN(Множество[[#This Row],[Свёртка]])&gt;0,LEN(Множество[[#This Row],[Критерии]])&gt;0,LEN(Множество[[#This Row],[Оценки]])&gt;0),1,-1)</f>
        <v>1</v>
      </c>
      <c r="AN148">
        <v>2.55833333333333</v>
      </c>
      <c r="AO148">
        <v>-14.516666666666699</v>
      </c>
      <c r="AP148" s="208"/>
      <c r="AQ148" s="208"/>
      <c r="AR148" s="226"/>
      <c r="AS148" s="225"/>
      <c r="AT148" s="226"/>
      <c r="AU148" s="225"/>
      <c r="AV148" s="225"/>
      <c r="AW148" s="225"/>
      <c r="AX148" s="225"/>
      <c r="AY148" s="225"/>
    </row>
    <row r="149" spans="33:51" x14ac:dyDescent="0.25">
      <c r="AG149" s="66">
        <f>IF(AND(Множество[[#This Row],[Y]]=1),ROW()-ROW(Множество[[#Headers],[№]]),"")</f>
        <v>140</v>
      </c>
      <c r="AH149" t="s">
        <v>608</v>
      </c>
      <c r="AI149" s="66">
        <v>1</v>
      </c>
      <c r="AJ149" s="66">
        <f>IF(LEN(Множество[[#This Row],[Свёртка]])&gt;0,1,-1)</f>
        <v>1</v>
      </c>
      <c r="AK149" s="66" t="s">
        <v>1781</v>
      </c>
      <c r="AL149" s="66">
        <f>IF(LEN(Множество[[#This Row],[Критерии]])&gt;0,1,-1)</f>
        <v>1</v>
      </c>
      <c r="AM149" s="66">
        <f>IF(AND(LEN(Множество[[#This Row],[Свёртка]])&gt;0,LEN(Множество[[#This Row],[Критерии]])&gt;0,LEN(Множество[[#This Row],[Оценки]])&gt;0),1,-1)</f>
        <v>1</v>
      </c>
      <c r="AN149">
        <v>7.2249999999999996</v>
      </c>
      <c r="AO149">
        <v>-19.1666666666667</v>
      </c>
      <c r="AP149" s="208"/>
      <c r="AQ149" s="208"/>
      <c r="AR149" s="226"/>
      <c r="AS149" s="225"/>
      <c r="AT149" s="226"/>
      <c r="AU149" s="225"/>
      <c r="AV149" s="225"/>
      <c r="AW149" s="225"/>
      <c r="AX149" s="225"/>
      <c r="AY149" s="225"/>
    </row>
    <row r="150" spans="33:51" x14ac:dyDescent="0.25">
      <c r="AG150" s="66">
        <f>IF(AND(Множество[[#This Row],[Y]]=1),ROW()-ROW(Множество[[#Headers],[№]]),"")</f>
        <v>141</v>
      </c>
      <c r="AH150" t="s">
        <v>608</v>
      </c>
      <c r="AI150" s="66">
        <v>1</v>
      </c>
      <c r="AJ150" s="66">
        <f>IF(LEN(Множество[[#This Row],[Свёртка]])&gt;0,1,-1)</f>
        <v>1</v>
      </c>
      <c r="AK150" s="66" t="s">
        <v>1781</v>
      </c>
      <c r="AL150" s="66">
        <f>IF(LEN(Множество[[#This Row],[Критерии]])&gt;0,1,-1)</f>
        <v>1</v>
      </c>
      <c r="AM150" s="66">
        <f>IF(AND(LEN(Множество[[#This Row],[Свёртка]])&gt;0,LEN(Множество[[#This Row],[Критерии]])&gt;0,LEN(Множество[[#This Row],[Оценки]])&gt;0),1,-1)</f>
        <v>1</v>
      </c>
      <c r="AN150">
        <v>7.05</v>
      </c>
      <c r="AO150">
        <v>-19.033333333333299</v>
      </c>
      <c r="AP150" s="208"/>
      <c r="AQ150" s="208"/>
      <c r="AR150" s="226"/>
      <c r="AS150" s="225"/>
      <c r="AT150" s="226"/>
      <c r="AU150" s="225"/>
      <c r="AV150" s="225"/>
      <c r="AW150" s="225"/>
      <c r="AX150" s="225"/>
      <c r="AY150" s="225"/>
    </row>
    <row r="151" spans="33:51" x14ac:dyDescent="0.25">
      <c r="AG151" s="66">
        <f>IF(AND(Множество[[#This Row],[Y]]=1),ROW()-ROW(Множество[[#Headers],[№]]),"")</f>
        <v>142</v>
      </c>
      <c r="AH151" t="s">
        <v>608</v>
      </c>
      <c r="AI151" s="66">
        <v>1</v>
      </c>
      <c r="AJ151" s="66">
        <f>IF(LEN(Множество[[#This Row],[Свёртка]])&gt;0,1,-1)</f>
        <v>1</v>
      </c>
      <c r="AK151" s="66" t="s">
        <v>1781</v>
      </c>
      <c r="AL151" s="66">
        <f>IF(LEN(Множество[[#This Row],[Критерии]])&gt;0,1,-1)</f>
        <v>1</v>
      </c>
      <c r="AM151" s="66">
        <f>IF(AND(LEN(Множество[[#This Row],[Свёртка]])&gt;0,LEN(Множество[[#This Row],[Критерии]])&gt;0,LEN(Множество[[#This Row],[Оценки]])&gt;0),1,-1)</f>
        <v>1</v>
      </c>
      <c r="AN151">
        <v>6.7583333333333302</v>
      </c>
      <c r="AO151">
        <v>-18.816666666666698</v>
      </c>
      <c r="AP151" s="208"/>
      <c r="AQ151" s="208"/>
      <c r="AR151" s="226"/>
      <c r="AS151" s="225"/>
      <c r="AT151" s="226"/>
      <c r="AU151" s="225"/>
      <c r="AV151" s="225"/>
      <c r="AW151" s="225"/>
      <c r="AX151" s="225"/>
      <c r="AY151" s="225"/>
    </row>
    <row r="152" spans="33:51" x14ac:dyDescent="0.25">
      <c r="AG152" s="66">
        <f>IF(AND(Множество[[#This Row],[Y]]=1),ROW()-ROW(Множество[[#Headers],[№]]),"")</f>
        <v>143</v>
      </c>
      <c r="AH152" t="s">
        <v>608</v>
      </c>
      <c r="AI152" s="66">
        <v>1</v>
      </c>
      <c r="AJ152" s="66">
        <f>IF(LEN(Множество[[#This Row],[Свёртка]])&gt;0,1,-1)</f>
        <v>1</v>
      </c>
      <c r="AK152" s="66" t="s">
        <v>1781</v>
      </c>
      <c r="AL152" s="66">
        <f>IF(LEN(Множество[[#This Row],[Критерии]])&gt;0,1,-1)</f>
        <v>1</v>
      </c>
      <c r="AM152" s="66">
        <f>IF(AND(LEN(Множество[[#This Row],[Свёртка]])&gt;0,LEN(Множество[[#This Row],[Критерии]])&gt;0,LEN(Множество[[#This Row],[Оценки]])&gt;0),1,-1)</f>
        <v>1</v>
      </c>
      <c r="AN152">
        <v>6.875</v>
      </c>
      <c r="AO152">
        <v>-18.9166666666667</v>
      </c>
      <c r="AP152" s="208"/>
      <c r="AQ152" s="208"/>
      <c r="AR152" s="226"/>
      <c r="AS152" s="225"/>
      <c r="AT152" s="226"/>
      <c r="AU152" s="225"/>
      <c r="AV152" s="225"/>
      <c r="AW152" s="225"/>
      <c r="AX152" s="225"/>
      <c r="AY152" s="225"/>
    </row>
    <row r="153" spans="33:51" x14ac:dyDescent="0.25">
      <c r="AG153" s="66">
        <f>IF(AND(Множество[[#This Row],[Y]]=1),ROW()-ROW(Множество[[#Headers],[№]]),"")</f>
        <v>144</v>
      </c>
      <c r="AH153" t="s">
        <v>608</v>
      </c>
      <c r="AI153" s="66">
        <v>1</v>
      </c>
      <c r="AJ153" s="66">
        <f>IF(LEN(Множество[[#This Row],[Свёртка]])&gt;0,1,-1)</f>
        <v>1</v>
      </c>
      <c r="AK153" s="66" t="s">
        <v>1781</v>
      </c>
      <c r="AL153" s="66">
        <f>IF(LEN(Множество[[#This Row],[Критерии]])&gt;0,1,-1)</f>
        <v>1</v>
      </c>
      <c r="AM153" s="66">
        <f>IF(AND(LEN(Множество[[#This Row],[Свёртка]])&gt;0,LEN(Множество[[#This Row],[Критерии]])&gt;0,LEN(Множество[[#This Row],[Оценки]])&gt;0),1,-1)</f>
        <v>1</v>
      </c>
      <c r="AN153">
        <v>4.0166666666666702</v>
      </c>
      <c r="AO153">
        <v>-16.016666666666701</v>
      </c>
      <c r="AP153" s="208"/>
      <c r="AQ153" s="208"/>
      <c r="AR153" s="226"/>
      <c r="AS153" s="225"/>
      <c r="AT153" s="226"/>
      <c r="AU153" s="225"/>
      <c r="AV153" s="225"/>
      <c r="AW153" s="225"/>
      <c r="AX153" s="225"/>
      <c r="AY153" s="225"/>
    </row>
    <row r="154" spans="33:51" x14ac:dyDescent="0.25">
      <c r="AG154" s="66">
        <f>IF(AND(Множество[[#This Row],[Y]]=1),ROW()-ROW(Множество[[#Headers],[№]]),"")</f>
        <v>145</v>
      </c>
      <c r="AH154" t="s">
        <v>608</v>
      </c>
      <c r="AI154" s="66">
        <v>1</v>
      </c>
      <c r="AJ154" s="66">
        <f>IF(LEN(Множество[[#This Row],[Свёртка]])&gt;0,1,-1)</f>
        <v>1</v>
      </c>
      <c r="AK154" s="66" t="s">
        <v>1781</v>
      </c>
      <c r="AL154" s="66">
        <f>IF(LEN(Множество[[#This Row],[Критерии]])&gt;0,1,-1)</f>
        <v>1</v>
      </c>
      <c r="AM154" s="66">
        <f>IF(AND(LEN(Множество[[#This Row],[Свёртка]])&gt;0,LEN(Множество[[#This Row],[Критерии]])&gt;0,LEN(Множество[[#This Row],[Оценки]])&gt;0),1,-1)</f>
        <v>1</v>
      </c>
      <c r="AN154">
        <v>6.93333333333333</v>
      </c>
      <c r="AO154">
        <v>-18.95</v>
      </c>
      <c r="AP154" s="208"/>
      <c r="AQ154" s="208"/>
      <c r="AR154" s="226"/>
      <c r="AS154" s="225"/>
      <c r="AT154" s="226"/>
      <c r="AU154" s="225"/>
      <c r="AV154" s="225"/>
      <c r="AW154" s="225"/>
      <c r="AX154" s="225"/>
      <c r="AY154" s="225"/>
    </row>
    <row r="155" spans="33:51" x14ac:dyDescent="0.25">
      <c r="AG155" s="66">
        <f>IF(AND(Множество[[#This Row],[Y]]=1),ROW()-ROW(Множество[[#Headers],[№]]),"")</f>
        <v>146</v>
      </c>
      <c r="AH155" t="s">
        <v>608</v>
      </c>
      <c r="AI155" s="66">
        <v>1</v>
      </c>
      <c r="AJ155" s="66">
        <f>IF(LEN(Множество[[#This Row],[Свёртка]])&gt;0,1,-1)</f>
        <v>1</v>
      </c>
      <c r="AK155" s="66" t="s">
        <v>1781</v>
      </c>
      <c r="AL155" s="66">
        <f>IF(LEN(Множество[[#This Row],[Критерии]])&gt;0,1,-1)</f>
        <v>1</v>
      </c>
      <c r="AM155" s="66">
        <f>IF(AND(LEN(Множество[[#This Row],[Свёртка]])&gt;0,LEN(Множество[[#This Row],[Критерии]])&gt;0,LEN(Множество[[#This Row],[Оценки]])&gt;0),1,-1)</f>
        <v>1</v>
      </c>
      <c r="AN155">
        <v>3.9583333333333299</v>
      </c>
      <c r="AO155">
        <v>-16</v>
      </c>
      <c r="AP155" s="208"/>
      <c r="AQ155" s="208"/>
      <c r="AR155" s="226"/>
      <c r="AS155" s="225"/>
      <c r="AT155" s="226"/>
      <c r="AU155" s="225"/>
      <c r="AV155" s="225"/>
      <c r="AW155" s="225"/>
      <c r="AX155" s="225"/>
      <c r="AY155" s="225"/>
    </row>
    <row r="156" spans="33:51" x14ac:dyDescent="0.25">
      <c r="AG156" s="66">
        <f>IF(AND(Множество[[#This Row],[Y]]=1),ROW()-ROW(Множество[[#Headers],[№]]),"")</f>
        <v>147</v>
      </c>
      <c r="AH156" t="s">
        <v>608</v>
      </c>
      <c r="AI156" s="66">
        <v>1</v>
      </c>
      <c r="AJ156" s="66">
        <f>IF(LEN(Множество[[#This Row],[Свёртка]])&gt;0,1,-1)</f>
        <v>1</v>
      </c>
      <c r="AK156" s="66" t="s">
        <v>1781</v>
      </c>
      <c r="AL156" s="66">
        <f>IF(LEN(Множество[[#This Row],[Критерии]])&gt;0,1,-1)</f>
        <v>1</v>
      </c>
      <c r="AM156" s="66">
        <f>IF(AND(LEN(Множество[[#This Row],[Свёртка]])&gt;0,LEN(Множество[[#This Row],[Критерии]])&gt;0,LEN(Множество[[#This Row],[Оценки]])&gt;0),1,-1)</f>
        <v>1</v>
      </c>
      <c r="AN156">
        <v>2.5</v>
      </c>
      <c r="AO156">
        <v>-14.533333333333299</v>
      </c>
      <c r="AP156" s="208"/>
      <c r="AQ156" s="208"/>
      <c r="AR156" s="226"/>
      <c r="AS156" s="225"/>
      <c r="AT156" s="226"/>
      <c r="AU156" s="225"/>
      <c r="AV156" s="225"/>
      <c r="AW156" s="225"/>
      <c r="AX156" s="225"/>
      <c r="AY156" s="225"/>
    </row>
    <row r="157" spans="33:51" x14ac:dyDescent="0.25">
      <c r="AG157" s="66">
        <f>IF(AND(Множество[[#This Row],[Y]]=1),ROW()-ROW(Множество[[#Headers],[№]]),"")</f>
        <v>148</v>
      </c>
      <c r="AH157" t="s">
        <v>608</v>
      </c>
      <c r="AI157" s="66">
        <v>1</v>
      </c>
      <c r="AJ157" s="66">
        <f>IF(LEN(Множество[[#This Row],[Свёртка]])&gt;0,1,-1)</f>
        <v>1</v>
      </c>
      <c r="AK157" s="66" t="s">
        <v>1781</v>
      </c>
      <c r="AL157" s="66">
        <f>IF(LEN(Множество[[#This Row],[Критерии]])&gt;0,1,-1)</f>
        <v>1</v>
      </c>
      <c r="AM157" s="66">
        <f>IF(AND(LEN(Множество[[#This Row],[Свёртка]])&gt;0,LEN(Множество[[#This Row],[Критерии]])&gt;0,LEN(Множество[[#This Row],[Оценки]])&gt;0),1,-1)</f>
        <v>1</v>
      </c>
      <c r="AN157">
        <v>2.5</v>
      </c>
      <c r="AO157">
        <v>-14.533333333333299</v>
      </c>
      <c r="AP157" s="208"/>
      <c r="AQ157" s="208"/>
      <c r="AR157" s="226"/>
      <c r="AS157" s="225"/>
      <c r="AT157" s="226"/>
      <c r="AU157" s="225"/>
      <c r="AV157" s="225"/>
      <c r="AW157" s="225"/>
      <c r="AX157" s="225"/>
      <c r="AY157" s="225"/>
    </row>
    <row r="158" spans="33:51" x14ac:dyDescent="0.25">
      <c r="AG158" s="66">
        <f>IF(AND(Множество[[#This Row],[Y]]=1),ROW()-ROW(Множество[[#Headers],[№]]),"")</f>
        <v>149</v>
      </c>
      <c r="AH158" t="s">
        <v>608</v>
      </c>
      <c r="AI158" s="66">
        <v>1</v>
      </c>
      <c r="AJ158" s="66">
        <f>IF(LEN(Множество[[#This Row],[Свёртка]])&gt;0,1,-1)</f>
        <v>1</v>
      </c>
      <c r="AK158" s="66" t="s">
        <v>1781</v>
      </c>
      <c r="AL158" s="66">
        <f>IF(LEN(Множество[[#This Row],[Критерии]])&gt;0,1,-1)</f>
        <v>1</v>
      </c>
      <c r="AM158" s="66">
        <f>IF(AND(LEN(Множество[[#This Row],[Свёртка]])&gt;0,LEN(Множество[[#This Row],[Критерии]])&gt;0,LEN(Множество[[#This Row],[Оценки]])&gt;0),1,-1)</f>
        <v>1</v>
      </c>
      <c r="AN158">
        <v>7.1083333333333298</v>
      </c>
      <c r="AO158">
        <v>-19.0833333333333</v>
      </c>
      <c r="AP158" s="208"/>
      <c r="AQ158" s="208"/>
      <c r="AR158" s="226"/>
      <c r="AS158" s="225"/>
      <c r="AT158" s="226"/>
      <c r="AU158" s="225"/>
      <c r="AV158" s="225"/>
      <c r="AW158" s="225"/>
      <c r="AX158" s="225"/>
      <c r="AY158" s="225"/>
    </row>
    <row r="159" spans="33:51" x14ac:dyDescent="0.25">
      <c r="AG159" s="66">
        <f>IF(AND(Множество[[#This Row],[Y]]=1),ROW()-ROW(Множество[[#Headers],[№]]),"")</f>
        <v>150</v>
      </c>
      <c r="AH159" t="s">
        <v>608</v>
      </c>
      <c r="AI159" s="66">
        <v>1</v>
      </c>
      <c r="AJ159" s="66">
        <f>IF(LEN(Множество[[#This Row],[Свёртка]])&gt;0,1,-1)</f>
        <v>1</v>
      </c>
      <c r="AK159" s="66" t="s">
        <v>1781</v>
      </c>
      <c r="AL159" s="66">
        <f>IF(LEN(Множество[[#This Row],[Критерии]])&gt;0,1,-1)</f>
        <v>1</v>
      </c>
      <c r="AM159" s="66">
        <f>IF(AND(LEN(Множество[[#This Row],[Свёртка]])&gt;0,LEN(Множество[[#This Row],[Критерии]])&gt;0,LEN(Множество[[#This Row],[Оценки]])&gt;0),1,-1)</f>
        <v>1</v>
      </c>
      <c r="AN159">
        <v>6.9916666666666698</v>
      </c>
      <c r="AO159">
        <v>-19</v>
      </c>
      <c r="AP159" s="208"/>
      <c r="AQ159" s="208"/>
      <c r="AR159" s="226"/>
      <c r="AS159" s="225"/>
      <c r="AT159" s="226"/>
      <c r="AU159" s="225"/>
      <c r="AV159" s="225"/>
      <c r="AW159" s="225"/>
      <c r="AX159" s="225"/>
      <c r="AY159" s="225"/>
    </row>
    <row r="160" spans="33:51" x14ac:dyDescent="0.25">
      <c r="AG160" s="66">
        <f>IF(AND(Множество[[#This Row],[Y]]=1),ROW()-ROW(Множество[[#Headers],[№]]),"")</f>
        <v>151</v>
      </c>
      <c r="AH160" t="s">
        <v>608</v>
      </c>
      <c r="AI160" s="66">
        <v>1</v>
      </c>
      <c r="AJ160" s="66">
        <f>IF(LEN(Множество[[#This Row],[Свёртка]])&gt;0,1,-1)</f>
        <v>1</v>
      </c>
      <c r="AK160" s="66" t="s">
        <v>1781</v>
      </c>
      <c r="AL160" s="66">
        <f>IF(LEN(Множество[[#This Row],[Критерии]])&gt;0,1,-1)</f>
        <v>1</v>
      </c>
      <c r="AM160" s="66">
        <f>IF(AND(LEN(Множество[[#This Row],[Свёртка]])&gt;0,LEN(Множество[[#This Row],[Критерии]])&gt;0,LEN(Множество[[#This Row],[Оценки]])&gt;0),1,-1)</f>
        <v>1</v>
      </c>
      <c r="AN160">
        <v>6.81666666666667</v>
      </c>
      <c r="AO160">
        <v>-18.866666666666699</v>
      </c>
      <c r="AP160" s="208"/>
      <c r="AQ160" s="208"/>
      <c r="AR160" s="226"/>
      <c r="AS160" s="225"/>
      <c r="AT160" s="226"/>
      <c r="AU160" s="225"/>
      <c r="AV160" s="225"/>
      <c r="AW160" s="225"/>
      <c r="AX160" s="225"/>
      <c r="AY160" s="225"/>
    </row>
    <row r="161" spans="33:51" x14ac:dyDescent="0.25">
      <c r="AG161" s="66">
        <f>IF(AND(Множество[[#This Row],[Y]]=1),ROW()-ROW(Множество[[#Headers],[№]]),"")</f>
        <v>152</v>
      </c>
      <c r="AH161" t="s">
        <v>608</v>
      </c>
      <c r="AI161" s="66">
        <v>1</v>
      </c>
      <c r="AJ161" s="66">
        <f>IF(LEN(Множество[[#This Row],[Свёртка]])&gt;0,1,-1)</f>
        <v>1</v>
      </c>
      <c r="AK161" s="66" t="s">
        <v>1781</v>
      </c>
      <c r="AL161" s="66">
        <f>IF(LEN(Множество[[#This Row],[Критерии]])&gt;0,1,-1)</f>
        <v>1</v>
      </c>
      <c r="AM161" s="66">
        <f>IF(AND(LEN(Множество[[#This Row],[Свёртка]])&gt;0,LEN(Множество[[#This Row],[Критерии]])&gt;0,LEN(Множество[[#This Row],[Оценки]])&gt;0),1,-1)</f>
        <v>1</v>
      </c>
      <c r="AN161">
        <v>3.8416666666666699</v>
      </c>
      <c r="AO161">
        <v>-15.95</v>
      </c>
      <c r="AP161" s="208"/>
      <c r="AQ161" s="208"/>
      <c r="AR161" s="226"/>
      <c r="AS161" s="225"/>
      <c r="AT161" s="226"/>
      <c r="AU161" s="225"/>
      <c r="AV161" s="225"/>
      <c r="AW161" s="225"/>
      <c r="AX161" s="225"/>
      <c r="AY161" s="225"/>
    </row>
    <row r="162" spans="33:51" x14ac:dyDescent="0.25">
      <c r="AG162" s="66">
        <f>IF(AND(Множество[[#This Row],[Y]]=1),ROW()-ROW(Множество[[#Headers],[№]]),"")</f>
        <v>153</v>
      </c>
      <c r="AH162" t="s">
        <v>608</v>
      </c>
      <c r="AI162" s="66">
        <v>1</v>
      </c>
      <c r="AJ162" s="66">
        <f>IF(LEN(Множество[[#This Row],[Свёртка]])&gt;0,1,-1)</f>
        <v>1</v>
      </c>
      <c r="AK162" s="66" t="s">
        <v>1781</v>
      </c>
      <c r="AL162" s="66">
        <f>IF(LEN(Множество[[#This Row],[Критерии]])&gt;0,1,-1)</f>
        <v>1</v>
      </c>
      <c r="AM162" s="66">
        <f>IF(AND(LEN(Множество[[#This Row],[Свёртка]])&gt;0,LEN(Множество[[#This Row],[Критерии]])&gt;0,LEN(Множество[[#This Row],[Оценки]])&gt;0),1,-1)</f>
        <v>1</v>
      </c>
      <c r="AN162">
        <v>2.35</v>
      </c>
      <c r="AO162">
        <v>-14.483333333333301</v>
      </c>
      <c r="AP162" s="208"/>
      <c r="AQ162" s="208"/>
      <c r="AR162" s="226"/>
      <c r="AS162" s="225"/>
      <c r="AT162" s="226"/>
      <c r="AU162" s="225"/>
      <c r="AV162" s="225"/>
      <c r="AW162" s="225"/>
      <c r="AX162" s="225"/>
      <c r="AY162" s="225"/>
    </row>
    <row r="163" spans="33:51" x14ac:dyDescent="0.25">
      <c r="AG163" s="66">
        <f>IF(AND(Множество[[#This Row],[Y]]=1),ROW()-ROW(Множество[[#Headers],[№]]),"")</f>
        <v>154</v>
      </c>
      <c r="AH163" t="s">
        <v>608</v>
      </c>
      <c r="AI163" s="66">
        <v>1</v>
      </c>
      <c r="AJ163" s="66">
        <f>IF(LEN(Множество[[#This Row],[Свёртка]])&gt;0,1,-1)</f>
        <v>1</v>
      </c>
      <c r="AK163" s="66" t="s">
        <v>1781</v>
      </c>
      <c r="AL163" s="66">
        <f>IF(LEN(Множество[[#This Row],[Критерии]])&gt;0,1,-1)</f>
        <v>1</v>
      </c>
      <c r="AM163" s="66">
        <f>IF(AND(LEN(Множество[[#This Row],[Свёртка]])&gt;0,LEN(Множество[[#This Row],[Критерии]])&gt;0,LEN(Множество[[#This Row],[Оценки]])&gt;0),1,-1)</f>
        <v>1</v>
      </c>
      <c r="AN163">
        <v>3.9</v>
      </c>
      <c r="AO163">
        <v>-15.983333333333301</v>
      </c>
      <c r="AP163" s="208"/>
      <c r="AQ163" s="208"/>
      <c r="AR163" s="226"/>
      <c r="AS163" s="225"/>
      <c r="AT163" s="226"/>
      <c r="AU163" s="225"/>
      <c r="AV163" s="225"/>
      <c r="AW163" s="225"/>
      <c r="AX163" s="225"/>
      <c r="AY163" s="225"/>
    </row>
    <row r="164" spans="33:51" x14ac:dyDescent="0.25">
      <c r="AG164" s="66">
        <f>IF(AND(Множество[[#This Row],[Y]]=1),ROW()-ROW(Множество[[#Headers],[№]]),"")</f>
        <v>155</v>
      </c>
      <c r="AH164" t="s">
        <v>608</v>
      </c>
      <c r="AI164" s="66">
        <v>1</v>
      </c>
      <c r="AJ164" s="66">
        <f>IF(LEN(Множество[[#This Row],[Свёртка]])&gt;0,1,-1)</f>
        <v>1</v>
      </c>
      <c r="AK164" s="66" t="s">
        <v>1781</v>
      </c>
      <c r="AL164" s="66">
        <f>IF(LEN(Множество[[#This Row],[Критерии]])&gt;0,1,-1)</f>
        <v>1</v>
      </c>
      <c r="AM164" s="66">
        <f>IF(AND(LEN(Множество[[#This Row],[Свёртка]])&gt;0,LEN(Множество[[#This Row],[Критерии]])&gt;0,LEN(Множество[[#This Row],[Оценки]])&gt;0),1,-1)</f>
        <v>1</v>
      </c>
      <c r="AN164">
        <v>2.4249999999999998</v>
      </c>
      <c r="AO164">
        <v>-14.516666666666699</v>
      </c>
      <c r="AP164" s="208"/>
      <c r="AQ164" s="208"/>
      <c r="AR164" s="226"/>
      <c r="AS164" s="225"/>
      <c r="AT164" s="226"/>
      <c r="AU164" s="225"/>
      <c r="AV164" s="225"/>
      <c r="AW164" s="225"/>
      <c r="AX164" s="225"/>
      <c r="AY164" s="225"/>
    </row>
    <row r="165" spans="33:51" x14ac:dyDescent="0.25">
      <c r="AG165" s="66">
        <f>IF(AND(Множество[[#This Row],[Y]]=1),ROW()-ROW(Множество[[#Headers],[№]]),"")</f>
        <v>156</v>
      </c>
      <c r="AH165" t="s">
        <v>608</v>
      </c>
      <c r="AI165" s="66">
        <v>1</v>
      </c>
      <c r="AJ165" s="66">
        <f>IF(LEN(Множество[[#This Row],[Свёртка]])&gt;0,1,-1)</f>
        <v>1</v>
      </c>
      <c r="AK165" s="66" t="s">
        <v>1781</v>
      </c>
      <c r="AL165" s="66">
        <f>IF(LEN(Множество[[#This Row],[Критерии]])&gt;0,1,-1)</f>
        <v>1</v>
      </c>
      <c r="AM165" s="66">
        <f>IF(AND(LEN(Множество[[#This Row],[Свёртка]])&gt;0,LEN(Множество[[#This Row],[Критерии]])&gt;0,LEN(Множество[[#This Row],[Оценки]])&gt;0),1,-1)</f>
        <v>1</v>
      </c>
      <c r="AN165">
        <v>3.6666666666666701</v>
      </c>
      <c r="AO165">
        <v>-15.9</v>
      </c>
      <c r="AP165" s="208"/>
      <c r="AQ165" s="208"/>
      <c r="AR165" s="226"/>
      <c r="AS165" s="225"/>
      <c r="AT165" s="226"/>
      <c r="AU165" s="225"/>
      <c r="AV165" s="225"/>
      <c r="AW165" s="225"/>
      <c r="AX165" s="225"/>
      <c r="AY165" s="225"/>
    </row>
    <row r="166" spans="33:51" x14ac:dyDescent="0.25">
      <c r="AG166" s="66">
        <f>IF(AND(Множество[[#This Row],[Y]]=1),ROW()-ROW(Множество[[#Headers],[№]]),"")</f>
        <v>157</v>
      </c>
      <c r="AH166" t="s">
        <v>608</v>
      </c>
      <c r="AI166" s="66">
        <v>1</v>
      </c>
      <c r="AJ166" s="66">
        <f>IF(LEN(Множество[[#This Row],[Свёртка]])&gt;0,1,-1)</f>
        <v>1</v>
      </c>
      <c r="AK166" s="66" t="s">
        <v>1781</v>
      </c>
      <c r="AL166" s="66">
        <f>IF(LEN(Множество[[#This Row],[Критерии]])&gt;0,1,-1)</f>
        <v>1</v>
      </c>
      <c r="AM166" s="66">
        <f>IF(AND(LEN(Множество[[#This Row],[Свёртка]])&gt;0,LEN(Множество[[#This Row],[Критерии]])&gt;0,LEN(Множество[[#This Row],[Оценки]])&gt;0),1,-1)</f>
        <v>1</v>
      </c>
      <c r="AN166">
        <v>3.7250000000000001</v>
      </c>
      <c r="AO166">
        <v>-15.9166666666667</v>
      </c>
      <c r="AP166" s="208"/>
      <c r="AQ166" s="208"/>
      <c r="AR166" s="226"/>
      <c r="AS166" s="225"/>
      <c r="AT166" s="226"/>
      <c r="AU166" s="225"/>
      <c r="AV166" s="225"/>
      <c r="AW166" s="225"/>
      <c r="AX166" s="225"/>
      <c r="AY166" s="225"/>
    </row>
    <row r="167" spans="33:51" x14ac:dyDescent="0.25">
      <c r="AG167" s="66">
        <f>IF(AND(Множество[[#This Row],[Y]]=1),ROW()-ROW(Множество[[#Headers],[№]]),"")</f>
        <v>158</v>
      </c>
      <c r="AH167" t="s">
        <v>608</v>
      </c>
      <c r="AI167" s="66">
        <v>1</v>
      </c>
      <c r="AJ167" s="66">
        <f>IF(LEN(Множество[[#This Row],[Свёртка]])&gt;0,1,-1)</f>
        <v>1</v>
      </c>
      <c r="AK167" s="66" t="s">
        <v>1781</v>
      </c>
      <c r="AL167" s="66">
        <f>IF(LEN(Множество[[#This Row],[Критерии]])&gt;0,1,-1)</f>
        <v>1</v>
      </c>
      <c r="AM167" s="66">
        <f>IF(AND(LEN(Множество[[#This Row],[Свёртка]])&gt;0,LEN(Множество[[#This Row],[Критерии]])&gt;0,LEN(Множество[[#This Row],[Оценки]])&gt;0),1,-1)</f>
        <v>1</v>
      </c>
      <c r="AN167">
        <v>3.7833333333333301</v>
      </c>
      <c r="AO167">
        <v>-15.9333333333333</v>
      </c>
      <c r="AP167" s="208"/>
      <c r="AQ167" s="208"/>
      <c r="AR167" s="226"/>
      <c r="AS167" s="225"/>
      <c r="AT167" s="226"/>
      <c r="AU167" s="225"/>
      <c r="AV167" s="225"/>
      <c r="AW167" s="225"/>
      <c r="AX167" s="225"/>
      <c r="AY167" s="225"/>
    </row>
    <row r="168" spans="33:51" x14ac:dyDescent="0.25">
      <c r="AG168" s="66">
        <f>IF(AND(Множество[[#This Row],[Y]]=1),ROW()-ROW(Множество[[#Headers],[№]]),"")</f>
        <v>159</v>
      </c>
      <c r="AH168" t="s">
        <v>608</v>
      </c>
      <c r="AI168" s="66">
        <v>1</v>
      </c>
      <c r="AJ168" s="66">
        <f>IF(LEN(Множество[[#This Row],[Свёртка]])&gt;0,1,-1)</f>
        <v>1</v>
      </c>
      <c r="AK168" s="66" t="s">
        <v>1781</v>
      </c>
      <c r="AL168" s="66">
        <f>IF(LEN(Множество[[#This Row],[Критерии]])&gt;0,1,-1)</f>
        <v>1</v>
      </c>
      <c r="AM168" s="66">
        <f>IF(AND(LEN(Множество[[#This Row],[Свёртка]])&gt;0,LEN(Множество[[#This Row],[Критерии]])&gt;0,LEN(Множество[[#This Row],[Оценки]])&gt;0),1,-1)</f>
        <v>1</v>
      </c>
      <c r="AN168">
        <v>2.2749999999999999</v>
      </c>
      <c r="AO168">
        <v>-14.466666666666701</v>
      </c>
      <c r="AP168" s="208"/>
      <c r="AQ168" s="208"/>
      <c r="AR168" s="226"/>
      <c r="AS168" s="225"/>
      <c r="AT168" s="226"/>
      <c r="AU168" s="225"/>
      <c r="AV168" s="225"/>
      <c r="AW168" s="225"/>
      <c r="AX168" s="225"/>
      <c r="AY168" s="225"/>
    </row>
    <row r="169" spans="33:51" x14ac:dyDescent="0.25">
      <c r="AG169" s="66">
        <f>IF(AND(Множество[[#This Row],[Y]]=1),ROW()-ROW(Множество[[#Headers],[№]]),"")</f>
        <v>160</v>
      </c>
      <c r="AH169" t="s">
        <v>608</v>
      </c>
      <c r="AI169" s="66">
        <v>1</v>
      </c>
      <c r="AJ169" s="66">
        <f>IF(LEN(Множество[[#This Row],[Свёртка]])&gt;0,1,-1)</f>
        <v>1</v>
      </c>
      <c r="AK169" s="66" t="s">
        <v>1781</v>
      </c>
      <c r="AL169" s="66">
        <f>IF(LEN(Множество[[#This Row],[Критерии]])&gt;0,1,-1)</f>
        <v>1</v>
      </c>
      <c r="AM169" s="66">
        <f>IF(AND(LEN(Множество[[#This Row],[Свёртка]])&gt;0,LEN(Множество[[#This Row],[Критерии]])&gt;0,LEN(Множество[[#This Row],[Оценки]])&gt;0),1,-1)</f>
        <v>1</v>
      </c>
      <c r="AN169">
        <v>3.55</v>
      </c>
      <c r="AO169">
        <v>-15.85</v>
      </c>
      <c r="AP169" s="208"/>
      <c r="AQ169" s="208"/>
      <c r="AR169" s="226"/>
      <c r="AS169" s="225"/>
      <c r="AT169" s="226"/>
      <c r="AU169" s="225"/>
      <c r="AV169" s="225"/>
      <c r="AW169" s="225"/>
      <c r="AX169" s="225"/>
      <c r="AY169" s="225"/>
    </row>
    <row r="170" spans="33:51" x14ac:dyDescent="0.25">
      <c r="AG170" s="66">
        <f>IF(AND(Множество[[#This Row],[Y]]=1),ROW()-ROW(Множество[[#Headers],[№]]),"")</f>
        <v>161</v>
      </c>
      <c r="AH170" t="s">
        <v>608</v>
      </c>
      <c r="AI170" s="66">
        <v>1</v>
      </c>
      <c r="AJ170" s="66">
        <f>IF(LEN(Множество[[#This Row],[Свёртка]])&gt;0,1,-1)</f>
        <v>1</v>
      </c>
      <c r="AK170" s="66" t="s">
        <v>1781</v>
      </c>
      <c r="AL170" s="66">
        <f>IF(LEN(Множество[[#This Row],[Критерии]])&gt;0,1,-1)</f>
        <v>1</v>
      </c>
      <c r="AM170" s="66">
        <f>IF(AND(LEN(Множество[[#This Row],[Свёртка]])&gt;0,LEN(Множество[[#This Row],[Критерии]])&gt;0,LEN(Множество[[#This Row],[Оценки]])&gt;0),1,-1)</f>
        <v>1</v>
      </c>
      <c r="AN170">
        <v>3.6083333333333298</v>
      </c>
      <c r="AO170">
        <v>-15.866666666666699</v>
      </c>
      <c r="AP170" s="208"/>
      <c r="AQ170" s="208"/>
      <c r="AR170" s="226"/>
      <c r="AS170" s="225"/>
      <c r="AT170" s="226"/>
      <c r="AU170" s="225"/>
      <c r="AV170" s="225"/>
      <c r="AW170" s="225"/>
      <c r="AX170" s="225"/>
      <c r="AY170" s="225"/>
    </row>
    <row r="171" spans="33:51" x14ac:dyDescent="0.25">
      <c r="AG171" s="66">
        <f>IF(AND(Множество[[#This Row],[Y]]=1),ROW()-ROW(Множество[[#Headers],[№]]),"")</f>
        <v>162</v>
      </c>
      <c r="AH171" t="s">
        <v>608</v>
      </c>
      <c r="AI171" s="66">
        <v>1</v>
      </c>
      <c r="AJ171" s="66">
        <f>IF(LEN(Множество[[#This Row],[Свёртка]])&gt;0,1,-1)</f>
        <v>1</v>
      </c>
      <c r="AK171" s="66" t="s">
        <v>1781</v>
      </c>
      <c r="AL171" s="66">
        <f>IF(LEN(Множество[[#This Row],[Критерии]])&gt;0,1,-1)</f>
        <v>1</v>
      </c>
      <c r="AM171" s="66">
        <f>IF(AND(LEN(Множество[[#This Row],[Свёртка]])&gt;0,LEN(Множество[[#This Row],[Критерии]])&gt;0,LEN(Множество[[#This Row],[Оценки]])&gt;0),1,-1)</f>
        <v>1</v>
      </c>
      <c r="AN171">
        <v>2.125</v>
      </c>
      <c r="AO171">
        <v>-14.4333333333333</v>
      </c>
      <c r="AP171" s="208"/>
      <c r="AQ171" s="208"/>
      <c r="AR171" s="226"/>
      <c r="AS171" s="225"/>
      <c r="AT171" s="226"/>
      <c r="AU171" s="225"/>
      <c r="AV171" s="225"/>
      <c r="AW171" s="225"/>
      <c r="AX171" s="225"/>
      <c r="AY171" s="225"/>
    </row>
    <row r="172" spans="33:51" x14ac:dyDescent="0.25">
      <c r="AG172" s="66">
        <f>IF(AND(Множество[[#This Row],[Y]]=1),ROW()-ROW(Множество[[#Headers],[№]]),"")</f>
        <v>163</v>
      </c>
      <c r="AH172" t="s">
        <v>608</v>
      </c>
      <c r="AI172" s="66">
        <v>1</v>
      </c>
      <c r="AJ172" s="66">
        <f>IF(LEN(Множество[[#This Row],[Свёртка]])&gt;0,1,-1)</f>
        <v>1</v>
      </c>
      <c r="AK172" s="66" t="s">
        <v>1781</v>
      </c>
      <c r="AL172" s="66">
        <f>IF(LEN(Множество[[#This Row],[Критерии]])&gt;0,1,-1)</f>
        <v>1</v>
      </c>
      <c r="AM172" s="66">
        <f>IF(AND(LEN(Множество[[#This Row],[Свёртка]])&gt;0,LEN(Множество[[#This Row],[Критерии]])&gt;0,LEN(Множество[[#This Row],[Оценки]])&gt;0),1,-1)</f>
        <v>1</v>
      </c>
      <c r="AN172">
        <v>2.2000000000000002</v>
      </c>
      <c r="AO172">
        <v>-14.45</v>
      </c>
      <c r="AP172" s="208"/>
      <c r="AQ172" s="208"/>
      <c r="AR172" s="226"/>
      <c r="AS172" s="225"/>
      <c r="AT172" s="226"/>
      <c r="AU172" s="225"/>
      <c r="AV172" s="225"/>
      <c r="AW172" s="225"/>
      <c r="AX172" s="225"/>
      <c r="AY172" s="225"/>
    </row>
    <row r="173" spans="33:51" x14ac:dyDescent="0.25">
      <c r="AG173" s="66">
        <f>IF(AND(Множество[[#This Row],[Y]]=1),ROW()-ROW(Множество[[#Headers],[№]]),"")</f>
        <v>164</v>
      </c>
      <c r="AH173" t="s">
        <v>608</v>
      </c>
      <c r="AI173" s="66">
        <v>1</v>
      </c>
      <c r="AJ173" s="66">
        <f>IF(LEN(Множество[[#This Row],[Свёртка]])&gt;0,1,-1)</f>
        <v>1</v>
      </c>
      <c r="AK173" s="66" t="s">
        <v>1781</v>
      </c>
      <c r="AL173" s="66">
        <f>IF(LEN(Множество[[#This Row],[Критерии]])&gt;0,1,-1)</f>
        <v>1</v>
      </c>
      <c r="AM173" s="66">
        <f>IF(AND(LEN(Множество[[#This Row],[Свёртка]])&gt;0,LEN(Множество[[#This Row],[Критерии]])&gt;0,LEN(Множество[[#This Row],[Оценки]])&gt;0),1,-1)</f>
        <v>1</v>
      </c>
      <c r="AN173">
        <v>3.43333333333333</v>
      </c>
      <c r="AO173">
        <v>-15.8</v>
      </c>
      <c r="AP173" s="208"/>
      <c r="AQ173" s="208"/>
      <c r="AR173" s="226"/>
      <c r="AS173" s="225"/>
      <c r="AT173" s="226"/>
      <c r="AU173" s="225"/>
      <c r="AV173" s="225"/>
      <c r="AW173" s="225"/>
      <c r="AX173" s="225"/>
      <c r="AY173" s="225"/>
    </row>
    <row r="174" spans="33:51" x14ac:dyDescent="0.25">
      <c r="AG174" s="66">
        <f>IF(AND(Множество[[#This Row],[Y]]=1),ROW()-ROW(Множество[[#Headers],[№]]),"")</f>
        <v>165</v>
      </c>
      <c r="AH174" t="s">
        <v>608</v>
      </c>
      <c r="AI174" s="66">
        <v>1</v>
      </c>
      <c r="AJ174" s="66">
        <f>IF(LEN(Множество[[#This Row],[Свёртка]])&gt;0,1,-1)</f>
        <v>1</v>
      </c>
      <c r="AK174" s="66" t="s">
        <v>1781</v>
      </c>
      <c r="AL174" s="66">
        <f>IF(LEN(Множество[[#This Row],[Критерии]])&gt;0,1,-1)</f>
        <v>1</v>
      </c>
      <c r="AM174" s="66">
        <f>IF(AND(LEN(Множество[[#This Row],[Свёртка]])&gt;0,LEN(Множество[[#This Row],[Критерии]])&gt;0,LEN(Множество[[#This Row],[Оценки]])&gt;0),1,-1)</f>
        <v>1</v>
      </c>
      <c r="AN174">
        <v>1.9750000000000001</v>
      </c>
      <c r="AO174">
        <v>-14.383333333333301</v>
      </c>
      <c r="AP174" s="208"/>
      <c r="AQ174" s="208"/>
      <c r="AR174" s="226"/>
      <c r="AS174" s="225"/>
      <c r="AT174" s="226"/>
      <c r="AU174" s="225"/>
      <c r="AV174" s="225"/>
      <c r="AW174" s="225"/>
      <c r="AX174" s="225"/>
      <c r="AY174" s="225"/>
    </row>
    <row r="175" spans="33:51" x14ac:dyDescent="0.25">
      <c r="AG175" s="66">
        <f>IF(AND(Множество[[#This Row],[Y]]=1),ROW()-ROW(Множество[[#Headers],[№]]),"")</f>
        <v>166</v>
      </c>
      <c r="AH175" t="s">
        <v>608</v>
      </c>
      <c r="AI175" s="66">
        <v>1</v>
      </c>
      <c r="AJ175" s="66">
        <f>IF(LEN(Множество[[#This Row],[Свёртка]])&gt;0,1,-1)</f>
        <v>1</v>
      </c>
      <c r="AK175" s="66" t="s">
        <v>1781</v>
      </c>
      <c r="AL175" s="66">
        <f>IF(LEN(Множество[[#This Row],[Критерии]])&gt;0,1,-1)</f>
        <v>1</v>
      </c>
      <c r="AM175" s="66">
        <f>IF(AND(LEN(Множество[[#This Row],[Свёртка]])&gt;0,LEN(Множество[[#This Row],[Критерии]])&gt;0,LEN(Множество[[#This Row],[Оценки]])&gt;0),1,-1)</f>
        <v>1</v>
      </c>
      <c r="AN175">
        <v>3.4916666666666698</v>
      </c>
      <c r="AO175">
        <v>-15.8333333333333</v>
      </c>
      <c r="AP175" s="208"/>
      <c r="AQ175" s="208"/>
      <c r="AR175" s="226"/>
      <c r="AS175" s="225"/>
      <c r="AT175" s="226"/>
      <c r="AU175" s="225"/>
      <c r="AV175" s="225"/>
      <c r="AW175" s="225"/>
      <c r="AX175" s="225"/>
      <c r="AY175" s="225"/>
    </row>
    <row r="176" spans="33:51" x14ac:dyDescent="0.25">
      <c r="AG176" s="66">
        <f>IF(AND(Множество[[#This Row],[Y]]=1),ROW()-ROW(Множество[[#Headers],[№]]),"")</f>
        <v>167</v>
      </c>
      <c r="AH176" t="s">
        <v>608</v>
      </c>
      <c r="AI176" s="66">
        <v>1</v>
      </c>
      <c r="AJ176" s="66">
        <f>IF(LEN(Множество[[#This Row],[Свёртка]])&gt;0,1,-1)</f>
        <v>1</v>
      </c>
      <c r="AK176" s="66" t="s">
        <v>1781</v>
      </c>
      <c r="AL176" s="66">
        <f>IF(LEN(Множество[[#This Row],[Критерии]])&gt;0,1,-1)</f>
        <v>1</v>
      </c>
      <c r="AM176" s="66">
        <f>IF(AND(LEN(Множество[[#This Row],[Свёртка]])&gt;0,LEN(Множество[[#This Row],[Критерии]])&gt;0,LEN(Множество[[#This Row],[Оценки]])&gt;0),1,-1)</f>
        <v>1</v>
      </c>
      <c r="AN176">
        <v>2.0499999999999998</v>
      </c>
      <c r="AO176">
        <v>-14.4</v>
      </c>
      <c r="AP176" s="208"/>
      <c r="AQ176" s="208"/>
      <c r="AR176" s="226"/>
      <c r="AS176" s="225"/>
      <c r="AT176" s="226"/>
      <c r="AU176" s="225"/>
      <c r="AV176" s="225"/>
      <c r="AW176" s="225"/>
      <c r="AX176" s="225"/>
      <c r="AY176" s="225"/>
    </row>
    <row r="177" spans="33:51" x14ac:dyDescent="0.25">
      <c r="AG177" s="66">
        <f>IF(AND(Множество[[#This Row],[Y]]=1),ROW()-ROW(Множество[[#Headers],[№]]),"")</f>
        <v>168</v>
      </c>
      <c r="AH177" t="s">
        <v>608</v>
      </c>
      <c r="AI177" s="66">
        <v>1</v>
      </c>
      <c r="AJ177" s="66">
        <f>IF(LEN(Множество[[#This Row],[Свёртка]])&gt;0,1,-1)</f>
        <v>1</v>
      </c>
      <c r="AK177" s="66" t="s">
        <v>1781</v>
      </c>
      <c r="AL177" s="66">
        <f>IF(LEN(Множество[[#This Row],[Критерии]])&gt;0,1,-1)</f>
        <v>1</v>
      </c>
      <c r="AM177" s="66">
        <f>IF(AND(LEN(Множество[[#This Row],[Свёртка]])&gt;0,LEN(Множество[[#This Row],[Критерии]])&gt;0,LEN(Множество[[#This Row],[Оценки]])&gt;0),1,-1)</f>
        <v>1</v>
      </c>
      <c r="AN177">
        <v>3.31666666666667</v>
      </c>
      <c r="AO177">
        <v>-15.766666666666699</v>
      </c>
      <c r="AP177" s="208"/>
      <c r="AQ177" s="208"/>
      <c r="AR177" s="226"/>
      <c r="AS177" s="225"/>
      <c r="AT177" s="226"/>
      <c r="AU177" s="225"/>
      <c r="AV177" s="225"/>
      <c r="AW177" s="225"/>
      <c r="AX177" s="225"/>
      <c r="AY177" s="225"/>
    </row>
    <row r="178" spans="33:51" x14ac:dyDescent="0.25">
      <c r="AG178" s="66">
        <f>IF(AND(Множество[[#This Row],[Y]]=1),ROW()-ROW(Множество[[#Headers],[№]]),"")</f>
        <v>169</v>
      </c>
      <c r="AH178" t="s">
        <v>608</v>
      </c>
      <c r="AI178" s="66">
        <v>1</v>
      </c>
      <c r="AJ178" s="66">
        <f>IF(LEN(Множество[[#This Row],[Свёртка]])&gt;0,1,-1)</f>
        <v>1</v>
      </c>
      <c r="AK178" s="66" t="s">
        <v>1781</v>
      </c>
      <c r="AL178" s="66">
        <f>IF(LEN(Множество[[#This Row],[Критерии]])&gt;0,1,-1)</f>
        <v>1</v>
      </c>
      <c r="AM178" s="66">
        <f>IF(AND(LEN(Множество[[#This Row],[Свёртка]])&gt;0,LEN(Множество[[#This Row],[Критерии]])&gt;0,LEN(Множество[[#This Row],[Оценки]])&gt;0),1,-1)</f>
        <v>1</v>
      </c>
      <c r="AN178">
        <v>3.375</v>
      </c>
      <c r="AO178">
        <v>-15.783333333333299</v>
      </c>
      <c r="AP178" s="208"/>
      <c r="AQ178" s="208"/>
      <c r="AR178" s="226"/>
      <c r="AS178" s="225"/>
      <c r="AT178" s="226"/>
      <c r="AU178" s="225"/>
      <c r="AV178" s="225"/>
      <c r="AW178" s="225"/>
      <c r="AX178" s="225"/>
      <c r="AY178" s="225"/>
    </row>
    <row r="179" spans="33:51" x14ac:dyDescent="0.25">
      <c r="AG179" s="66">
        <f>IF(AND(Множество[[#This Row],[Y]]=1),ROW()-ROW(Множество[[#Headers],[№]]),"")</f>
        <v>170</v>
      </c>
      <c r="AH179" t="s">
        <v>608</v>
      </c>
      <c r="AI179" s="66">
        <v>1</v>
      </c>
      <c r="AJ179" s="66">
        <f>IF(LEN(Множество[[#This Row],[Свёртка]])&gt;0,1,-1)</f>
        <v>1</v>
      </c>
      <c r="AK179" s="66" t="s">
        <v>1781</v>
      </c>
      <c r="AL179" s="66">
        <f>IF(LEN(Множество[[#This Row],[Критерии]])&gt;0,1,-1)</f>
        <v>1</v>
      </c>
      <c r="AM179" s="66">
        <f>IF(AND(LEN(Множество[[#This Row],[Свёртка]])&gt;0,LEN(Множество[[#This Row],[Критерии]])&gt;0,LEN(Множество[[#This Row],[Оценки]])&gt;0),1,-1)</f>
        <v>1</v>
      </c>
      <c r="AN179">
        <v>1.825</v>
      </c>
      <c r="AO179">
        <v>-14.35</v>
      </c>
      <c r="AP179" s="208"/>
      <c r="AQ179" s="208"/>
      <c r="AR179" s="226"/>
      <c r="AS179" s="225"/>
      <c r="AT179" s="226"/>
      <c r="AU179" s="225"/>
      <c r="AV179" s="225"/>
      <c r="AW179" s="225"/>
      <c r="AX179" s="225"/>
      <c r="AY179" s="225"/>
    </row>
    <row r="180" spans="33:51" x14ac:dyDescent="0.25">
      <c r="AG180" s="66">
        <f>IF(AND(Множество[[#This Row],[Y]]=1),ROW()-ROW(Множество[[#Headers],[№]]),"")</f>
        <v>171</v>
      </c>
      <c r="AH180" t="s">
        <v>608</v>
      </c>
      <c r="AI180" s="66">
        <v>1</v>
      </c>
      <c r="AJ180" s="66">
        <f>IF(LEN(Множество[[#This Row],[Свёртка]])&gt;0,1,-1)</f>
        <v>1</v>
      </c>
      <c r="AK180" s="66" t="s">
        <v>1781</v>
      </c>
      <c r="AL180" s="66">
        <f>IF(LEN(Множество[[#This Row],[Критерии]])&gt;0,1,-1)</f>
        <v>1</v>
      </c>
      <c r="AM180" s="66">
        <f>IF(AND(LEN(Множество[[#This Row],[Свёртка]])&gt;0,LEN(Множество[[#This Row],[Критерии]])&gt;0,LEN(Множество[[#This Row],[Оценки]])&gt;0),1,-1)</f>
        <v>1</v>
      </c>
      <c r="AN180">
        <v>3.1416666666666702</v>
      </c>
      <c r="AO180">
        <v>-15.7</v>
      </c>
      <c r="AP180" s="208"/>
      <c r="AQ180" s="208"/>
      <c r="AR180" s="226"/>
      <c r="AS180" s="225"/>
      <c r="AT180" s="226"/>
      <c r="AU180" s="225"/>
      <c r="AV180" s="225"/>
      <c r="AW180" s="225"/>
      <c r="AX180" s="225"/>
      <c r="AY180" s="225"/>
    </row>
    <row r="181" spans="33:51" x14ac:dyDescent="0.25">
      <c r="AG181" s="66">
        <f>IF(AND(Множество[[#This Row],[Y]]=1),ROW()-ROW(Множество[[#Headers],[№]]),"")</f>
        <v>172</v>
      </c>
      <c r="AH181" t="s">
        <v>608</v>
      </c>
      <c r="AI181" s="66">
        <v>1</v>
      </c>
      <c r="AJ181" s="66">
        <f>IF(LEN(Множество[[#This Row],[Свёртка]])&gt;0,1,-1)</f>
        <v>1</v>
      </c>
      <c r="AK181" s="66" t="s">
        <v>1781</v>
      </c>
      <c r="AL181" s="66">
        <f>IF(LEN(Множество[[#This Row],[Критерии]])&gt;0,1,-1)</f>
        <v>1</v>
      </c>
      <c r="AM181" s="66">
        <f>IF(AND(LEN(Множество[[#This Row],[Свёртка]])&gt;0,LEN(Множество[[#This Row],[Критерии]])&gt;0,LEN(Множество[[#This Row],[Оценки]])&gt;0),1,-1)</f>
        <v>1</v>
      </c>
      <c r="AN181">
        <v>1.9</v>
      </c>
      <c r="AO181">
        <v>-14.366666666666699</v>
      </c>
      <c r="AP181" s="208"/>
      <c r="AQ181" s="208"/>
      <c r="AR181" s="226"/>
      <c r="AS181" s="225"/>
      <c r="AT181" s="226"/>
      <c r="AU181" s="225"/>
      <c r="AV181" s="225"/>
      <c r="AW181" s="225"/>
      <c r="AX181" s="225"/>
      <c r="AY181" s="225"/>
    </row>
    <row r="182" spans="33:51" x14ac:dyDescent="0.25">
      <c r="AG182" s="66">
        <f>IF(AND(Множество[[#This Row],[Y]]=1),ROW()-ROW(Множество[[#Headers],[№]]),"")</f>
        <v>173</v>
      </c>
      <c r="AH182" t="s">
        <v>608</v>
      </c>
      <c r="AI182" s="66">
        <v>1</v>
      </c>
      <c r="AJ182" s="66">
        <f>IF(LEN(Множество[[#This Row],[Свёртка]])&gt;0,1,-1)</f>
        <v>1</v>
      </c>
      <c r="AK182" s="66" t="s">
        <v>1781</v>
      </c>
      <c r="AL182" s="66">
        <f>IF(LEN(Множество[[#This Row],[Критерии]])&gt;0,1,-1)</f>
        <v>1</v>
      </c>
      <c r="AM182" s="66">
        <f>IF(AND(LEN(Множество[[#This Row],[Свёртка]])&gt;0,LEN(Множество[[#This Row],[Критерии]])&gt;0,LEN(Множество[[#This Row],[Оценки]])&gt;0),1,-1)</f>
        <v>1</v>
      </c>
      <c r="AN182">
        <v>3.2583333333333302</v>
      </c>
      <c r="AO182">
        <v>-15.75</v>
      </c>
      <c r="AP182" s="208"/>
      <c r="AQ182" s="208"/>
      <c r="AR182" s="226"/>
      <c r="AS182" s="225"/>
      <c r="AT182" s="226"/>
      <c r="AU182" s="225"/>
      <c r="AV182" s="225"/>
      <c r="AW182" s="225"/>
      <c r="AX182" s="225"/>
      <c r="AY182" s="225"/>
    </row>
    <row r="183" spans="33:51" x14ac:dyDescent="0.25">
      <c r="AG183" s="66">
        <f>IF(AND(Множество[[#This Row],[Y]]=1),ROW()-ROW(Множество[[#Headers],[№]]),"")</f>
        <v>174</v>
      </c>
      <c r="AH183" t="s">
        <v>608</v>
      </c>
      <c r="AI183" s="66">
        <v>1</v>
      </c>
      <c r="AJ183" s="66">
        <f>IF(LEN(Множество[[#This Row],[Свёртка]])&gt;0,1,-1)</f>
        <v>1</v>
      </c>
      <c r="AK183" s="66" t="s">
        <v>1781</v>
      </c>
      <c r="AL183" s="66">
        <f>IF(LEN(Множество[[#This Row],[Критерии]])&gt;0,1,-1)</f>
        <v>1</v>
      </c>
      <c r="AM183" s="66">
        <f>IF(AND(LEN(Множество[[#This Row],[Свёртка]])&gt;0,LEN(Множество[[#This Row],[Критерии]])&gt;0,LEN(Множество[[#This Row],[Оценки]])&gt;0),1,-1)</f>
        <v>1</v>
      </c>
      <c r="AN183">
        <v>3.2</v>
      </c>
      <c r="AO183">
        <v>-15.716666666666701</v>
      </c>
      <c r="AP183" s="208"/>
      <c r="AQ183" s="208"/>
      <c r="AR183" s="226"/>
      <c r="AS183" s="225"/>
      <c r="AT183" s="226"/>
      <c r="AU183" s="225"/>
      <c r="AV183" s="225"/>
      <c r="AW183" s="225"/>
      <c r="AX183" s="225"/>
      <c r="AY183" s="225"/>
    </row>
    <row r="184" spans="33:51" x14ac:dyDescent="0.25">
      <c r="AG184" s="66">
        <f>IF(AND(Множество[[#This Row],[Y]]=1),ROW()-ROW(Множество[[#Headers],[№]]),"")</f>
        <v>175</v>
      </c>
      <c r="AH184" t="s">
        <v>608</v>
      </c>
      <c r="AI184" s="66">
        <v>1</v>
      </c>
      <c r="AJ184" s="66">
        <f>IF(LEN(Множество[[#This Row],[Свёртка]])&gt;0,1,-1)</f>
        <v>1</v>
      </c>
      <c r="AK184" s="66" t="s">
        <v>1781</v>
      </c>
      <c r="AL184" s="66">
        <f>IF(LEN(Множество[[#This Row],[Критерии]])&gt;0,1,-1)</f>
        <v>1</v>
      </c>
      <c r="AM184" s="66">
        <f>IF(AND(LEN(Множество[[#This Row],[Свёртка]])&gt;0,LEN(Множество[[#This Row],[Критерии]])&gt;0,LEN(Множество[[#This Row],[Оценки]])&gt;0),1,-1)</f>
        <v>1</v>
      </c>
      <c r="AN184">
        <v>1.675</v>
      </c>
      <c r="AO184">
        <v>-14.3</v>
      </c>
      <c r="AP184" s="208"/>
      <c r="AQ184" s="208"/>
      <c r="AR184" s="226"/>
      <c r="AS184" s="225"/>
      <c r="AT184" s="226"/>
      <c r="AU184" s="225"/>
      <c r="AV184" s="225"/>
      <c r="AW184" s="225"/>
      <c r="AX184" s="225"/>
      <c r="AY184" s="225"/>
    </row>
    <row r="185" spans="33:51" x14ac:dyDescent="0.25">
      <c r="AG185" s="66">
        <f>IF(AND(Множество[[#This Row],[Y]]=1),ROW()-ROW(Множество[[#Headers],[№]]),"")</f>
        <v>176</v>
      </c>
      <c r="AH185" t="s">
        <v>608</v>
      </c>
      <c r="AI185" s="66">
        <v>1</v>
      </c>
      <c r="AJ185" s="66">
        <f>IF(LEN(Множество[[#This Row],[Свёртка]])&gt;0,1,-1)</f>
        <v>1</v>
      </c>
      <c r="AK185" s="66" t="s">
        <v>1781</v>
      </c>
      <c r="AL185" s="66">
        <f>IF(LEN(Множество[[#This Row],[Критерии]])&gt;0,1,-1)</f>
        <v>1</v>
      </c>
      <c r="AM185" s="66">
        <f>IF(AND(LEN(Множество[[#This Row],[Свёртка]])&gt;0,LEN(Множество[[#This Row],[Критерии]])&gt;0,LEN(Множество[[#This Row],[Оценки]])&gt;0),1,-1)</f>
        <v>1</v>
      </c>
      <c r="AN185">
        <v>1.75</v>
      </c>
      <c r="AO185">
        <v>-14.3166666666667</v>
      </c>
      <c r="AP185" s="208"/>
      <c r="AQ185" s="208"/>
      <c r="AR185" s="226"/>
      <c r="AS185" s="225"/>
      <c r="AT185" s="226"/>
      <c r="AU185" s="225"/>
      <c r="AV185" s="225"/>
      <c r="AW185" s="225"/>
      <c r="AX185" s="225"/>
      <c r="AY185" s="225"/>
    </row>
    <row r="186" spans="33:51" x14ac:dyDescent="0.25">
      <c r="AG186" s="66">
        <f>IF(AND(Множество[[#This Row],[Y]]=1),ROW()-ROW(Множество[[#Headers],[№]]),"")</f>
        <v>177</v>
      </c>
      <c r="AH186" t="s">
        <v>608</v>
      </c>
      <c r="AI186" s="66">
        <v>1</v>
      </c>
      <c r="AJ186" s="66">
        <f>IF(LEN(Множество[[#This Row],[Свёртка]])&gt;0,1,-1)</f>
        <v>1</v>
      </c>
      <c r="AK186" s="66" t="s">
        <v>1781</v>
      </c>
      <c r="AL186" s="66">
        <f>IF(LEN(Множество[[#This Row],[Критерии]])&gt;0,1,-1)</f>
        <v>1</v>
      </c>
      <c r="AM186" s="66">
        <f>IF(AND(LEN(Множество[[#This Row],[Свёртка]])&gt;0,LEN(Множество[[#This Row],[Критерии]])&gt;0,LEN(Множество[[#This Row],[Оценки]])&gt;0),1,-1)</f>
        <v>1</v>
      </c>
      <c r="AN186">
        <v>3.0833333333333299</v>
      </c>
      <c r="AO186">
        <v>-15.6833333333333</v>
      </c>
      <c r="AP186" s="208"/>
      <c r="AQ186" s="208"/>
      <c r="AR186" s="226"/>
      <c r="AS186" s="225"/>
      <c r="AT186" s="226"/>
      <c r="AU186" s="225"/>
      <c r="AV186" s="225"/>
      <c r="AW186" s="225"/>
      <c r="AX186" s="225"/>
      <c r="AY186" s="225"/>
    </row>
    <row r="187" spans="33:51" x14ac:dyDescent="0.25">
      <c r="AG187" s="66">
        <f>IF(AND(Множество[[#This Row],[Y]]=1),ROW()-ROW(Множество[[#Headers],[№]]),"")</f>
        <v>178</v>
      </c>
      <c r="AH187" t="s">
        <v>608</v>
      </c>
      <c r="AI187" s="66">
        <v>1</v>
      </c>
      <c r="AJ187" s="66">
        <f>IF(LEN(Множество[[#This Row],[Свёртка]])&gt;0,1,-1)</f>
        <v>1</v>
      </c>
      <c r="AK187" s="66" t="s">
        <v>1781</v>
      </c>
      <c r="AL187" s="66">
        <f>IF(LEN(Множество[[#This Row],[Критерии]])&gt;0,1,-1)</f>
        <v>1</v>
      </c>
      <c r="AM187" s="66">
        <f>IF(AND(LEN(Множество[[#This Row],[Свёртка]])&gt;0,LEN(Множество[[#This Row],[Критерии]])&gt;0,LEN(Множество[[#This Row],[Оценки]])&gt;0),1,-1)</f>
        <v>1</v>
      </c>
      <c r="AN187">
        <v>3.0249999999999999</v>
      </c>
      <c r="AO187">
        <v>-15.65</v>
      </c>
      <c r="AP187" s="208"/>
      <c r="AQ187" s="208"/>
      <c r="AR187" s="226"/>
      <c r="AS187" s="225"/>
      <c r="AT187" s="226"/>
      <c r="AU187" s="225"/>
      <c r="AV187" s="225"/>
      <c r="AW187" s="225"/>
      <c r="AX187" s="225"/>
      <c r="AY187" s="225"/>
    </row>
    <row r="188" spans="33:51" x14ac:dyDescent="0.25">
      <c r="AG188" s="66">
        <f>IF(AND(Множество[[#This Row],[Y]]=1),ROW()-ROW(Множество[[#Headers],[№]]),"")</f>
        <v>179</v>
      </c>
      <c r="AH188" t="s">
        <v>608</v>
      </c>
      <c r="AI188" s="66">
        <v>1</v>
      </c>
      <c r="AJ188" s="66">
        <f>IF(LEN(Множество[[#This Row],[Свёртка]])&gt;0,1,-1)</f>
        <v>1</v>
      </c>
      <c r="AK188" s="66" t="s">
        <v>1781</v>
      </c>
      <c r="AL188" s="66">
        <f>IF(LEN(Множество[[#This Row],[Критерии]])&gt;0,1,-1)</f>
        <v>1</v>
      </c>
      <c r="AM188" s="66">
        <f>IF(AND(LEN(Множество[[#This Row],[Свёртка]])&gt;0,LEN(Множество[[#This Row],[Критерии]])&gt;0,LEN(Множество[[#This Row],[Оценки]])&gt;0),1,-1)</f>
        <v>1</v>
      </c>
      <c r="AN188">
        <v>2.9083333333333301</v>
      </c>
      <c r="AO188">
        <v>-15.616666666666699</v>
      </c>
      <c r="AP188" s="208"/>
      <c r="AQ188" s="208"/>
      <c r="AR188" s="226"/>
      <c r="AS188" s="225"/>
      <c r="AT188" s="226"/>
      <c r="AU188" s="225"/>
      <c r="AV188" s="225"/>
      <c r="AW188" s="225"/>
      <c r="AX188" s="225"/>
      <c r="AY188" s="225"/>
    </row>
    <row r="189" spans="33:51" x14ac:dyDescent="0.25">
      <c r="AG189" s="66">
        <f>IF(AND(Множество[[#This Row],[Y]]=1),ROW()-ROW(Множество[[#Headers],[№]]),"")</f>
        <v>180</v>
      </c>
      <c r="AH189" t="s">
        <v>608</v>
      </c>
      <c r="AI189" s="66">
        <v>1</v>
      </c>
      <c r="AJ189" s="66">
        <f>IF(LEN(Множество[[#This Row],[Свёртка]])&gt;0,1,-1)</f>
        <v>1</v>
      </c>
      <c r="AK189" s="66" t="s">
        <v>1781</v>
      </c>
      <c r="AL189" s="66">
        <f>IF(LEN(Множество[[#This Row],[Критерии]])&gt;0,1,-1)</f>
        <v>1</v>
      </c>
      <c r="AM189" s="66">
        <f>IF(AND(LEN(Множество[[#This Row],[Свёртка]])&gt;0,LEN(Множество[[#This Row],[Критерии]])&gt;0,LEN(Множество[[#This Row],[Оценки]])&gt;0),1,-1)</f>
        <v>1</v>
      </c>
      <c r="AN189">
        <v>2.9666666666666699</v>
      </c>
      <c r="AO189">
        <v>-15.633333333333301</v>
      </c>
      <c r="AP189" s="208"/>
      <c r="AQ189" s="208"/>
      <c r="AR189" s="226"/>
      <c r="AS189" s="225"/>
      <c r="AT189" s="226"/>
      <c r="AU189" s="225"/>
      <c r="AV189" s="225"/>
      <c r="AW189" s="225"/>
      <c r="AX189" s="225"/>
      <c r="AY189" s="225"/>
    </row>
    <row r="190" spans="33:51" x14ac:dyDescent="0.25">
      <c r="AG190" s="66">
        <f>IF(AND(Множество[[#This Row],[Y]]=1),ROW()-ROW(Множество[[#Headers],[№]]),"")</f>
        <v>181</v>
      </c>
      <c r="AH190" t="s">
        <v>608</v>
      </c>
      <c r="AI190" s="66">
        <v>1</v>
      </c>
      <c r="AJ190" s="66">
        <f>IF(LEN(Множество[[#This Row],[Свёртка]])&gt;0,1,-1)</f>
        <v>1</v>
      </c>
      <c r="AK190" s="66" t="s">
        <v>1781</v>
      </c>
      <c r="AL190" s="66">
        <f>IF(LEN(Множество[[#This Row],[Критерии]])&gt;0,1,-1)</f>
        <v>1</v>
      </c>
      <c r="AM190" s="66">
        <f>IF(AND(LEN(Множество[[#This Row],[Свёртка]])&gt;0,LEN(Множество[[#This Row],[Критерии]])&gt;0,LEN(Множество[[#This Row],[Оценки]])&gt;0),1,-1)</f>
        <v>1</v>
      </c>
      <c r="AN190">
        <v>1.6</v>
      </c>
      <c r="AO190">
        <v>-14.283333333333299</v>
      </c>
      <c r="AP190" s="208"/>
      <c r="AQ190" s="208"/>
      <c r="AR190" s="226"/>
      <c r="AS190" s="225"/>
      <c r="AT190" s="226"/>
      <c r="AU190" s="225"/>
      <c r="AV190" s="225"/>
      <c r="AW190" s="225"/>
      <c r="AX190" s="225"/>
      <c r="AY190" s="225"/>
    </row>
    <row r="191" spans="33:51" x14ac:dyDescent="0.25">
      <c r="AG191" s="66">
        <f>IF(AND(Множество[[#This Row],[Y]]=1),ROW()-ROW(Множество[[#Headers],[№]]),"")</f>
        <v>182</v>
      </c>
      <c r="AH191" t="s">
        <v>608</v>
      </c>
      <c r="AI191" s="66">
        <v>1</v>
      </c>
      <c r="AJ191" s="66">
        <f>IF(LEN(Множество[[#This Row],[Свёртка]])&gt;0,1,-1)</f>
        <v>1</v>
      </c>
      <c r="AK191" s="66" t="s">
        <v>1781</v>
      </c>
      <c r="AL191" s="66">
        <f>IF(LEN(Множество[[#This Row],[Критерии]])&gt;0,1,-1)</f>
        <v>1</v>
      </c>
      <c r="AM191" s="66">
        <f>IF(AND(LEN(Множество[[#This Row],[Свёртка]])&gt;0,LEN(Множество[[#This Row],[Критерии]])&gt;0,LEN(Множество[[#This Row],[Оценки]])&gt;0),1,-1)</f>
        <v>1</v>
      </c>
      <c r="AN191">
        <v>2.7916666666666701</v>
      </c>
      <c r="AO191">
        <v>-15.5666666666667</v>
      </c>
      <c r="AP191" s="208"/>
      <c r="AQ191" s="208"/>
      <c r="AR191" s="226"/>
      <c r="AS191" s="225"/>
      <c r="AT191" s="226"/>
      <c r="AU191" s="225"/>
      <c r="AV191" s="225"/>
      <c r="AW191" s="225"/>
      <c r="AX191" s="225"/>
      <c r="AY191" s="225"/>
    </row>
    <row r="192" spans="33:51" x14ac:dyDescent="0.25">
      <c r="AG192" s="66">
        <f>IF(AND(Множество[[#This Row],[Y]]=1),ROW()-ROW(Множество[[#Headers],[№]]),"")</f>
        <v>183</v>
      </c>
      <c r="AH192" t="s">
        <v>608</v>
      </c>
      <c r="AI192" s="66">
        <v>1</v>
      </c>
      <c r="AJ192" s="66">
        <f>IF(LEN(Множество[[#This Row],[Свёртка]])&gt;0,1,-1)</f>
        <v>1</v>
      </c>
      <c r="AK192" s="66" t="s">
        <v>1781</v>
      </c>
      <c r="AL192" s="66">
        <f>IF(LEN(Множество[[#This Row],[Критерии]])&gt;0,1,-1)</f>
        <v>1</v>
      </c>
      <c r="AM192" s="66">
        <f>IF(AND(LEN(Множество[[#This Row],[Свёртка]])&gt;0,LEN(Множество[[#This Row],[Критерии]])&gt;0,LEN(Множество[[#This Row],[Оценки]])&gt;0),1,-1)</f>
        <v>1</v>
      </c>
      <c r="AN192">
        <v>1.45</v>
      </c>
      <c r="AO192">
        <v>-14.233333333333301</v>
      </c>
      <c r="AP192" s="208"/>
      <c r="AQ192" s="208"/>
      <c r="AR192" s="226"/>
      <c r="AS192" s="225"/>
      <c r="AT192" s="226"/>
      <c r="AU192" s="225"/>
      <c r="AV192" s="225"/>
      <c r="AW192" s="225"/>
      <c r="AX192" s="225"/>
      <c r="AY192" s="225"/>
    </row>
    <row r="193" spans="33:51" x14ac:dyDescent="0.25">
      <c r="AG193" s="66">
        <f>IF(AND(Множество[[#This Row],[Y]]=1),ROW()-ROW(Множество[[#Headers],[№]]),"")</f>
        <v>184</v>
      </c>
      <c r="AH193" t="s">
        <v>608</v>
      </c>
      <c r="AI193" s="66">
        <v>1</v>
      </c>
      <c r="AJ193" s="66">
        <f>IF(LEN(Множество[[#This Row],[Свёртка]])&gt;0,1,-1)</f>
        <v>1</v>
      </c>
      <c r="AK193" s="66" t="s">
        <v>1781</v>
      </c>
      <c r="AL193" s="66">
        <f>IF(LEN(Множество[[#This Row],[Критерии]])&gt;0,1,-1)</f>
        <v>1</v>
      </c>
      <c r="AM193" s="66">
        <f>IF(AND(LEN(Множество[[#This Row],[Свёртка]])&gt;0,LEN(Множество[[#This Row],[Критерии]])&gt;0,LEN(Множество[[#This Row],[Оценки]])&gt;0),1,-1)</f>
        <v>1</v>
      </c>
      <c r="AN193">
        <v>1.5249999999999999</v>
      </c>
      <c r="AO193">
        <v>-14.25</v>
      </c>
      <c r="AP193" s="208"/>
      <c r="AQ193" s="208"/>
      <c r="AR193" s="226"/>
      <c r="AS193" s="225"/>
      <c r="AT193" s="226"/>
      <c r="AU193" s="225"/>
      <c r="AV193" s="225"/>
      <c r="AW193" s="225"/>
      <c r="AX193" s="225"/>
      <c r="AY193" s="225"/>
    </row>
    <row r="194" spans="33:51" x14ac:dyDescent="0.25">
      <c r="AG194" s="66">
        <f>IF(AND(Множество[[#This Row],[Y]]=1),ROW()-ROW(Множество[[#Headers],[№]]),"")</f>
        <v>185</v>
      </c>
      <c r="AH194" t="s">
        <v>608</v>
      </c>
      <c r="AI194" s="66">
        <v>1</v>
      </c>
      <c r="AJ194" s="66">
        <f>IF(LEN(Множество[[#This Row],[Свёртка]])&gt;0,1,-1)</f>
        <v>1</v>
      </c>
      <c r="AK194" s="66" t="s">
        <v>1781</v>
      </c>
      <c r="AL194" s="66">
        <f>IF(LEN(Множество[[#This Row],[Критерии]])&gt;0,1,-1)</f>
        <v>1</v>
      </c>
      <c r="AM194" s="66">
        <f>IF(AND(LEN(Множество[[#This Row],[Свёртка]])&gt;0,LEN(Множество[[#This Row],[Критерии]])&gt;0,LEN(Множество[[#This Row],[Оценки]])&gt;0),1,-1)</f>
        <v>1</v>
      </c>
      <c r="AN194">
        <v>2.85</v>
      </c>
      <c r="AO194">
        <v>-15.6</v>
      </c>
      <c r="AP194" s="208"/>
      <c r="AQ194" s="208"/>
      <c r="AR194" s="226"/>
      <c r="AS194" s="225"/>
      <c r="AT194" s="226"/>
      <c r="AU194" s="225"/>
      <c r="AV194" s="225"/>
      <c r="AW194" s="225"/>
      <c r="AX194" s="225"/>
      <c r="AY194" s="225"/>
    </row>
    <row r="195" spans="33:51" x14ac:dyDescent="0.25">
      <c r="AG195" s="66">
        <f>IF(AND(Множество[[#This Row],[Y]]=1),ROW()-ROW(Множество[[#Headers],[№]]),"")</f>
        <v>186</v>
      </c>
      <c r="AH195" t="s">
        <v>608</v>
      </c>
      <c r="AI195" s="66">
        <v>1</v>
      </c>
      <c r="AJ195" s="66">
        <f>IF(LEN(Множество[[#This Row],[Свёртка]])&gt;0,1,-1)</f>
        <v>1</v>
      </c>
      <c r="AK195" s="66" t="s">
        <v>1781</v>
      </c>
      <c r="AL195" s="66">
        <f>IF(LEN(Множество[[#This Row],[Критерии]])&gt;0,1,-1)</f>
        <v>1</v>
      </c>
      <c r="AM195" s="66">
        <f>IF(AND(LEN(Множество[[#This Row],[Свёртка]])&gt;0,LEN(Множество[[#This Row],[Критерии]])&gt;0,LEN(Множество[[#This Row],[Оценки]])&gt;0),1,-1)</f>
        <v>1</v>
      </c>
      <c r="AN195">
        <v>1.375</v>
      </c>
      <c r="AO195">
        <v>-14.216666666666701</v>
      </c>
      <c r="AP195" s="208"/>
      <c r="AQ195" s="208"/>
      <c r="AR195" s="226"/>
      <c r="AS195" s="225"/>
      <c r="AT195" s="226"/>
      <c r="AU195" s="225"/>
      <c r="AV195" s="225"/>
      <c r="AW195" s="225"/>
      <c r="AX195" s="225"/>
      <c r="AY195" s="225"/>
    </row>
    <row r="196" spans="33:51" x14ac:dyDescent="0.25">
      <c r="AG196" s="66">
        <f>IF(AND(Множество[[#This Row],[Y]]=1),ROW()-ROW(Множество[[#Headers],[№]]),"")</f>
        <v>187</v>
      </c>
      <c r="AH196" t="s">
        <v>608</v>
      </c>
      <c r="AI196" s="66">
        <v>1</v>
      </c>
      <c r="AJ196" s="66">
        <f>IF(LEN(Множество[[#This Row],[Свёртка]])&gt;0,1,-1)</f>
        <v>1</v>
      </c>
      <c r="AK196" s="66" t="s">
        <v>1781</v>
      </c>
      <c r="AL196" s="66">
        <f>IF(LEN(Множество[[#This Row],[Критерии]])&gt;0,1,-1)</f>
        <v>1</v>
      </c>
      <c r="AM196" s="66">
        <f>IF(AND(LEN(Множество[[#This Row],[Свёртка]])&gt;0,LEN(Множество[[#This Row],[Критерии]])&gt;0,LEN(Множество[[#This Row],[Оценки]])&gt;0),1,-1)</f>
        <v>1</v>
      </c>
      <c r="AN196">
        <v>1.3</v>
      </c>
      <c r="AO196">
        <v>-14.2</v>
      </c>
      <c r="AP196" s="208"/>
      <c r="AQ196" s="208"/>
      <c r="AR196" s="226"/>
      <c r="AS196" s="225"/>
      <c r="AT196" s="226"/>
      <c r="AU196" s="225"/>
      <c r="AV196" s="225"/>
      <c r="AW196" s="225"/>
      <c r="AX196" s="225"/>
      <c r="AY196" s="225"/>
    </row>
    <row r="197" spans="33:51" x14ac:dyDescent="0.25">
      <c r="AG197" s="66">
        <f>IF(AND(Множество[[#This Row],[Y]]=1),ROW()-ROW(Множество[[#Headers],[№]]),"")</f>
        <v>188</v>
      </c>
      <c r="AH197" t="s">
        <v>608</v>
      </c>
      <c r="AI197" s="66">
        <v>1</v>
      </c>
      <c r="AJ197" s="66">
        <f>IF(LEN(Множество[[#This Row],[Свёртка]])&gt;0,1,-1)</f>
        <v>1</v>
      </c>
      <c r="AK197" s="66" t="s">
        <v>1781</v>
      </c>
      <c r="AL197" s="66">
        <f>IF(LEN(Множество[[#This Row],[Критерии]])&gt;0,1,-1)</f>
        <v>1</v>
      </c>
      <c r="AM197" s="66">
        <f>IF(AND(LEN(Множество[[#This Row],[Свёртка]])&gt;0,LEN(Множество[[#This Row],[Критерии]])&gt;0,LEN(Множество[[#This Row],[Оценки]])&gt;0),1,-1)</f>
        <v>1</v>
      </c>
      <c r="AN197">
        <v>2.6166666666666698</v>
      </c>
      <c r="AO197">
        <v>-15.516666666666699</v>
      </c>
      <c r="AP197" s="208"/>
      <c r="AQ197" s="208"/>
      <c r="AR197" s="226"/>
      <c r="AS197" s="225"/>
      <c r="AT197" s="226"/>
      <c r="AU197" s="225"/>
      <c r="AV197" s="225"/>
      <c r="AW197" s="225"/>
      <c r="AX197" s="225"/>
      <c r="AY197" s="225"/>
    </row>
    <row r="198" spans="33:51" x14ac:dyDescent="0.25">
      <c r="AG198" s="66">
        <f>IF(AND(Множество[[#This Row],[Y]]=1),ROW()-ROW(Множество[[#Headers],[№]]),"")</f>
        <v>189</v>
      </c>
      <c r="AH198" t="s">
        <v>608</v>
      </c>
      <c r="AI198" s="66">
        <v>1</v>
      </c>
      <c r="AJ198" s="66">
        <f>IF(LEN(Множество[[#This Row],[Свёртка]])&gt;0,1,-1)</f>
        <v>1</v>
      </c>
      <c r="AK198" s="66" t="s">
        <v>1781</v>
      </c>
      <c r="AL198" s="66">
        <f>IF(LEN(Множество[[#This Row],[Критерии]])&gt;0,1,-1)</f>
        <v>1</v>
      </c>
      <c r="AM198" s="66">
        <f>IF(AND(LEN(Множество[[#This Row],[Свёртка]])&gt;0,LEN(Множество[[#This Row],[Критерии]])&gt;0,LEN(Множество[[#This Row],[Оценки]])&gt;0),1,-1)</f>
        <v>1</v>
      </c>
      <c r="AN198">
        <v>2.6749999999999998</v>
      </c>
      <c r="AO198">
        <v>-15.533333333333299</v>
      </c>
      <c r="AP198" s="208"/>
      <c r="AQ198" s="208"/>
      <c r="AR198" s="226"/>
      <c r="AS198" s="225"/>
      <c r="AT198" s="226"/>
      <c r="AU198" s="225"/>
      <c r="AV198" s="225"/>
      <c r="AW198" s="225"/>
      <c r="AX198" s="225"/>
      <c r="AY198" s="225"/>
    </row>
    <row r="199" spans="33:51" x14ac:dyDescent="0.25">
      <c r="AG199" s="66">
        <f>IF(AND(Множество[[#This Row],[Y]]=1),ROW()-ROW(Множество[[#Headers],[№]]),"")</f>
        <v>190</v>
      </c>
      <c r="AH199" t="s">
        <v>608</v>
      </c>
      <c r="AI199" s="66">
        <v>1</v>
      </c>
      <c r="AJ199" s="66">
        <f>IF(LEN(Множество[[#This Row],[Свёртка]])&gt;0,1,-1)</f>
        <v>1</v>
      </c>
      <c r="AK199" s="66" t="s">
        <v>1781</v>
      </c>
      <c r="AL199" s="66">
        <f>IF(LEN(Множество[[#This Row],[Критерии]])&gt;0,1,-1)</f>
        <v>1</v>
      </c>
      <c r="AM199" s="66">
        <f>IF(AND(LEN(Множество[[#This Row],[Свёртка]])&gt;0,LEN(Множество[[#This Row],[Критерии]])&gt;0,LEN(Множество[[#This Row],[Оценки]])&gt;0),1,-1)</f>
        <v>1</v>
      </c>
      <c r="AN199">
        <v>2.7333333333333298</v>
      </c>
      <c r="AO199">
        <v>-15.55</v>
      </c>
      <c r="AP199" s="208"/>
      <c r="AQ199" s="208"/>
      <c r="AR199" s="226"/>
      <c r="AS199" s="225"/>
      <c r="AT199" s="226"/>
      <c r="AU199" s="225"/>
      <c r="AV199" s="225"/>
      <c r="AW199" s="225"/>
      <c r="AX199" s="225"/>
      <c r="AY199" s="225"/>
    </row>
    <row r="200" spans="33:51" x14ac:dyDescent="0.25">
      <c r="AG200" s="66">
        <f>IF(AND(Множество[[#This Row],[Y]]=1),ROW()-ROW(Множество[[#Headers],[№]]),"")</f>
        <v>191</v>
      </c>
      <c r="AH200" t="s">
        <v>608</v>
      </c>
      <c r="AI200" s="66">
        <v>1</v>
      </c>
      <c r="AJ200" s="66">
        <f>IF(LEN(Множество[[#This Row],[Свёртка]])&gt;0,1,-1)</f>
        <v>1</v>
      </c>
      <c r="AK200" s="66" t="s">
        <v>1781</v>
      </c>
      <c r="AL200" s="66">
        <f>IF(LEN(Множество[[#This Row],[Критерии]])&gt;0,1,-1)</f>
        <v>1</v>
      </c>
      <c r="AM200" s="66">
        <f>IF(AND(LEN(Множество[[#This Row],[Свёртка]])&gt;0,LEN(Множество[[#This Row],[Критерии]])&gt;0,LEN(Множество[[#This Row],[Оценки]])&gt;0),1,-1)</f>
        <v>1</v>
      </c>
      <c r="AN200">
        <v>2.5</v>
      </c>
      <c r="AO200">
        <v>-15.466666666666701</v>
      </c>
      <c r="AP200" s="208"/>
      <c r="AQ200" s="208"/>
      <c r="AR200" s="226"/>
      <c r="AS200" s="225"/>
      <c r="AT200" s="226"/>
      <c r="AU200" s="225"/>
      <c r="AV200" s="225"/>
      <c r="AW200" s="225"/>
      <c r="AX200" s="225"/>
      <c r="AY200" s="225"/>
    </row>
    <row r="201" spans="33:51" x14ac:dyDescent="0.25">
      <c r="AG201" s="66">
        <f>IF(AND(Множество[[#This Row],[Y]]=1),ROW()-ROW(Множество[[#Headers],[№]]),"")</f>
        <v>192</v>
      </c>
      <c r="AH201" t="s">
        <v>608</v>
      </c>
      <c r="AI201" s="66">
        <v>1</v>
      </c>
      <c r="AJ201" s="66">
        <f>IF(LEN(Множество[[#This Row],[Свёртка]])&gt;0,1,-1)</f>
        <v>1</v>
      </c>
      <c r="AK201" s="66" t="s">
        <v>1781</v>
      </c>
      <c r="AL201" s="66">
        <f>IF(LEN(Множество[[#This Row],[Критерии]])&gt;0,1,-1)</f>
        <v>1</v>
      </c>
      <c r="AM201" s="66">
        <f>IF(AND(LEN(Множество[[#This Row],[Свёртка]])&gt;0,LEN(Множество[[#This Row],[Критерии]])&gt;0,LEN(Множество[[#This Row],[Оценки]])&gt;0),1,-1)</f>
        <v>1</v>
      </c>
      <c r="AN201">
        <v>1.1499999999999999</v>
      </c>
      <c r="AO201">
        <v>-14.15</v>
      </c>
      <c r="AP201" s="208"/>
      <c r="AQ201" s="208"/>
      <c r="AR201" s="226"/>
      <c r="AS201" s="225"/>
      <c r="AT201" s="226"/>
      <c r="AU201" s="225"/>
      <c r="AV201" s="225"/>
      <c r="AW201" s="225"/>
      <c r="AX201" s="225"/>
      <c r="AY201" s="225"/>
    </row>
    <row r="202" spans="33:51" x14ac:dyDescent="0.25">
      <c r="AG202" s="66">
        <f>IF(AND(Множество[[#This Row],[Y]]=1),ROW()-ROW(Множество[[#Headers],[№]]),"")</f>
        <v>193</v>
      </c>
      <c r="AH202" t="s">
        <v>608</v>
      </c>
      <c r="AI202" s="66">
        <v>1</v>
      </c>
      <c r="AJ202" s="66">
        <f>IF(LEN(Множество[[#This Row],[Свёртка]])&gt;0,1,-1)</f>
        <v>1</v>
      </c>
      <c r="AK202" s="66" t="s">
        <v>1781</v>
      </c>
      <c r="AL202" s="66">
        <f>IF(LEN(Множество[[#This Row],[Критерии]])&gt;0,1,-1)</f>
        <v>1</v>
      </c>
      <c r="AM202" s="66">
        <f>IF(AND(LEN(Множество[[#This Row],[Свёртка]])&gt;0,LEN(Множество[[#This Row],[Критерии]])&gt;0,LEN(Множество[[#This Row],[Оценки]])&gt;0),1,-1)</f>
        <v>1</v>
      </c>
      <c r="AN202">
        <v>2.55833333333333</v>
      </c>
      <c r="AO202">
        <v>-15.483333333333301</v>
      </c>
      <c r="AP202" s="208"/>
      <c r="AQ202" s="208"/>
      <c r="AR202" s="226"/>
      <c r="AS202" s="225"/>
      <c r="AT202" s="226"/>
      <c r="AU202" s="225"/>
      <c r="AV202" s="225"/>
      <c r="AW202" s="225"/>
      <c r="AX202" s="225"/>
      <c r="AY202" s="225"/>
    </row>
    <row r="203" spans="33:51" x14ac:dyDescent="0.25">
      <c r="AG203" s="66">
        <f>IF(AND(Множество[[#This Row],[Y]]=1),ROW()-ROW(Множество[[#Headers],[№]]),"")</f>
        <v>194</v>
      </c>
      <c r="AH203" t="s">
        <v>608</v>
      </c>
      <c r="AI203" s="66">
        <v>1</v>
      </c>
      <c r="AJ203" s="66">
        <f>IF(LEN(Множество[[#This Row],[Свёртка]])&gt;0,1,-1)</f>
        <v>1</v>
      </c>
      <c r="AK203" s="66" t="s">
        <v>1781</v>
      </c>
      <c r="AL203" s="66">
        <f>IF(LEN(Множество[[#This Row],[Критерии]])&gt;0,1,-1)</f>
        <v>1</v>
      </c>
      <c r="AM203" s="66">
        <f>IF(AND(LEN(Множество[[#This Row],[Свёртка]])&gt;0,LEN(Множество[[#This Row],[Критерии]])&gt;0,LEN(Множество[[#This Row],[Оценки]])&gt;0),1,-1)</f>
        <v>1</v>
      </c>
      <c r="AN203">
        <v>1.2250000000000001</v>
      </c>
      <c r="AO203">
        <v>-14.1666666666667</v>
      </c>
      <c r="AP203" s="208"/>
      <c r="AQ203" s="208"/>
      <c r="AR203" s="226"/>
      <c r="AS203" s="225"/>
      <c r="AT203" s="226"/>
      <c r="AU203" s="225"/>
      <c r="AV203" s="225"/>
      <c r="AW203" s="225"/>
      <c r="AX203" s="225"/>
      <c r="AY203" s="225"/>
    </row>
    <row r="204" spans="33:51" x14ac:dyDescent="0.25">
      <c r="AG204" s="66">
        <f>IF(AND(Множество[[#This Row],[Y]]=1),ROW()-ROW(Множество[[#Headers],[№]]),"")</f>
        <v>195</v>
      </c>
      <c r="AH204" t="s">
        <v>608</v>
      </c>
      <c r="AI204" s="66">
        <v>1</v>
      </c>
      <c r="AJ204" s="66">
        <f>IF(LEN(Множество[[#This Row],[Свёртка]])&gt;0,1,-1)</f>
        <v>1</v>
      </c>
      <c r="AK204" s="66" t="s">
        <v>1781</v>
      </c>
      <c r="AL204" s="66">
        <f>IF(LEN(Множество[[#This Row],[Критерии]])&gt;0,1,-1)</f>
        <v>1</v>
      </c>
      <c r="AM204" s="66">
        <f>IF(AND(LEN(Множество[[#This Row],[Свёртка]])&gt;0,LEN(Множество[[#This Row],[Критерии]])&gt;0,LEN(Множество[[#This Row],[Оценки]])&gt;0),1,-1)</f>
        <v>1</v>
      </c>
      <c r="AN204">
        <v>1.075</v>
      </c>
      <c r="AO204">
        <v>-14.133333333333301</v>
      </c>
      <c r="AP204" s="208"/>
      <c r="AQ204" s="208"/>
      <c r="AR204" s="226"/>
      <c r="AS204" s="225"/>
      <c r="AT204" s="226"/>
      <c r="AU204" s="225"/>
      <c r="AV204" s="225"/>
      <c r="AW204" s="225"/>
      <c r="AX204" s="225"/>
      <c r="AY204" s="225"/>
    </row>
    <row r="205" spans="33:51" x14ac:dyDescent="0.25">
      <c r="AG205" s="66">
        <f>IF(AND(Множество[[#This Row],[Y]]=1),ROW()-ROW(Множество[[#Headers],[№]]),"")</f>
        <v>196</v>
      </c>
      <c r="AH205" t="s">
        <v>608</v>
      </c>
      <c r="AI205" s="66">
        <v>1</v>
      </c>
      <c r="AJ205" s="66">
        <f>IF(LEN(Множество[[#This Row],[Свёртка]])&gt;0,1,-1)</f>
        <v>1</v>
      </c>
      <c r="AK205" s="66" t="s">
        <v>1781</v>
      </c>
      <c r="AL205" s="66">
        <f>IF(LEN(Множество[[#This Row],[Критерии]])&gt;0,1,-1)</f>
        <v>1</v>
      </c>
      <c r="AM205" s="66">
        <f>IF(AND(LEN(Множество[[#This Row],[Свёртка]])&gt;0,LEN(Множество[[#This Row],[Критерии]])&gt;0,LEN(Множество[[#This Row],[Оценки]])&gt;0),1,-1)</f>
        <v>1</v>
      </c>
      <c r="AN205">
        <v>2.4249999999999998</v>
      </c>
      <c r="AO205">
        <v>-15.483333333333301</v>
      </c>
      <c r="AP205" s="208"/>
      <c r="AQ205" s="208"/>
      <c r="AR205" s="226"/>
      <c r="AS205" s="225"/>
      <c r="AT205" s="226"/>
      <c r="AU205" s="225"/>
      <c r="AV205" s="225"/>
      <c r="AW205" s="225"/>
      <c r="AX205" s="225"/>
      <c r="AY205" s="225"/>
    </row>
    <row r="206" spans="33:51" x14ac:dyDescent="0.25">
      <c r="AG206" s="66">
        <f>IF(AND(Множество[[#This Row],[Y]]=1),ROW()-ROW(Множество[[#Headers],[№]]),"")</f>
        <v>197</v>
      </c>
      <c r="AH206" t="s">
        <v>608</v>
      </c>
      <c r="AI206" s="66">
        <v>1</v>
      </c>
      <c r="AJ206" s="66">
        <f>IF(LEN(Множество[[#This Row],[Свёртка]])&gt;0,1,-1)</f>
        <v>1</v>
      </c>
      <c r="AK206" s="66" t="s">
        <v>1781</v>
      </c>
      <c r="AL206" s="66">
        <f>IF(LEN(Множество[[#This Row],[Критерии]])&gt;0,1,-1)</f>
        <v>1</v>
      </c>
      <c r="AM206" s="66">
        <f>IF(AND(LEN(Множество[[#This Row],[Свёртка]])&gt;0,LEN(Множество[[#This Row],[Критерии]])&gt;0,LEN(Множество[[#This Row],[Оценки]])&gt;0),1,-1)</f>
        <v>1</v>
      </c>
      <c r="AN206">
        <v>2.35</v>
      </c>
      <c r="AO206">
        <v>-15.516666666666699</v>
      </c>
      <c r="AP206" s="208"/>
      <c r="AQ206" s="208"/>
      <c r="AR206" s="226"/>
      <c r="AS206" s="225"/>
      <c r="AT206" s="226"/>
      <c r="AU206" s="225"/>
      <c r="AV206" s="225"/>
      <c r="AW206" s="225"/>
      <c r="AX206" s="225"/>
      <c r="AY206" s="225"/>
    </row>
    <row r="207" spans="33:51" x14ac:dyDescent="0.25">
      <c r="AG207" s="66">
        <f>IF(AND(Множество[[#This Row],[Y]]=1),ROW()-ROW(Множество[[#Headers],[№]]),"")</f>
        <v>198</v>
      </c>
      <c r="AH207" t="s">
        <v>608</v>
      </c>
      <c r="AI207" s="66">
        <v>1</v>
      </c>
      <c r="AJ207" s="66">
        <f>IF(LEN(Множество[[#This Row],[Свёртка]])&gt;0,1,-1)</f>
        <v>1</v>
      </c>
      <c r="AK207" s="66" t="s">
        <v>1781</v>
      </c>
      <c r="AL207" s="66">
        <f>IF(LEN(Множество[[#This Row],[Критерии]])&gt;0,1,-1)</f>
        <v>1</v>
      </c>
      <c r="AM207" s="66">
        <f>IF(AND(LEN(Множество[[#This Row],[Свёртка]])&gt;0,LEN(Множество[[#This Row],[Критерии]])&gt;0,LEN(Множество[[#This Row],[Оценки]])&gt;0),1,-1)</f>
        <v>1</v>
      </c>
      <c r="AN207">
        <v>0.999999999999996</v>
      </c>
      <c r="AO207">
        <v>-14.1</v>
      </c>
      <c r="AP207" s="208"/>
      <c r="AQ207" s="208"/>
      <c r="AR207" s="226"/>
      <c r="AS207" s="225"/>
      <c r="AT207" s="226"/>
      <c r="AU207" s="225"/>
      <c r="AV207" s="225"/>
      <c r="AW207" s="225"/>
      <c r="AX207" s="225"/>
      <c r="AY207" s="225"/>
    </row>
    <row r="208" spans="33:51" x14ac:dyDescent="0.25">
      <c r="AG208" s="66">
        <f>IF(AND(Множество[[#This Row],[Y]]=1),ROW()-ROW(Множество[[#Headers],[№]]),"")</f>
        <v>199</v>
      </c>
      <c r="AH208" t="s">
        <v>608</v>
      </c>
      <c r="AI208" s="66">
        <v>1</v>
      </c>
      <c r="AJ208" s="66">
        <f>IF(LEN(Множество[[#This Row],[Свёртка]])&gt;0,1,-1)</f>
        <v>1</v>
      </c>
      <c r="AK208" s="66" t="s">
        <v>1781</v>
      </c>
      <c r="AL208" s="66">
        <f>IF(LEN(Множество[[#This Row],[Критерии]])&gt;0,1,-1)</f>
        <v>1</v>
      </c>
      <c r="AM208" s="66">
        <f>IF(AND(LEN(Множество[[#This Row],[Свёртка]])&gt;0,LEN(Множество[[#This Row],[Критерии]])&gt;0,LEN(Множество[[#This Row],[Оценки]])&gt;0),1,-1)</f>
        <v>1</v>
      </c>
      <c r="AN208">
        <v>0.92500000000000104</v>
      </c>
      <c r="AO208">
        <v>-14.0833333333333</v>
      </c>
      <c r="AP208" s="208"/>
      <c r="AQ208" s="208"/>
      <c r="AR208" s="226"/>
      <c r="AS208" s="225"/>
      <c r="AT208" s="226"/>
      <c r="AU208" s="225"/>
      <c r="AV208" s="225"/>
      <c r="AW208" s="225"/>
      <c r="AX208" s="225"/>
      <c r="AY208" s="225"/>
    </row>
    <row r="209" spans="33:51" x14ac:dyDescent="0.25">
      <c r="AG209" s="66">
        <f>IF(AND(Множество[[#This Row],[Y]]=1),ROW()-ROW(Множество[[#Headers],[№]]),"")</f>
        <v>200</v>
      </c>
      <c r="AH209" t="s">
        <v>608</v>
      </c>
      <c r="AI209" s="66">
        <v>1</v>
      </c>
      <c r="AJ209" s="66">
        <f>IF(LEN(Множество[[#This Row],[Свёртка]])&gt;0,1,-1)</f>
        <v>1</v>
      </c>
      <c r="AK209" s="66" t="s">
        <v>1781</v>
      </c>
      <c r="AL209" s="66">
        <f>IF(LEN(Множество[[#This Row],[Критерии]])&gt;0,1,-1)</f>
        <v>1</v>
      </c>
      <c r="AM209" s="66">
        <f>IF(AND(LEN(Множество[[#This Row],[Свёртка]])&gt;0,LEN(Множество[[#This Row],[Критерии]])&gt;0,LEN(Множество[[#This Row],[Оценки]])&gt;0),1,-1)</f>
        <v>1</v>
      </c>
      <c r="AN209">
        <v>0.84999999999999798</v>
      </c>
      <c r="AO209">
        <v>-14.0666666666667</v>
      </c>
      <c r="AP209" s="208"/>
      <c r="AQ209" s="208"/>
      <c r="AR209" s="226"/>
      <c r="AS209" s="225"/>
      <c r="AT209" s="226"/>
      <c r="AU209" s="225"/>
      <c r="AV209" s="225"/>
      <c r="AW209" s="225"/>
      <c r="AX209" s="225"/>
      <c r="AY209" s="225"/>
    </row>
    <row r="210" spans="33:51" x14ac:dyDescent="0.25">
      <c r="AG210" s="66">
        <f>IF(AND(Множество[[#This Row],[Y]]=1),ROW()-ROW(Множество[[#Headers],[№]]),"")</f>
        <v>201</v>
      </c>
      <c r="AH210" t="s">
        <v>608</v>
      </c>
      <c r="AI210" s="66">
        <v>1</v>
      </c>
      <c r="AJ210" s="66">
        <f>IF(LEN(Множество[[#This Row],[Свёртка]])&gt;0,1,-1)</f>
        <v>1</v>
      </c>
      <c r="AK210" s="66" t="s">
        <v>1781</v>
      </c>
      <c r="AL210" s="66">
        <f>IF(LEN(Множество[[#This Row],[Критерии]])&gt;0,1,-1)</f>
        <v>1</v>
      </c>
      <c r="AM210" s="66">
        <f>IF(AND(LEN(Множество[[#This Row],[Свёртка]])&gt;0,LEN(Множество[[#This Row],[Критерии]])&gt;0,LEN(Множество[[#This Row],[Оценки]])&gt;0),1,-1)</f>
        <v>1</v>
      </c>
      <c r="AN210">
        <v>0.77499999999999902</v>
      </c>
      <c r="AO210">
        <v>-14.05</v>
      </c>
      <c r="AP210" s="208"/>
      <c r="AQ210" s="208"/>
      <c r="AR210" s="226"/>
      <c r="AS210" s="225"/>
      <c r="AT210" s="226"/>
      <c r="AU210" s="225"/>
      <c r="AV210" s="225"/>
      <c r="AW210" s="225"/>
      <c r="AX210" s="225"/>
      <c r="AY210" s="225"/>
    </row>
    <row r="211" spans="33:51" x14ac:dyDescent="0.25">
      <c r="AG211" s="66">
        <f>IF(AND(Множество[[#This Row],[Y]]=1),ROW()-ROW(Множество[[#Headers],[№]]),"")</f>
        <v>202</v>
      </c>
      <c r="AH211" t="s">
        <v>608</v>
      </c>
      <c r="AI211" s="66">
        <v>1</v>
      </c>
      <c r="AJ211" s="66">
        <f>IF(LEN(Множество[[#This Row],[Свёртка]])&gt;0,1,-1)</f>
        <v>1</v>
      </c>
      <c r="AK211" s="66" t="s">
        <v>1781</v>
      </c>
      <c r="AL211" s="66">
        <f>IF(LEN(Множество[[#This Row],[Критерии]])&gt;0,1,-1)</f>
        <v>1</v>
      </c>
      <c r="AM211" s="66">
        <f>IF(AND(LEN(Множество[[#This Row],[Свёртка]])&gt;0,LEN(Множество[[#This Row],[Критерии]])&gt;0,LEN(Множество[[#This Row],[Оценки]])&gt;0),1,-1)</f>
        <v>1</v>
      </c>
      <c r="AN211">
        <v>2.2749999999999999</v>
      </c>
      <c r="AO211">
        <v>-15.533333333333299</v>
      </c>
      <c r="AP211" s="208"/>
      <c r="AQ211" s="208"/>
      <c r="AR211" s="226"/>
      <c r="AS211" s="225"/>
      <c r="AT211" s="226"/>
      <c r="AU211" s="225"/>
      <c r="AV211" s="225"/>
      <c r="AW211" s="225"/>
      <c r="AX211" s="225"/>
      <c r="AY211" s="225"/>
    </row>
    <row r="212" spans="33:51" x14ac:dyDescent="0.25">
      <c r="AG212" s="66">
        <f>IF(AND(Множество[[#This Row],[Y]]=1),ROW()-ROW(Множество[[#Headers],[№]]),"")</f>
        <v>203</v>
      </c>
      <c r="AH212" t="s">
        <v>608</v>
      </c>
      <c r="AI212" s="66">
        <v>1</v>
      </c>
      <c r="AJ212" s="66">
        <f>IF(LEN(Множество[[#This Row],[Свёртка]])&gt;0,1,-1)</f>
        <v>1</v>
      </c>
      <c r="AK212" s="66" t="s">
        <v>1781</v>
      </c>
      <c r="AL212" s="66">
        <f>IF(LEN(Множество[[#This Row],[Критерии]])&gt;0,1,-1)</f>
        <v>1</v>
      </c>
      <c r="AM212" s="66">
        <f>IF(AND(LEN(Множество[[#This Row],[Свёртка]])&gt;0,LEN(Множество[[#This Row],[Критерии]])&gt;0,LEN(Множество[[#This Row],[Оценки]])&gt;0),1,-1)</f>
        <v>1</v>
      </c>
      <c r="AN212">
        <v>0.625</v>
      </c>
      <c r="AO212">
        <v>-14</v>
      </c>
      <c r="AP212" s="208"/>
      <c r="AQ212" s="208"/>
      <c r="AR212" s="226"/>
      <c r="AS212" s="225"/>
      <c r="AT212" s="226"/>
      <c r="AU212" s="225"/>
      <c r="AV212" s="225"/>
      <c r="AW212" s="225"/>
      <c r="AX212" s="225"/>
      <c r="AY212" s="225"/>
    </row>
    <row r="213" spans="33:51" x14ac:dyDescent="0.25">
      <c r="AG213" s="66">
        <f>IF(AND(Множество[[#This Row],[Y]]=1),ROW()-ROW(Множество[[#Headers],[№]]),"")</f>
        <v>204</v>
      </c>
      <c r="AH213" t="s">
        <v>608</v>
      </c>
      <c r="AI213" s="66">
        <v>1</v>
      </c>
      <c r="AJ213" s="66">
        <f>IF(LEN(Множество[[#This Row],[Свёртка]])&gt;0,1,-1)</f>
        <v>1</v>
      </c>
      <c r="AK213" s="66" t="s">
        <v>1781</v>
      </c>
      <c r="AL213" s="66">
        <f>IF(LEN(Множество[[#This Row],[Критерии]])&gt;0,1,-1)</f>
        <v>1</v>
      </c>
      <c r="AM213" s="66">
        <f>IF(AND(LEN(Множество[[#This Row],[Свёртка]])&gt;0,LEN(Множество[[#This Row],[Критерии]])&gt;0,LEN(Множество[[#This Row],[Оценки]])&gt;0),1,-1)</f>
        <v>1</v>
      </c>
      <c r="AN213">
        <v>0.69999999999999896</v>
      </c>
      <c r="AO213">
        <v>-14.016666666666699</v>
      </c>
      <c r="AP213" s="208"/>
      <c r="AQ213" s="208"/>
      <c r="AR213" s="226"/>
      <c r="AS213" s="225"/>
      <c r="AT213" s="226"/>
      <c r="AU213" s="225"/>
      <c r="AV213" s="225"/>
      <c r="AW213" s="225"/>
      <c r="AX213" s="225"/>
      <c r="AY213" s="225"/>
    </row>
    <row r="214" spans="33:51" x14ac:dyDescent="0.25">
      <c r="AG214" s="66">
        <f>IF(AND(Множество[[#This Row],[Y]]=1),ROW()-ROW(Множество[[#Headers],[№]]),"")</f>
        <v>205</v>
      </c>
      <c r="AH214" t="s">
        <v>608</v>
      </c>
      <c r="AI214" s="66">
        <v>1</v>
      </c>
      <c r="AJ214" s="66">
        <f>IF(LEN(Множество[[#This Row],[Свёртка]])&gt;0,1,-1)</f>
        <v>1</v>
      </c>
      <c r="AK214" s="66" t="s">
        <v>1781</v>
      </c>
      <c r="AL214" s="66">
        <f>IF(LEN(Множество[[#This Row],[Критерии]])&gt;0,1,-1)</f>
        <v>1</v>
      </c>
      <c r="AM214" s="66">
        <f>IF(AND(LEN(Множество[[#This Row],[Свёртка]])&gt;0,LEN(Множество[[#This Row],[Критерии]])&gt;0,LEN(Множество[[#This Row],[Оценки]])&gt;0),1,-1)</f>
        <v>1</v>
      </c>
      <c r="AN214">
        <v>2.2000000000000002</v>
      </c>
      <c r="AO214">
        <v>-15.55</v>
      </c>
      <c r="AP214" s="208"/>
      <c r="AQ214" s="208"/>
      <c r="AR214" s="226"/>
      <c r="AS214" s="225"/>
      <c r="AT214" s="226"/>
      <c r="AU214" s="225"/>
      <c r="AV214" s="225"/>
      <c r="AW214" s="225"/>
      <c r="AX214" s="225"/>
      <c r="AY214" s="225"/>
    </row>
    <row r="215" spans="33:51" x14ac:dyDescent="0.25">
      <c r="AG215" s="66">
        <f>IF(AND(Множество[[#This Row],[Y]]=1),ROW()-ROW(Множество[[#Headers],[№]]),"")</f>
        <v>206</v>
      </c>
      <c r="AH215" t="s">
        <v>608</v>
      </c>
      <c r="AI215" s="66">
        <v>1</v>
      </c>
      <c r="AJ215" s="66">
        <f>IF(LEN(Множество[[#This Row],[Свёртка]])&gt;0,1,-1)</f>
        <v>1</v>
      </c>
      <c r="AK215" s="66" t="s">
        <v>1781</v>
      </c>
      <c r="AL215" s="66">
        <f>IF(LEN(Множество[[#This Row],[Критерии]])&gt;0,1,-1)</f>
        <v>1</v>
      </c>
      <c r="AM215" s="66">
        <f>IF(AND(LEN(Множество[[#This Row],[Свёртка]])&gt;0,LEN(Множество[[#This Row],[Критерии]])&gt;0,LEN(Множество[[#This Row],[Оценки]])&gt;0),1,-1)</f>
        <v>1</v>
      </c>
      <c r="AN215">
        <v>2.125</v>
      </c>
      <c r="AO215">
        <v>-15.5666666666667</v>
      </c>
      <c r="AP215" s="208"/>
      <c r="AQ215" s="208"/>
      <c r="AR215" s="226"/>
      <c r="AS215" s="225"/>
      <c r="AT215" s="226"/>
      <c r="AU215" s="225"/>
      <c r="AV215" s="225"/>
      <c r="AW215" s="225"/>
      <c r="AX215" s="225"/>
      <c r="AY215" s="225"/>
    </row>
    <row r="216" spans="33:51" x14ac:dyDescent="0.25">
      <c r="AG216" s="66">
        <f>IF(AND(Множество[[#This Row],[Y]]=1),ROW()-ROW(Множество[[#Headers],[№]]),"")</f>
        <v>207</v>
      </c>
      <c r="AH216" t="s">
        <v>608</v>
      </c>
      <c r="AI216" s="66">
        <v>1</v>
      </c>
      <c r="AJ216" s="66">
        <f>IF(LEN(Множество[[#This Row],[Свёртка]])&gt;0,1,-1)</f>
        <v>1</v>
      </c>
      <c r="AK216" s="66" t="s">
        <v>1781</v>
      </c>
      <c r="AL216" s="66">
        <f>IF(LEN(Множество[[#This Row],[Критерии]])&gt;0,1,-1)</f>
        <v>1</v>
      </c>
      <c r="AM216" s="66">
        <f>IF(AND(LEN(Множество[[#This Row],[Свёртка]])&gt;0,LEN(Множество[[#This Row],[Критерии]])&gt;0,LEN(Множество[[#This Row],[Оценки]])&gt;0),1,-1)</f>
        <v>1</v>
      </c>
      <c r="AN216">
        <v>0.47500000000000098</v>
      </c>
      <c r="AO216">
        <v>-13.966666666666701</v>
      </c>
      <c r="AP216" s="208"/>
      <c r="AQ216" s="208"/>
      <c r="AR216" s="226"/>
      <c r="AS216" s="225"/>
      <c r="AT216" s="226"/>
      <c r="AU216" s="225"/>
      <c r="AV216" s="225"/>
      <c r="AW216" s="225"/>
      <c r="AX216" s="225"/>
      <c r="AY216" s="225"/>
    </row>
    <row r="217" spans="33:51" x14ac:dyDescent="0.25">
      <c r="AG217" s="66">
        <f>IF(AND(Множество[[#This Row],[Y]]=1),ROW()-ROW(Множество[[#Headers],[№]]),"")</f>
        <v>208</v>
      </c>
      <c r="AH217" t="s">
        <v>608</v>
      </c>
      <c r="AI217" s="66">
        <v>1</v>
      </c>
      <c r="AJ217" s="66">
        <f>IF(LEN(Множество[[#This Row],[Свёртка]])&gt;0,1,-1)</f>
        <v>1</v>
      </c>
      <c r="AK217" s="66" t="s">
        <v>1781</v>
      </c>
      <c r="AL217" s="66">
        <f>IF(LEN(Множество[[#This Row],[Критерии]])&gt;0,1,-1)</f>
        <v>1</v>
      </c>
      <c r="AM217" s="66">
        <f>IF(AND(LEN(Множество[[#This Row],[Свёртка]])&gt;0,LEN(Множество[[#This Row],[Критерии]])&gt;0,LEN(Множество[[#This Row],[Оценки]])&gt;0),1,-1)</f>
        <v>1</v>
      </c>
      <c r="AN217">
        <v>0.55000000000000104</v>
      </c>
      <c r="AO217">
        <v>-13.983333333333301</v>
      </c>
      <c r="AP217" s="208"/>
      <c r="AQ217" s="208"/>
      <c r="AR217" s="226"/>
      <c r="AS217" s="225"/>
      <c r="AT217" s="226"/>
      <c r="AU217" s="225"/>
      <c r="AV217" s="225"/>
      <c r="AW217" s="225"/>
      <c r="AX217" s="225"/>
      <c r="AY217" s="225"/>
    </row>
    <row r="218" spans="33:51" x14ac:dyDescent="0.25">
      <c r="AG218" s="66">
        <f>IF(AND(Множество[[#This Row],[Y]]=1),ROW()-ROW(Множество[[#Headers],[№]]),"")</f>
        <v>209</v>
      </c>
      <c r="AH218" t="s">
        <v>608</v>
      </c>
      <c r="AI218" s="66">
        <v>1</v>
      </c>
      <c r="AJ218" s="66">
        <f>IF(LEN(Множество[[#This Row],[Свёртка]])&gt;0,1,-1)</f>
        <v>1</v>
      </c>
      <c r="AK218" s="66" t="s">
        <v>1781</v>
      </c>
      <c r="AL218" s="66">
        <f>IF(LEN(Множество[[#This Row],[Критерии]])&gt;0,1,-1)</f>
        <v>1</v>
      </c>
      <c r="AM218" s="66">
        <f>IF(AND(LEN(Множество[[#This Row],[Свёртка]])&gt;0,LEN(Множество[[#This Row],[Критерии]])&gt;0,LEN(Множество[[#This Row],[Оценки]])&gt;0),1,-1)</f>
        <v>1</v>
      </c>
      <c r="AN218">
        <v>0.40000000000000202</v>
      </c>
      <c r="AO218">
        <v>-13.9333333333333</v>
      </c>
      <c r="AP218" s="208"/>
      <c r="AQ218" s="208"/>
      <c r="AR218" s="226"/>
      <c r="AS218" s="225"/>
      <c r="AT218" s="226"/>
      <c r="AU218" s="225"/>
      <c r="AV218" s="225"/>
      <c r="AW218" s="225"/>
      <c r="AX218" s="225"/>
      <c r="AY218" s="225"/>
    </row>
    <row r="219" spans="33:51" x14ac:dyDescent="0.25">
      <c r="AG219" s="66">
        <f>IF(AND(Множество[[#This Row],[Y]]=1),ROW()-ROW(Множество[[#Headers],[№]]),"")</f>
        <v>210</v>
      </c>
      <c r="AH219" t="s">
        <v>608</v>
      </c>
      <c r="AI219" s="66">
        <v>1</v>
      </c>
      <c r="AJ219" s="66">
        <f>IF(LEN(Множество[[#This Row],[Свёртка]])&gt;0,1,-1)</f>
        <v>1</v>
      </c>
      <c r="AK219" s="66" t="s">
        <v>1781</v>
      </c>
      <c r="AL219" s="66">
        <f>IF(LEN(Множество[[#This Row],[Критерии]])&gt;0,1,-1)</f>
        <v>1</v>
      </c>
      <c r="AM219" s="66">
        <f>IF(AND(LEN(Множество[[#This Row],[Свёртка]])&gt;0,LEN(Множество[[#This Row],[Критерии]])&gt;0,LEN(Множество[[#This Row],[Оценки]])&gt;0),1,-1)</f>
        <v>1</v>
      </c>
      <c r="AN219">
        <v>1.9750000000000001</v>
      </c>
      <c r="AO219">
        <v>-15.616666666666699</v>
      </c>
      <c r="AP219" s="208"/>
      <c r="AQ219" s="208"/>
      <c r="AR219" s="226"/>
      <c r="AS219" s="225"/>
      <c r="AT219" s="226"/>
      <c r="AU219" s="225"/>
      <c r="AV219" s="225"/>
      <c r="AW219" s="225"/>
      <c r="AX219" s="225"/>
      <c r="AY219" s="225"/>
    </row>
    <row r="220" spans="33:51" x14ac:dyDescent="0.25">
      <c r="AG220" s="66">
        <f>IF(AND(Множество[[#This Row],[Y]]=1),ROW()-ROW(Множество[[#Headers],[№]]),"")</f>
        <v>211</v>
      </c>
      <c r="AH220" t="s">
        <v>608</v>
      </c>
      <c r="AI220" s="66">
        <v>1</v>
      </c>
      <c r="AJ220" s="66">
        <f>IF(LEN(Множество[[#This Row],[Свёртка]])&gt;0,1,-1)</f>
        <v>1</v>
      </c>
      <c r="AK220" s="66" t="s">
        <v>1781</v>
      </c>
      <c r="AL220" s="66">
        <f>IF(LEN(Множество[[#This Row],[Критерии]])&gt;0,1,-1)</f>
        <v>1</v>
      </c>
      <c r="AM220" s="66">
        <f>IF(AND(LEN(Множество[[#This Row],[Свёртка]])&gt;0,LEN(Множество[[#This Row],[Критерии]])&gt;0,LEN(Множество[[#This Row],[Оценки]])&gt;0),1,-1)</f>
        <v>1</v>
      </c>
      <c r="AN220">
        <v>2.0499999999999998</v>
      </c>
      <c r="AO220">
        <v>-15.6</v>
      </c>
      <c r="AP220" s="208"/>
      <c r="AQ220" s="208"/>
      <c r="AR220" s="226"/>
      <c r="AS220" s="225"/>
      <c r="AT220" s="226"/>
      <c r="AU220" s="225"/>
      <c r="AV220" s="225"/>
      <c r="AW220" s="225"/>
      <c r="AX220" s="225"/>
      <c r="AY220" s="225"/>
    </row>
    <row r="221" spans="33:51" x14ac:dyDescent="0.25">
      <c r="AG221" s="66">
        <f>IF(AND(Множество[[#This Row],[Y]]=1),ROW()-ROW(Множество[[#Headers],[№]]),"")</f>
        <v>212</v>
      </c>
      <c r="AH221" t="s">
        <v>608</v>
      </c>
      <c r="AI221" s="66">
        <v>1</v>
      </c>
      <c r="AJ221" s="66">
        <f>IF(LEN(Множество[[#This Row],[Свёртка]])&gt;0,1,-1)</f>
        <v>1</v>
      </c>
      <c r="AK221" s="66" t="s">
        <v>1781</v>
      </c>
      <c r="AL221" s="66">
        <f>IF(LEN(Множество[[#This Row],[Критерии]])&gt;0,1,-1)</f>
        <v>1</v>
      </c>
      <c r="AM221" s="66">
        <f>IF(AND(LEN(Множество[[#This Row],[Свёртка]])&gt;0,LEN(Множество[[#This Row],[Критерии]])&gt;0,LEN(Множество[[#This Row],[Оценки]])&gt;0),1,-1)</f>
        <v>1</v>
      </c>
      <c r="AN221">
        <v>0.32499999999999901</v>
      </c>
      <c r="AO221">
        <v>-13.9166666666667</v>
      </c>
      <c r="AP221" s="208"/>
      <c r="AQ221" s="208"/>
      <c r="AR221" s="226"/>
      <c r="AS221" s="225"/>
      <c r="AT221" s="226"/>
      <c r="AU221" s="225"/>
      <c r="AV221" s="225"/>
      <c r="AW221" s="225"/>
      <c r="AX221" s="225"/>
      <c r="AY221" s="225"/>
    </row>
    <row r="222" spans="33:51" x14ac:dyDescent="0.25">
      <c r="AG222" s="66">
        <f>IF(AND(Множество[[#This Row],[Y]]=1),ROW()-ROW(Множество[[#Headers],[№]]),"")</f>
        <v>213</v>
      </c>
      <c r="AH222" t="s">
        <v>608</v>
      </c>
      <c r="AI222" s="66">
        <v>1</v>
      </c>
      <c r="AJ222" s="66">
        <f>IF(LEN(Множество[[#This Row],[Свёртка]])&gt;0,1,-1)</f>
        <v>1</v>
      </c>
      <c r="AK222" s="66" t="s">
        <v>1781</v>
      </c>
      <c r="AL222" s="66">
        <f>IF(LEN(Множество[[#This Row],[Критерии]])&gt;0,1,-1)</f>
        <v>1</v>
      </c>
      <c r="AM222" s="66">
        <f>IF(AND(LEN(Множество[[#This Row],[Свёртка]])&gt;0,LEN(Множество[[#This Row],[Критерии]])&gt;0,LEN(Множество[[#This Row],[Оценки]])&gt;0),1,-1)</f>
        <v>1</v>
      </c>
      <c r="AN222">
        <v>0.25</v>
      </c>
      <c r="AO222">
        <v>-13.9</v>
      </c>
      <c r="AP222" s="208"/>
      <c r="AQ222" s="208"/>
      <c r="AR222" s="226"/>
      <c r="AS222" s="225"/>
      <c r="AT222" s="226"/>
      <c r="AU222" s="225"/>
      <c r="AV222" s="225"/>
      <c r="AW222" s="225"/>
      <c r="AX222" s="225"/>
      <c r="AY222" s="225"/>
    </row>
    <row r="223" spans="33:51" x14ac:dyDescent="0.25">
      <c r="AG223" s="66">
        <f>IF(AND(Множество[[#This Row],[Y]]=1),ROW()-ROW(Множество[[#Headers],[№]]),"")</f>
        <v>214</v>
      </c>
      <c r="AH223" t="s">
        <v>608</v>
      </c>
      <c r="AI223" s="66">
        <v>1</v>
      </c>
      <c r="AJ223" s="66">
        <f>IF(LEN(Множество[[#This Row],[Свёртка]])&gt;0,1,-1)</f>
        <v>1</v>
      </c>
      <c r="AK223" s="66" t="s">
        <v>1781</v>
      </c>
      <c r="AL223" s="66">
        <f>IF(LEN(Множество[[#This Row],[Критерии]])&gt;0,1,-1)</f>
        <v>1</v>
      </c>
      <c r="AM223" s="66">
        <f>IF(AND(LEN(Множество[[#This Row],[Свёртка]])&gt;0,LEN(Множество[[#This Row],[Критерии]])&gt;0,LEN(Множество[[#This Row],[Оценки]])&gt;0),1,-1)</f>
        <v>1</v>
      </c>
      <c r="AN223">
        <v>0.17499999999999699</v>
      </c>
      <c r="AO223">
        <v>-13.866666666666699</v>
      </c>
      <c r="AP223" s="208"/>
      <c r="AQ223" s="208"/>
      <c r="AR223" s="226"/>
      <c r="AS223" s="225"/>
      <c r="AT223" s="226"/>
      <c r="AU223" s="225"/>
      <c r="AV223" s="225"/>
      <c r="AW223" s="225"/>
      <c r="AX223" s="225"/>
      <c r="AY223" s="225"/>
    </row>
    <row r="224" spans="33:51" x14ac:dyDescent="0.25">
      <c r="AG224" s="66">
        <f>IF(AND(Множество[[#This Row],[Y]]=1),ROW()-ROW(Множество[[#Headers],[№]]),"")</f>
        <v>215</v>
      </c>
      <c r="AH224" t="s">
        <v>608</v>
      </c>
      <c r="AI224" s="66">
        <v>1</v>
      </c>
      <c r="AJ224" s="66">
        <f>IF(LEN(Множество[[#This Row],[Свёртка]])&gt;0,1,-1)</f>
        <v>1</v>
      </c>
      <c r="AK224" s="66" t="s">
        <v>1781</v>
      </c>
      <c r="AL224" s="66">
        <f>IF(LEN(Множество[[#This Row],[Критерии]])&gt;0,1,-1)</f>
        <v>1</v>
      </c>
      <c r="AM224" s="66">
        <f>IF(AND(LEN(Множество[[#This Row],[Свёртка]])&gt;0,LEN(Множество[[#This Row],[Критерии]])&gt;0,LEN(Множество[[#This Row],[Оценки]])&gt;0),1,-1)</f>
        <v>1</v>
      </c>
      <c r="AN224">
        <v>0.100000000000001</v>
      </c>
      <c r="AO224">
        <v>-13.85</v>
      </c>
      <c r="AP224" s="208"/>
      <c r="AQ224" s="208"/>
      <c r="AR224" s="226"/>
      <c r="AS224" s="225"/>
      <c r="AT224" s="226"/>
      <c r="AU224" s="225"/>
      <c r="AV224" s="225"/>
      <c r="AW224" s="225"/>
      <c r="AX224" s="225"/>
      <c r="AY224" s="225"/>
    </row>
    <row r="225" spans="33:51" x14ac:dyDescent="0.25">
      <c r="AG225" s="66">
        <f>IF(AND(Множество[[#This Row],[Y]]=1),ROW()-ROW(Множество[[#Headers],[№]]),"")</f>
        <v>216</v>
      </c>
      <c r="AH225" t="s">
        <v>608</v>
      </c>
      <c r="AI225" s="66">
        <v>1</v>
      </c>
      <c r="AJ225" s="66">
        <f>IF(LEN(Множество[[#This Row],[Свёртка]])&gt;0,1,-1)</f>
        <v>1</v>
      </c>
      <c r="AK225" s="66" t="s">
        <v>1781</v>
      </c>
      <c r="AL225" s="66">
        <f>IF(LEN(Множество[[#This Row],[Критерии]])&gt;0,1,-1)</f>
        <v>1</v>
      </c>
      <c r="AM225" s="66">
        <f>IF(AND(LEN(Множество[[#This Row],[Свёртка]])&gt;0,LEN(Множество[[#This Row],[Критерии]])&gt;0,LEN(Множество[[#This Row],[Оценки]])&gt;0),1,-1)</f>
        <v>1</v>
      </c>
      <c r="AN225">
        <v>1.9</v>
      </c>
      <c r="AO225">
        <v>-15.633333333333301</v>
      </c>
      <c r="AP225" s="208"/>
      <c r="AQ225" s="208"/>
      <c r="AR225" s="226"/>
      <c r="AS225" s="225"/>
      <c r="AT225" s="226"/>
      <c r="AU225" s="225"/>
      <c r="AV225" s="225"/>
      <c r="AW225" s="225"/>
      <c r="AX225" s="225"/>
      <c r="AY225" s="225"/>
    </row>
    <row r="226" spans="33:51" x14ac:dyDescent="0.25">
      <c r="AG226" s="66">
        <f>IF(AND(Множество[[#This Row],[Y]]=1),ROW()-ROW(Множество[[#Headers],[№]]),"")</f>
        <v>217</v>
      </c>
      <c r="AH226" t="s">
        <v>608</v>
      </c>
      <c r="AI226" s="66">
        <v>1</v>
      </c>
      <c r="AJ226" s="66">
        <f>IF(LEN(Множество[[#This Row],[Свёртка]])&gt;0,1,-1)</f>
        <v>1</v>
      </c>
      <c r="AK226" s="66" t="s">
        <v>1781</v>
      </c>
      <c r="AL226" s="66">
        <f>IF(LEN(Множество[[#This Row],[Критерии]])&gt;0,1,-1)</f>
        <v>1</v>
      </c>
      <c r="AM226" s="66">
        <f>IF(AND(LEN(Множество[[#This Row],[Свёртка]])&gt;0,LEN(Множество[[#This Row],[Критерии]])&gt;0,LEN(Множество[[#This Row],[Оценки]])&gt;0),1,-1)</f>
        <v>1</v>
      </c>
      <c r="AN226">
        <v>1.825</v>
      </c>
      <c r="AO226">
        <v>-15.65</v>
      </c>
      <c r="AP226" s="208"/>
      <c r="AQ226" s="208"/>
      <c r="AR226" s="226"/>
      <c r="AS226" s="225"/>
      <c r="AT226" s="226"/>
      <c r="AU226" s="225"/>
      <c r="AV226" s="225"/>
      <c r="AW226" s="225"/>
      <c r="AX226" s="225"/>
      <c r="AY226" s="225"/>
    </row>
    <row r="227" spans="33:51" x14ac:dyDescent="0.25">
      <c r="AG227" s="66">
        <f>IF(AND(Множество[[#This Row],[Y]]=1),ROW()-ROW(Множество[[#Headers],[№]]),"")</f>
        <v>218</v>
      </c>
      <c r="AH227" t="s">
        <v>608</v>
      </c>
      <c r="AI227" s="66">
        <v>1</v>
      </c>
      <c r="AJ227" s="66">
        <f>IF(LEN(Множество[[#This Row],[Свёртка]])&gt;0,1,-1)</f>
        <v>1</v>
      </c>
      <c r="AK227" s="66" t="s">
        <v>1781</v>
      </c>
      <c r="AL227" s="66">
        <f>IF(LEN(Множество[[#This Row],[Критерии]])&gt;0,1,-1)</f>
        <v>1</v>
      </c>
      <c r="AM227" s="66">
        <f>IF(AND(LEN(Множество[[#This Row],[Свёртка]])&gt;0,LEN(Множество[[#This Row],[Критерии]])&gt;0,LEN(Множество[[#This Row],[Оценки]])&gt;0),1,-1)</f>
        <v>1</v>
      </c>
      <c r="AN227" s="234">
        <v>-4.9999999999997199E-2</v>
      </c>
      <c r="AO227">
        <v>-13.8333333333333</v>
      </c>
      <c r="AP227" s="208"/>
      <c r="AQ227" s="208"/>
      <c r="AR227" s="226"/>
      <c r="AS227" s="225"/>
      <c r="AT227" s="226"/>
      <c r="AU227" s="225"/>
      <c r="AV227" s="225"/>
      <c r="AW227" s="225"/>
      <c r="AX227" s="225"/>
      <c r="AY227" s="225"/>
    </row>
    <row r="228" spans="33:51" x14ac:dyDescent="0.25">
      <c r="AG228" s="66">
        <f>IF(AND(Множество[[#This Row],[Y]]=1),ROW()-ROW(Множество[[#Headers],[№]]),"")</f>
        <v>219</v>
      </c>
      <c r="AH228" t="s">
        <v>608</v>
      </c>
      <c r="AI228" s="66">
        <v>1</v>
      </c>
      <c r="AJ228" s="66">
        <f>IF(LEN(Множество[[#This Row],[Свёртка]])&gt;0,1,-1)</f>
        <v>1</v>
      </c>
      <c r="AK228" s="66" t="s">
        <v>1781</v>
      </c>
      <c r="AL228" s="66">
        <f>IF(LEN(Множество[[#This Row],[Критерии]])&gt;0,1,-1)</f>
        <v>1</v>
      </c>
      <c r="AM228" s="66">
        <f>IF(AND(LEN(Множество[[#This Row],[Свёртка]])&gt;0,LEN(Множество[[#This Row],[Критерии]])&gt;0,LEN(Множество[[#This Row],[Оценки]])&gt;0),1,-1)</f>
        <v>1</v>
      </c>
      <c r="AN228" s="234">
        <v>2.49999999999986E-2</v>
      </c>
      <c r="AO228">
        <v>-13.8333333333333</v>
      </c>
      <c r="AP228" s="208"/>
      <c r="AQ228" s="208"/>
      <c r="AR228" s="226"/>
      <c r="AS228" s="225"/>
      <c r="AT228" s="226"/>
      <c r="AU228" s="225"/>
      <c r="AV228" s="225"/>
      <c r="AW228" s="225"/>
      <c r="AX228" s="225"/>
      <c r="AY228" s="225"/>
    </row>
    <row r="229" spans="33:51" x14ac:dyDescent="0.25">
      <c r="AG229" s="66">
        <f>IF(AND(Множество[[#This Row],[Y]]=1),ROW()-ROW(Множество[[#Headers],[№]]),"")</f>
        <v>220</v>
      </c>
      <c r="AH229" t="s">
        <v>608</v>
      </c>
      <c r="AI229" s="66">
        <v>1</v>
      </c>
      <c r="AJ229" s="66">
        <f>IF(LEN(Множество[[#This Row],[Свёртка]])&gt;0,1,-1)</f>
        <v>1</v>
      </c>
      <c r="AK229" s="66" t="s">
        <v>1781</v>
      </c>
      <c r="AL229" s="66">
        <f>IF(LEN(Множество[[#This Row],[Критерии]])&gt;0,1,-1)</f>
        <v>1</v>
      </c>
      <c r="AM229" s="66">
        <f>IF(AND(LEN(Множество[[#This Row],[Свёртка]])&gt;0,LEN(Множество[[#This Row],[Критерии]])&gt;0,LEN(Множество[[#This Row],[Оценки]])&gt;0),1,-1)</f>
        <v>1</v>
      </c>
      <c r="AN229">
        <v>1.75</v>
      </c>
      <c r="AO229">
        <v>-15.6833333333333</v>
      </c>
      <c r="AP229" s="208"/>
      <c r="AQ229" s="208"/>
      <c r="AR229" s="226"/>
      <c r="AS229" s="225"/>
      <c r="AT229" s="226"/>
      <c r="AU229" s="225"/>
      <c r="AV229" s="225"/>
      <c r="AW229" s="225"/>
      <c r="AX229" s="225"/>
      <c r="AY229" s="225"/>
    </row>
    <row r="230" spans="33:51" x14ac:dyDescent="0.25">
      <c r="AG230" s="66">
        <f>IF(AND(Множество[[#This Row],[Y]]=1),ROW()-ROW(Множество[[#Headers],[№]]),"")</f>
        <v>221</v>
      </c>
      <c r="AH230" t="s">
        <v>608</v>
      </c>
      <c r="AI230" s="66">
        <v>1</v>
      </c>
      <c r="AJ230" s="66">
        <f>IF(LEN(Множество[[#This Row],[Свёртка]])&gt;0,1,-1)</f>
        <v>1</v>
      </c>
      <c r="AK230" s="66" t="s">
        <v>1781</v>
      </c>
      <c r="AL230" s="66">
        <f>IF(LEN(Множество[[#This Row],[Критерии]])&gt;0,1,-1)</f>
        <v>1</v>
      </c>
      <c r="AM230" s="66">
        <f>IF(AND(LEN(Множество[[#This Row],[Свёртка]])&gt;0,LEN(Множество[[#This Row],[Критерии]])&gt;0,LEN(Множество[[#This Row],[Оценки]])&gt;0),1,-1)</f>
        <v>1</v>
      </c>
      <c r="AN230">
        <v>-0.125</v>
      </c>
      <c r="AO230">
        <v>-13.8166666666667</v>
      </c>
      <c r="AP230" s="208"/>
      <c r="AQ230" s="208"/>
      <c r="AR230" s="226"/>
      <c r="AS230" s="225"/>
      <c r="AT230" s="226"/>
      <c r="AU230" s="225"/>
      <c r="AV230" s="225"/>
      <c r="AW230" s="225"/>
      <c r="AX230" s="225"/>
      <c r="AY230" s="225"/>
    </row>
    <row r="231" spans="33:51" x14ac:dyDescent="0.25">
      <c r="AG231" s="66">
        <f>IF(AND(Множество[[#This Row],[Y]]=1),ROW()-ROW(Множество[[#Headers],[№]]),"")</f>
        <v>222</v>
      </c>
      <c r="AH231" t="s">
        <v>608</v>
      </c>
      <c r="AI231" s="66">
        <v>1</v>
      </c>
      <c r="AJ231" s="66">
        <f>IF(LEN(Множество[[#This Row],[Свёртка]])&gt;0,1,-1)</f>
        <v>1</v>
      </c>
      <c r="AK231" s="66" t="s">
        <v>1781</v>
      </c>
      <c r="AL231" s="66">
        <f>IF(LEN(Множество[[#This Row],[Критерии]])&gt;0,1,-1)</f>
        <v>1</v>
      </c>
      <c r="AM231" s="66">
        <f>IF(AND(LEN(Множество[[#This Row],[Свёртка]])&gt;0,LEN(Множество[[#This Row],[Критерии]])&gt;0,LEN(Множество[[#This Row],[Оценки]])&gt;0),1,-1)</f>
        <v>1</v>
      </c>
      <c r="AN231">
        <v>1.675</v>
      </c>
      <c r="AO231">
        <v>-15.7</v>
      </c>
      <c r="AP231" s="208"/>
      <c r="AQ231" s="208"/>
      <c r="AR231" s="226"/>
      <c r="AS231" s="225"/>
      <c r="AT231" s="226"/>
      <c r="AU231" s="225"/>
      <c r="AV231" s="225"/>
      <c r="AW231" s="225"/>
      <c r="AX231" s="225"/>
      <c r="AY231" s="225"/>
    </row>
    <row r="232" spans="33:51" x14ac:dyDescent="0.25">
      <c r="AG232" s="66">
        <f>IF(AND(Множество[[#This Row],[Y]]=1),ROW()-ROW(Множество[[#Headers],[№]]),"")</f>
        <v>223</v>
      </c>
      <c r="AH232" t="s">
        <v>608</v>
      </c>
      <c r="AI232" s="66">
        <v>1</v>
      </c>
      <c r="AJ232" s="66">
        <f>IF(LEN(Множество[[#This Row],[Свёртка]])&gt;0,1,-1)</f>
        <v>1</v>
      </c>
      <c r="AK232" s="66" t="s">
        <v>1781</v>
      </c>
      <c r="AL232" s="66">
        <f>IF(LEN(Множество[[#This Row],[Критерии]])&gt;0,1,-1)</f>
        <v>1</v>
      </c>
      <c r="AM232" s="66">
        <f>IF(AND(LEN(Множество[[#This Row],[Свёртка]])&gt;0,LEN(Множество[[#This Row],[Критерии]])&gt;0,LEN(Множество[[#This Row],[Оценки]])&gt;0),1,-1)</f>
        <v>1</v>
      </c>
      <c r="AN232">
        <v>-0.27500000000000202</v>
      </c>
      <c r="AO232">
        <v>-13.783333333333299</v>
      </c>
      <c r="AP232" s="208"/>
      <c r="AQ232" s="208"/>
      <c r="AR232" s="226"/>
      <c r="AS232" s="225"/>
      <c r="AT232" s="226"/>
      <c r="AU232" s="225"/>
      <c r="AV232" s="225"/>
      <c r="AW232" s="225"/>
      <c r="AX232" s="225"/>
      <c r="AY232" s="225"/>
    </row>
    <row r="233" spans="33:51" x14ac:dyDescent="0.25">
      <c r="AG233" s="66">
        <f>IF(AND(Множество[[#This Row],[Y]]=1),ROW()-ROW(Множество[[#Headers],[№]]),"")</f>
        <v>224</v>
      </c>
      <c r="AH233" t="s">
        <v>608</v>
      </c>
      <c r="AI233" s="66">
        <v>1</v>
      </c>
      <c r="AJ233" s="66">
        <f>IF(LEN(Множество[[#This Row],[Свёртка]])&gt;0,1,-1)</f>
        <v>1</v>
      </c>
      <c r="AK233" s="66" t="s">
        <v>1781</v>
      </c>
      <c r="AL233" s="66">
        <f>IF(LEN(Множество[[#This Row],[Критерии]])&gt;0,1,-1)</f>
        <v>1</v>
      </c>
      <c r="AM233" s="66">
        <f>IF(AND(LEN(Множество[[#This Row],[Свёртка]])&gt;0,LEN(Множество[[#This Row],[Критерии]])&gt;0,LEN(Множество[[#This Row],[Оценки]])&gt;0),1,-1)</f>
        <v>1</v>
      </c>
      <c r="AN233">
        <v>-0.19999999999999901</v>
      </c>
      <c r="AO233">
        <v>-13.8</v>
      </c>
      <c r="AP233" s="208"/>
      <c r="AQ233" s="208"/>
      <c r="AR233" s="226"/>
      <c r="AS233" s="225"/>
      <c r="AT233" s="226"/>
      <c r="AU233" s="225"/>
      <c r="AV233" s="225"/>
      <c r="AW233" s="225"/>
      <c r="AX233" s="225"/>
      <c r="AY233" s="225"/>
    </row>
    <row r="234" spans="33:51" x14ac:dyDescent="0.25">
      <c r="AG234" s="66">
        <f>IF(AND(Множество[[#This Row],[Y]]=1),ROW()-ROW(Множество[[#Headers],[№]]),"")</f>
        <v>225</v>
      </c>
      <c r="AH234" t="s">
        <v>608</v>
      </c>
      <c r="AI234" s="66">
        <v>1</v>
      </c>
      <c r="AJ234" s="66">
        <f>IF(LEN(Множество[[#This Row],[Свёртка]])&gt;0,1,-1)</f>
        <v>1</v>
      </c>
      <c r="AK234" s="66" t="s">
        <v>1781</v>
      </c>
      <c r="AL234" s="66">
        <f>IF(LEN(Множество[[#This Row],[Критерии]])&gt;0,1,-1)</f>
        <v>1</v>
      </c>
      <c r="AM234" s="66">
        <f>IF(AND(LEN(Множество[[#This Row],[Свёртка]])&gt;0,LEN(Множество[[#This Row],[Критерии]])&gt;0,LEN(Множество[[#This Row],[Оценки]])&gt;0),1,-1)</f>
        <v>1</v>
      </c>
      <c r="AN234">
        <v>1.6</v>
      </c>
      <c r="AO234">
        <v>-15.716666666666701</v>
      </c>
      <c r="AP234" s="208"/>
      <c r="AQ234" s="208"/>
      <c r="AR234" s="226"/>
      <c r="AS234" s="225"/>
      <c r="AT234" s="226"/>
      <c r="AU234" s="225"/>
      <c r="AV234" s="225"/>
      <c r="AW234" s="225"/>
      <c r="AX234" s="225"/>
      <c r="AY234" s="225"/>
    </row>
    <row r="235" spans="33:51" x14ac:dyDescent="0.25">
      <c r="AG235" s="66">
        <f>IF(AND(Множество[[#This Row],[Y]]=1),ROW()-ROW(Множество[[#Headers],[№]]),"")</f>
        <v>226</v>
      </c>
      <c r="AH235" t="s">
        <v>608</v>
      </c>
      <c r="AI235" s="66">
        <v>1</v>
      </c>
      <c r="AJ235" s="66">
        <f>IF(LEN(Множество[[#This Row],[Свёртка]])&gt;0,1,-1)</f>
        <v>1</v>
      </c>
      <c r="AK235" s="66" t="s">
        <v>1781</v>
      </c>
      <c r="AL235" s="66">
        <f>IF(LEN(Множество[[#This Row],[Критерии]])&gt;0,1,-1)</f>
        <v>1</v>
      </c>
      <c r="AM235" s="66">
        <f>IF(AND(LEN(Множество[[#This Row],[Свёртка]])&gt;0,LEN(Множество[[#This Row],[Критерии]])&gt;0,LEN(Множество[[#This Row],[Оценки]])&gt;0),1,-1)</f>
        <v>1</v>
      </c>
      <c r="AN235">
        <v>-0.42500000000000099</v>
      </c>
      <c r="AO235">
        <v>-13.766666666666699</v>
      </c>
      <c r="AP235" s="208"/>
      <c r="AQ235" s="208"/>
      <c r="AR235" s="226"/>
      <c r="AS235" s="225"/>
      <c r="AT235" s="226"/>
      <c r="AU235" s="225"/>
      <c r="AV235" s="225"/>
      <c r="AW235" s="225"/>
      <c r="AX235" s="225"/>
      <c r="AY235" s="225"/>
    </row>
    <row r="236" spans="33:51" x14ac:dyDescent="0.25">
      <c r="AG236" s="66">
        <f>IF(AND(Множество[[#This Row],[Y]]=1),ROW()-ROW(Множество[[#Headers],[№]]),"")</f>
        <v>227</v>
      </c>
      <c r="AH236" t="s">
        <v>608</v>
      </c>
      <c r="AI236" s="66">
        <v>1</v>
      </c>
      <c r="AJ236" s="66">
        <f>IF(LEN(Множество[[#This Row],[Свёртка]])&gt;0,1,-1)</f>
        <v>1</v>
      </c>
      <c r="AK236" s="66" t="s">
        <v>1781</v>
      </c>
      <c r="AL236" s="66">
        <f>IF(LEN(Множество[[#This Row],[Критерии]])&gt;0,1,-1)</f>
        <v>1</v>
      </c>
      <c r="AM236" s="66">
        <f>IF(AND(LEN(Множество[[#This Row],[Свёртка]])&gt;0,LEN(Множество[[#This Row],[Критерии]])&gt;0,LEN(Множество[[#This Row],[Оценки]])&gt;0),1,-1)</f>
        <v>1</v>
      </c>
      <c r="AN236">
        <v>-0.34999999999999798</v>
      </c>
      <c r="AO236">
        <v>-13.783333333333299</v>
      </c>
      <c r="AP236" s="208"/>
      <c r="AQ236" s="208"/>
      <c r="AR236" s="226"/>
      <c r="AS236" s="225"/>
      <c r="AT236" s="226"/>
      <c r="AU236" s="225"/>
      <c r="AV236" s="225"/>
      <c r="AW236" s="225"/>
      <c r="AX236" s="225"/>
      <c r="AY236" s="225"/>
    </row>
    <row r="237" spans="33:51" x14ac:dyDescent="0.25">
      <c r="AG237" s="66">
        <f>IF(AND(Множество[[#This Row],[Y]]=1),ROW()-ROW(Множество[[#Headers],[№]]),"")</f>
        <v>228</v>
      </c>
      <c r="AH237" t="s">
        <v>608</v>
      </c>
      <c r="AI237" s="66">
        <v>1</v>
      </c>
      <c r="AJ237" s="66">
        <f>IF(LEN(Множество[[#This Row],[Свёртка]])&gt;0,1,-1)</f>
        <v>1</v>
      </c>
      <c r="AK237" s="66" t="s">
        <v>1781</v>
      </c>
      <c r="AL237" s="66">
        <f>IF(LEN(Множество[[#This Row],[Критерии]])&gt;0,1,-1)</f>
        <v>1</v>
      </c>
      <c r="AM237" s="66">
        <f>IF(AND(LEN(Множество[[#This Row],[Свёртка]])&gt;0,LEN(Множество[[#This Row],[Критерии]])&gt;0,LEN(Множество[[#This Row],[Оценки]])&gt;0),1,-1)</f>
        <v>1</v>
      </c>
      <c r="AN237">
        <v>-0.5</v>
      </c>
      <c r="AO237">
        <v>-13.75</v>
      </c>
      <c r="AP237" s="208"/>
      <c r="AQ237" s="208"/>
      <c r="AR237" s="226"/>
      <c r="AS237" s="225"/>
      <c r="AT237" s="226"/>
      <c r="AU237" s="225"/>
      <c r="AV237" s="225"/>
      <c r="AW237" s="225"/>
      <c r="AX237" s="225"/>
      <c r="AY237" s="225"/>
    </row>
    <row r="238" spans="33:51" x14ac:dyDescent="0.25">
      <c r="AG238" s="66">
        <f>IF(AND(Множество[[#This Row],[Y]]=1),ROW()-ROW(Множество[[#Headers],[№]]),"")</f>
        <v>229</v>
      </c>
      <c r="AH238" t="s">
        <v>608</v>
      </c>
      <c r="AI238" s="66">
        <v>1</v>
      </c>
      <c r="AJ238" s="66">
        <f>IF(LEN(Множество[[#This Row],[Свёртка]])&gt;0,1,-1)</f>
        <v>1</v>
      </c>
      <c r="AK238" s="66" t="s">
        <v>1781</v>
      </c>
      <c r="AL238" s="66">
        <f>IF(LEN(Множество[[#This Row],[Критерии]])&gt;0,1,-1)</f>
        <v>1</v>
      </c>
      <c r="AM238" s="66">
        <f>IF(AND(LEN(Множество[[#This Row],[Свёртка]])&gt;0,LEN(Множество[[#This Row],[Критерии]])&gt;0,LEN(Множество[[#This Row],[Оценки]])&gt;0),1,-1)</f>
        <v>1</v>
      </c>
      <c r="AN238">
        <v>1.5249999999999999</v>
      </c>
      <c r="AO238">
        <v>-15.75</v>
      </c>
      <c r="AP238" s="208"/>
      <c r="AQ238" s="208"/>
      <c r="AR238" s="226"/>
      <c r="AS238" s="225"/>
      <c r="AT238" s="226"/>
      <c r="AU238" s="225"/>
      <c r="AV238" s="225"/>
      <c r="AW238" s="225"/>
      <c r="AX238" s="225"/>
      <c r="AY238" s="225"/>
    </row>
    <row r="239" spans="33:51" x14ac:dyDescent="0.25">
      <c r="AG239" s="66">
        <f>IF(AND(Множество[[#This Row],[Y]]=1),ROW()-ROW(Множество[[#Headers],[№]]),"")</f>
        <v>230</v>
      </c>
      <c r="AH239" t="s">
        <v>608</v>
      </c>
      <c r="AI239" s="66">
        <v>1</v>
      </c>
      <c r="AJ239" s="66">
        <f>IF(LEN(Множество[[#This Row],[Свёртка]])&gt;0,1,-1)</f>
        <v>1</v>
      </c>
      <c r="AK239" s="66" t="s">
        <v>1781</v>
      </c>
      <c r="AL239" s="66">
        <f>IF(LEN(Множество[[#This Row],[Критерии]])&gt;0,1,-1)</f>
        <v>1</v>
      </c>
      <c r="AM239" s="66">
        <f>IF(AND(LEN(Множество[[#This Row],[Свёртка]])&gt;0,LEN(Множество[[#This Row],[Критерии]])&gt;0,LEN(Множество[[#This Row],[Оценки]])&gt;0),1,-1)</f>
        <v>1</v>
      </c>
      <c r="AN239">
        <v>-0.57500000000000295</v>
      </c>
      <c r="AO239">
        <v>-13.733333333333301</v>
      </c>
      <c r="AP239" s="208"/>
      <c r="AQ239" s="208"/>
      <c r="AR239" s="226"/>
      <c r="AS239" s="225"/>
      <c r="AT239" s="226"/>
      <c r="AU239" s="225"/>
      <c r="AV239" s="225"/>
      <c r="AW239" s="225"/>
      <c r="AX239" s="225"/>
      <c r="AY239" s="225"/>
    </row>
    <row r="240" spans="33:51" x14ac:dyDescent="0.25">
      <c r="AG240" s="66">
        <f>IF(AND(Множество[[#This Row],[Y]]=1),ROW()-ROW(Множество[[#Headers],[№]]),"")</f>
        <v>231</v>
      </c>
      <c r="AH240" t="s">
        <v>608</v>
      </c>
      <c r="AI240" s="66">
        <v>1</v>
      </c>
      <c r="AJ240" s="66">
        <f>IF(LEN(Множество[[#This Row],[Свёртка]])&gt;0,1,-1)</f>
        <v>1</v>
      </c>
      <c r="AK240" s="66" t="s">
        <v>1781</v>
      </c>
      <c r="AL240" s="66">
        <f>IF(LEN(Множество[[#This Row],[Критерии]])&gt;0,1,-1)</f>
        <v>1</v>
      </c>
      <c r="AM240" s="66">
        <f>IF(AND(LEN(Множество[[#This Row],[Свёртка]])&gt;0,LEN(Множество[[#This Row],[Критерии]])&gt;0,LEN(Множество[[#This Row],[Оценки]])&gt;0),1,-1)</f>
        <v>1</v>
      </c>
      <c r="AN240">
        <v>1.45</v>
      </c>
      <c r="AO240">
        <v>-15.766666666666699</v>
      </c>
      <c r="AP240" s="208"/>
      <c r="AQ240" s="208"/>
      <c r="AR240" s="226"/>
      <c r="AS240" s="225"/>
      <c r="AT240" s="226"/>
      <c r="AU240" s="225"/>
      <c r="AV240" s="225"/>
      <c r="AW240" s="225"/>
      <c r="AX240" s="225"/>
      <c r="AY240" s="225"/>
    </row>
    <row r="241" spans="33:51" x14ac:dyDescent="0.25">
      <c r="AG241" s="66">
        <f>IF(AND(Множество[[#This Row],[Y]]=1),ROW()-ROW(Множество[[#Headers],[№]]),"")</f>
        <v>232</v>
      </c>
      <c r="AH241" t="s">
        <v>608</v>
      </c>
      <c r="AI241" s="66">
        <v>1</v>
      </c>
      <c r="AJ241" s="66">
        <f>IF(LEN(Множество[[#This Row],[Свёртка]])&gt;0,1,-1)</f>
        <v>1</v>
      </c>
      <c r="AK241" s="66" t="s">
        <v>1781</v>
      </c>
      <c r="AL241" s="66">
        <f>IF(LEN(Множество[[#This Row],[Критерии]])&gt;0,1,-1)</f>
        <v>1</v>
      </c>
      <c r="AM241" s="66">
        <f>IF(AND(LEN(Множество[[#This Row],[Свёртка]])&gt;0,LEN(Множество[[#This Row],[Критерии]])&gt;0,LEN(Множество[[#This Row],[Оценки]])&gt;0),1,-1)</f>
        <v>1</v>
      </c>
      <c r="AN241">
        <v>-0.72500000000000098</v>
      </c>
      <c r="AO241">
        <v>-13.716666666666701</v>
      </c>
      <c r="AP241" s="208"/>
      <c r="AQ241" s="208"/>
      <c r="AR241" s="226"/>
      <c r="AS241" s="225"/>
      <c r="AT241" s="226"/>
      <c r="AU241" s="225"/>
      <c r="AV241" s="225"/>
      <c r="AW241" s="225"/>
      <c r="AX241" s="225"/>
      <c r="AY241" s="225"/>
    </row>
    <row r="242" spans="33:51" x14ac:dyDescent="0.25">
      <c r="AG242" s="66">
        <f>IF(AND(Множество[[#This Row],[Y]]=1),ROW()-ROW(Множество[[#Headers],[№]]),"")</f>
        <v>233</v>
      </c>
      <c r="AH242" t="s">
        <v>608</v>
      </c>
      <c r="AI242" s="66">
        <v>1</v>
      </c>
      <c r="AJ242" s="66">
        <f>IF(LEN(Множество[[#This Row],[Свёртка]])&gt;0,1,-1)</f>
        <v>1</v>
      </c>
      <c r="AK242" s="66" t="s">
        <v>1781</v>
      </c>
      <c r="AL242" s="66">
        <f>IF(LEN(Множество[[#This Row],[Критерии]])&gt;0,1,-1)</f>
        <v>1</v>
      </c>
      <c r="AM242" s="66">
        <f>IF(AND(LEN(Множество[[#This Row],[Свёртка]])&gt;0,LEN(Множество[[#This Row],[Критерии]])&gt;0,LEN(Множество[[#This Row],[Оценки]])&gt;0),1,-1)</f>
        <v>1</v>
      </c>
      <c r="AN242">
        <v>-0.64999999999999902</v>
      </c>
      <c r="AO242">
        <v>-13.716666666666701</v>
      </c>
      <c r="AP242" s="208"/>
      <c r="AQ242" s="208"/>
      <c r="AR242" s="226"/>
      <c r="AS242" s="225"/>
      <c r="AT242" s="226"/>
      <c r="AU242" s="225"/>
      <c r="AV242" s="225"/>
      <c r="AW242" s="225"/>
      <c r="AX242" s="225"/>
      <c r="AY242" s="225"/>
    </row>
    <row r="243" spans="33:51" x14ac:dyDescent="0.25">
      <c r="AG243" s="66">
        <f>IF(AND(Множество[[#This Row],[Y]]=1),ROW()-ROW(Множество[[#Headers],[№]]),"")</f>
        <v>234</v>
      </c>
      <c r="AH243" t="s">
        <v>608</v>
      </c>
      <c r="AI243" s="66">
        <v>1</v>
      </c>
      <c r="AJ243" s="66">
        <f>IF(LEN(Множество[[#This Row],[Свёртка]])&gt;0,1,-1)</f>
        <v>1</v>
      </c>
      <c r="AK243" s="66" t="s">
        <v>1781</v>
      </c>
      <c r="AL243" s="66">
        <f>IF(LEN(Множество[[#This Row],[Критерии]])&gt;0,1,-1)</f>
        <v>1</v>
      </c>
      <c r="AM243" s="66">
        <f>IF(AND(LEN(Множество[[#This Row],[Свёртка]])&gt;0,LEN(Множество[[#This Row],[Критерии]])&gt;0,LEN(Множество[[#This Row],[Оценки]])&gt;0),1,-1)</f>
        <v>1</v>
      </c>
      <c r="AN243">
        <v>1.3</v>
      </c>
      <c r="AO243">
        <v>-15.8</v>
      </c>
      <c r="AP243" s="208"/>
      <c r="AQ243" s="208"/>
      <c r="AR243" s="226"/>
      <c r="AS243" s="225"/>
      <c r="AT243" s="226"/>
      <c r="AU243" s="225"/>
      <c r="AV243" s="225"/>
      <c r="AW243" s="225"/>
      <c r="AX243" s="225"/>
      <c r="AY243" s="225"/>
    </row>
    <row r="244" spans="33:51" x14ac:dyDescent="0.25">
      <c r="AG244" s="66">
        <f>IF(AND(Множество[[#This Row],[Y]]=1),ROW()-ROW(Множество[[#Headers],[№]]),"")</f>
        <v>235</v>
      </c>
      <c r="AH244" t="s">
        <v>608</v>
      </c>
      <c r="AI244" s="66">
        <v>1</v>
      </c>
      <c r="AJ244" s="66">
        <f>IF(LEN(Множество[[#This Row],[Свёртка]])&gt;0,1,-1)</f>
        <v>1</v>
      </c>
      <c r="AK244" s="66" t="s">
        <v>1781</v>
      </c>
      <c r="AL244" s="66">
        <f>IF(LEN(Множество[[#This Row],[Критерии]])&gt;0,1,-1)</f>
        <v>1</v>
      </c>
      <c r="AM244" s="66">
        <f>IF(AND(LEN(Множество[[#This Row],[Свёртка]])&gt;0,LEN(Множество[[#This Row],[Критерии]])&gt;0,LEN(Множество[[#This Row],[Оценки]])&gt;0),1,-1)</f>
        <v>1</v>
      </c>
      <c r="AN244">
        <v>1.375</v>
      </c>
      <c r="AO244">
        <v>-15.783333333333299</v>
      </c>
      <c r="AP244" s="208"/>
      <c r="AQ244" s="208"/>
      <c r="AR244" s="226"/>
      <c r="AS244" s="225"/>
      <c r="AT244" s="226"/>
      <c r="AU244" s="225"/>
      <c r="AV244" s="225"/>
      <c r="AW244" s="225"/>
      <c r="AX244" s="225"/>
      <c r="AY244" s="225"/>
    </row>
    <row r="245" spans="33:51" x14ac:dyDescent="0.25">
      <c r="AG245" s="66">
        <f>IF(AND(Множество[[#This Row],[Y]]=1),ROW()-ROW(Множество[[#Headers],[№]]),"")</f>
        <v>236</v>
      </c>
      <c r="AH245" t="s">
        <v>608</v>
      </c>
      <c r="AI245" s="66">
        <v>1</v>
      </c>
      <c r="AJ245" s="66">
        <f>IF(LEN(Множество[[#This Row],[Свёртка]])&gt;0,1,-1)</f>
        <v>1</v>
      </c>
      <c r="AK245" s="66" t="s">
        <v>1781</v>
      </c>
      <c r="AL245" s="66">
        <f>IF(LEN(Множество[[#This Row],[Критерии]])&gt;0,1,-1)</f>
        <v>1</v>
      </c>
      <c r="AM245" s="66">
        <f>IF(AND(LEN(Множество[[#This Row],[Свёртка]])&gt;0,LEN(Множество[[#This Row],[Критерии]])&gt;0,LEN(Множество[[#This Row],[Оценки]])&gt;0),1,-1)</f>
        <v>1</v>
      </c>
      <c r="AN245">
        <v>-0.79999999999999705</v>
      </c>
      <c r="AO245">
        <v>-13.7</v>
      </c>
      <c r="AP245" s="208"/>
      <c r="AQ245" s="208"/>
      <c r="AR245" s="226"/>
      <c r="AS245" s="225"/>
      <c r="AT245" s="226"/>
      <c r="AU245" s="225"/>
      <c r="AV245" s="225"/>
      <c r="AW245" s="225"/>
      <c r="AX245" s="225"/>
      <c r="AY245" s="225"/>
    </row>
    <row r="246" spans="33:51" x14ac:dyDescent="0.25">
      <c r="AG246" s="66">
        <f>IF(AND(Множество[[#This Row],[Y]]=1),ROW()-ROW(Множество[[#Headers],[№]]),"")</f>
        <v>237</v>
      </c>
      <c r="AH246" t="s">
        <v>608</v>
      </c>
      <c r="AI246" s="66">
        <v>1</v>
      </c>
      <c r="AJ246" s="66">
        <f>IF(LEN(Множество[[#This Row],[Свёртка]])&gt;0,1,-1)</f>
        <v>1</v>
      </c>
      <c r="AK246" s="66" t="s">
        <v>1781</v>
      </c>
      <c r="AL246" s="66">
        <f>IF(LEN(Множество[[#This Row],[Критерии]])&gt;0,1,-1)</f>
        <v>1</v>
      </c>
      <c r="AM246" s="66">
        <f>IF(AND(LEN(Множество[[#This Row],[Свёртка]])&gt;0,LEN(Множество[[#This Row],[Критерии]])&gt;0,LEN(Множество[[#This Row],[Оценки]])&gt;0),1,-1)</f>
        <v>1</v>
      </c>
      <c r="AN246">
        <v>-0.875</v>
      </c>
      <c r="AO246">
        <v>-13.6833333333333</v>
      </c>
      <c r="AP246" s="208"/>
      <c r="AQ246" s="208"/>
      <c r="AR246" s="226"/>
      <c r="AS246" s="225"/>
      <c r="AT246" s="226"/>
      <c r="AU246" s="225"/>
      <c r="AV246" s="225"/>
      <c r="AW246" s="225"/>
      <c r="AX246" s="225"/>
      <c r="AY246" s="225"/>
    </row>
    <row r="247" spans="33:51" x14ac:dyDescent="0.25">
      <c r="AG247" s="66">
        <f>IF(AND(Множество[[#This Row],[Y]]=1),ROW()-ROW(Множество[[#Headers],[№]]),"")</f>
        <v>238</v>
      </c>
      <c r="AH247" t="s">
        <v>608</v>
      </c>
      <c r="AI247" s="66">
        <v>1</v>
      </c>
      <c r="AJ247" s="66">
        <f>IF(LEN(Множество[[#This Row],[Свёртка]])&gt;0,1,-1)</f>
        <v>1</v>
      </c>
      <c r="AK247" s="66" t="s">
        <v>1781</v>
      </c>
      <c r="AL247" s="66">
        <f>IF(LEN(Множество[[#This Row],[Критерии]])&gt;0,1,-1)</f>
        <v>1</v>
      </c>
      <c r="AM247" s="66">
        <f>IF(AND(LEN(Множество[[#This Row],[Свёртка]])&gt;0,LEN(Множество[[#This Row],[Критерии]])&gt;0,LEN(Множество[[#This Row],[Оценки]])&gt;0),1,-1)</f>
        <v>1</v>
      </c>
      <c r="AN247">
        <v>-0.94999999999999896</v>
      </c>
      <c r="AO247">
        <v>-13.6666666666667</v>
      </c>
      <c r="AP247" s="208"/>
      <c r="AQ247" s="208"/>
      <c r="AR247" s="226"/>
      <c r="AS247" s="225"/>
      <c r="AT247" s="226"/>
      <c r="AU247" s="225"/>
      <c r="AV247" s="225"/>
      <c r="AW247" s="225"/>
      <c r="AX247" s="225"/>
      <c r="AY247" s="225"/>
    </row>
    <row r="248" spans="33:51" x14ac:dyDescent="0.25">
      <c r="AG248" s="66">
        <f>IF(AND(Множество[[#This Row],[Y]]=1),ROW()-ROW(Множество[[#Headers],[№]]),"")</f>
        <v>239</v>
      </c>
      <c r="AH248" t="s">
        <v>608</v>
      </c>
      <c r="AI248" s="66">
        <v>1</v>
      </c>
      <c r="AJ248" s="66">
        <f>IF(LEN(Множество[[#This Row],[Свёртка]])&gt;0,1,-1)</f>
        <v>1</v>
      </c>
      <c r="AK248" s="66" t="s">
        <v>1781</v>
      </c>
      <c r="AL248" s="66">
        <f>IF(LEN(Множество[[#This Row],[Критерии]])&gt;0,1,-1)</f>
        <v>1</v>
      </c>
      <c r="AM248" s="66">
        <f>IF(AND(LEN(Множество[[#This Row],[Свёртка]])&gt;0,LEN(Множество[[#This Row],[Критерии]])&gt;0,LEN(Множество[[#This Row],[Оценки]])&gt;0),1,-1)</f>
        <v>1</v>
      </c>
      <c r="AN248">
        <v>1.1499999999999999</v>
      </c>
      <c r="AO248">
        <v>-15.85</v>
      </c>
      <c r="AP248" s="208"/>
      <c r="AQ248" s="208"/>
      <c r="AR248" s="226"/>
      <c r="AS248" s="225"/>
      <c r="AT248" s="226"/>
      <c r="AU248" s="225"/>
      <c r="AV248" s="225"/>
      <c r="AW248" s="225"/>
      <c r="AX248" s="225"/>
      <c r="AY248" s="225"/>
    </row>
    <row r="249" spans="33:51" x14ac:dyDescent="0.25">
      <c r="AG249" s="66">
        <f>IF(AND(Множество[[#This Row],[Y]]=1),ROW()-ROW(Множество[[#Headers],[№]]),"")</f>
        <v>240</v>
      </c>
      <c r="AH249" t="s">
        <v>608</v>
      </c>
      <c r="AI249" s="66">
        <v>1</v>
      </c>
      <c r="AJ249" s="66">
        <f>IF(LEN(Множество[[#This Row],[Свёртка]])&gt;0,1,-1)</f>
        <v>1</v>
      </c>
      <c r="AK249" s="66" t="s">
        <v>1781</v>
      </c>
      <c r="AL249" s="66">
        <f>IF(LEN(Множество[[#This Row],[Критерии]])&gt;0,1,-1)</f>
        <v>1</v>
      </c>
      <c r="AM249" s="66">
        <f>IF(AND(LEN(Множество[[#This Row],[Свёртка]])&gt;0,LEN(Множество[[#This Row],[Критерии]])&gt;0,LEN(Множество[[#This Row],[Оценки]])&gt;0),1,-1)</f>
        <v>1</v>
      </c>
      <c r="AN249">
        <v>1.2250000000000001</v>
      </c>
      <c r="AO249">
        <v>-15.8333333333333</v>
      </c>
      <c r="AP249" s="208"/>
      <c r="AQ249" s="208"/>
      <c r="AR249" s="226"/>
      <c r="AS249" s="225"/>
      <c r="AT249" s="226"/>
      <c r="AU249" s="225"/>
      <c r="AV249" s="225"/>
      <c r="AW249" s="225"/>
      <c r="AX249" s="225"/>
      <c r="AY249" s="225"/>
    </row>
    <row r="250" spans="33:51" x14ac:dyDescent="0.25">
      <c r="AG250" s="66">
        <f>IF(AND(Множество[[#This Row],[Y]]=1),ROW()-ROW(Множество[[#Headers],[№]]),"")</f>
        <v>241</v>
      </c>
      <c r="AH250" t="s">
        <v>608</v>
      </c>
      <c r="AI250" s="66">
        <v>1</v>
      </c>
      <c r="AJ250" s="66">
        <f>IF(LEN(Множество[[#This Row],[Свёртка]])&gt;0,1,-1)</f>
        <v>1</v>
      </c>
      <c r="AK250" s="66" t="s">
        <v>1781</v>
      </c>
      <c r="AL250" s="66">
        <f>IF(LEN(Множество[[#This Row],[Критерии]])&gt;0,1,-1)</f>
        <v>1</v>
      </c>
      <c r="AM250" s="66">
        <f>IF(AND(LEN(Множество[[#This Row],[Свёртка]])&gt;0,LEN(Множество[[#This Row],[Критерии]])&gt;0,LEN(Множество[[#This Row],[Оценки]])&gt;0),1,-1)</f>
        <v>1</v>
      </c>
      <c r="AN250">
        <v>-1.1000000000000001</v>
      </c>
      <c r="AO250">
        <v>-13.65</v>
      </c>
      <c r="AP250" s="208"/>
      <c r="AQ250" s="208"/>
      <c r="AR250" s="226"/>
      <c r="AS250" s="225"/>
      <c r="AT250" s="226"/>
      <c r="AU250" s="225"/>
      <c r="AV250" s="225"/>
      <c r="AW250" s="225"/>
      <c r="AX250" s="225"/>
      <c r="AY250" s="225"/>
    </row>
    <row r="251" spans="33:51" x14ac:dyDescent="0.25">
      <c r="AG251" s="66">
        <f>IF(AND(Множество[[#This Row],[Y]]=1),ROW()-ROW(Множество[[#Headers],[№]]),"")</f>
        <v>242</v>
      </c>
      <c r="AH251" t="s">
        <v>608</v>
      </c>
      <c r="AI251" s="66">
        <v>1</v>
      </c>
      <c r="AJ251" s="66">
        <f>IF(LEN(Множество[[#This Row],[Свёртка]])&gt;0,1,-1)</f>
        <v>1</v>
      </c>
      <c r="AK251" s="66" t="s">
        <v>1781</v>
      </c>
      <c r="AL251" s="66">
        <f>IF(LEN(Множество[[#This Row],[Критерии]])&gt;0,1,-1)</f>
        <v>1</v>
      </c>
      <c r="AM251" s="66">
        <f>IF(AND(LEN(Множество[[#This Row],[Свёртка]])&gt;0,LEN(Множество[[#This Row],[Критерии]])&gt;0,LEN(Множество[[#This Row],[Оценки]])&gt;0),1,-1)</f>
        <v>1</v>
      </c>
      <c r="AN251">
        <v>-1.25</v>
      </c>
      <c r="AO251">
        <v>-13.616666666666699</v>
      </c>
      <c r="AP251" s="208"/>
      <c r="AQ251" s="208"/>
      <c r="AR251" s="226"/>
      <c r="AS251" s="225"/>
      <c r="AT251" s="226"/>
      <c r="AU251" s="225"/>
      <c r="AV251" s="225"/>
      <c r="AW251" s="225"/>
      <c r="AX251" s="225"/>
      <c r="AY251" s="225"/>
    </row>
    <row r="252" spans="33:51" x14ac:dyDescent="0.25">
      <c r="AG252" s="66">
        <f>IF(AND(Множество[[#This Row],[Y]]=1),ROW()-ROW(Множество[[#Headers],[№]]),"")</f>
        <v>243</v>
      </c>
      <c r="AH252" t="s">
        <v>608</v>
      </c>
      <c r="AI252" s="66">
        <v>1</v>
      </c>
      <c r="AJ252" s="66">
        <f>IF(LEN(Множество[[#This Row],[Свёртка]])&gt;0,1,-1)</f>
        <v>1</v>
      </c>
      <c r="AK252" s="66" t="s">
        <v>1781</v>
      </c>
      <c r="AL252" s="66">
        <f>IF(LEN(Множество[[#This Row],[Критерии]])&gt;0,1,-1)</f>
        <v>1</v>
      </c>
      <c r="AM252" s="66">
        <f>IF(AND(LEN(Множество[[#This Row],[Свёртка]])&gt;0,LEN(Множество[[#This Row],[Критерии]])&gt;0,LEN(Множество[[#This Row],[Оценки]])&gt;0),1,-1)</f>
        <v>1</v>
      </c>
      <c r="AN252">
        <v>1.075</v>
      </c>
      <c r="AO252">
        <v>-15.866666666666699</v>
      </c>
      <c r="AP252" s="208"/>
      <c r="AQ252" s="208"/>
      <c r="AR252" s="226"/>
      <c r="AS252" s="225"/>
      <c r="AT252" s="226"/>
      <c r="AU252" s="225"/>
      <c r="AV252" s="225"/>
      <c r="AW252" s="225"/>
      <c r="AX252" s="225"/>
      <c r="AY252" s="225"/>
    </row>
    <row r="253" spans="33:51" x14ac:dyDescent="0.25">
      <c r="AG253" s="66">
        <f>IF(AND(Множество[[#This Row],[Y]]=1),ROW()-ROW(Множество[[#Headers],[№]]),"")</f>
        <v>244</v>
      </c>
      <c r="AH253" t="s">
        <v>608</v>
      </c>
      <c r="AI253" s="66">
        <v>1</v>
      </c>
      <c r="AJ253" s="66">
        <f>IF(LEN(Множество[[#This Row],[Свёртка]])&gt;0,1,-1)</f>
        <v>1</v>
      </c>
      <c r="AK253" s="66" t="s">
        <v>1781</v>
      </c>
      <c r="AL253" s="66">
        <f>IF(LEN(Множество[[#This Row],[Критерии]])&gt;0,1,-1)</f>
        <v>1</v>
      </c>
      <c r="AM253" s="66">
        <f>IF(AND(LEN(Множество[[#This Row],[Свёртка]])&gt;0,LEN(Множество[[#This Row],[Критерии]])&gt;0,LEN(Множество[[#This Row],[Оценки]])&gt;0),1,-1)</f>
        <v>1</v>
      </c>
      <c r="AN253">
        <v>-1.175</v>
      </c>
      <c r="AO253">
        <v>-13.633333333333301</v>
      </c>
      <c r="AP253" s="208"/>
      <c r="AQ253" s="208"/>
      <c r="AR253" s="226"/>
      <c r="AS253" s="225"/>
      <c r="AT253" s="226"/>
      <c r="AU253" s="225"/>
      <c r="AV253" s="225"/>
      <c r="AW253" s="225"/>
      <c r="AX253" s="225"/>
      <c r="AY253" s="225"/>
    </row>
    <row r="254" spans="33:51" x14ac:dyDescent="0.25">
      <c r="AG254" s="66">
        <f>IF(AND(Множество[[#This Row],[Y]]=1),ROW()-ROW(Множество[[#Headers],[№]]),"")</f>
        <v>245</v>
      </c>
      <c r="AH254" t="s">
        <v>608</v>
      </c>
      <c r="AI254" s="66">
        <v>1</v>
      </c>
      <c r="AJ254" s="66">
        <f>IF(LEN(Множество[[#This Row],[Свёртка]])&gt;0,1,-1)</f>
        <v>1</v>
      </c>
      <c r="AK254" s="66" t="s">
        <v>1781</v>
      </c>
      <c r="AL254" s="66">
        <f>IF(LEN(Множество[[#This Row],[Критерии]])&gt;0,1,-1)</f>
        <v>1</v>
      </c>
      <c r="AM254" s="66">
        <f>IF(AND(LEN(Множество[[#This Row],[Свёртка]])&gt;0,LEN(Множество[[#This Row],[Критерии]])&gt;0,LEN(Множество[[#This Row],[Оценки]])&gt;0),1,-1)</f>
        <v>1</v>
      </c>
      <c r="AN254">
        <v>-1.4</v>
      </c>
      <c r="AO254">
        <v>-13.6</v>
      </c>
      <c r="AP254" s="208"/>
      <c r="AQ254" s="208"/>
      <c r="AR254" s="226"/>
      <c r="AS254" s="225"/>
      <c r="AT254" s="226"/>
      <c r="AU254" s="225"/>
      <c r="AV254" s="225"/>
      <c r="AW254" s="225"/>
      <c r="AX254" s="225"/>
      <c r="AY254" s="225"/>
    </row>
    <row r="255" spans="33:51" x14ac:dyDescent="0.25">
      <c r="AG255" s="66">
        <f>IF(AND(Множество[[#This Row],[Y]]=1),ROW()-ROW(Множество[[#Headers],[№]]),"")</f>
        <v>246</v>
      </c>
      <c r="AH255" t="s">
        <v>608</v>
      </c>
      <c r="AI255" s="66">
        <v>1</v>
      </c>
      <c r="AJ255" s="66">
        <f>IF(LEN(Множество[[#This Row],[Свёртка]])&gt;0,1,-1)</f>
        <v>1</v>
      </c>
      <c r="AK255" s="66" t="s">
        <v>1781</v>
      </c>
      <c r="AL255" s="66">
        <f>IF(LEN(Множество[[#This Row],[Критерии]])&gt;0,1,-1)</f>
        <v>1</v>
      </c>
      <c r="AM255" s="66">
        <f>IF(AND(LEN(Множество[[#This Row],[Свёртка]])&gt;0,LEN(Множество[[#This Row],[Критерии]])&gt;0,LEN(Множество[[#This Row],[Оценки]])&gt;0),1,-1)</f>
        <v>1</v>
      </c>
      <c r="AN255">
        <v>-1.325</v>
      </c>
      <c r="AO255">
        <v>-13.6</v>
      </c>
      <c r="AP255" s="208"/>
      <c r="AQ255" s="208"/>
      <c r="AR255" s="226"/>
      <c r="AS255" s="225"/>
      <c r="AT255" s="226"/>
      <c r="AU255" s="225"/>
      <c r="AV255" s="225"/>
      <c r="AW255" s="225"/>
      <c r="AX255" s="225"/>
      <c r="AY255" s="225"/>
    </row>
    <row r="256" spans="33:51" x14ac:dyDescent="0.25">
      <c r="AG256" s="66">
        <f>IF(AND(Множество[[#This Row],[Y]]=1),ROW()-ROW(Множество[[#Headers],[№]]),"")</f>
        <v>247</v>
      </c>
      <c r="AH256" t="s">
        <v>608</v>
      </c>
      <c r="AI256" s="66">
        <v>1</v>
      </c>
      <c r="AJ256" s="66">
        <f>IF(LEN(Множество[[#This Row],[Свёртка]])&gt;0,1,-1)</f>
        <v>1</v>
      </c>
      <c r="AK256" s="66" t="s">
        <v>1781</v>
      </c>
      <c r="AL256" s="66">
        <f>IF(LEN(Множество[[#This Row],[Критерии]])&gt;0,1,-1)</f>
        <v>1</v>
      </c>
      <c r="AM256" s="66">
        <f>IF(AND(LEN(Множество[[#This Row],[Свёртка]])&gt;0,LEN(Множество[[#This Row],[Критерии]])&gt;0,LEN(Множество[[#This Row],[Оценки]])&gt;0),1,-1)</f>
        <v>1</v>
      </c>
      <c r="AN256">
        <v>0.999999999999996</v>
      </c>
      <c r="AO256">
        <v>-15.9</v>
      </c>
      <c r="AP256" s="208"/>
      <c r="AQ256" s="208"/>
      <c r="AR256" s="226"/>
      <c r="AS256" s="225"/>
      <c r="AT256" s="226"/>
      <c r="AU256" s="225"/>
      <c r="AV256" s="225"/>
      <c r="AW256" s="225"/>
      <c r="AX256" s="225"/>
      <c r="AY256" s="225"/>
    </row>
    <row r="257" spans="33:51" x14ac:dyDescent="0.25">
      <c r="AG257" s="66">
        <f>IF(AND(Множество[[#This Row],[Y]]=1),ROW()-ROW(Множество[[#Headers],[№]]),"")</f>
        <v>248</v>
      </c>
      <c r="AH257" t="s">
        <v>608</v>
      </c>
      <c r="AI257" s="66">
        <v>1</v>
      </c>
      <c r="AJ257" s="66">
        <f>IF(LEN(Множество[[#This Row],[Свёртка]])&gt;0,1,-1)</f>
        <v>1</v>
      </c>
      <c r="AK257" s="66" t="s">
        <v>1781</v>
      </c>
      <c r="AL257" s="66">
        <f>IF(LEN(Множество[[#This Row],[Критерии]])&gt;0,1,-1)</f>
        <v>1</v>
      </c>
      <c r="AM257" s="66">
        <f>IF(AND(LEN(Множество[[#This Row],[Свёртка]])&gt;0,LEN(Множество[[#This Row],[Критерии]])&gt;0,LEN(Множество[[#This Row],[Оценки]])&gt;0),1,-1)</f>
        <v>1</v>
      </c>
      <c r="AN257">
        <v>0.92500000000000104</v>
      </c>
      <c r="AO257">
        <v>-15.9166666666667</v>
      </c>
      <c r="AP257" s="208"/>
      <c r="AQ257" s="208"/>
      <c r="AR257" s="226"/>
      <c r="AS257" s="225"/>
      <c r="AT257" s="226"/>
      <c r="AU257" s="225"/>
      <c r="AV257" s="225"/>
      <c r="AW257" s="225"/>
      <c r="AX257" s="225"/>
      <c r="AY257" s="225"/>
    </row>
    <row r="258" spans="33:51" x14ac:dyDescent="0.25">
      <c r="AG258" s="66">
        <f>IF(AND(Множество[[#This Row],[Y]]=1),ROW()-ROW(Множество[[#Headers],[№]]),"")</f>
        <v>249</v>
      </c>
      <c r="AH258" t="s">
        <v>608</v>
      </c>
      <c r="AI258" s="66">
        <v>1</v>
      </c>
      <c r="AJ258" s="66">
        <f>IF(LEN(Множество[[#This Row],[Свёртка]])&gt;0,1,-1)</f>
        <v>1</v>
      </c>
      <c r="AK258" s="66" t="s">
        <v>1781</v>
      </c>
      <c r="AL258" s="66">
        <f>IF(LEN(Множество[[#This Row],[Критерии]])&gt;0,1,-1)</f>
        <v>1</v>
      </c>
      <c r="AM258" s="66">
        <f>IF(AND(LEN(Множество[[#This Row],[Свёртка]])&gt;0,LEN(Множество[[#This Row],[Критерии]])&gt;0,LEN(Множество[[#This Row],[Оценки]])&gt;0),1,-1)</f>
        <v>1</v>
      </c>
      <c r="AN258">
        <v>-1.4750000000000001</v>
      </c>
      <c r="AO258">
        <v>-13.5833333333333</v>
      </c>
      <c r="AP258" s="208"/>
      <c r="AQ258" s="208"/>
      <c r="AR258" s="226"/>
      <c r="AS258" s="225"/>
      <c r="AT258" s="226"/>
      <c r="AU258" s="225"/>
      <c r="AV258" s="225"/>
      <c r="AW258" s="225"/>
      <c r="AX258" s="225"/>
      <c r="AY258" s="225"/>
    </row>
    <row r="259" spans="33:51" x14ac:dyDescent="0.25">
      <c r="AG259" s="66">
        <f>IF(AND(Множество[[#This Row],[Y]]=1),ROW()-ROW(Множество[[#Headers],[№]]),"")</f>
        <v>250</v>
      </c>
      <c r="AH259" t="s">
        <v>608</v>
      </c>
      <c r="AI259" s="66">
        <v>1</v>
      </c>
      <c r="AJ259" s="66">
        <f>IF(LEN(Множество[[#This Row],[Свёртка]])&gt;0,1,-1)</f>
        <v>1</v>
      </c>
      <c r="AK259" s="66" t="s">
        <v>1781</v>
      </c>
      <c r="AL259" s="66">
        <f>IF(LEN(Множество[[#This Row],[Критерии]])&gt;0,1,-1)</f>
        <v>1</v>
      </c>
      <c r="AM259" s="66">
        <f>IF(AND(LEN(Множество[[#This Row],[Свёртка]])&gt;0,LEN(Множество[[#This Row],[Критерии]])&gt;0,LEN(Множество[[#This Row],[Оценки]])&gt;0),1,-1)</f>
        <v>1</v>
      </c>
      <c r="AN259">
        <v>0.84999999999999798</v>
      </c>
      <c r="AO259">
        <v>-15.9333333333333</v>
      </c>
      <c r="AP259" s="208"/>
      <c r="AQ259" s="208"/>
      <c r="AR259" s="226"/>
      <c r="AS259" s="225"/>
      <c r="AT259" s="226"/>
      <c r="AU259" s="225"/>
      <c r="AV259" s="225"/>
      <c r="AW259" s="225"/>
      <c r="AX259" s="225"/>
      <c r="AY259" s="225"/>
    </row>
    <row r="260" spans="33:51" x14ac:dyDescent="0.25">
      <c r="AG260" s="66">
        <f>IF(AND(Множество[[#This Row],[Y]]=1),ROW()-ROW(Множество[[#Headers],[№]]),"")</f>
        <v>251</v>
      </c>
      <c r="AH260" t="s">
        <v>608</v>
      </c>
      <c r="AI260" s="66">
        <v>1</v>
      </c>
      <c r="AJ260" s="66">
        <f>IF(LEN(Множество[[#This Row],[Свёртка]])&gt;0,1,-1)</f>
        <v>1</v>
      </c>
      <c r="AK260" s="66" t="s">
        <v>1781</v>
      </c>
      <c r="AL260" s="66">
        <f>IF(LEN(Множество[[#This Row],[Критерии]])&gt;0,1,-1)</f>
        <v>1</v>
      </c>
      <c r="AM260" s="66">
        <f>IF(AND(LEN(Множество[[#This Row],[Свёртка]])&gt;0,LEN(Множество[[#This Row],[Критерии]])&gt;0,LEN(Множество[[#This Row],[Оценки]])&gt;0),1,-1)</f>
        <v>1</v>
      </c>
      <c r="AN260">
        <v>0.77499999999999902</v>
      </c>
      <c r="AO260">
        <v>-15.95</v>
      </c>
      <c r="AP260" s="208"/>
      <c r="AQ260" s="208"/>
      <c r="AR260" s="226"/>
      <c r="AS260" s="225"/>
      <c r="AT260" s="226"/>
      <c r="AU260" s="225"/>
      <c r="AV260" s="225"/>
      <c r="AW260" s="225"/>
      <c r="AX260" s="225"/>
      <c r="AY260" s="225"/>
    </row>
    <row r="261" spans="33:51" x14ac:dyDescent="0.25">
      <c r="AG261" s="66">
        <f>IF(AND(Множество[[#This Row],[Y]]=1),ROW()-ROW(Множество[[#Headers],[№]]),"")</f>
        <v>252</v>
      </c>
      <c r="AH261" t="s">
        <v>608</v>
      </c>
      <c r="AI261" s="66">
        <v>1</v>
      </c>
      <c r="AJ261" s="66">
        <f>IF(LEN(Множество[[#This Row],[Свёртка]])&gt;0,1,-1)</f>
        <v>1</v>
      </c>
      <c r="AK261" s="66" t="s">
        <v>1781</v>
      </c>
      <c r="AL261" s="66">
        <f>IF(LEN(Множество[[#This Row],[Критерии]])&gt;0,1,-1)</f>
        <v>1</v>
      </c>
      <c r="AM261" s="66">
        <f>IF(AND(LEN(Множество[[#This Row],[Свёртка]])&gt;0,LEN(Множество[[#This Row],[Критерии]])&gt;0,LEN(Множество[[#This Row],[Оценки]])&gt;0),1,-1)</f>
        <v>1</v>
      </c>
      <c r="AN261">
        <v>-1.55</v>
      </c>
      <c r="AO261">
        <v>-13.5666666666667</v>
      </c>
      <c r="AP261" s="208"/>
      <c r="AQ261" s="208"/>
      <c r="AR261" s="226"/>
      <c r="AS261" s="225"/>
      <c r="AT261" s="226"/>
      <c r="AU261" s="225"/>
      <c r="AV261" s="225"/>
      <c r="AW261" s="225"/>
      <c r="AX261" s="225"/>
      <c r="AY261" s="225"/>
    </row>
    <row r="262" spans="33:51" x14ac:dyDescent="0.25">
      <c r="AG262" s="66">
        <f>IF(AND(Множество[[#This Row],[Y]]=1),ROW()-ROW(Множество[[#Headers],[№]]),"")</f>
        <v>253</v>
      </c>
      <c r="AH262" t="s">
        <v>608</v>
      </c>
      <c r="AI262" s="66">
        <v>1</v>
      </c>
      <c r="AJ262" s="66">
        <f>IF(LEN(Множество[[#This Row],[Свёртка]])&gt;0,1,-1)</f>
        <v>1</v>
      </c>
      <c r="AK262" s="66" t="s">
        <v>1781</v>
      </c>
      <c r="AL262" s="66">
        <f>IF(LEN(Множество[[#This Row],[Критерии]])&gt;0,1,-1)</f>
        <v>1</v>
      </c>
      <c r="AM262" s="66">
        <f>IF(AND(LEN(Множество[[#This Row],[Свёртка]])&gt;0,LEN(Множество[[#This Row],[Критерии]])&gt;0,LEN(Множество[[#This Row],[Оценки]])&gt;0),1,-1)</f>
        <v>1</v>
      </c>
      <c r="AN262">
        <v>-1.625</v>
      </c>
      <c r="AO262">
        <v>-13.55</v>
      </c>
      <c r="AP262" s="208"/>
      <c r="AQ262" s="208"/>
      <c r="AR262" s="226"/>
      <c r="AS262" s="225"/>
      <c r="AT262" s="226"/>
      <c r="AU262" s="225"/>
      <c r="AV262" s="225"/>
      <c r="AW262" s="225"/>
      <c r="AX262" s="225"/>
      <c r="AY262" s="225"/>
    </row>
    <row r="263" spans="33:51" x14ac:dyDescent="0.25">
      <c r="AG263" s="66">
        <f>IF(AND(Множество[[#This Row],[Y]]=1),ROW()-ROW(Множество[[#Headers],[№]]),"")</f>
        <v>254</v>
      </c>
      <c r="AH263" t="s">
        <v>608</v>
      </c>
      <c r="AI263" s="66">
        <v>1</v>
      </c>
      <c r="AJ263" s="66">
        <f>IF(LEN(Множество[[#This Row],[Свёртка]])&gt;0,1,-1)</f>
        <v>1</v>
      </c>
      <c r="AK263" s="66" t="s">
        <v>1781</v>
      </c>
      <c r="AL263" s="66">
        <f>IF(LEN(Множество[[#This Row],[Критерии]])&gt;0,1,-1)</f>
        <v>1</v>
      </c>
      <c r="AM263" s="66">
        <f>IF(AND(LEN(Множество[[#This Row],[Свёртка]])&gt;0,LEN(Множество[[#This Row],[Критерии]])&gt;0,LEN(Множество[[#This Row],[Оценки]])&gt;0),1,-1)</f>
        <v>1</v>
      </c>
      <c r="AN263">
        <v>-1.7749999999999999</v>
      </c>
      <c r="AO263">
        <v>-13.533333333333299</v>
      </c>
      <c r="AP263" s="208"/>
      <c r="AQ263" s="208"/>
      <c r="AR263" s="226"/>
      <c r="AS263" s="225"/>
      <c r="AT263" s="226"/>
      <c r="AU263" s="225"/>
      <c r="AV263" s="225"/>
      <c r="AW263" s="225"/>
      <c r="AX263" s="225"/>
      <c r="AY263" s="225"/>
    </row>
    <row r="264" spans="33:51" x14ac:dyDescent="0.25">
      <c r="AG264" s="66">
        <f>IF(AND(Множество[[#This Row],[Y]]=1),ROW()-ROW(Множество[[#Headers],[№]]),"")</f>
        <v>255</v>
      </c>
      <c r="AH264" t="s">
        <v>608</v>
      </c>
      <c r="AI264" s="66">
        <v>1</v>
      </c>
      <c r="AJ264" s="66">
        <f>IF(LEN(Множество[[#This Row],[Свёртка]])&gt;0,1,-1)</f>
        <v>1</v>
      </c>
      <c r="AK264" s="66" t="s">
        <v>1781</v>
      </c>
      <c r="AL264" s="66">
        <f>IF(LEN(Множество[[#This Row],[Критерии]])&gt;0,1,-1)</f>
        <v>1</v>
      </c>
      <c r="AM264" s="66">
        <f>IF(AND(LEN(Множество[[#This Row],[Свёртка]])&gt;0,LEN(Множество[[#This Row],[Критерии]])&gt;0,LEN(Множество[[#This Row],[Оценки]])&gt;0),1,-1)</f>
        <v>1</v>
      </c>
      <c r="AN264">
        <v>0.69999999999999896</v>
      </c>
      <c r="AO264">
        <v>-15.983333333333301</v>
      </c>
      <c r="AP264" s="208"/>
      <c r="AQ264" s="208"/>
      <c r="AR264" s="226"/>
      <c r="AS264" s="225"/>
      <c r="AT264" s="226"/>
      <c r="AU264" s="225"/>
      <c r="AV264" s="225"/>
      <c r="AW264" s="225"/>
      <c r="AX264" s="225"/>
      <c r="AY264" s="225"/>
    </row>
    <row r="265" spans="33:51" x14ac:dyDescent="0.25">
      <c r="AG265" s="66">
        <f>IF(AND(Множество[[#This Row],[Y]]=1),ROW()-ROW(Множество[[#Headers],[№]]),"")</f>
        <v>256</v>
      </c>
      <c r="AH265" t="s">
        <v>608</v>
      </c>
      <c r="AI265" s="66">
        <v>1</v>
      </c>
      <c r="AJ265" s="66">
        <f>IF(LEN(Множество[[#This Row],[Свёртка]])&gt;0,1,-1)</f>
        <v>1</v>
      </c>
      <c r="AK265" s="66" t="s">
        <v>1781</v>
      </c>
      <c r="AL265" s="66">
        <f>IF(LEN(Множество[[#This Row],[Критерии]])&gt;0,1,-1)</f>
        <v>1</v>
      </c>
      <c r="AM265" s="66">
        <f>IF(AND(LEN(Множество[[#This Row],[Свёртка]])&gt;0,LEN(Множество[[#This Row],[Критерии]])&gt;0,LEN(Множество[[#This Row],[Оценки]])&gt;0),1,-1)</f>
        <v>1</v>
      </c>
      <c r="AN265">
        <v>0.625</v>
      </c>
      <c r="AO265">
        <v>-16</v>
      </c>
      <c r="AP265" s="208"/>
      <c r="AQ265" s="208"/>
      <c r="AR265" s="226"/>
      <c r="AS265" s="225"/>
      <c r="AT265" s="226"/>
      <c r="AU265" s="225"/>
      <c r="AV265" s="225"/>
      <c r="AW265" s="225"/>
      <c r="AX265" s="225"/>
      <c r="AY265" s="225"/>
    </row>
    <row r="266" spans="33:51" x14ac:dyDescent="0.25">
      <c r="AG266" s="66">
        <f>IF(AND(Множество[[#This Row],[Y]]=1),ROW()-ROW(Множество[[#Headers],[№]]),"")</f>
        <v>257</v>
      </c>
      <c r="AH266" t="s">
        <v>608</v>
      </c>
      <c r="AI266" s="66">
        <v>1</v>
      </c>
      <c r="AJ266" s="66">
        <f>IF(LEN(Множество[[#This Row],[Свёртка]])&gt;0,1,-1)</f>
        <v>1</v>
      </c>
      <c r="AK266" s="66" t="s">
        <v>1781</v>
      </c>
      <c r="AL266" s="66">
        <f>IF(LEN(Множество[[#This Row],[Критерии]])&gt;0,1,-1)</f>
        <v>1</v>
      </c>
      <c r="AM266" s="66">
        <f>IF(AND(LEN(Множество[[#This Row],[Свёртка]])&gt;0,LEN(Множество[[#This Row],[Критерии]])&gt;0,LEN(Множество[[#This Row],[Оценки]])&gt;0),1,-1)</f>
        <v>1</v>
      </c>
      <c r="AN266">
        <v>-1.925</v>
      </c>
      <c r="AO266">
        <v>-13.5</v>
      </c>
      <c r="AP266" s="208"/>
      <c r="AQ266" s="208"/>
      <c r="AR266" s="226"/>
      <c r="AS266" s="225"/>
      <c r="AT266" s="226"/>
      <c r="AU266" s="225"/>
      <c r="AV266" s="225"/>
      <c r="AW266" s="225"/>
      <c r="AX266" s="225"/>
      <c r="AY266" s="225"/>
    </row>
    <row r="267" spans="33:51" x14ac:dyDescent="0.25">
      <c r="AG267" s="66">
        <f>IF(AND(Множество[[#This Row],[Y]]=1),ROW()-ROW(Множество[[#Headers],[№]]),"")</f>
        <v>258</v>
      </c>
      <c r="AH267" t="s">
        <v>608</v>
      </c>
      <c r="AI267" s="66">
        <v>1</v>
      </c>
      <c r="AJ267" s="66">
        <f>IF(LEN(Множество[[#This Row],[Свёртка]])&gt;0,1,-1)</f>
        <v>1</v>
      </c>
      <c r="AK267" s="66" t="s">
        <v>1781</v>
      </c>
      <c r="AL267" s="66">
        <f>IF(LEN(Множество[[#This Row],[Критерии]])&gt;0,1,-1)</f>
        <v>1</v>
      </c>
      <c r="AM267" s="66">
        <f>IF(AND(LEN(Множество[[#This Row],[Свёртка]])&gt;0,LEN(Множество[[#This Row],[Критерии]])&gt;0,LEN(Множество[[#This Row],[Оценки]])&gt;0),1,-1)</f>
        <v>1</v>
      </c>
      <c r="AN267">
        <v>-1.85</v>
      </c>
      <c r="AO267">
        <v>-13.516666666666699</v>
      </c>
      <c r="AP267" s="208"/>
      <c r="AQ267" s="208"/>
      <c r="AR267" s="226"/>
      <c r="AS267" s="225"/>
      <c r="AT267" s="226"/>
      <c r="AU267" s="225"/>
      <c r="AV267" s="225"/>
      <c r="AW267" s="225"/>
      <c r="AX267" s="225"/>
      <c r="AY267" s="225"/>
    </row>
    <row r="268" spans="33:51" x14ac:dyDescent="0.25">
      <c r="AG268" s="66">
        <f>IF(AND(Множество[[#This Row],[Y]]=1),ROW()-ROW(Множество[[#Headers],[№]]),"")</f>
        <v>259</v>
      </c>
      <c r="AH268" t="s">
        <v>608</v>
      </c>
      <c r="AI268" s="66">
        <v>1</v>
      </c>
      <c r="AJ268" s="66">
        <f>IF(LEN(Множество[[#This Row],[Свёртка]])&gt;0,1,-1)</f>
        <v>1</v>
      </c>
      <c r="AK268" s="66" t="s">
        <v>1781</v>
      </c>
      <c r="AL268" s="66">
        <f>IF(LEN(Множество[[#This Row],[Критерии]])&gt;0,1,-1)</f>
        <v>1</v>
      </c>
      <c r="AM268" s="66">
        <f>IF(AND(LEN(Множество[[#This Row],[Свёртка]])&gt;0,LEN(Множество[[#This Row],[Критерии]])&gt;0,LEN(Множество[[#This Row],[Оценки]])&gt;0),1,-1)</f>
        <v>1</v>
      </c>
      <c r="AN268">
        <v>0.55000000000000104</v>
      </c>
      <c r="AO268">
        <v>-16.016666666666701</v>
      </c>
      <c r="AP268" s="208"/>
      <c r="AQ268" s="208"/>
      <c r="AR268" s="226"/>
      <c r="AS268" s="225"/>
      <c r="AT268" s="226"/>
      <c r="AU268" s="225"/>
      <c r="AV268" s="225"/>
      <c r="AW268" s="225"/>
      <c r="AX268" s="225"/>
      <c r="AY268" s="225"/>
    </row>
    <row r="269" spans="33:51" x14ac:dyDescent="0.25">
      <c r="AG269" s="66">
        <f>IF(AND(Множество[[#This Row],[Y]]=1),ROW()-ROW(Множество[[#Headers],[№]]),"")</f>
        <v>260</v>
      </c>
      <c r="AH269" t="s">
        <v>608</v>
      </c>
      <c r="AI269" s="66">
        <v>1</v>
      </c>
      <c r="AJ269" s="66">
        <f>IF(LEN(Множество[[#This Row],[Свёртка]])&gt;0,1,-1)</f>
        <v>1</v>
      </c>
      <c r="AK269" s="66" t="s">
        <v>1781</v>
      </c>
      <c r="AL269" s="66">
        <f>IF(LEN(Множество[[#This Row],[Критерии]])&gt;0,1,-1)</f>
        <v>1</v>
      </c>
      <c r="AM269" s="66">
        <f>IF(AND(LEN(Множество[[#This Row],[Свёртка]])&gt;0,LEN(Множество[[#This Row],[Критерии]])&gt;0,LEN(Множество[[#This Row],[Оценки]])&gt;0),1,-1)</f>
        <v>1</v>
      </c>
      <c r="AN269">
        <v>-2</v>
      </c>
      <c r="AO269">
        <v>-13.483333333333301</v>
      </c>
      <c r="AP269" s="208"/>
      <c r="AQ269" s="208"/>
      <c r="AR269" s="226"/>
      <c r="AS269" s="225"/>
      <c r="AT269" s="226"/>
      <c r="AU269" s="225"/>
      <c r="AV269" s="225"/>
      <c r="AW269" s="225"/>
      <c r="AX269" s="225"/>
      <c r="AY269" s="225"/>
    </row>
    <row r="270" spans="33:51" x14ac:dyDescent="0.25">
      <c r="AG270" s="66">
        <f>IF(AND(Множество[[#This Row],[Y]]=1),ROW()-ROW(Множество[[#Headers],[№]]),"")</f>
        <v>261</v>
      </c>
      <c r="AH270" t="s">
        <v>608</v>
      </c>
      <c r="AI270" s="66">
        <v>1</v>
      </c>
      <c r="AJ270" s="66">
        <f>IF(LEN(Множество[[#This Row],[Свёртка]])&gt;0,1,-1)</f>
        <v>1</v>
      </c>
      <c r="AK270" s="66" t="s">
        <v>1781</v>
      </c>
      <c r="AL270" s="66">
        <f>IF(LEN(Множество[[#This Row],[Критерии]])&gt;0,1,-1)</f>
        <v>1</v>
      </c>
      <c r="AM270" s="66">
        <f>IF(AND(LEN(Множество[[#This Row],[Свёртка]])&gt;0,LEN(Множество[[#This Row],[Критерии]])&gt;0,LEN(Множество[[#This Row],[Оценки]])&gt;0),1,-1)</f>
        <v>1</v>
      </c>
      <c r="AN270">
        <v>0.47500000000000098</v>
      </c>
      <c r="AO270">
        <v>-16.033333333333299</v>
      </c>
      <c r="AP270" s="208"/>
      <c r="AQ270" s="208"/>
      <c r="AR270" s="226"/>
      <c r="AS270" s="225"/>
      <c r="AT270" s="226"/>
      <c r="AU270" s="225"/>
      <c r="AV270" s="225"/>
      <c r="AW270" s="225"/>
      <c r="AX270" s="225"/>
      <c r="AY270" s="225"/>
    </row>
    <row r="271" spans="33:51" x14ac:dyDescent="0.25">
      <c r="AG271" s="66">
        <f>IF(AND(Множество[[#This Row],[Y]]=1),ROW()-ROW(Множество[[#Headers],[№]]),"")</f>
        <v>262</v>
      </c>
      <c r="AH271" t="s">
        <v>608</v>
      </c>
      <c r="AI271" s="66">
        <v>1</v>
      </c>
      <c r="AJ271" s="66">
        <f>IF(LEN(Множество[[#This Row],[Свёртка]])&gt;0,1,-1)</f>
        <v>1</v>
      </c>
      <c r="AK271" s="66" t="s">
        <v>1781</v>
      </c>
      <c r="AL271" s="66">
        <f>IF(LEN(Множество[[#This Row],[Критерии]])&gt;0,1,-1)</f>
        <v>1</v>
      </c>
      <c r="AM271" s="66">
        <f>IF(AND(LEN(Множество[[#This Row],[Свёртка]])&gt;0,LEN(Множество[[#This Row],[Критерии]])&gt;0,LEN(Множество[[#This Row],[Оценки]])&gt;0),1,-1)</f>
        <v>1</v>
      </c>
      <c r="AN271">
        <v>-2.15</v>
      </c>
      <c r="AO271">
        <v>-13.466666666666701</v>
      </c>
      <c r="AP271" s="208"/>
      <c r="AQ271" s="208"/>
      <c r="AR271" s="226"/>
      <c r="AS271" s="225"/>
      <c r="AT271" s="226"/>
      <c r="AU271" s="225"/>
      <c r="AV271" s="225"/>
      <c r="AW271" s="225"/>
      <c r="AX271" s="225"/>
      <c r="AY271" s="225"/>
    </row>
    <row r="272" spans="33:51" x14ac:dyDescent="0.25">
      <c r="AG272" s="66">
        <f>IF(AND(Множество[[#This Row],[Y]]=1),ROW()-ROW(Множество[[#Headers],[№]]),"")</f>
        <v>263</v>
      </c>
      <c r="AH272" t="s">
        <v>608</v>
      </c>
      <c r="AI272" s="66">
        <v>1</v>
      </c>
      <c r="AJ272" s="66">
        <f>IF(LEN(Множество[[#This Row],[Свёртка]])&gt;0,1,-1)</f>
        <v>1</v>
      </c>
      <c r="AK272" s="66" t="s">
        <v>1781</v>
      </c>
      <c r="AL272" s="66">
        <f>IF(LEN(Множество[[#This Row],[Критерии]])&gt;0,1,-1)</f>
        <v>1</v>
      </c>
      <c r="AM272" s="66">
        <f>IF(AND(LEN(Множество[[#This Row],[Свёртка]])&gt;0,LEN(Множество[[#This Row],[Критерии]])&gt;0,LEN(Множество[[#This Row],[Оценки]])&gt;0),1,-1)</f>
        <v>1</v>
      </c>
      <c r="AN272">
        <v>-2.0750000000000002</v>
      </c>
      <c r="AO272">
        <v>-13.483333333333301</v>
      </c>
      <c r="AP272" s="208"/>
      <c r="AQ272" s="208"/>
      <c r="AR272" s="226"/>
      <c r="AS272" s="225"/>
      <c r="AT272" s="226"/>
      <c r="AU272" s="225"/>
      <c r="AV272" s="225"/>
      <c r="AW272" s="225"/>
      <c r="AX272" s="225"/>
      <c r="AY272" s="225"/>
    </row>
    <row r="273" spans="33:51" x14ac:dyDescent="0.25">
      <c r="AG273" s="66">
        <f>IF(AND(Множество[[#This Row],[Y]]=1),ROW()-ROW(Множество[[#Headers],[№]]),"")</f>
        <v>264</v>
      </c>
      <c r="AH273" t="s">
        <v>608</v>
      </c>
      <c r="AI273" s="66">
        <v>1</v>
      </c>
      <c r="AJ273" s="66">
        <f>IF(LEN(Множество[[#This Row],[Свёртка]])&gt;0,1,-1)</f>
        <v>1</v>
      </c>
      <c r="AK273" s="66" t="s">
        <v>1781</v>
      </c>
      <c r="AL273" s="66">
        <f>IF(LEN(Множество[[#This Row],[Критерии]])&gt;0,1,-1)</f>
        <v>1</v>
      </c>
      <c r="AM273" s="66">
        <f>IF(AND(LEN(Множество[[#This Row],[Свёртка]])&gt;0,LEN(Множество[[#This Row],[Критерии]])&gt;0,LEN(Множество[[#This Row],[Оценки]])&gt;0),1,-1)</f>
        <v>1</v>
      </c>
      <c r="AN273">
        <v>0.40000000000000202</v>
      </c>
      <c r="AO273">
        <v>-16.066666666666698</v>
      </c>
      <c r="AP273" s="208"/>
      <c r="AQ273" s="208"/>
      <c r="AR273" s="226"/>
      <c r="AS273" s="225"/>
      <c r="AT273" s="226"/>
      <c r="AU273" s="225"/>
      <c r="AV273" s="225"/>
      <c r="AW273" s="225"/>
      <c r="AX273" s="225"/>
      <c r="AY273" s="225"/>
    </row>
    <row r="274" spans="33:51" x14ac:dyDescent="0.25">
      <c r="AG274" s="66">
        <f>IF(AND(Множество[[#This Row],[Y]]=1),ROW()-ROW(Множество[[#Headers],[№]]),"")</f>
        <v>265</v>
      </c>
      <c r="AH274" t="s">
        <v>608</v>
      </c>
      <c r="AI274" s="66">
        <v>1</v>
      </c>
      <c r="AJ274" s="66">
        <f>IF(LEN(Множество[[#This Row],[Свёртка]])&gt;0,1,-1)</f>
        <v>1</v>
      </c>
      <c r="AK274" s="66" t="s">
        <v>1781</v>
      </c>
      <c r="AL274" s="66">
        <f>IF(LEN(Множество[[#This Row],[Критерии]])&gt;0,1,-1)</f>
        <v>1</v>
      </c>
      <c r="AM274" s="66">
        <f>IF(AND(LEN(Множество[[#This Row],[Свёртка]])&gt;0,LEN(Множество[[#This Row],[Критерии]])&gt;0,LEN(Множество[[#This Row],[Оценки]])&gt;0),1,-1)</f>
        <v>1</v>
      </c>
      <c r="AN274">
        <v>-2.2250000000000001</v>
      </c>
      <c r="AO274">
        <v>-13.45</v>
      </c>
      <c r="AP274" s="208"/>
      <c r="AQ274" s="208"/>
      <c r="AR274" s="226"/>
      <c r="AS274" s="225"/>
      <c r="AT274" s="226"/>
      <c r="AU274" s="225"/>
      <c r="AV274" s="225"/>
      <c r="AW274" s="225"/>
      <c r="AX274" s="225"/>
      <c r="AY274" s="225"/>
    </row>
    <row r="275" spans="33:51" x14ac:dyDescent="0.25">
      <c r="AG275" s="66">
        <f>IF(AND(Множество[[#This Row],[Y]]=1),ROW()-ROW(Множество[[#Headers],[№]]),"")</f>
        <v>266</v>
      </c>
      <c r="AH275" t="s">
        <v>608</v>
      </c>
      <c r="AI275" s="66">
        <v>1</v>
      </c>
      <c r="AJ275" s="66">
        <f>IF(LEN(Множество[[#This Row],[Свёртка]])&gt;0,1,-1)</f>
        <v>1</v>
      </c>
      <c r="AK275" s="66" t="s">
        <v>1781</v>
      </c>
      <c r="AL275" s="66">
        <f>IF(LEN(Множество[[#This Row],[Критерии]])&gt;0,1,-1)</f>
        <v>1</v>
      </c>
      <c r="AM275" s="66">
        <f>IF(AND(LEN(Множество[[#This Row],[Свёртка]])&gt;0,LEN(Множество[[#This Row],[Критерии]])&gt;0,LEN(Множество[[#This Row],[Оценки]])&gt;0),1,-1)</f>
        <v>1</v>
      </c>
      <c r="AN275">
        <v>-2.2999999999999998</v>
      </c>
      <c r="AO275">
        <v>-13.4333333333333</v>
      </c>
      <c r="AP275" s="208"/>
      <c r="AQ275" s="208"/>
      <c r="AR275" s="226"/>
      <c r="AS275" s="225"/>
      <c r="AT275" s="226"/>
      <c r="AU275" s="225"/>
      <c r="AV275" s="225"/>
      <c r="AW275" s="225"/>
      <c r="AX275" s="225"/>
      <c r="AY275" s="225"/>
    </row>
    <row r="276" spans="33:51" x14ac:dyDescent="0.25">
      <c r="AG276" s="66">
        <f>IF(AND(Множество[[#This Row],[Y]]=1),ROW()-ROW(Множество[[#Headers],[№]]),"")</f>
        <v>267</v>
      </c>
      <c r="AH276" t="s">
        <v>608</v>
      </c>
      <c r="AI276" s="66">
        <v>1</v>
      </c>
      <c r="AJ276" s="66">
        <f>IF(LEN(Множество[[#This Row],[Свёртка]])&gt;0,1,-1)</f>
        <v>1</v>
      </c>
      <c r="AK276" s="66" t="s">
        <v>1781</v>
      </c>
      <c r="AL276" s="66">
        <f>IF(LEN(Множество[[#This Row],[Критерии]])&gt;0,1,-1)</f>
        <v>1</v>
      </c>
      <c r="AM276" s="66">
        <f>IF(AND(LEN(Множество[[#This Row],[Свёртка]])&gt;0,LEN(Множество[[#This Row],[Критерии]])&gt;0,LEN(Множество[[#This Row],[Оценки]])&gt;0),1,-1)</f>
        <v>1</v>
      </c>
      <c r="AN276">
        <v>-3.125</v>
      </c>
      <c r="AO276">
        <v>-12.75</v>
      </c>
      <c r="AP276" s="208"/>
      <c r="AQ276" s="208"/>
      <c r="AR276" s="226"/>
      <c r="AS276" s="225"/>
      <c r="AT276" s="226"/>
      <c r="AU276" s="225"/>
      <c r="AV276" s="225"/>
      <c r="AW276" s="225"/>
      <c r="AX276" s="225"/>
      <c r="AY276" s="225"/>
    </row>
    <row r="277" spans="33:51" x14ac:dyDescent="0.25">
      <c r="AG277" s="66">
        <f>IF(AND(Множество[[#This Row],[Y]]=1),ROW()-ROW(Множество[[#Headers],[№]]),"")</f>
        <v>268</v>
      </c>
      <c r="AH277" t="s">
        <v>608</v>
      </c>
      <c r="AI277" s="66">
        <v>1</v>
      </c>
      <c r="AJ277" s="66">
        <f>IF(LEN(Множество[[#This Row],[Свёртка]])&gt;0,1,-1)</f>
        <v>1</v>
      </c>
      <c r="AK277" s="66" t="s">
        <v>1781</v>
      </c>
      <c r="AL277" s="66">
        <f>IF(LEN(Множество[[#This Row],[Критерии]])&gt;0,1,-1)</f>
        <v>1</v>
      </c>
      <c r="AM277" s="66">
        <f>IF(AND(LEN(Множество[[#This Row],[Свёртка]])&gt;0,LEN(Множество[[#This Row],[Критерии]])&gt;0,LEN(Множество[[#This Row],[Оценки]])&gt;0),1,-1)</f>
        <v>1</v>
      </c>
      <c r="AN277">
        <v>-2.4500000000000002</v>
      </c>
      <c r="AO277">
        <v>-13.4166666666667</v>
      </c>
      <c r="AP277" s="208"/>
      <c r="AQ277" s="208"/>
      <c r="AR277" s="226"/>
      <c r="AS277" s="225"/>
      <c r="AT277" s="226"/>
      <c r="AU277" s="225"/>
      <c r="AV277" s="225"/>
      <c r="AW277" s="225"/>
      <c r="AX277" s="225"/>
      <c r="AY277" s="225"/>
    </row>
    <row r="278" spans="33:51" x14ac:dyDescent="0.25">
      <c r="AG278" s="66">
        <f>IF(AND(Множество[[#This Row],[Y]]=1),ROW()-ROW(Множество[[#Headers],[№]]),"")</f>
        <v>269</v>
      </c>
      <c r="AH278" t="s">
        <v>608</v>
      </c>
      <c r="AI278" s="66">
        <v>1</v>
      </c>
      <c r="AJ278" s="66">
        <f>IF(LEN(Множество[[#This Row],[Свёртка]])&gt;0,1,-1)</f>
        <v>1</v>
      </c>
      <c r="AK278" s="66" t="s">
        <v>1781</v>
      </c>
      <c r="AL278" s="66">
        <f>IF(LEN(Множество[[#This Row],[Критерии]])&gt;0,1,-1)</f>
        <v>1</v>
      </c>
      <c r="AM278" s="66">
        <f>IF(AND(LEN(Множество[[#This Row],[Свёртка]])&gt;0,LEN(Множество[[#This Row],[Критерии]])&gt;0,LEN(Множество[[#This Row],[Оценки]])&gt;0),1,-1)</f>
        <v>1</v>
      </c>
      <c r="AN278">
        <v>-2.9750000000000001</v>
      </c>
      <c r="AO278">
        <v>-12.85</v>
      </c>
      <c r="AP278" s="208"/>
      <c r="AQ278" s="208"/>
      <c r="AR278" s="226"/>
      <c r="AS278" s="225"/>
      <c r="AT278" s="226"/>
      <c r="AU278" s="225"/>
      <c r="AV278" s="225"/>
      <c r="AW278" s="225"/>
      <c r="AX278" s="225"/>
      <c r="AY278" s="225"/>
    </row>
    <row r="279" spans="33:51" x14ac:dyDescent="0.25">
      <c r="AG279" s="66">
        <f>IF(AND(Множество[[#This Row],[Y]]=1),ROW()-ROW(Множество[[#Headers],[№]]),"")</f>
        <v>270</v>
      </c>
      <c r="AH279" t="s">
        <v>608</v>
      </c>
      <c r="AI279" s="66">
        <v>1</v>
      </c>
      <c r="AJ279" s="66">
        <f>IF(LEN(Множество[[#This Row],[Свёртка]])&gt;0,1,-1)</f>
        <v>1</v>
      </c>
      <c r="AK279" s="66" t="s">
        <v>1781</v>
      </c>
      <c r="AL279" s="66">
        <f>IF(LEN(Множество[[#This Row],[Критерии]])&gt;0,1,-1)</f>
        <v>1</v>
      </c>
      <c r="AM279" s="66">
        <f>IF(AND(LEN(Множество[[#This Row],[Свёртка]])&gt;0,LEN(Множество[[#This Row],[Критерии]])&gt;0,LEN(Множество[[#This Row],[Оценки]])&gt;0),1,-1)</f>
        <v>1</v>
      </c>
      <c r="AN279">
        <v>0.32499999999999901</v>
      </c>
      <c r="AO279">
        <v>-16.0833333333333</v>
      </c>
      <c r="AP279" s="208"/>
      <c r="AQ279" s="208"/>
      <c r="AR279" s="226"/>
      <c r="AS279" s="225"/>
      <c r="AT279" s="226"/>
      <c r="AU279" s="225"/>
      <c r="AV279" s="225"/>
      <c r="AW279" s="225"/>
      <c r="AX279" s="225"/>
      <c r="AY279" s="225"/>
    </row>
    <row r="280" spans="33:51" x14ac:dyDescent="0.25">
      <c r="AG280" s="66">
        <f>IF(AND(Множество[[#This Row],[Y]]=1),ROW()-ROW(Множество[[#Headers],[№]]),"")</f>
        <v>271</v>
      </c>
      <c r="AH280" t="s">
        <v>608</v>
      </c>
      <c r="AI280" s="66">
        <v>1</v>
      </c>
      <c r="AJ280" s="66">
        <f>IF(LEN(Множество[[#This Row],[Свёртка]])&gt;0,1,-1)</f>
        <v>1</v>
      </c>
      <c r="AK280" s="66" t="s">
        <v>1781</v>
      </c>
      <c r="AL280" s="66">
        <f>IF(LEN(Множество[[#This Row],[Критерии]])&gt;0,1,-1)</f>
        <v>1</v>
      </c>
      <c r="AM280" s="66">
        <f>IF(AND(LEN(Множество[[#This Row],[Свёртка]])&gt;0,LEN(Множество[[#This Row],[Критерии]])&gt;0,LEN(Множество[[#This Row],[Оценки]])&gt;0),1,-1)</f>
        <v>1</v>
      </c>
      <c r="AN280">
        <v>0.25</v>
      </c>
      <c r="AO280">
        <v>-16.100000000000001</v>
      </c>
      <c r="AP280" s="208"/>
      <c r="AQ280" s="208"/>
      <c r="AR280" s="226"/>
      <c r="AS280" s="225"/>
      <c r="AT280" s="226"/>
      <c r="AU280" s="225"/>
      <c r="AV280" s="225"/>
      <c r="AW280" s="225"/>
      <c r="AX280" s="225"/>
      <c r="AY280" s="225"/>
    </row>
    <row r="281" spans="33:51" x14ac:dyDescent="0.25">
      <c r="AG281" s="66">
        <f>IF(AND(Множество[[#This Row],[Y]]=1),ROW()-ROW(Множество[[#Headers],[№]]),"")</f>
        <v>272</v>
      </c>
      <c r="AH281" t="s">
        <v>608</v>
      </c>
      <c r="AI281" s="66">
        <v>1</v>
      </c>
      <c r="AJ281" s="66">
        <f>IF(LEN(Множество[[#This Row],[Свёртка]])&gt;0,1,-1)</f>
        <v>1</v>
      </c>
      <c r="AK281" s="66" t="s">
        <v>1781</v>
      </c>
      <c r="AL281" s="66">
        <f>IF(LEN(Множество[[#This Row],[Критерии]])&gt;0,1,-1)</f>
        <v>1</v>
      </c>
      <c r="AM281" s="66">
        <f>IF(AND(LEN(Множество[[#This Row],[Свёртка]])&gt;0,LEN(Множество[[#This Row],[Критерии]])&gt;0,LEN(Множество[[#This Row],[Оценки]])&gt;0),1,-1)</f>
        <v>1</v>
      </c>
      <c r="AN281">
        <v>-3.05</v>
      </c>
      <c r="AO281">
        <v>-12.8</v>
      </c>
      <c r="AP281" s="208"/>
      <c r="AQ281" s="208"/>
      <c r="AR281" s="226"/>
      <c r="AS281" s="225"/>
      <c r="AT281" s="226"/>
      <c r="AU281" s="225"/>
      <c r="AV281" s="225"/>
      <c r="AW281" s="225"/>
      <c r="AX281" s="225"/>
      <c r="AY281" s="225"/>
    </row>
    <row r="282" spans="33:51" x14ac:dyDescent="0.25">
      <c r="AG282" s="66">
        <f>IF(AND(Множество[[#This Row],[Y]]=1),ROW()-ROW(Множество[[#Headers],[№]]),"")</f>
        <v>273</v>
      </c>
      <c r="AH282" t="s">
        <v>608</v>
      </c>
      <c r="AI282" s="66">
        <v>1</v>
      </c>
      <c r="AJ282" s="66">
        <f>IF(LEN(Множество[[#This Row],[Свёртка]])&gt;0,1,-1)</f>
        <v>1</v>
      </c>
      <c r="AK282" s="66" t="s">
        <v>1781</v>
      </c>
      <c r="AL282" s="66">
        <f>IF(LEN(Множество[[#This Row],[Критерии]])&gt;0,1,-1)</f>
        <v>1</v>
      </c>
      <c r="AM282" s="66">
        <f>IF(AND(LEN(Множество[[#This Row],[Свёртка]])&gt;0,LEN(Множество[[#This Row],[Критерии]])&gt;0,LEN(Множество[[#This Row],[Оценки]])&gt;0),1,-1)</f>
        <v>1</v>
      </c>
      <c r="AN282">
        <v>-2.5249999999999999</v>
      </c>
      <c r="AO282">
        <v>-13.4</v>
      </c>
      <c r="AP282" s="208"/>
      <c r="AQ282" s="208"/>
      <c r="AR282" s="226"/>
      <c r="AS282" s="225"/>
      <c r="AT282" s="226"/>
      <c r="AU282" s="225"/>
      <c r="AV282" s="225"/>
      <c r="AW282" s="225"/>
      <c r="AX282" s="225"/>
      <c r="AY282" s="225"/>
    </row>
    <row r="283" spans="33:51" x14ac:dyDescent="0.25">
      <c r="AG283" s="66">
        <f>IF(AND(Множество[[#This Row],[Y]]=1),ROW()-ROW(Множество[[#Headers],[№]]),"")</f>
        <v>274</v>
      </c>
      <c r="AH283" t="s">
        <v>608</v>
      </c>
      <c r="AI283" s="66">
        <v>1</v>
      </c>
      <c r="AJ283" s="66">
        <f>IF(LEN(Множество[[#This Row],[Свёртка]])&gt;0,1,-1)</f>
        <v>1</v>
      </c>
      <c r="AK283" s="66" t="s">
        <v>1781</v>
      </c>
      <c r="AL283" s="66">
        <f>IF(LEN(Множество[[#This Row],[Критерии]])&gt;0,1,-1)</f>
        <v>1</v>
      </c>
      <c r="AM283" s="66">
        <f>IF(AND(LEN(Множество[[#This Row],[Свёртка]])&gt;0,LEN(Множество[[#This Row],[Критерии]])&gt;0,LEN(Множество[[#This Row],[Оценки]])&gt;0),1,-1)</f>
        <v>1</v>
      </c>
      <c r="AN283">
        <v>-3.2</v>
      </c>
      <c r="AO283">
        <v>-12.716666666666701</v>
      </c>
      <c r="AP283" s="208"/>
      <c r="AQ283" s="208"/>
      <c r="AR283" s="226"/>
      <c r="AS283" s="225"/>
      <c r="AT283" s="226"/>
      <c r="AU283" s="225"/>
      <c r="AV283" s="225"/>
      <c r="AW283" s="225"/>
      <c r="AX283" s="225"/>
      <c r="AY283" s="225"/>
    </row>
    <row r="284" spans="33:51" x14ac:dyDescent="0.25">
      <c r="AG284" s="66">
        <f>IF(AND(Множество[[#This Row],[Y]]=1),ROW()-ROW(Множество[[#Headers],[№]]),"")</f>
        <v>275</v>
      </c>
      <c r="AH284" t="s">
        <v>608</v>
      </c>
      <c r="AI284" s="66">
        <v>1</v>
      </c>
      <c r="AJ284" s="66">
        <f>IF(LEN(Множество[[#This Row],[Свёртка]])&gt;0,1,-1)</f>
        <v>1</v>
      </c>
      <c r="AK284" s="66" t="s">
        <v>1781</v>
      </c>
      <c r="AL284" s="66">
        <f>IF(LEN(Множество[[#This Row],[Критерии]])&gt;0,1,-1)</f>
        <v>1</v>
      </c>
      <c r="AM284" s="66">
        <f>IF(AND(LEN(Множество[[#This Row],[Свёртка]])&gt;0,LEN(Множество[[#This Row],[Критерии]])&gt;0,LEN(Множество[[#This Row],[Оценки]])&gt;0),1,-1)</f>
        <v>1</v>
      </c>
      <c r="AN284">
        <v>-3.35</v>
      </c>
      <c r="AO284">
        <v>-12.633333333333301</v>
      </c>
      <c r="AP284" s="208"/>
      <c r="AQ284" s="208"/>
      <c r="AR284" s="226"/>
      <c r="AS284" s="225"/>
      <c r="AT284" s="226"/>
      <c r="AU284" s="225"/>
      <c r="AV284" s="225"/>
      <c r="AW284" s="225"/>
      <c r="AX284" s="225"/>
      <c r="AY284" s="225"/>
    </row>
    <row r="285" spans="33:51" x14ac:dyDescent="0.25">
      <c r="AG285" s="66">
        <f>IF(AND(Множество[[#This Row],[Y]]=1),ROW()-ROW(Множество[[#Headers],[№]]),"")</f>
        <v>276</v>
      </c>
      <c r="AH285" t="s">
        <v>608</v>
      </c>
      <c r="AI285" s="66">
        <v>1</v>
      </c>
      <c r="AJ285" s="66">
        <f>IF(LEN(Множество[[#This Row],[Свёртка]])&gt;0,1,-1)</f>
        <v>1</v>
      </c>
      <c r="AK285" s="66" t="s">
        <v>1781</v>
      </c>
      <c r="AL285" s="66">
        <f>IF(LEN(Множество[[#This Row],[Критерии]])&gt;0,1,-1)</f>
        <v>1</v>
      </c>
      <c r="AM285" s="66">
        <f>IF(AND(LEN(Множество[[#This Row],[Свёртка]])&gt;0,LEN(Множество[[#This Row],[Критерии]])&gt;0,LEN(Множество[[#This Row],[Оценки]])&gt;0),1,-1)</f>
        <v>1</v>
      </c>
      <c r="AN285">
        <v>-3.5</v>
      </c>
      <c r="AO285">
        <v>-12.533333333333299</v>
      </c>
      <c r="AP285" s="208"/>
      <c r="AQ285" s="208"/>
      <c r="AR285" s="226"/>
      <c r="AS285" s="225"/>
      <c r="AT285" s="226"/>
      <c r="AU285" s="225"/>
      <c r="AV285" s="225"/>
      <c r="AW285" s="225"/>
      <c r="AX285" s="225"/>
      <c r="AY285" s="225"/>
    </row>
    <row r="286" spans="33:51" x14ac:dyDescent="0.25">
      <c r="AG286" s="66">
        <f>IF(AND(Множество[[#This Row],[Y]]=1),ROW()-ROW(Множество[[#Headers],[№]]),"")</f>
        <v>277</v>
      </c>
      <c r="AH286" t="s">
        <v>608</v>
      </c>
      <c r="AI286" s="66">
        <v>1</v>
      </c>
      <c r="AJ286" s="66">
        <f>IF(LEN(Множество[[#This Row],[Свёртка]])&gt;0,1,-1)</f>
        <v>1</v>
      </c>
      <c r="AK286" s="66" t="s">
        <v>1781</v>
      </c>
      <c r="AL286" s="66">
        <f>IF(LEN(Множество[[#This Row],[Критерии]])&gt;0,1,-1)</f>
        <v>1</v>
      </c>
      <c r="AM286" s="66">
        <f>IF(AND(LEN(Множество[[#This Row],[Свёртка]])&gt;0,LEN(Множество[[#This Row],[Критерии]])&gt;0,LEN(Множество[[#This Row],[Оценки]])&gt;0),1,-1)</f>
        <v>1</v>
      </c>
      <c r="AN286">
        <v>0.100000000000001</v>
      </c>
      <c r="AO286">
        <v>-16.149999999999999</v>
      </c>
      <c r="AP286" s="208"/>
      <c r="AQ286" s="208"/>
      <c r="AR286" s="226"/>
      <c r="AS286" s="225"/>
      <c r="AT286" s="226"/>
      <c r="AU286" s="225"/>
      <c r="AV286" s="225"/>
      <c r="AW286" s="225"/>
      <c r="AX286" s="225"/>
      <c r="AY286" s="225"/>
    </row>
    <row r="287" spans="33:51" x14ac:dyDescent="0.25">
      <c r="AG287" s="66">
        <f>IF(AND(Множество[[#This Row],[Y]]=1),ROW()-ROW(Множество[[#Headers],[№]]),"")</f>
        <v>278</v>
      </c>
      <c r="AH287" t="s">
        <v>608</v>
      </c>
      <c r="AI287" s="66">
        <v>1</v>
      </c>
      <c r="AJ287" s="66">
        <f>IF(LEN(Множество[[#This Row],[Свёртка]])&gt;0,1,-1)</f>
        <v>1</v>
      </c>
      <c r="AK287" s="66" t="s">
        <v>1781</v>
      </c>
      <c r="AL287" s="66">
        <f>IF(LEN(Множество[[#This Row],[Критерии]])&gt;0,1,-1)</f>
        <v>1</v>
      </c>
      <c r="AM287" s="66">
        <f>IF(AND(LEN(Множество[[#This Row],[Свёртка]])&gt;0,LEN(Множество[[#This Row],[Критерии]])&gt;0,LEN(Множество[[#This Row],[Оценки]])&gt;0),1,-1)</f>
        <v>1</v>
      </c>
      <c r="AN287">
        <v>-3.2749999999999999</v>
      </c>
      <c r="AO287">
        <v>-12.6666666666667</v>
      </c>
      <c r="AP287" s="208"/>
      <c r="AQ287" s="208"/>
      <c r="AR287" s="226"/>
      <c r="AS287" s="225"/>
      <c r="AT287" s="226"/>
      <c r="AU287" s="225"/>
      <c r="AV287" s="225"/>
      <c r="AW287" s="225"/>
      <c r="AX287" s="225"/>
      <c r="AY287" s="225"/>
    </row>
    <row r="288" spans="33:51" x14ac:dyDescent="0.25">
      <c r="AG288" s="66">
        <f>IF(AND(Множество[[#This Row],[Y]]=1),ROW()-ROW(Множество[[#Headers],[№]]),"")</f>
        <v>279</v>
      </c>
      <c r="AH288" t="s">
        <v>608</v>
      </c>
      <c r="AI288" s="66">
        <v>1</v>
      </c>
      <c r="AJ288" s="66">
        <f>IF(LEN(Множество[[#This Row],[Свёртка]])&gt;0,1,-1)</f>
        <v>1</v>
      </c>
      <c r="AK288" s="66" t="s">
        <v>1781</v>
      </c>
      <c r="AL288" s="66">
        <f>IF(LEN(Множество[[#This Row],[Критерии]])&gt;0,1,-1)</f>
        <v>1</v>
      </c>
      <c r="AM288" s="66">
        <f>IF(AND(LEN(Множество[[#This Row],[Свёртка]])&gt;0,LEN(Множество[[#This Row],[Критерии]])&gt;0,LEN(Множество[[#This Row],[Оценки]])&gt;0),1,-1)</f>
        <v>1</v>
      </c>
      <c r="AN288">
        <v>0.17499999999999699</v>
      </c>
      <c r="AO288">
        <v>-16.133333333333301</v>
      </c>
      <c r="AP288" s="208"/>
      <c r="AQ288" s="208"/>
      <c r="AR288" s="226"/>
      <c r="AS288" s="225"/>
      <c r="AT288" s="226"/>
      <c r="AU288" s="225"/>
      <c r="AV288" s="225"/>
      <c r="AW288" s="225"/>
      <c r="AX288" s="225"/>
      <c r="AY288" s="225"/>
    </row>
    <row r="289" spans="33:51" x14ac:dyDescent="0.25">
      <c r="AG289" s="66">
        <f>IF(AND(Множество[[#This Row],[Y]]=1),ROW()-ROW(Множество[[#Headers],[№]]),"")</f>
        <v>280</v>
      </c>
      <c r="AH289" t="s">
        <v>608</v>
      </c>
      <c r="AI289" s="66">
        <v>1</v>
      </c>
      <c r="AJ289" s="66">
        <f>IF(LEN(Множество[[#This Row],[Свёртка]])&gt;0,1,-1)</f>
        <v>1</v>
      </c>
      <c r="AK289" s="66" t="s">
        <v>1781</v>
      </c>
      <c r="AL289" s="66">
        <f>IF(LEN(Множество[[#This Row],[Критерии]])&gt;0,1,-1)</f>
        <v>1</v>
      </c>
      <c r="AM289" s="66">
        <f>IF(AND(LEN(Множество[[#This Row],[Свёртка]])&gt;0,LEN(Множество[[#This Row],[Критерии]])&gt;0,LEN(Множество[[#This Row],[Оценки]])&gt;0),1,-1)</f>
        <v>1</v>
      </c>
      <c r="AN289">
        <v>-2.6749999999999998</v>
      </c>
      <c r="AO289">
        <v>-13.366666666666699</v>
      </c>
      <c r="AP289" s="208"/>
      <c r="AQ289" s="208"/>
      <c r="AR289" s="226"/>
      <c r="AS289" s="225"/>
      <c r="AT289" s="226"/>
      <c r="AU289" s="225"/>
      <c r="AV289" s="225"/>
      <c r="AW289" s="225"/>
      <c r="AX289" s="225"/>
      <c r="AY289" s="225"/>
    </row>
    <row r="290" spans="33:51" x14ac:dyDescent="0.25">
      <c r="AG290" s="66">
        <f>IF(AND(Множество[[#This Row],[Y]]=1),ROW()-ROW(Множество[[#Headers],[№]]),"")</f>
        <v>281</v>
      </c>
      <c r="AH290" t="s">
        <v>608</v>
      </c>
      <c r="AI290" s="66">
        <v>1</v>
      </c>
      <c r="AJ290" s="66">
        <f>IF(LEN(Множество[[#This Row],[Свёртка]])&gt;0,1,-1)</f>
        <v>1</v>
      </c>
      <c r="AK290" s="66" t="s">
        <v>1781</v>
      </c>
      <c r="AL290" s="209">
        <f>IF(LEN(Множество[[#This Row],[Критерии]])&gt;0,1,-1)</f>
        <v>1</v>
      </c>
      <c r="AM290" s="209">
        <f>IF(AND(LEN(Множество[[#This Row],[Свёртка]])&gt;0,LEN(Множество[[#This Row],[Критерии]])&gt;0,LEN(Множество[[#This Row],[Оценки]])&gt;0),1,-1)</f>
        <v>1</v>
      </c>
      <c r="AN290">
        <v>-2.6</v>
      </c>
      <c r="AO290">
        <v>-13.383333333333301</v>
      </c>
      <c r="AP290" s="208"/>
      <c r="AQ290" s="208"/>
      <c r="AR290" s="226"/>
      <c r="AS290" s="225"/>
      <c r="AT290" s="226"/>
      <c r="AU290" s="225"/>
      <c r="AV290" s="225"/>
      <c r="AW290" s="225"/>
      <c r="AX290" s="225"/>
      <c r="AY290" s="225"/>
    </row>
    <row r="291" spans="33:51" x14ac:dyDescent="0.25">
      <c r="AG291" s="66">
        <f>IF(AND(Множество[[#This Row],[Y]]=1),ROW()-ROW(Множество[[#Headers],[№]]),"")</f>
        <v>282</v>
      </c>
      <c r="AH291" t="s">
        <v>608</v>
      </c>
      <c r="AI291" s="66">
        <v>1</v>
      </c>
      <c r="AJ291" s="66">
        <f>IF(LEN(Множество[[#This Row],[Свёртка]])&gt;0,1,-1)</f>
        <v>1</v>
      </c>
      <c r="AK291" s="66" t="s">
        <v>1781</v>
      </c>
      <c r="AL291" s="209">
        <f>IF(LEN(Множество[[#This Row],[Критерии]])&gt;0,1,-1)</f>
        <v>1</v>
      </c>
      <c r="AM291" s="209">
        <f>IF(AND(LEN(Множество[[#This Row],[Свёртка]])&gt;0,LEN(Множество[[#This Row],[Критерии]])&gt;0,LEN(Множество[[#This Row],[Оценки]])&gt;0),1,-1)</f>
        <v>1</v>
      </c>
      <c r="AN291">
        <v>-3.4249999999999998</v>
      </c>
      <c r="AO291">
        <v>-12.5833333333333</v>
      </c>
      <c r="AP291" s="208"/>
      <c r="AQ291" s="208"/>
      <c r="AR291" s="226"/>
      <c r="AS291" s="225"/>
      <c r="AT291" s="226"/>
      <c r="AU291" s="225"/>
      <c r="AV291" s="225"/>
      <c r="AW291" s="225"/>
      <c r="AX291" s="225"/>
      <c r="AY291" s="225"/>
    </row>
    <row r="292" spans="33:51" x14ac:dyDescent="0.25">
      <c r="AG292" s="66">
        <f>IF(AND(Множество[[#This Row],[Y]]=1),ROW()-ROW(Множество[[#Headers],[№]]),"")</f>
        <v>283</v>
      </c>
      <c r="AH292" t="s">
        <v>608</v>
      </c>
      <c r="AI292" s="66">
        <v>1</v>
      </c>
      <c r="AJ292" s="66">
        <f>IF(LEN(Множество[[#This Row],[Свёртка]])&gt;0,1,-1)</f>
        <v>1</v>
      </c>
      <c r="AK292" s="66" t="s">
        <v>1781</v>
      </c>
      <c r="AL292" s="209">
        <f>IF(LEN(Множество[[#This Row],[Критерии]])&gt;0,1,-1)</f>
        <v>1</v>
      </c>
      <c r="AM292" s="209">
        <f>IF(AND(LEN(Множество[[#This Row],[Свёртка]])&gt;0,LEN(Множество[[#This Row],[Критерии]])&gt;0,LEN(Множество[[#This Row],[Оценки]])&gt;0),1,-1)</f>
        <v>1</v>
      </c>
      <c r="AN292">
        <v>-3.5750000000000002</v>
      </c>
      <c r="AO292">
        <v>-12.5</v>
      </c>
      <c r="AP292" s="208"/>
      <c r="AQ292" s="208"/>
      <c r="AR292" s="226"/>
      <c r="AS292" s="225"/>
      <c r="AT292" s="226"/>
      <c r="AU292" s="225"/>
      <c r="AV292" s="225"/>
      <c r="AW292" s="225"/>
      <c r="AX292" s="225"/>
      <c r="AY292" s="225"/>
    </row>
    <row r="293" spans="33:51" x14ac:dyDescent="0.25">
      <c r="AG293" s="66">
        <f>IF(AND(Множество[[#This Row],[Y]]=1),ROW()-ROW(Множество[[#Headers],[№]]),"")</f>
        <v>284</v>
      </c>
      <c r="AH293" t="s">
        <v>608</v>
      </c>
      <c r="AI293" s="66">
        <v>1</v>
      </c>
      <c r="AJ293" s="66">
        <f>IF(LEN(Множество[[#This Row],[Свёртка]])&gt;0,1,-1)</f>
        <v>1</v>
      </c>
      <c r="AK293" s="66" t="s">
        <v>1781</v>
      </c>
      <c r="AL293" s="209">
        <f>IF(LEN(Множество[[#This Row],[Критерии]])&gt;0,1,-1)</f>
        <v>1</v>
      </c>
      <c r="AM293" s="209">
        <f>IF(AND(LEN(Множество[[#This Row],[Свёртка]])&gt;0,LEN(Множество[[#This Row],[Критерии]])&gt;0,LEN(Множество[[#This Row],[Оценки]])&gt;0),1,-1)</f>
        <v>1</v>
      </c>
      <c r="AN293">
        <v>-2.8250000000000002</v>
      </c>
      <c r="AO293">
        <v>-13.35</v>
      </c>
      <c r="AP293" s="208"/>
      <c r="AQ293" s="208"/>
      <c r="AR293" s="226"/>
      <c r="AS293" s="225"/>
      <c r="AT293" s="226"/>
      <c r="AU293" s="225"/>
      <c r="AV293" s="225"/>
      <c r="AW293" s="225"/>
      <c r="AX293" s="225"/>
      <c r="AY293" s="225"/>
    </row>
    <row r="294" spans="33:51" x14ac:dyDescent="0.25">
      <c r="AG294" s="66">
        <f>IF(AND(Множество[[#This Row],[Y]]=1),ROW()-ROW(Множество[[#Headers],[№]]),"")</f>
        <v>285</v>
      </c>
      <c r="AH294" t="s">
        <v>608</v>
      </c>
      <c r="AI294" s="66">
        <v>1</v>
      </c>
      <c r="AJ294" s="66">
        <f>IF(LEN(Множество[[#This Row],[Свёртка]])&gt;0,1,-1)</f>
        <v>1</v>
      </c>
      <c r="AK294" s="66" t="s">
        <v>1781</v>
      </c>
      <c r="AL294" s="209">
        <f>IF(LEN(Множество[[#This Row],[Критерии]])&gt;0,1,-1)</f>
        <v>1</v>
      </c>
      <c r="AM294" s="209">
        <f>IF(AND(LEN(Множество[[#This Row],[Свёртка]])&gt;0,LEN(Множество[[#This Row],[Критерии]])&gt;0,LEN(Множество[[#This Row],[Оценки]])&gt;0),1,-1)</f>
        <v>1</v>
      </c>
      <c r="AN294" s="234">
        <v>2.49999999999986E-2</v>
      </c>
      <c r="AO294">
        <v>-16.1666666666667</v>
      </c>
      <c r="AP294" s="208"/>
      <c r="AQ294" s="208"/>
      <c r="AR294" s="226"/>
      <c r="AS294" s="225"/>
      <c r="AT294" s="226"/>
      <c r="AU294" s="225"/>
      <c r="AV294" s="225"/>
      <c r="AW294" s="225"/>
      <c r="AX294" s="225"/>
      <c r="AY294" s="225"/>
    </row>
    <row r="295" spans="33:51" x14ac:dyDescent="0.25">
      <c r="AG295" s="66">
        <f>IF(AND(Множество[[#This Row],[Y]]=1),ROW()-ROW(Множество[[#Headers],[№]]),"")</f>
        <v>286</v>
      </c>
      <c r="AH295" t="s">
        <v>608</v>
      </c>
      <c r="AI295" s="66">
        <v>1</v>
      </c>
      <c r="AJ295" s="66">
        <f>IF(LEN(Множество[[#This Row],[Свёртка]])&gt;0,1,-1)</f>
        <v>1</v>
      </c>
      <c r="AK295" s="66" t="s">
        <v>1781</v>
      </c>
      <c r="AL295" s="209">
        <f>IF(LEN(Множество[[#This Row],[Критерии]])&gt;0,1,-1)</f>
        <v>1</v>
      </c>
      <c r="AM295" s="209">
        <f>IF(AND(LEN(Множество[[#This Row],[Свёртка]])&gt;0,LEN(Множество[[#This Row],[Критерии]])&gt;0,LEN(Множество[[#This Row],[Оценки]])&gt;0),1,-1)</f>
        <v>1</v>
      </c>
      <c r="AN295" s="234">
        <v>-4.9999999999997199E-2</v>
      </c>
      <c r="AO295">
        <v>-16.1666666666667</v>
      </c>
      <c r="AP295" s="208"/>
      <c r="AQ295" s="208"/>
      <c r="AR295" s="226"/>
      <c r="AS295" s="225"/>
      <c r="AT295" s="226"/>
      <c r="AU295" s="225"/>
      <c r="AV295" s="225"/>
      <c r="AW295" s="225"/>
      <c r="AX295" s="225"/>
      <c r="AY295" s="225"/>
    </row>
    <row r="296" spans="33:51" x14ac:dyDescent="0.25">
      <c r="AG296" s="66">
        <f>IF(AND(Множество[[#This Row],[Y]]=1),ROW()-ROW(Множество[[#Headers],[№]]),"")</f>
        <v>287</v>
      </c>
      <c r="AH296" t="s">
        <v>608</v>
      </c>
      <c r="AI296" s="66">
        <v>1</v>
      </c>
      <c r="AJ296" s="66">
        <f>IF(LEN(Множество[[#This Row],[Свёртка]])&gt;0,1,-1)</f>
        <v>1</v>
      </c>
      <c r="AK296" s="66" t="s">
        <v>1781</v>
      </c>
      <c r="AL296" s="209">
        <f>IF(LEN(Множество[[#This Row],[Критерии]])&gt;0,1,-1)</f>
        <v>1</v>
      </c>
      <c r="AM296" s="209">
        <f>IF(AND(LEN(Множество[[#This Row],[Свёртка]])&gt;0,LEN(Множество[[#This Row],[Критерии]])&gt;0,LEN(Множество[[#This Row],[Оценки]])&gt;0),1,-1)</f>
        <v>1</v>
      </c>
      <c r="AN296">
        <v>-2.9</v>
      </c>
      <c r="AO296">
        <v>-13.3333333333333</v>
      </c>
      <c r="AP296" s="208"/>
      <c r="AQ296" s="208"/>
      <c r="AR296" s="226"/>
      <c r="AS296" s="225"/>
      <c r="AT296" s="226"/>
      <c r="AU296" s="225"/>
      <c r="AV296" s="225"/>
      <c r="AW296" s="225"/>
      <c r="AX296" s="225"/>
      <c r="AY296" s="225"/>
    </row>
    <row r="297" spans="33:51" x14ac:dyDescent="0.25">
      <c r="AG297" s="66">
        <f>IF(AND(Множество[[#This Row],[Y]]=1),ROW()-ROW(Множество[[#Headers],[№]]),"")</f>
        <v>288</v>
      </c>
      <c r="AH297" t="s">
        <v>608</v>
      </c>
      <c r="AI297" s="66">
        <v>1</v>
      </c>
      <c r="AJ297" s="66">
        <f>IF(LEN(Множество[[#This Row],[Свёртка]])&gt;0,1,-1)</f>
        <v>1</v>
      </c>
      <c r="AK297" s="66" t="s">
        <v>1781</v>
      </c>
      <c r="AL297" s="209">
        <f>IF(LEN(Множество[[#This Row],[Критерии]])&gt;0,1,-1)</f>
        <v>1</v>
      </c>
      <c r="AM297" s="209">
        <f>IF(AND(LEN(Множество[[#This Row],[Свёртка]])&gt;0,LEN(Множество[[#This Row],[Критерии]])&gt;0,LEN(Множество[[#This Row],[Оценки]])&gt;0),1,-1)</f>
        <v>1</v>
      </c>
      <c r="AN297">
        <v>-2.9</v>
      </c>
      <c r="AO297">
        <v>-11.6666666666667</v>
      </c>
      <c r="AP297" s="208"/>
      <c r="AQ297" s="208"/>
      <c r="AR297" s="226"/>
      <c r="AS297" s="225"/>
      <c r="AT297" s="226"/>
      <c r="AU297" s="225"/>
      <c r="AV297" s="225"/>
      <c r="AW297" s="225"/>
      <c r="AX297" s="225"/>
      <c r="AY297" s="225"/>
    </row>
    <row r="298" spans="33:51" x14ac:dyDescent="0.25">
      <c r="AG298" s="66">
        <f>IF(AND(Множество[[#This Row],[Y]]=1),ROW()-ROW(Множество[[#Headers],[№]]),"")</f>
        <v>289</v>
      </c>
      <c r="AH298" t="s">
        <v>608</v>
      </c>
      <c r="AI298" s="66">
        <v>1</v>
      </c>
      <c r="AJ298" s="66">
        <f>IF(LEN(Множество[[#This Row],[Свёртка]])&gt;0,1,-1)</f>
        <v>1</v>
      </c>
      <c r="AK298" s="66" t="s">
        <v>1781</v>
      </c>
      <c r="AL298" s="209">
        <f>IF(LEN(Множество[[#This Row],[Критерии]])&gt;0,1,-1)</f>
        <v>1</v>
      </c>
      <c r="AM298" s="209">
        <f>IF(AND(LEN(Множество[[#This Row],[Свёртка]])&gt;0,LEN(Множество[[#This Row],[Критерии]])&gt;0,LEN(Множество[[#This Row],[Оценки]])&gt;0),1,-1)</f>
        <v>1</v>
      </c>
      <c r="AN298">
        <v>-0.125</v>
      </c>
      <c r="AO298">
        <v>-16.183333333333302</v>
      </c>
      <c r="AP298" s="208"/>
      <c r="AQ298" s="208"/>
      <c r="AR298" s="226"/>
      <c r="AS298" s="225"/>
      <c r="AT298" s="226"/>
      <c r="AU298" s="225"/>
      <c r="AV298" s="225"/>
      <c r="AW298" s="225"/>
      <c r="AX298" s="225"/>
      <c r="AY298" s="225"/>
    </row>
    <row r="299" spans="33:51" x14ac:dyDescent="0.25">
      <c r="AG299" s="66">
        <f>IF(AND(Множество[[#This Row],[Y]]=1),ROW()-ROW(Множество[[#Headers],[№]]),"")</f>
        <v>290</v>
      </c>
      <c r="AH299" t="s">
        <v>608</v>
      </c>
      <c r="AI299" s="66">
        <v>1</v>
      </c>
      <c r="AJ299" s="66">
        <f>IF(LEN(Множество[[#This Row],[Свёртка]])&gt;0,1,-1)</f>
        <v>1</v>
      </c>
      <c r="AK299" s="66" t="s">
        <v>1781</v>
      </c>
      <c r="AL299" s="209">
        <f>IF(LEN(Множество[[#This Row],[Критерии]])&gt;0,1,-1)</f>
        <v>1</v>
      </c>
      <c r="AM299" s="209">
        <f>IF(AND(LEN(Множество[[#This Row],[Свёртка]])&gt;0,LEN(Множество[[#This Row],[Критерии]])&gt;0,LEN(Множество[[#This Row],[Оценки]])&gt;0),1,-1)</f>
        <v>1</v>
      </c>
      <c r="AN299">
        <v>-0.27500000000000202</v>
      </c>
      <c r="AO299">
        <v>-16.216666666666701</v>
      </c>
      <c r="AP299" s="208"/>
      <c r="AQ299" s="208"/>
      <c r="AR299" s="226"/>
      <c r="AS299" s="225"/>
      <c r="AT299" s="226"/>
      <c r="AU299" s="225"/>
      <c r="AV299" s="225"/>
      <c r="AW299" s="225"/>
      <c r="AX299" s="225"/>
      <c r="AY299" s="225"/>
    </row>
    <row r="300" spans="33:51" x14ac:dyDescent="0.25">
      <c r="AG300" s="66">
        <f>IF(AND(Множество[[#This Row],[Y]]=1),ROW()-ROW(Множество[[#Headers],[№]]),"")</f>
        <v>291</v>
      </c>
      <c r="AH300" t="s">
        <v>608</v>
      </c>
      <c r="AI300" s="66">
        <v>1</v>
      </c>
      <c r="AJ300" s="66">
        <f>IF(LEN(Множество[[#This Row],[Свёртка]])&gt;0,1,-1)</f>
        <v>1</v>
      </c>
      <c r="AK300" s="66" t="s">
        <v>1781</v>
      </c>
      <c r="AL300" s="209">
        <f>IF(LEN(Множество[[#This Row],[Критерии]])&gt;0,1,-1)</f>
        <v>1</v>
      </c>
      <c r="AM300" s="209">
        <f>IF(AND(LEN(Множество[[#This Row],[Свёртка]])&gt;0,LEN(Множество[[#This Row],[Критерии]])&gt;0,LEN(Множество[[#This Row],[Оценки]])&gt;0),1,-1)</f>
        <v>1</v>
      </c>
      <c r="AN300">
        <v>-0.19999999999999901</v>
      </c>
      <c r="AO300">
        <v>-16.2</v>
      </c>
      <c r="AP300" s="208"/>
      <c r="AQ300" s="208"/>
      <c r="AR300" s="226"/>
      <c r="AS300" s="225"/>
      <c r="AT300" s="226"/>
      <c r="AU300" s="225"/>
      <c r="AV300" s="225"/>
      <c r="AW300" s="225"/>
      <c r="AX300" s="225"/>
      <c r="AY300" s="225"/>
    </row>
    <row r="301" spans="33:51" x14ac:dyDescent="0.25">
      <c r="AG301" s="66">
        <f>IF(AND(Множество[[#This Row],[Y]]=1),ROW()-ROW(Множество[[#Headers],[№]]),"")</f>
        <v>292</v>
      </c>
      <c r="AH301" t="s">
        <v>608</v>
      </c>
      <c r="AI301" s="66">
        <v>1</v>
      </c>
      <c r="AJ301" s="66">
        <f>IF(LEN(Множество[[#This Row],[Свёртка]])&gt;0,1,-1)</f>
        <v>1</v>
      </c>
      <c r="AK301" s="66" t="s">
        <v>1781</v>
      </c>
      <c r="AL301" s="209">
        <f>IF(LEN(Множество[[#This Row],[Критерии]])&gt;0,1,-1)</f>
        <v>1</v>
      </c>
      <c r="AM301" s="209">
        <f>IF(AND(LEN(Множество[[#This Row],[Свёртка]])&gt;0,LEN(Множество[[#This Row],[Критерии]])&gt;0,LEN(Множество[[#This Row],[Оценки]])&gt;0),1,-1)</f>
        <v>1</v>
      </c>
      <c r="AN301">
        <v>-0.34999999999999798</v>
      </c>
      <c r="AO301">
        <v>-16.216666666666701</v>
      </c>
      <c r="AP301" s="208"/>
      <c r="AQ301" s="208"/>
      <c r="AR301" s="226"/>
      <c r="AS301" s="225"/>
      <c r="AT301" s="226"/>
      <c r="AU301" s="225"/>
      <c r="AV301" s="225"/>
      <c r="AW301" s="225"/>
      <c r="AX301" s="225"/>
      <c r="AY301" s="225"/>
    </row>
    <row r="302" spans="33:51" x14ac:dyDescent="0.25">
      <c r="AG302" s="66">
        <f>IF(AND(Множество[[#This Row],[Y]]=1),ROW()-ROW(Множество[[#Headers],[№]]),"")</f>
        <v>293</v>
      </c>
      <c r="AH302" t="s">
        <v>608</v>
      </c>
      <c r="AI302" s="66">
        <v>1</v>
      </c>
      <c r="AJ302" s="66">
        <f>IF(LEN(Множество[[#This Row],[Свёртка]])&gt;0,1,-1)</f>
        <v>1</v>
      </c>
      <c r="AK302" s="66" t="s">
        <v>1781</v>
      </c>
      <c r="AL302" s="209">
        <f>IF(LEN(Множество[[#This Row],[Критерии]])&gt;0,1,-1)</f>
        <v>1</v>
      </c>
      <c r="AM302" s="209">
        <f>IF(AND(LEN(Множество[[#This Row],[Свёртка]])&gt;0,LEN(Множество[[#This Row],[Критерии]])&gt;0,LEN(Множество[[#This Row],[Оценки]])&gt;0),1,-1)</f>
        <v>1</v>
      </c>
      <c r="AN302">
        <v>-0.42500000000000099</v>
      </c>
      <c r="AO302">
        <v>-16.233333333333299</v>
      </c>
      <c r="AP302" s="208"/>
      <c r="AQ302" s="208"/>
      <c r="AR302" s="226"/>
      <c r="AS302" s="225"/>
      <c r="AT302" s="226"/>
      <c r="AU302" s="225"/>
      <c r="AV302" s="225"/>
      <c r="AW302" s="225"/>
      <c r="AX302" s="225"/>
      <c r="AY302" s="225"/>
    </row>
    <row r="303" spans="33:51" x14ac:dyDescent="0.25">
      <c r="AG303" s="66">
        <f>IF(AND(Множество[[#This Row],[Y]]=1),ROW()-ROW(Множество[[#Headers],[№]]),"")</f>
        <v>294</v>
      </c>
      <c r="AH303" t="s">
        <v>608</v>
      </c>
      <c r="AI303" s="66">
        <v>1</v>
      </c>
      <c r="AJ303" s="66">
        <f>IF(LEN(Множество[[#This Row],[Свёртка]])&gt;0,1,-1)</f>
        <v>1</v>
      </c>
      <c r="AK303" s="66" t="s">
        <v>1781</v>
      </c>
      <c r="AL303" s="209">
        <f>IF(LEN(Множество[[#This Row],[Критерии]])&gt;0,1,-1)</f>
        <v>1</v>
      </c>
      <c r="AM303" s="209">
        <f>IF(AND(LEN(Множество[[#This Row],[Свёртка]])&gt;0,LEN(Множество[[#This Row],[Критерии]])&gt;0,LEN(Множество[[#This Row],[Оценки]])&gt;0),1,-1)</f>
        <v>1</v>
      </c>
      <c r="AN303">
        <v>-2.9750000000000001</v>
      </c>
      <c r="AO303">
        <v>-11.1833333333333</v>
      </c>
      <c r="AP303" s="208"/>
      <c r="AQ303" s="208"/>
      <c r="AR303" s="226"/>
      <c r="AS303" s="225"/>
      <c r="AT303" s="226"/>
      <c r="AU303" s="225"/>
      <c r="AV303" s="225"/>
      <c r="AW303" s="225"/>
      <c r="AX303" s="225"/>
      <c r="AY303" s="225"/>
    </row>
    <row r="304" spans="33:51" x14ac:dyDescent="0.25">
      <c r="AG304" s="66">
        <f>IF(AND(Множество[[#This Row],[Y]]=1),ROW()-ROW(Множество[[#Headers],[№]]),"")</f>
        <v>295</v>
      </c>
      <c r="AH304" t="s">
        <v>608</v>
      </c>
      <c r="AI304" s="66">
        <v>1</v>
      </c>
      <c r="AJ304" s="66">
        <f>IF(LEN(Множество[[#This Row],[Свёртка]])&gt;0,1,-1)</f>
        <v>1</v>
      </c>
      <c r="AK304" s="66" t="s">
        <v>1781</v>
      </c>
      <c r="AL304" s="209">
        <f>IF(LEN(Множество[[#This Row],[Критерии]])&gt;0,1,-1)</f>
        <v>1</v>
      </c>
      <c r="AM304" s="209">
        <f>IF(AND(LEN(Множество[[#This Row],[Свёртка]])&gt;0,LEN(Множество[[#This Row],[Критерии]])&gt;0,LEN(Множество[[#This Row],[Оценки]])&gt;0),1,-1)</f>
        <v>1</v>
      </c>
      <c r="AN304">
        <v>-0.5</v>
      </c>
      <c r="AO304">
        <v>-16.25</v>
      </c>
      <c r="AP304" s="208"/>
      <c r="AQ304" s="208"/>
      <c r="AR304" s="226"/>
      <c r="AS304" s="225"/>
      <c r="AT304" s="226"/>
      <c r="AU304" s="225"/>
      <c r="AV304" s="225"/>
      <c r="AW304" s="225"/>
      <c r="AX304" s="225"/>
      <c r="AY304" s="225"/>
    </row>
    <row r="305" spans="33:51" x14ac:dyDescent="0.25">
      <c r="AG305" s="66">
        <f>IF(AND(Множество[[#This Row],[Y]]=1),ROW()-ROW(Множество[[#Headers],[№]]),"")</f>
        <v>296</v>
      </c>
      <c r="AH305" t="s">
        <v>608</v>
      </c>
      <c r="AI305" s="66">
        <v>1</v>
      </c>
      <c r="AJ305" s="66">
        <f>IF(LEN(Множество[[#This Row],[Свёртка]])&gt;0,1,-1)</f>
        <v>1</v>
      </c>
      <c r="AK305" s="66" t="s">
        <v>1781</v>
      </c>
      <c r="AL305" s="209">
        <f>IF(LEN(Множество[[#This Row],[Критерии]])&gt;0,1,-1)</f>
        <v>1</v>
      </c>
      <c r="AM305" s="209">
        <f>IF(AND(LEN(Множество[[#This Row],[Свёртка]])&gt;0,LEN(Множество[[#This Row],[Критерии]])&gt;0,LEN(Множество[[#This Row],[Оценки]])&gt;0),1,-1)</f>
        <v>1</v>
      </c>
      <c r="AN305">
        <v>-0.57500000000000295</v>
      </c>
      <c r="AO305">
        <v>-16.266666666666701</v>
      </c>
      <c r="AP305" s="208"/>
      <c r="AQ305" s="208"/>
      <c r="AR305" s="226"/>
      <c r="AS305" s="225"/>
      <c r="AT305" s="226"/>
      <c r="AU305" s="225"/>
      <c r="AV305" s="225"/>
      <c r="AW305" s="225"/>
      <c r="AX305" s="225"/>
      <c r="AY305" s="225"/>
    </row>
    <row r="306" spans="33:51" x14ac:dyDescent="0.25">
      <c r="AG306" s="66">
        <f>IF(AND(Множество[[#This Row],[Y]]=1),ROW()-ROW(Множество[[#Headers],[№]]),"")</f>
        <v>297</v>
      </c>
      <c r="AH306" t="s">
        <v>608</v>
      </c>
      <c r="AI306" s="66">
        <v>1</v>
      </c>
      <c r="AJ306" s="66">
        <f>IF(LEN(Множество[[#This Row],[Свёртка]])&gt;0,1,-1)</f>
        <v>1</v>
      </c>
      <c r="AK306" s="66" t="s">
        <v>1781</v>
      </c>
      <c r="AL306" s="209">
        <f>IF(LEN(Множество[[#This Row],[Критерии]])&gt;0,1,-1)</f>
        <v>1</v>
      </c>
      <c r="AM306" s="209">
        <f>IF(AND(LEN(Множество[[#This Row],[Свёртка]])&gt;0,LEN(Множество[[#This Row],[Критерии]])&gt;0,LEN(Множество[[#This Row],[Оценки]])&gt;0),1,-1)</f>
        <v>1</v>
      </c>
      <c r="AN306">
        <v>-3.05</v>
      </c>
      <c r="AO306">
        <v>-11.133333333333301</v>
      </c>
      <c r="AP306" s="208"/>
      <c r="AQ306" s="208"/>
      <c r="AR306" s="226"/>
      <c r="AS306" s="225"/>
      <c r="AT306" s="226"/>
      <c r="AU306" s="225"/>
      <c r="AV306" s="225"/>
      <c r="AW306" s="225"/>
      <c r="AX306" s="225"/>
      <c r="AY306" s="225"/>
    </row>
    <row r="307" spans="33:51" x14ac:dyDescent="0.25">
      <c r="AG307" s="66">
        <f>IF(AND(Множество[[#This Row],[Y]]=1),ROW()-ROW(Множество[[#Headers],[№]]),"")</f>
        <v>298</v>
      </c>
      <c r="AH307" t="s">
        <v>608</v>
      </c>
      <c r="AI307" s="66">
        <v>1</v>
      </c>
      <c r="AJ307" s="66">
        <f>IF(LEN(Множество[[#This Row],[Свёртка]])&gt;0,1,-1)</f>
        <v>1</v>
      </c>
      <c r="AK307" s="66" t="s">
        <v>1781</v>
      </c>
      <c r="AL307" s="209">
        <f>IF(LEN(Множество[[#This Row],[Критерии]])&gt;0,1,-1)</f>
        <v>1</v>
      </c>
      <c r="AM307" s="209">
        <f>IF(AND(LEN(Множество[[#This Row],[Свёртка]])&gt;0,LEN(Множество[[#This Row],[Критерии]])&gt;0,LEN(Множество[[#This Row],[Оценки]])&gt;0),1,-1)</f>
        <v>1</v>
      </c>
      <c r="AN307">
        <v>-0.64999999999999902</v>
      </c>
      <c r="AO307">
        <v>-16.283333333333299</v>
      </c>
      <c r="AP307" s="208"/>
      <c r="AQ307" s="208"/>
      <c r="AR307" s="226"/>
      <c r="AS307" s="225"/>
      <c r="AT307" s="226"/>
      <c r="AU307" s="225"/>
      <c r="AV307" s="225"/>
      <c r="AW307" s="225"/>
      <c r="AX307" s="225"/>
      <c r="AY307" s="225"/>
    </row>
    <row r="308" spans="33:51" x14ac:dyDescent="0.25">
      <c r="AG308" s="66">
        <f>IF(AND(Множество[[#This Row],[Y]]=1),ROW()-ROW(Множество[[#Headers],[№]]),"")</f>
        <v>299</v>
      </c>
      <c r="AH308" t="s">
        <v>608</v>
      </c>
      <c r="AI308" s="66">
        <v>1</v>
      </c>
      <c r="AJ308" s="66">
        <f>IF(LEN(Множество[[#This Row],[Свёртка]])&gt;0,1,-1)</f>
        <v>1</v>
      </c>
      <c r="AK308" s="66" t="s">
        <v>1781</v>
      </c>
      <c r="AL308" s="209">
        <f>IF(LEN(Множество[[#This Row],[Критерии]])&gt;0,1,-1)</f>
        <v>1</v>
      </c>
      <c r="AM308" s="209">
        <f>IF(AND(LEN(Множество[[#This Row],[Свёртка]])&gt;0,LEN(Множество[[#This Row],[Критерии]])&gt;0,LEN(Множество[[#This Row],[Оценки]])&gt;0),1,-1)</f>
        <v>1</v>
      </c>
      <c r="AN308">
        <v>-0.72500000000000098</v>
      </c>
      <c r="AO308">
        <v>-16.283333333333299</v>
      </c>
      <c r="AP308" s="208"/>
      <c r="AQ308" s="208"/>
      <c r="AR308" s="226"/>
      <c r="AS308" s="225"/>
      <c r="AT308" s="226"/>
      <c r="AU308" s="225"/>
      <c r="AV308" s="225"/>
      <c r="AW308" s="225"/>
      <c r="AX308" s="225"/>
      <c r="AY308" s="225"/>
    </row>
    <row r="309" spans="33:51" x14ac:dyDescent="0.25">
      <c r="AG309" s="66">
        <f>IF(AND(Множество[[#This Row],[Y]]=1),ROW()-ROW(Множество[[#Headers],[№]]),"")</f>
        <v>300</v>
      </c>
      <c r="AH309" t="s">
        <v>608</v>
      </c>
      <c r="AI309" s="66">
        <v>1</v>
      </c>
      <c r="AJ309" s="66">
        <f>IF(LEN(Множество[[#This Row],[Свёртка]])&gt;0,1,-1)</f>
        <v>1</v>
      </c>
      <c r="AK309" s="66" t="s">
        <v>1781</v>
      </c>
      <c r="AL309" s="209">
        <f>IF(LEN(Множество[[#This Row],[Критерии]])&gt;0,1,-1)</f>
        <v>1</v>
      </c>
      <c r="AM309" s="209">
        <f>IF(AND(LEN(Множество[[#This Row],[Свёртка]])&gt;0,LEN(Множество[[#This Row],[Критерии]])&gt;0,LEN(Множество[[#This Row],[Оценки]])&gt;0),1,-1)</f>
        <v>1</v>
      </c>
      <c r="AN309">
        <v>-3.125</v>
      </c>
      <c r="AO309">
        <v>-11.0833333333333</v>
      </c>
      <c r="AP309" s="208"/>
      <c r="AQ309" s="208"/>
      <c r="AR309" s="226"/>
      <c r="AS309" s="225"/>
      <c r="AT309" s="226"/>
      <c r="AU309" s="225"/>
      <c r="AV309" s="225"/>
      <c r="AW309" s="225"/>
      <c r="AX309" s="225"/>
      <c r="AY309" s="225"/>
    </row>
    <row r="310" spans="33:51" x14ac:dyDescent="0.25">
      <c r="AG310" s="66">
        <f>IF(AND(Множество[[#This Row],[Y]]=1),ROW()-ROW(Множество[[#Headers],[№]]),"")</f>
        <v>301</v>
      </c>
      <c r="AH310" t="s">
        <v>608</v>
      </c>
      <c r="AI310" s="66">
        <v>1</v>
      </c>
      <c r="AJ310" s="66">
        <f>IF(LEN(Множество[[#This Row],[Свёртка]])&gt;0,1,-1)</f>
        <v>1</v>
      </c>
      <c r="AK310" s="66" t="s">
        <v>1781</v>
      </c>
      <c r="AL310" s="209">
        <f>IF(LEN(Множество[[#This Row],[Критерии]])&gt;0,1,-1)</f>
        <v>1</v>
      </c>
      <c r="AM310" s="209">
        <f>IF(AND(LEN(Множество[[#This Row],[Свёртка]])&gt;0,LEN(Множество[[#This Row],[Критерии]])&gt;0,LEN(Множество[[#This Row],[Оценки]])&gt;0),1,-1)</f>
        <v>1</v>
      </c>
      <c r="AN310">
        <v>-0.79999999999999705</v>
      </c>
      <c r="AO310">
        <v>-16.3</v>
      </c>
      <c r="AP310" s="208"/>
      <c r="AQ310" s="208"/>
      <c r="AR310" s="226"/>
      <c r="AS310" s="225"/>
      <c r="AT310" s="226"/>
      <c r="AU310" s="225"/>
      <c r="AV310" s="225"/>
      <c r="AW310" s="225"/>
      <c r="AX310" s="225"/>
      <c r="AY310" s="225"/>
    </row>
    <row r="311" spans="33:51" x14ac:dyDescent="0.25">
      <c r="AG311" s="66">
        <f>IF(AND(Множество[[#This Row],[Y]]=1),ROW()-ROW(Множество[[#Headers],[№]]),"")</f>
        <v>302</v>
      </c>
      <c r="AH311" t="s">
        <v>608</v>
      </c>
      <c r="AI311" s="66">
        <v>1</v>
      </c>
      <c r="AJ311" s="66">
        <f>IF(LEN(Множество[[#This Row],[Свёртка]])&gt;0,1,-1)</f>
        <v>1</v>
      </c>
      <c r="AK311" s="66" t="s">
        <v>1781</v>
      </c>
      <c r="AL311" s="209">
        <f>IF(LEN(Множество[[#This Row],[Критерии]])&gt;0,1,-1)</f>
        <v>1</v>
      </c>
      <c r="AM311" s="209">
        <f>IF(AND(LEN(Множество[[#This Row],[Свёртка]])&gt;0,LEN(Множество[[#This Row],[Критерии]])&gt;0,LEN(Множество[[#This Row],[Оценки]])&gt;0),1,-1)</f>
        <v>1</v>
      </c>
      <c r="AN311">
        <v>-3.2</v>
      </c>
      <c r="AO311">
        <v>-11.05</v>
      </c>
      <c r="AP311" s="208"/>
      <c r="AQ311" s="208"/>
      <c r="AR311" s="226"/>
      <c r="AS311" s="225"/>
      <c r="AT311" s="226"/>
      <c r="AU311" s="225"/>
      <c r="AV311" s="225"/>
      <c r="AW311" s="225"/>
      <c r="AX311" s="225"/>
      <c r="AY311" s="225"/>
    </row>
    <row r="312" spans="33:51" x14ac:dyDescent="0.25">
      <c r="AG312" s="66">
        <f>IF(AND(Множество[[#This Row],[Y]]=1),ROW()-ROW(Множество[[#Headers],[№]]),"")</f>
        <v>303</v>
      </c>
      <c r="AH312" t="s">
        <v>608</v>
      </c>
      <c r="AI312" s="66">
        <v>1</v>
      </c>
      <c r="AJ312" s="66">
        <f>IF(LEN(Множество[[#This Row],[Свёртка]])&gt;0,1,-1)</f>
        <v>1</v>
      </c>
      <c r="AK312" s="66" t="s">
        <v>1781</v>
      </c>
      <c r="AL312" s="209">
        <f>IF(LEN(Множество[[#This Row],[Критерии]])&gt;0,1,-1)</f>
        <v>1</v>
      </c>
      <c r="AM312" s="209">
        <f>IF(AND(LEN(Множество[[#This Row],[Свёртка]])&gt;0,LEN(Множество[[#This Row],[Критерии]])&gt;0,LEN(Множество[[#This Row],[Оценки]])&gt;0),1,-1)</f>
        <v>1</v>
      </c>
      <c r="AN312">
        <v>-0.875</v>
      </c>
      <c r="AO312">
        <v>-16.316666666666698</v>
      </c>
      <c r="AP312" s="208"/>
      <c r="AQ312" s="208"/>
      <c r="AR312" s="226"/>
      <c r="AS312" s="225"/>
      <c r="AT312" s="226"/>
      <c r="AU312" s="225"/>
      <c r="AV312" s="225"/>
      <c r="AW312" s="225"/>
      <c r="AX312" s="225"/>
      <c r="AY312" s="225"/>
    </row>
    <row r="313" spans="33:51" x14ac:dyDescent="0.25">
      <c r="AG313" s="66">
        <f>IF(AND(Множество[[#This Row],[Y]]=1),ROW()-ROW(Множество[[#Headers],[№]]),"")</f>
        <v>304</v>
      </c>
      <c r="AH313" t="s">
        <v>608</v>
      </c>
      <c r="AI313" s="66">
        <v>1</v>
      </c>
      <c r="AJ313" s="66">
        <f>IF(LEN(Множество[[#This Row],[Свёртка]])&gt;0,1,-1)</f>
        <v>1</v>
      </c>
      <c r="AK313" s="66" t="s">
        <v>1781</v>
      </c>
      <c r="AL313" s="209">
        <f>IF(LEN(Множество[[#This Row],[Критерии]])&gt;0,1,-1)</f>
        <v>1</v>
      </c>
      <c r="AM313" s="209">
        <f>IF(AND(LEN(Множество[[#This Row],[Свёртка]])&gt;0,LEN(Множество[[#This Row],[Критерии]])&gt;0,LEN(Множество[[#This Row],[Оценки]])&gt;0),1,-1)</f>
        <v>1</v>
      </c>
      <c r="AN313">
        <v>-0.94999999999999896</v>
      </c>
      <c r="AO313">
        <v>-16.3333333333333</v>
      </c>
      <c r="AP313" s="208"/>
      <c r="AQ313" s="208"/>
      <c r="AR313" s="226"/>
      <c r="AS313" s="225"/>
      <c r="AT313" s="226"/>
      <c r="AU313" s="225"/>
      <c r="AV313" s="225"/>
      <c r="AW313" s="225"/>
      <c r="AX313" s="225"/>
      <c r="AY313" s="225"/>
    </row>
    <row r="314" spans="33:51" x14ac:dyDescent="0.25">
      <c r="AG314" s="66">
        <f>IF(AND(Множество[[#This Row],[Y]]=1),ROW()-ROW(Множество[[#Headers],[№]]),"")</f>
        <v>305</v>
      </c>
      <c r="AH314" t="s">
        <v>608</v>
      </c>
      <c r="AI314" s="66">
        <v>1</v>
      </c>
      <c r="AJ314" s="66">
        <f>IF(LEN(Множество[[#This Row],[Свёртка]])&gt;0,1,-1)</f>
        <v>1</v>
      </c>
      <c r="AK314" s="66" t="s">
        <v>1781</v>
      </c>
      <c r="AL314" s="209">
        <f>IF(LEN(Множество[[#This Row],[Критерии]])&gt;0,1,-1)</f>
        <v>1</v>
      </c>
      <c r="AM314" s="209">
        <f>IF(AND(LEN(Множество[[#This Row],[Свёртка]])&gt;0,LEN(Множество[[#This Row],[Критерии]])&gt;0,LEN(Множество[[#This Row],[Оценки]])&gt;0),1,-1)</f>
        <v>1</v>
      </c>
      <c r="AN314">
        <v>-3.2749999999999999</v>
      </c>
      <c r="AO314">
        <v>-11</v>
      </c>
      <c r="AP314" s="208"/>
      <c r="AQ314" s="208"/>
      <c r="AR314" s="226"/>
      <c r="AS314" s="225"/>
      <c r="AT314" s="226"/>
      <c r="AU314" s="225"/>
      <c r="AV314" s="225"/>
      <c r="AW314" s="225"/>
      <c r="AX314" s="225"/>
      <c r="AY314" s="225"/>
    </row>
    <row r="315" spans="33:51" x14ac:dyDescent="0.25">
      <c r="AG315" s="66">
        <f>IF(AND(Множество[[#This Row],[Y]]=1),ROW()-ROW(Множество[[#Headers],[№]]),"")</f>
        <v>306</v>
      </c>
      <c r="AH315" t="s">
        <v>608</v>
      </c>
      <c r="AI315" s="66">
        <v>1</v>
      </c>
      <c r="AJ315" s="66">
        <f>IF(LEN(Множество[[#This Row],[Свёртка]])&gt;0,1,-1)</f>
        <v>1</v>
      </c>
      <c r="AK315" s="66" t="s">
        <v>1781</v>
      </c>
      <c r="AL315" s="209">
        <f>IF(LEN(Множество[[#This Row],[Критерии]])&gt;0,1,-1)</f>
        <v>1</v>
      </c>
      <c r="AM315" s="209">
        <f>IF(AND(LEN(Множество[[#This Row],[Свёртка]])&gt;0,LEN(Множество[[#This Row],[Критерии]])&gt;0,LEN(Множество[[#This Row],[Оценки]])&gt;0),1,-1)</f>
        <v>1</v>
      </c>
      <c r="AN315">
        <v>-3.35</v>
      </c>
      <c r="AO315">
        <v>-10.966666666666701</v>
      </c>
      <c r="AP315" s="208"/>
      <c r="AQ315" s="208"/>
      <c r="AR315" s="226"/>
      <c r="AS315" s="225"/>
      <c r="AT315" s="226"/>
      <c r="AU315" s="225"/>
      <c r="AV315" s="225"/>
      <c r="AW315" s="225"/>
      <c r="AX315" s="225"/>
      <c r="AY315" s="225"/>
    </row>
    <row r="316" spans="33:51" x14ac:dyDescent="0.25">
      <c r="AG316" s="66">
        <f>IF(AND(Множество[[#This Row],[Y]]=1),ROW()-ROW(Множество[[#Headers],[№]]),"")</f>
        <v>307</v>
      </c>
      <c r="AH316" t="s">
        <v>608</v>
      </c>
      <c r="AI316" s="66">
        <v>1</v>
      </c>
      <c r="AJ316" s="66">
        <f>IF(LEN(Множество[[#This Row],[Свёртка]])&gt;0,1,-1)</f>
        <v>1</v>
      </c>
      <c r="AK316" s="66" t="s">
        <v>1781</v>
      </c>
      <c r="AL316" s="209">
        <f>IF(LEN(Множество[[#This Row],[Критерии]])&gt;0,1,-1)</f>
        <v>1</v>
      </c>
      <c r="AM316" s="209">
        <f>IF(AND(LEN(Множество[[#This Row],[Свёртка]])&gt;0,LEN(Множество[[#This Row],[Критерии]])&gt;0,LEN(Множество[[#This Row],[Оценки]])&gt;0),1,-1)</f>
        <v>1</v>
      </c>
      <c r="AN316">
        <v>-1.1000000000000001</v>
      </c>
      <c r="AO316">
        <v>-16.350000000000001</v>
      </c>
      <c r="AP316" s="208"/>
      <c r="AQ316" s="208"/>
      <c r="AR316" s="226"/>
      <c r="AS316" s="225"/>
      <c r="AT316" s="226"/>
      <c r="AU316" s="225"/>
      <c r="AV316" s="225"/>
      <c r="AW316" s="225"/>
      <c r="AX316" s="225"/>
      <c r="AY316" s="225"/>
    </row>
    <row r="317" spans="33:51" x14ac:dyDescent="0.25">
      <c r="AG317" s="66">
        <f>IF(AND(Множество[[#This Row],[Y]]=1),ROW()-ROW(Множество[[#Headers],[№]]),"")</f>
        <v>308</v>
      </c>
      <c r="AH317" t="s">
        <v>608</v>
      </c>
      <c r="AI317" s="66">
        <v>1</v>
      </c>
      <c r="AJ317" s="66">
        <f>IF(LEN(Множество[[#This Row],[Свёртка]])&gt;0,1,-1)</f>
        <v>1</v>
      </c>
      <c r="AK317" s="66" t="s">
        <v>1781</v>
      </c>
      <c r="AL317" s="209">
        <f>IF(LEN(Множество[[#This Row],[Критерии]])&gt;0,1,-1)</f>
        <v>1</v>
      </c>
      <c r="AM317" s="209">
        <f>IF(AND(LEN(Множество[[#This Row],[Свёртка]])&gt;0,LEN(Множество[[#This Row],[Критерии]])&gt;0,LEN(Множество[[#This Row],[Оценки]])&gt;0),1,-1)</f>
        <v>1</v>
      </c>
      <c r="AN317">
        <v>-3.4249999999999998</v>
      </c>
      <c r="AO317">
        <v>-10.9166666666667</v>
      </c>
      <c r="AP317" s="208"/>
      <c r="AQ317" s="208"/>
      <c r="AR317" s="226"/>
      <c r="AS317" s="225"/>
      <c r="AT317" s="226"/>
      <c r="AU317" s="225"/>
      <c r="AV317" s="225"/>
      <c r="AW317" s="225"/>
      <c r="AX317" s="225"/>
      <c r="AY317" s="225"/>
    </row>
    <row r="318" spans="33:51" x14ac:dyDescent="0.25">
      <c r="AG318" s="66">
        <f>IF(AND(Множество[[#This Row],[Y]]=1),ROW()-ROW(Множество[[#Headers],[№]]),"")</f>
        <v>309</v>
      </c>
      <c r="AH318" t="s">
        <v>608</v>
      </c>
      <c r="AI318" s="66">
        <v>1</v>
      </c>
      <c r="AJ318" s="66">
        <f>IF(LEN(Множество[[#This Row],[Свёртка]])&gt;0,1,-1)</f>
        <v>1</v>
      </c>
      <c r="AK318" s="66" t="s">
        <v>1781</v>
      </c>
      <c r="AL318" s="209">
        <f>IF(LEN(Множество[[#This Row],[Критерии]])&gt;0,1,-1)</f>
        <v>1</v>
      </c>
      <c r="AM318" s="209">
        <f>IF(AND(LEN(Множество[[#This Row],[Свёртка]])&gt;0,LEN(Множество[[#This Row],[Критерии]])&gt;0,LEN(Множество[[#This Row],[Оценки]])&gt;0),1,-1)</f>
        <v>1</v>
      </c>
      <c r="AN318">
        <v>-1.25</v>
      </c>
      <c r="AO318">
        <v>-16.383333333333301</v>
      </c>
      <c r="AP318" s="208"/>
      <c r="AQ318" s="208"/>
      <c r="AR318" s="226"/>
      <c r="AS318" s="225"/>
      <c r="AT318" s="226"/>
      <c r="AU318" s="225"/>
      <c r="AV318" s="225"/>
      <c r="AW318" s="225"/>
      <c r="AX318" s="225"/>
      <c r="AY318" s="225"/>
    </row>
    <row r="319" spans="33:51" x14ac:dyDescent="0.25">
      <c r="AG319" s="66">
        <f>IF(AND(Множество[[#This Row],[Y]]=1),ROW()-ROW(Множество[[#Headers],[№]]),"")</f>
        <v>310</v>
      </c>
      <c r="AH319" t="s">
        <v>608</v>
      </c>
      <c r="AI319" s="66">
        <v>1</v>
      </c>
      <c r="AJ319" s="66">
        <f>IF(LEN(Множество[[#This Row],[Свёртка]])&gt;0,1,-1)</f>
        <v>1</v>
      </c>
      <c r="AK319" s="66" t="s">
        <v>1781</v>
      </c>
      <c r="AL319" s="209">
        <f>IF(LEN(Множество[[#This Row],[Критерии]])&gt;0,1,-1)</f>
        <v>1</v>
      </c>
      <c r="AM319" s="209">
        <f>IF(AND(LEN(Множество[[#This Row],[Свёртка]])&gt;0,LEN(Множество[[#This Row],[Критерии]])&gt;0,LEN(Множество[[#This Row],[Оценки]])&gt;0),1,-1)</f>
        <v>1</v>
      </c>
      <c r="AN319">
        <v>-1.175</v>
      </c>
      <c r="AO319">
        <v>-16.366666666666699</v>
      </c>
      <c r="AP319" s="208"/>
      <c r="AQ319" s="208"/>
      <c r="AR319" s="226"/>
      <c r="AS319" s="225"/>
      <c r="AT319" s="226"/>
      <c r="AU319" s="225"/>
      <c r="AV319" s="225"/>
      <c r="AW319" s="225"/>
      <c r="AX319" s="225"/>
      <c r="AY319" s="225"/>
    </row>
    <row r="320" spans="33:51" x14ac:dyDescent="0.25">
      <c r="AG320" s="66">
        <f>IF(AND(Множество[[#This Row],[Y]]=1),ROW()-ROW(Множество[[#Headers],[№]]),"")</f>
        <v>311</v>
      </c>
      <c r="AH320" t="s">
        <v>608</v>
      </c>
      <c r="AI320" s="66">
        <v>1</v>
      </c>
      <c r="AJ320" s="66">
        <f>IF(LEN(Множество[[#This Row],[Свёртка]])&gt;0,1,-1)</f>
        <v>1</v>
      </c>
      <c r="AK320" s="66" t="s">
        <v>1781</v>
      </c>
      <c r="AL320" s="209">
        <f>IF(LEN(Множество[[#This Row],[Критерии]])&gt;0,1,-1)</f>
        <v>1</v>
      </c>
      <c r="AM320" s="209">
        <f>IF(AND(LEN(Множество[[#This Row],[Свёртка]])&gt;0,LEN(Множество[[#This Row],[Критерии]])&gt;0,LEN(Множество[[#This Row],[Оценки]])&gt;0),1,-1)</f>
        <v>1</v>
      </c>
      <c r="AN320">
        <v>-3.5</v>
      </c>
      <c r="AO320">
        <v>-10.866666666666699</v>
      </c>
      <c r="AP320" s="208"/>
      <c r="AQ320" s="208"/>
      <c r="AR320" s="226"/>
      <c r="AS320" s="225"/>
      <c r="AT320" s="226"/>
      <c r="AU320" s="225"/>
      <c r="AV320" s="225"/>
      <c r="AW320" s="225"/>
      <c r="AX320" s="225"/>
      <c r="AY320" s="225"/>
    </row>
    <row r="321" spans="33:51" x14ac:dyDescent="0.25">
      <c r="AG321" s="66">
        <f>IF(AND(Множество[[#This Row],[Y]]=1),ROW()-ROW(Множество[[#Headers],[№]]),"")</f>
        <v>312</v>
      </c>
      <c r="AH321" t="s">
        <v>608</v>
      </c>
      <c r="AI321" s="66">
        <v>1</v>
      </c>
      <c r="AJ321" s="66">
        <f>IF(LEN(Множество[[#This Row],[Свёртка]])&gt;0,1,-1)</f>
        <v>1</v>
      </c>
      <c r="AK321" s="66" t="s">
        <v>1781</v>
      </c>
      <c r="AL321" s="209">
        <f>IF(LEN(Множество[[#This Row],[Критерии]])&gt;0,1,-1)</f>
        <v>1</v>
      </c>
      <c r="AM321" s="209">
        <f>IF(AND(LEN(Множество[[#This Row],[Свёртка]])&gt;0,LEN(Множество[[#This Row],[Критерии]])&gt;0,LEN(Множество[[#This Row],[Оценки]])&gt;0),1,-1)</f>
        <v>1</v>
      </c>
      <c r="AN321">
        <v>-1.325</v>
      </c>
      <c r="AO321">
        <v>-16.399999999999999</v>
      </c>
      <c r="AP321" s="208"/>
      <c r="AQ321" s="208"/>
      <c r="AR321" s="226"/>
      <c r="AS321" s="225"/>
      <c r="AT321" s="226"/>
      <c r="AU321" s="225"/>
      <c r="AV321" s="225"/>
      <c r="AW321" s="225"/>
      <c r="AX321" s="225"/>
      <c r="AY321" s="225"/>
    </row>
    <row r="322" spans="33:51" x14ac:dyDescent="0.25">
      <c r="AG322" s="66">
        <f>IF(AND(Множество[[#This Row],[Y]]=1),ROW()-ROW(Множество[[#Headers],[№]]),"")</f>
        <v>313</v>
      </c>
      <c r="AH322" t="s">
        <v>608</v>
      </c>
      <c r="AI322" s="66">
        <v>1</v>
      </c>
      <c r="AJ322" s="66">
        <f>IF(LEN(Множество[[#This Row],[Свёртка]])&gt;0,1,-1)</f>
        <v>1</v>
      </c>
      <c r="AK322" s="66" t="s">
        <v>1781</v>
      </c>
      <c r="AL322" s="209">
        <f>IF(LEN(Множество[[#This Row],[Критерии]])&gt;0,1,-1)</f>
        <v>1</v>
      </c>
      <c r="AM322" s="209">
        <f>IF(AND(LEN(Множество[[#This Row],[Свёртка]])&gt;0,LEN(Множество[[#This Row],[Критерии]])&gt;0,LEN(Множество[[#This Row],[Оценки]])&gt;0),1,-1)</f>
        <v>1</v>
      </c>
      <c r="AN322">
        <v>-1.4</v>
      </c>
      <c r="AO322">
        <v>-16.399999999999999</v>
      </c>
      <c r="AP322" s="208"/>
      <c r="AQ322" s="208"/>
      <c r="AR322" s="226"/>
      <c r="AS322" s="225"/>
      <c r="AT322" s="226"/>
      <c r="AU322" s="225"/>
      <c r="AV322" s="225"/>
      <c r="AW322" s="225"/>
      <c r="AX322" s="225"/>
      <c r="AY322" s="225"/>
    </row>
    <row r="323" spans="33:51" x14ac:dyDescent="0.25">
      <c r="AG323" s="66">
        <f>IF(AND(Множество[[#This Row],[Y]]=1),ROW()-ROW(Множество[[#Headers],[№]]),"")</f>
        <v>314</v>
      </c>
      <c r="AH323" t="s">
        <v>608</v>
      </c>
      <c r="AI323" s="66">
        <v>1</v>
      </c>
      <c r="AJ323" s="66">
        <f>IF(LEN(Множество[[#This Row],[Свёртка]])&gt;0,1,-1)</f>
        <v>1</v>
      </c>
      <c r="AK323" s="66" t="s">
        <v>1781</v>
      </c>
      <c r="AL323" s="209">
        <f>IF(LEN(Множество[[#This Row],[Критерии]])&gt;0,1,-1)</f>
        <v>1</v>
      </c>
      <c r="AM323" s="209">
        <f>IF(AND(LEN(Множество[[#This Row],[Свёртка]])&gt;0,LEN(Множество[[#This Row],[Критерии]])&gt;0,LEN(Множество[[#This Row],[Оценки]])&gt;0),1,-1)</f>
        <v>1</v>
      </c>
      <c r="AN323">
        <v>-3.5750000000000002</v>
      </c>
      <c r="AO323">
        <v>-10.8333333333333</v>
      </c>
      <c r="AP323" s="208"/>
      <c r="AQ323" s="208"/>
      <c r="AR323" s="226"/>
      <c r="AS323" s="225"/>
      <c r="AT323" s="226"/>
      <c r="AU323" s="225"/>
      <c r="AV323" s="225"/>
      <c r="AW323" s="225"/>
      <c r="AX323" s="225"/>
      <c r="AY323" s="225"/>
    </row>
    <row r="324" spans="33:51" x14ac:dyDescent="0.25">
      <c r="AG324" s="66">
        <f>IF(AND(Множество[[#This Row],[Y]]=1),ROW()-ROW(Множество[[#Headers],[№]]),"")</f>
        <v>315</v>
      </c>
      <c r="AH324" t="s">
        <v>608</v>
      </c>
      <c r="AI324" s="66">
        <v>1</v>
      </c>
      <c r="AJ324" s="66">
        <f>IF(LEN(Множество[[#This Row],[Свёртка]])&gt;0,1,-1)</f>
        <v>1</v>
      </c>
      <c r="AK324" s="66" t="s">
        <v>1781</v>
      </c>
      <c r="AL324" s="209">
        <f>IF(LEN(Множество[[#This Row],[Критерии]])&gt;0,1,-1)</f>
        <v>1</v>
      </c>
      <c r="AM324" s="209">
        <f>IF(AND(LEN(Множество[[#This Row],[Свёртка]])&gt;0,LEN(Множество[[#This Row],[Критерии]])&gt;0,LEN(Множество[[#This Row],[Оценки]])&gt;0),1,-1)</f>
        <v>1</v>
      </c>
      <c r="AN324">
        <v>-1.4750000000000001</v>
      </c>
      <c r="AO324">
        <v>-16.4166666666667</v>
      </c>
      <c r="AP324" s="208"/>
      <c r="AQ324" s="208"/>
      <c r="AR324" s="226"/>
      <c r="AS324" s="225"/>
      <c r="AT324" s="226"/>
      <c r="AU324" s="225"/>
      <c r="AV324" s="225"/>
      <c r="AW324" s="225"/>
      <c r="AX324" s="225"/>
      <c r="AY324" s="225"/>
    </row>
    <row r="325" spans="33:51" x14ac:dyDescent="0.25">
      <c r="AG325" s="66">
        <f>IF(AND(Множество[[#This Row],[Y]]=1),ROW()-ROW(Множество[[#Headers],[№]]),"")</f>
        <v>316</v>
      </c>
      <c r="AH325" t="s">
        <v>608</v>
      </c>
      <c r="AI325" s="66">
        <v>1</v>
      </c>
      <c r="AJ325" s="66">
        <f>IF(LEN(Множество[[#This Row],[Свёртка]])&gt;0,1,-1)</f>
        <v>1</v>
      </c>
      <c r="AK325" s="66" t="s">
        <v>1781</v>
      </c>
      <c r="AL325" s="209">
        <f>IF(LEN(Множество[[#This Row],[Критерии]])&gt;0,1,-1)</f>
        <v>1</v>
      </c>
      <c r="AM325" s="209">
        <f>IF(AND(LEN(Множество[[#This Row],[Свёртка]])&gt;0,LEN(Множество[[#This Row],[Критерии]])&gt;0,LEN(Множество[[#This Row],[Оценки]])&gt;0),1,-1)</f>
        <v>1</v>
      </c>
      <c r="AN325">
        <v>-1.625</v>
      </c>
      <c r="AO325">
        <v>-16.45</v>
      </c>
      <c r="AP325" s="208"/>
      <c r="AQ325" s="208"/>
      <c r="AR325" s="226"/>
      <c r="AS325" s="225"/>
      <c r="AT325" s="226"/>
      <c r="AU325" s="225"/>
      <c r="AV325" s="225"/>
      <c r="AW325" s="225"/>
      <c r="AX325" s="225"/>
      <c r="AY325" s="225"/>
    </row>
    <row r="326" spans="33:51" x14ac:dyDescent="0.25">
      <c r="AG326" s="66">
        <f>IF(AND(Множество[[#This Row],[Y]]=1),ROW()-ROW(Множество[[#Headers],[№]]),"")</f>
        <v>317</v>
      </c>
      <c r="AH326" t="s">
        <v>608</v>
      </c>
      <c r="AI326" s="66">
        <v>1</v>
      </c>
      <c r="AJ326" s="66">
        <f>IF(LEN(Множество[[#This Row],[Свёртка]])&gt;0,1,-1)</f>
        <v>1</v>
      </c>
      <c r="AK326" s="66" t="s">
        <v>1781</v>
      </c>
      <c r="AL326" s="209">
        <f>IF(LEN(Множество[[#This Row],[Критерии]])&gt;0,1,-1)</f>
        <v>1</v>
      </c>
      <c r="AM326" s="209">
        <f>IF(AND(LEN(Множество[[#This Row],[Свёртка]])&gt;0,LEN(Множество[[#This Row],[Критерии]])&gt;0,LEN(Множество[[#This Row],[Оценки]])&gt;0),1,-1)</f>
        <v>1</v>
      </c>
      <c r="AN326">
        <v>-1.55</v>
      </c>
      <c r="AO326">
        <v>-16.433333333333302</v>
      </c>
      <c r="AP326" s="208"/>
      <c r="AQ326" s="208"/>
      <c r="AR326" s="226"/>
      <c r="AS326" s="225"/>
      <c r="AT326" s="226"/>
      <c r="AU326" s="225"/>
      <c r="AV326" s="225"/>
      <c r="AW326" s="225"/>
      <c r="AX326" s="225"/>
      <c r="AY326" s="225"/>
    </row>
    <row r="327" spans="33:51" x14ac:dyDescent="0.25">
      <c r="AG327" s="66">
        <f>IF(AND(Множество[[#This Row],[Y]]=1),ROW()-ROW(Множество[[#Headers],[№]]),"")</f>
        <v>318</v>
      </c>
      <c r="AH327" t="s">
        <v>608</v>
      </c>
      <c r="AI327" s="66">
        <v>1</v>
      </c>
      <c r="AJ327" s="66">
        <f>IF(LEN(Множество[[#This Row],[Свёртка]])&gt;0,1,-1)</f>
        <v>1</v>
      </c>
      <c r="AK327" s="66" t="s">
        <v>1781</v>
      </c>
      <c r="AL327" s="209">
        <f>IF(LEN(Множество[[#This Row],[Критерии]])&gt;0,1,-1)</f>
        <v>1</v>
      </c>
      <c r="AM327" s="209">
        <f>IF(AND(LEN(Множество[[#This Row],[Свёртка]])&gt;0,LEN(Множество[[#This Row],[Критерии]])&gt;0,LEN(Множество[[#This Row],[Оценки]])&gt;0),1,-1)</f>
        <v>1</v>
      </c>
      <c r="AN327">
        <v>-1.7749999999999999</v>
      </c>
      <c r="AO327">
        <v>-16.466666666666701</v>
      </c>
      <c r="AP327" s="208"/>
      <c r="AQ327" s="208"/>
      <c r="AR327" s="226"/>
      <c r="AS327" s="225"/>
      <c r="AT327" s="226"/>
      <c r="AU327" s="225"/>
      <c r="AV327" s="225"/>
      <c r="AW327" s="225"/>
      <c r="AX327" s="225"/>
      <c r="AY327" s="225"/>
    </row>
    <row r="328" spans="33:51" x14ac:dyDescent="0.25">
      <c r="AG328" s="66">
        <f>IF(AND(Множество[[#This Row],[Y]]=1),ROW()-ROW(Множество[[#Headers],[№]]),"")</f>
        <v>319</v>
      </c>
      <c r="AH328" t="s">
        <v>608</v>
      </c>
      <c r="AI328" s="66">
        <v>1</v>
      </c>
      <c r="AJ328" s="66">
        <f>IF(LEN(Множество[[#This Row],[Свёртка]])&gt;0,1,-1)</f>
        <v>1</v>
      </c>
      <c r="AK328" s="66" t="s">
        <v>1781</v>
      </c>
      <c r="AL328" s="209">
        <f>IF(LEN(Множество[[#This Row],[Критерии]])&gt;0,1,-1)</f>
        <v>1</v>
      </c>
      <c r="AM328" s="209">
        <f>IF(AND(LEN(Множество[[#This Row],[Свёртка]])&gt;0,LEN(Множество[[#This Row],[Критерии]])&gt;0,LEN(Множество[[#This Row],[Оценки]])&gt;0),1,-1)</f>
        <v>1</v>
      </c>
      <c r="AN328">
        <v>-1.85</v>
      </c>
      <c r="AO328">
        <v>-16.483333333333299</v>
      </c>
      <c r="AP328" s="208"/>
      <c r="AQ328" s="208"/>
      <c r="AR328" s="226"/>
      <c r="AS328" s="225"/>
      <c r="AT328" s="226"/>
      <c r="AU328" s="225"/>
      <c r="AV328" s="225"/>
      <c r="AW328" s="225"/>
      <c r="AX328" s="225"/>
      <c r="AY328" s="225"/>
    </row>
    <row r="329" spans="33:51" x14ac:dyDescent="0.25">
      <c r="AG329" s="66">
        <f>IF(AND(Множество[[#This Row],[Y]]=1),ROW()-ROW(Множество[[#Headers],[№]]),"")</f>
        <v>320</v>
      </c>
      <c r="AH329" t="s">
        <v>608</v>
      </c>
      <c r="AI329" s="66">
        <v>1</v>
      </c>
      <c r="AJ329" s="66">
        <f>IF(LEN(Множество[[#This Row],[Свёртка]])&gt;0,1,-1)</f>
        <v>1</v>
      </c>
      <c r="AK329" s="66" t="s">
        <v>1781</v>
      </c>
      <c r="AL329" s="209">
        <f>IF(LEN(Множество[[#This Row],[Критерии]])&gt;0,1,-1)</f>
        <v>1</v>
      </c>
      <c r="AM329" s="209">
        <f>IF(AND(LEN(Множество[[#This Row],[Свёртка]])&gt;0,LEN(Множество[[#This Row],[Критерии]])&gt;0,LEN(Множество[[#This Row],[Оценки]])&gt;0),1,-1)</f>
        <v>1</v>
      </c>
      <c r="AN329">
        <v>-1.925</v>
      </c>
      <c r="AO329">
        <v>-16.5</v>
      </c>
      <c r="AP329" s="208"/>
      <c r="AQ329" s="208"/>
      <c r="AR329" s="226"/>
      <c r="AS329" s="225"/>
      <c r="AT329" s="226"/>
      <c r="AU329" s="225"/>
      <c r="AV329" s="225"/>
      <c r="AW329" s="225"/>
      <c r="AX329" s="225"/>
      <c r="AY329" s="225"/>
    </row>
    <row r="330" spans="33:51" x14ac:dyDescent="0.25">
      <c r="AG330" s="66">
        <f>IF(AND(Множество[[#This Row],[Y]]=1),ROW()-ROW(Множество[[#Headers],[№]]),"")</f>
        <v>321</v>
      </c>
      <c r="AH330" t="s">
        <v>608</v>
      </c>
      <c r="AI330" s="66">
        <v>1</v>
      </c>
      <c r="AJ330" s="66">
        <f>IF(LEN(Множество[[#This Row],[Свёртка]])&gt;0,1,-1)</f>
        <v>1</v>
      </c>
      <c r="AK330" s="66" t="s">
        <v>1781</v>
      </c>
      <c r="AL330" s="209">
        <f>IF(LEN(Множество[[#This Row],[Критерии]])&gt;0,1,-1)</f>
        <v>1</v>
      </c>
      <c r="AM330" s="209">
        <f>IF(AND(LEN(Множество[[#This Row],[Свёртка]])&gt;0,LEN(Множество[[#This Row],[Критерии]])&gt;0,LEN(Множество[[#This Row],[Оценки]])&gt;0),1,-1)</f>
        <v>1</v>
      </c>
      <c r="AN330">
        <v>-2</v>
      </c>
      <c r="AO330">
        <v>-16.516666666666701</v>
      </c>
      <c r="AP330" s="208"/>
      <c r="AQ330" s="208"/>
      <c r="AR330" s="226"/>
      <c r="AS330" s="225"/>
      <c r="AT330" s="226"/>
      <c r="AU330" s="225"/>
      <c r="AV330" s="225"/>
      <c r="AW330" s="225"/>
      <c r="AX330" s="225"/>
      <c r="AY330" s="225"/>
    </row>
    <row r="331" spans="33:51" x14ac:dyDescent="0.25">
      <c r="AG331" s="66">
        <f>IF(AND(Множество[[#This Row],[Y]]=1),ROW()-ROW(Множество[[#Headers],[№]]),"")</f>
        <v>322</v>
      </c>
      <c r="AH331" t="s">
        <v>608</v>
      </c>
      <c r="AI331" s="66">
        <v>1</v>
      </c>
      <c r="AJ331" s="66">
        <f>IF(LEN(Множество[[#This Row],[Свёртка]])&gt;0,1,-1)</f>
        <v>1</v>
      </c>
      <c r="AK331" s="66" t="s">
        <v>1781</v>
      </c>
      <c r="AL331" s="209">
        <f>IF(LEN(Множество[[#This Row],[Критерии]])&gt;0,1,-1)</f>
        <v>1</v>
      </c>
      <c r="AM331" s="209">
        <f>IF(AND(LEN(Множество[[#This Row],[Свёртка]])&gt;0,LEN(Множество[[#This Row],[Критерии]])&gt;0,LEN(Множество[[#This Row],[Оценки]])&gt;0),1,-1)</f>
        <v>1</v>
      </c>
      <c r="AN331">
        <v>-2.0750000000000002</v>
      </c>
      <c r="AO331">
        <v>-16.516666666666701</v>
      </c>
      <c r="AP331" s="208"/>
      <c r="AQ331" s="208"/>
      <c r="AR331" s="226"/>
      <c r="AS331" s="225"/>
      <c r="AT331" s="226"/>
      <c r="AU331" s="225"/>
      <c r="AV331" s="225"/>
      <c r="AW331" s="225"/>
      <c r="AX331" s="225"/>
      <c r="AY331" s="225"/>
    </row>
    <row r="332" spans="33:51" x14ac:dyDescent="0.25">
      <c r="AG332" s="66">
        <f>IF(AND(Множество[[#This Row],[Y]]=1),ROW()-ROW(Множество[[#Headers],[№]]),"")</f>
        <v>323</v>
      </c>
      <c r="AH332" t="s">
        <v>608</v>
      </c>
      <c r="AI332" s="66">
        <v>1</v>
      </c>
      <c r="AJ332" s="66">
        <f>IF(LEN(Множество[[#This Row],[Свёртка]])&gt;0,1,-1)</f>
        <v>1</v>
      </c>
      <c r="AK332" s="66" t="s">
        <v>1781</v>
      </c>
      <c r="AL332" s="209">
        <f>IF(LEN(Множество[[#This Row],[Критерии]])&gt;0,1,-1)</f>
        <v>1</v>
      </c>
      <c r="AM332" s="209">
        <f>IF(AND(LEN(Множество[[#This Row],[Свёртка]])&gt;0,LEN(Множество[[#This Row],[Критерии]])&gt;0,LEN(Множество[[#This Row],[Оценки]])&gt;0),1,-1)</f>
        <v>1</v>
      </c>
      <c r="AN332">
        <v>-2.15</v>
      </c>
      <c r="AO332">
        <v>-16.533333333333299</v>
      </c>
      <c r="AP332" s="208"/>
      <c r="AQ332" s="208"/>
      <c r="AR332" s="226"/>
      <c r="AS332" s="225"/>
      <c r="AT332" s="226"/>
      <c r="AU332" s="225"/>
      <c r="AV332" s="225"/>
      <c r="AW332" s="225"/>
      <c r="AX332" s="225"/>
      <c r="AY332" s="225"/>
    </row>
    <row r="333" spans="33:51" x14ac:dyDescent="0.25">
      <c r="AG333" s="66">
        <f>IF(AND(Множество[[#This Row],[Y]]=1),ROW()-ROW(Множество[[#Headers],[№]]),"")</f>
        <v>324</v>
      </c>
      <c r="AH333" t="s">
        <v>608</v>
      </c>
      <c r="AI333" s="66">
        <v>1</v>
      </c>
      <c r="AJ333" s="66">
        <f>IF(LEN(Множество[[#This Row],[Свёртка]])&gt;0,1,-1)</f>
        <v>1</v>
      </c>
      <c r="AK333" s="66" t="s">
        <v>1781</v>
      </c>
      <c r="AL333" s="209">
        <f>IF(LEN(Множество[[#This Row],[Критерии]])&gt;0,1,-1)</f>
        <v>1</v>
      </c>
      <c r="AM333" s="209">
        <f>IF(AND(LEN(Множество[[#This Row],[Свёртка]])&gt;0,LEN(Множество[[#This Row],[Критерии]])&gt;0,LEN(Множество[[#This Row],[Оценки]])&gt;0),1,-1)</f>
        <v>1</v>
      </c>
      <c r="AN333">
        <v>-2.2999999999999998</v>
      </c>
      <c r="AO333">
        <v>-16.566666666666698</v>
      </c>
      <c r="AP333" s="208"/>
      <c r="AQ333" s="208"/>
      <c r="AR333" s="226"/>
      <c r="AS333" s="225"/>
      <c r="AT333" s="226"/>
      <c r="AU333" s="225"/>
      <c r="AV333" s="225"/>
      <c r="AW333" s="225"/>
      <c r="AX333" s="225"/>
      <c r="AY333" s="225"/>
    </row>
    <row r="334" spans="33:51" x14ac:dyDescent="0.25">
      <c r="AG334" s="66">
        <f>IF(AND(Множество[[#This Row],[Y]]=1),ROW()-ROW(Множество[[#Headers],[№]]),"")</f>
        <v>325</v>
      </c>
      <c r="AH334" t="s">
        <v>608</v>
      </c>
      <c r="AI334" s="66">
        <v>1</v>
      </c>
      <c r="AJ334" s="66">
        <f>IF(LEN(Множество[[#This Row],[Свёртка]])&gt;0,1,-1)</f>
        <v>1</v>
      </c>
      <c r="AK334" s="66" t="s">
        <v>1781</v>
      </c>
      <c r="AL334" s="209">
        <f>IF(LEN(Множество[[#This Row],[Критерии]])&gt;0,1,-1)</f>
        <v>1</v>
      </c>
      <c r="AM334" s="209">
        <f>IF(AND(LEN(Множество[[#This Row],[Свёртка]])&gt;0,LEN(Множество[[#This Row],[Критерии]])&gt;0,LEN(Множество[[#This Row],[Оценки]])&gt;0),1,-1)</f>
        <v>1</v>
      </c>
      <c r="AN334">
        <v>-2.2250000000000001</v>
      </c>
      <c r="AO334">
        <v>-16.55</v>
      </c>
      <c r="AP334" s="208"/>
      <c r="AQ334" s="208"/>
      <c r="AR334" s="226"/>
      <c r="AS334" s="225"/>
      <c r="AT334" s="226"/>
      <c r="AU334" s="225"/>
      <c r="AV334" s="225"/>
      <c r="AW334" s="225"/>
      <c r="AX334" s="225"/>
      <c r="AY334" s="225"/>
    </row>
    <row r="335" spans="33:51" x14ac:dyDescent="0.25">
      <c r="AG335" s="66">
        <f>IF(AND(Множество[[#This Row],[Y]]=1),ROW()-ROW(Множество[[#Headers],[№]]),"")</f>
        <v>326</v>
      </c>
      <c r="AH335" t="s">
        <v>608</v>
      </c>
      <c r="AI335" s="66">
        <v>1</v>
      </c>
      <c r="AJ335" s="66">
        <f>IF(LEN(Множество[[#This Row],[Свёртка]])&gt;0,1,-1)</f>
        <v>1</v>
      </c>
      <c r="AK335" s="66" t="s">
        <v>1781</v>
      </c>
      <c r="AL335" s="209">
        <f>IF(LEN(Множество[[#This Row],[Критерии]])&gt;0,1,-1)</f>
        <v>1</v>
      </c>
      <c r="AM335" s="209">
        <f>IF(AND(LEN(Множество[[#This Row],[Свёртка]])&gt;0,LEN(Множество[[#This Row],[Критерии]])&gt;0,LEN(Множество[[#This Row],[Оценки]])&gt;0),1,-1)</f>
        <v>1</v>
      </c>
      <c r="AN335">
        <v>-2.4500000000000002</v>
      </c>
      <c r="AO335">
        <v>-16.5833333333333</v>
      </c>
      <c r="AP335" s="208"/>
      <c r="AQ335" s="208"/>
      <c r="AR335" s="226"/>
      <c r="AS335" s="225"/>
      <c r="AT335" s="226"/>
      <c r="AU335" s="225"/>
      <c r="AV335" s="225"/>
      <c r="AW335" s="225"/>
      <c r="AX335" s="225"/>
      <c r="AY335" s="225"/>
    </row>
    <row r="336" spans="33:51" x14ac:dyDescent="0.25">
      <c r="AG336" s="66">
        <f>IF(AND(Множество[[#This Row],[Y]]=1),ROW()-ROW(Множество[[#Headers],[№]]),"")</f>
        <v>327</v>
      </c>
      <c r="AH336" t="s">
        <v>608</v>
      </c>
      <c r="AI336" s="66">
        <v>1</v>
      </c>
      <c r="AJ336" s="66">
        <f>IF(LEN(Множество[[#This Row],[Свёртка]])&gt;0,1,-1)</f>
        <v>1</v>
      </c>
      <c r="AK336" s="66" t="s">
        <v>1781</v>
      </c>
      <c r="AL336" s="209">
        <f>IF(LEN(Множество[[#This Row],[Критерии]])&gt;0,1,-1)</f>
        <v>1</v>
      </c>
      <c r="AM336" s="209">
        <f>IF(AND(LEN(Множество[[#This Row],[Свёртка]])&gt;0,LEN(Множество[[#This Row],[Критерии]])&gt;0,LEN(Множество[[#This Row],[Оценки]])&gt;0),1,-1)</f>
        <v>1</v>
      </c>
      <c r="AN336">
        <v>-2.5249999999999999</v>
      </c>
      <c r="AO336">
        <v>-16.600000000000001</v>
      </c>
      <c r="AP336" s="208"/>
      <c r="AQ336" s="208"/>
      <c r="AR336" s="226"/>
      <c r="AS336" s="225"/>
      <c r="AT336" s="226"/>
      <c r="AU336" s="225"/>
      <c r="AV336" s="225"/>
      <c r="AW336" s="225"/>
      <c r="AX336" s="225"/>
      <c r="AY336" s="225"/>
    </row>
    <row r="337" spans="33:51" x14ac:dyDescent="0.25">
      <c r="AG337" s="66">
        <f>IF(AND(Множество[[#This Row],[Y]]=1),ROW()-ROW(Множество[[#Headers],[№]]),"")</f>
        <v>328</v>
      </c>
      <c r="AH337" t="s">
        <v>608</v>
      </c>
      <c r="AI337" s="66">
        <v>1</v>
      </c>
      <c r="AJ337" s="66">
        <f>IF(LEN(Множество[[#This Row],[Свёртка]])&gt;0,1,-1)</f>
        <v>1</v>
      </c>
      <c r="AK337" s="66" t="s">
        <v>1781</v>
      </c>
      <c r="AL337" s="209">
        <f>IF(LEN(Множество[[#This Row],[Критерии]])&gt;0,1,-1)</f>
        <v>1</v>
      </c>
      <c r="AM337" s="209">
        <f>IF(AND(LEN(Множество[[#This Row],[Свёртка]])&gt;0,LEN(Множество[[#This Row],[Критерии]])&gt;0,LEN(Множество[[#This Row],[Оценки]])&gt;0),1,-1)</f>
        <v>1</v>
      </c>
      <c r="AN337">
        <v>-2.6749999999999998</v>
      </c>
      <c r="AO337">
        <v>-16.633333333333301</v>
      </c>
      <c r="AP337" s="208"/>
      <c r="AQ337" s="208"/>
      <c r="AR337" s="226"/>
      <c r="AS337" s="225"/>
      <c r="AT337" s="226"/>
      <c r="AU337" s="225"/>
      <c r="AV337" s="225"/>
      <c r="AW337" s="225"/>
      <c r="AX337" s="225"/>
      <c r="AY337" s="225"/>
    </row>
    <row r="338" spans="33:51" x14ac:dyDescent="0.25">
      <c r="AG338" s="66">
        <f>IF(AND(Множество[[#This Row],[Y]]=1),ROW()-ROW(Множество[[#Headers],[№]]),"")</f>
        <v>329</v>
      </c>
      <c r="AH338" t="s">
        <v>608</v>
      </c>
      <c r="AI338" s="66">
        <v>1</v>
      </c>
      <c r="AJ338" s="66">
        <f>IF(LEN(Множество[[#This Row],[Свёртка]])&gt;0,1,-1)</f>
        <v>1</v>
      </c>
      <c r="AK338" s="66" t="s">
        <v>1781</v>
      </c>
      <c r="AL338" s="209">
        <f>IF(LEN(Множество[[#This Row],[Критерии]])&gt;0,1,-1)</f>
        <v>1</v>
      </c>
      <c r="AM338" s="209">
        <f>IF(AND(LEN(Множество[[#This Row],[Свёртка]])&gt;0,LEN(Множество[[#This Row],[Критерии]])&gt;0,LEN(Множество[[#This Row],[Оценки]])&gt;0),1,-1)</f>
        <v>1</v>
      </c>
      <c r="AN338">
        <v>-2.6</v>
      </c>
      <c r="AO338">
        <v>-16.616666666666699</v>
      </c>
      <c r="AP338" s="208"/>
      <c r="AQ338" s="208"/>
      <c r="AR338" s="226"/>
      <c r="AS338" s="225"/>
      <c r="AT338" s="226"/>
      <c r="AU338" s="225"/>
      <c r="AV338" s="225"/>
      <c r="AW338" s="225"/>
      <c r="AX338" s="225"/>
      <c r="AY338" s="225"/>
    </row>
    <row r="339" spans="33:51" x14ac:dyDescent="0.25">
      <c r="AG339" s="66">
        <f>IF(AND(Множество[[#This Row],[Y]]=1),ROW()-ROW(Множество[[#Headers],[№]]),"")</f>
        <v>330</v>
      </c>
      <c r="AH339" t="s">
        <v>608</v>
      </c>
      <c r="AI339" s="66">
        <v>1</v>
      </c>
      <c r="AJ339" s="66">
        <f>IF(LEN(Множество[[#This Row],[Свёртка]])&gt;0,1,-1)</f>
        <v>1</v>
      </c>
      <c r="AK339" s="66" t="s">
        <v>1781</v>
      </c>
      <c r="AL339" s="209">
        <f>IF(LEN(Множество[[#This Row],[Критерии]])&gt;0,1,-1)</f>
        <v>1</v>
      </c>
      <c r="AM339" s="209">
        <f>IF(AND(LEN(Множество[[#This Row],[Свёртка]])&gt;0,LEN(Множество[[#This Row],[Критерии]])&gt;0,LEN(Множество[[#This Row],[Оценки]])&gt;0),1,-1)</f>
        <v>1</v>
      </c>
      <c r="AN339">
        <v>-2.8250000000000002</v>
      </c>
      <c r="AO339">
        <v>-16.649999999999999</v>
      </c>
      <c r="AP339" s="208"/>
      <c r="AQ339" s="208"/>
      <c r="AR339" s="226"/>
      <c r="AS339" s="225"/>
      <c r="AT339" s="226"/>
      <c r="AU339" s="225"/>
      <c r="AV339" s="225"/>
      <c r="AW339" s="225"/>
      <c r="AX339" s="225"/>
      <c r="AY339" s="225"/>
    </row>
    <row r="340" spans="33:51" x14ac:dyDescent="0.25">
      <c r="AG340" s="66">
        <f>IF(AND(Множество[[#This Row],[Y]]=1),ROW()-ROW(Множество[[#Headers],[№]]),"")</f>
        <v>331</v>
      </c>
      <c r="AH340" t="s">
        <v>608</v>
      </c>
      <c r="AI340" s="66">
        <v>1</v>
      </c>
      <c r="AJ340" s="66">
        <f>IF(LEN(Множество[[#This Row],[Свёртка]])&gt;0,1,-1)</f>
        <v>1</v>
      </c>
      <c r="AK340" s="66" t="s">
        <v>1781</v>
      </c>
      <c r="AL340" s="209">
        <f>IF(LEN(Множество[[#This Row],[Критерии]])&gt;0,1,-1)</f>
        <v>1</v>
      </c>
      <c r="AM340" s="209">
        <f>IF(AND(LEN(Множество[[#This Row],[Свёртка]])&gt;0,LEN(Множество[[#This Row],[Критерии]])&gt;0,LEN(Множество[[#This Row],[Оценки]])&gt;0),1,-1)</f>
        <v>1</v>
      </c>
      <c r="AN340">
        <v>-2.9</v>
      </c>
      <c r="AO340">
        <v>-16.6666666666667</v>
      </c>
      <c r="AP340" s="208"/>
      <c r="AQ340" s="208"/>
      <c r="AR340" s="226"/>
      <c r="AS340" s="225"/>
      <c r="AT340" s="226"/>
      <c r="AU340" s="225"/>
      <c r="AV340" s="225"/>
      <c r="AW340" s="225"/>
      <c r="AX340" s="225"/>
      <c r="AY340" s="225"/>
    </row>
    <row r="341" spans="33:51" x14ac:dyDescent="0.25">
      <c r="AG341" s="66">
        <f>IF(AND(Множество[[#This Row],[Y]]=1),ROW()-ROW(Множество[[#Headers],[№]]),"")</f>
        <v>332</v>
      </c>
      <c r="AH341" t="s">
        <v>608</v>
      </c>
      <c r="AI341" s="66">
        <v>1</v>
      </c>
      <c r="AJ341" s="66">
        <f>IF(LEN(Множество[[#This Row],[Свёртка]])&gt;0,1,-1)</f>
        <v>1</v>
      </c>
      <c r="AK341" s="66" t="s">
        <v>1781</v>
      </c>
      <c r="AL341" s="209">
        <f>IF(LEN(Множество[[#This Row],[Критерии]])&gt;0,1,-1)</f>
        <v>1</v>
      </c>
      <c r="AM341" s="209">
        <f>IF(AND(LEN(Множество[[#This Row],[Свёртка]])&gt;0,LEN(Множество[[#This Row],[Критерии]])&gt;0,LEN(Множество[[#This Row],[Оценки]])&gt;0),1,-1)</f>
        <v>1</v>
      </c>
      <c r="AN341">
        <v>-2.9750000000000001</v>
      </c>
      <c r="AO341">
        <v>-17.149999999999999</v>
      </c>
      <c r="AP341" s="208"/>
      <c r="AQ341" s="208"/>
      <c r="AR341" s="226"/>
      <c r="AS341" s="225"/>
      <c r="AT341" s="226"/>
      <c r="AU341" s="225"/>
      <c r="AV341" s="225"/>
      <c r="AW341" s="225"/>
      <c r="AX341" s="225"/>
      <c r="AY341" s="225"/>
    </row>
    <row r="342" spans="33:51" x14ac:dyDescent="0.25">
      <c r="AG342" s="66">
        <f>IF(AND(Множество[[#This Row],[Y]]=1),ROW()-ROW(Множество[[#Headers],[№]]),"")</f>
        <v>333</v>
      </c>
      <c r="AH342" t="s">
        <v>608</v>
      </c>
      <c r="AI342" s="66">
        <v>1</v>
      </c>
      <c r="AJ342" s="66">
        <f>IF(LEN(Множество[[#This Row],[Свёртка]])&gt;0,1,-1)</f>
        <v>1</v>
      </c>
      <c r="AK342" s="66" t="s">
        <v>1781</v>
      </c>
      <c r="AL342" s="209">
        <f>IF(LEN(Множество[[#This Row],[Критерии]])&gt;0,1,-1)</f>
        <v>1</v>
      </c>
      <c r="AM342" s="209">
        <f>IF(AND(LEN(Множество[[#This Row],[Свёртка]])&gt;0,LEN(Множество[[#This Row],[Критерии]])&gt;0,LEN(Множество[[#This Row],[Оценки]])&gt;0),1,-1)</f>
        <v>1</v>
      </c>
      <c r="AN342">
        <v>-3.05</v>
      </c>
      <c r="AO342">
        <v>-17.2</v>
      </c>
      <c r="AP342" s="208"/>
      <c r="AQ342" s="208"/>
      <c r="AR342" s="226"/>
      <c r="AS342" s="225"/>
      <c r="AT342" s="226"/>
      <c r="AU342" s="225"/>
      <c r="AV342" s="225"/>
      <c r="AW342" s="225"/>
      <c r="AX342" s="225"/>
      <c r="AY342" s="225"/>
    </row>
    <row r="343" spans="33:51" x14ac:dyDescent="0.25">
      <c r="AG343" s="66">
        <f>IF(AND(Множество[[#This Row],[Y]]=1),ROW()-ROW(Множество[[#Headers],[№]]),"")</f>
        <v>334</v>
      </c>
      <c r="AH343" t="s">
        <v>608</v>
      </c>
      <c r="AI343" s="66">
        <v>1</v>
      </c>
      <c r="AJ343" s="66">
        <f>IF(LEN(Множество[[#This Row],[Свёртка]])&gt;0,1,-1)</f>
        <v>1</v>
      </c>
      <c r="AK343" s="66" t="s">
        <v>1781</v>
      </c>
      <c r="AL343" s="209">
        <f>IF(LEN(Множество[[#This Row],[Критерии]])&gt;0,1,-1)</f>
        <v>1</v>
      </c>
      <c r="AM343" s="209">
        <f>IF(AND(LEN(Множество[[#This Row],[Свёртка]])&gt;0,LEN(Множество[[#This Row],[Критерии]])&gt;0,LEN(Множество[[#This Row],[Оценки]])&gt;0),1,-1)</f>
        <v>1</v>
      </c>
      <c r="AN343">
        <v>-3.125</v>
      </c>
      <c r="AO343">
        <v>-17.25</v>
      </c>
      <c r="AP343" s="208"/>
      <c r="AQ343" s="208"/>
      <c r="AR343" s="226"/>
      <c r="AS343" s="225"/>
      <c r="AT343" s="226"/>
      <c r="AU343" s="225"/>
      <c r="AV343" s="225"/>
      <c r="AW343" s="225"/>
      <c r="AX343" s="225"/>
      <c r="AY343" s="225"/>
    </row>
    <row r="344" spans="33:51" x14ac:dyDescent="0.25">
      <c r="AG344" s="66">
        <f>IF(AND(Множество[[#This Row],[Y]]=1),ROW()-ROW(Множество[[#Headers],[№]]),"")</f>
        <v>335</v>
      </c>
      <c r="AH344" t="s">
        <v>608</v>
      </c>
      <c r="AI344" s="66">
        <v>1</v>
      </c>
      <c r="AJ344" s="66">
        <f>IF(LEN(Множество[[#This Row],[Свёртка]])&gt;0,1,-1)</f>
        <v>1</v>
      </c>
      <c r="AK344" s="66" t="s">
        <v>1781</v>
      </c>
      <c r="AL344" s="209">
        <f>IF(LEN(Множество[[#This Row],[Критерии]])&gt;0,1,-1)</f>
        <v>1</v>
      </c>
      <c r="AM344" s="209">
        <f>IF(AND(LEN(Множество[[#This Row],[Свёртка]])&gt;0,LEN(Множество[[#This Row],[Критерии]])&gt;0,LEN(Множество[[#This Row],[Оценки]])&gt;0),1,-1)</f>
        <v>1</v>
      </c>
      <c r="AN344">
        <v>-3.2</v>
      </c>
      <c r="AO344">
        <v>-17.283333333333299</v>
      </c>
      <c r="AP344" s="208"/>
      <c r="AQ344" s="208"/>
      <c r="AR344" s="226"/>
      <c r="AS344" s="225"/>
      <c r="AT344" s="226"/>
      <c r="AU344" s="225"/>
      <c r="AV344" s="225"/>
      <c r="AW344" s="225"/>
      <c r="AX344" s="225"/>
      <c r="AY344" s="225"/>
    </row>
    <row r="345" spans="33:51" x14ac:dyDescent="0.25">
      <c r="AG345" s="66">
        <f>IF(AND(Множество[[#This Row],[Y]]=1),ROW()-ROW(Множество[[#Headers],[№]]),"")</f>
        <v>336</v>
      </c>
      <c r="AH345" t="s">
        <v>608</v>
      </c>
      <c r="AI345" s="66">
        <v>1</v>
      </c>
      <c r="AJ345" s="66">
        <f>IF(LEN(Множество[[#This Row],[Свёртка]])&gt;0,1,-1)</f>
        <v>1</v>
      </c>
      <c r="AK345" s="66" t="s">
        <v>1781</v>
      </c>
      <c r="AL345" s="209">
        <f>IF(LEN(Множество[[#This Row],[Критерии]])&gt;0,1,-1)</f>
        <v>1</v>
      </c>
      <c r="AM345" s="209">
        <f>IF(AND(LEN(Множество[[#This Row],[Свёртка]])&gt;0,LEN(Множество[[#This Row],[Критерии]])&gt;0,LEN(Множество[[#This Row],[Оценки]])&gt;0),1,-1)</f>
        <v>1</v>
      </c>
      <c r="AN345">
        <v>-3.2749999999999999</v>
      </c>
      <c r="AO345">
        <v>-17.3333333333333</v>
      </c>
      <c r="AP345" s="208"/>
      <c r="AQ345" s="208"/>
      <c r="AR345" s="226"/>
      <c r="AS345" s="225"/>
      <c r="AT345" s="226"/>
      <c r="AU345" s="225"/>
      <c r="AV345" s="225"/>
      <c r="AW345" s="225"/>
      <c r="AX345" s="225"/>
      <c r="AY345" s="225"/>
    </row>
    <row r="346" spans="33:51" x14ac:dyDescent="0.25">
      <c r="AG346" s="66">
        <f>IF(AND(Множество[[#This Row],[Y]]=1),ROW()-ROW(Множество[[#Headers],[№]]),"")</f>
        <v>337</v>
      </c>
      <c r="AH346" t="s">
        <v>608</v>
      </c>
      <c r="AI346" s="66">
        <v>1</v>
      </c>
      <c r="AJ346" s="66">
        <f>IF(LEN(Множество[[#This Row],[Свёртка]])&gt;0,1,-1)</f>
        <v>1</v>
      </c>
      <c r="AK346" s="66" t="s">
        <v>1781</v>
      </c>
      <c r="AL346" s="209">
        <f>IF(LEN(Множество[[#This Row],[Критерии]])&gt;0,1,-1)</f>
        <v>1</v>
      </c>
      <c r="AM346" s="209">
        <f>IF(AND(LEN(Множество[[#This Row],[Свёртка]])&gt;0,LEN(Множество[[#This Row],[Критерии]])&gt;0,LEN(Множество[[#This Row],[Оценки]])&gt;0),1,-1)</f>
        <v>1</v>
      </c>
      <c r="AN346">
        <v>-3.35</v>
      </c>
      <c r="AO346">
        <v>-17.366666666666699</v>
      </c>
      <c r="AP346" s="208"/>
      <c r="AQ346" s="208"/>
      <c r="AR346" s="226"/>
      <c r="AS346" s="225"/>
      <c r="AT346" s="226"/>
      <c r="AU346" s="225"/>
      <c r="AV346" s="225"/>
      <c r="AW346" s="225"/>
      <c r="AX346" s="225"/>
      <c r="AY346" s="225"/>
    </row>
    <row r="347" spans="33:51" x14ac:dyDescent="0.25">
      <c r="AG347" s="66">
        <f>IF(AND(Множество[[#This Row],[Y]]=1),ROW()-ROW(Множество[[#Headers],[№]]),"")</f>
        <v>338</v>
      </c>
      <c r="AH347" t="s">
        <v>608</v>
      </c>
      <c r="AI347" s="66">
        <v>1</v>
      </c>
      <c r="AJ347" s="66">
        <f>IF(LEN(Множество[[#This Row],[Свёртка]])&gt;0,1,-1)</f>
        <v>1</v>
      </c>
      <c r="AK347" s="66" t="s">
        <v>1781</v>
      </c>
      <c r="AL347" s="209">
        <f>IF(LEN(Множество[[#This Row],[Критерии]])&gt;0,1,-1)</f>
        <v>1</v>
      </c>
      <c r="AM347" s="209">
        <f>IF(AND(LEN(Множество[[#This Row],[Свёртка]])&gt;0,LEN(Множество[[#This Row],[Критерии]])&gt;0,LEN(Множество[[#This Row],[Оценки]])&gt;0),1,-1)</f>
        <v>1</v>
      </c>
      <c r="AN347">
        <v>-3.4249999999999998</v>
      </c>
      <c r="AO347">
        <v>-17.4166666666667</v>
      </c>
      <c r="AP347" s="208"/>
      <c r="AQ347" s="208"/>
      <c r="AR347" s="226"/>
      <c r="AS347" s="225"/>
      <c r="AT347" s="226"/>
      <c r="AU347" s="225"/>
      <c r="AV347" s="225"/>
      <c r="AW347" s="225"/>
      <c r="AX347" s="225"/>
      <c r="AY347" s="225"/>
    </row>
    <row r="348" spans="33:51" x14ac:dyDescent="0.25">
      <c r="AG348" s="66">
        <f>IF(AND(Множество[[#This Row],[Y]]=1),ROW()-ROW(Множество[[#Headers],[№]]),"")</f>
        <v>339</v>
      </c>
      <c r="AH348" t="s">
        <v>608</v>
      </c>
      <c r="AI348" s="66">
        <v>1</v>
      </c>
      <c r="AJ348" s="66">
        <f>IF(LEN(Множество[[#This Row],[Свёртка]])&gt;0,1,-1)</f>
        <v>1</v>
      </c>
      <c r="AK348" s="66" t="s">
        <v>1781</v>
      </c>
      <c r="AL348" s="209">
        <f>IF(LEN(Множество[[#This Row],[Критерии]])&gt;0,1,-1)</f>
        <v>1</v>
      </c>
      <c r="AM348" s="209">
        <f>IF(AND(LEN(Множество[[#This Row],[Свёртка]])&gt;0,LEN(Множество[[#This Row],[Критерии]])&gt;0,LEN(Множество[[#This Row],[Оценки]])&gt;0),1,-1)</f>
        <v>1</v>
      </c>
      <c r="AN348">
        <v>-3.5</v>
      </c>
      <c r="AO348">
        <v>-17.466666666666701</v>
      </c>
      <c r="AP348" s="208"/>
      <c r="AQ348" s="208"/>
      <c r="AR348" s="226"/>
      <c r="AS348" s="225"/>
      <c r="AT348" s="226"/>
      <c r="AU348" s="225"/>
      <c r="AV348" s="225"/>
      <c r="AW348" s="225"/>
      <c r="AX348" s="225"/>
      <c r="AY348" s="225"/>
    </row>
    <row r="349" spans="33:51" x14ac:dyDescent="0.25">
      <c r="AG349" s="66">
        <f>IF(AND(Множество[[#This Row],[Y]]=1),ROW()-ROW(Множество[[#Headers],[№]]),"")</f>
        <v>340</v>
      </c>
      <c r="AH349" t="s">
        <v>608</v>
      </c>
      <c r="AI349" s="66">
        <v>1</v>
      </c>
      <c r="AJ349" s="66">
        <f>IF(LEN(Множество[[#This Row],[Свёртка]])&gt;0,1,-1)</f>
        <v>1</v>
      </c>
      <c r="AK349" s="66" t="s">
        <v>1781</v>
      </c>
      <c r="AL349" s="209">
        <f>IF(LEN(Множество[[#This Row],[Критерии]])&gt;0,1,-1)</f>
        <v>1</v>
      </c>
      <c r="AM349" s="209">
        <f>IF(AND(LEN(Множество[[#This Row],[Свёртка]])&gt;0,LEN(Множество[[#This Row],[Критерии]])&gt;0,LEN(Множество[[#This Row],[Оценки]])&gt;0),1,-1)</f>
        <v>1</v>
      </c>
      <c r="AN349">
        <v>-3.5750000000000002</v>
      </c>
      <c r="AO349">
        <v>-17.5</v>
      </c>
      <c r="AP349" s="208"/>
      <c r="AQ349" s="208"/>
      <c r="AR349" s="226"/>
      <c r="AS349" s="225"/>
      <c r="AT349" s="226"/>
      <c r="AU349" s="225"/>
      <c r="AV349" s="225"/>
      <c r="AW349" s="225"/>
      <c r="AX349" s="225"/>
      <c r="AY349" s="225"/>
    </row>
    <row r="350" spans="33:51" x14ac:dyDescent="0.25">
      <c r="AG350" s="66">
        <f>IF(AND(Множество[[#This Row],[Y]]=1),ROW()-ROW(Множество[[#Headers],[№]]),"")</f>
        <v>341</v>
      </c>
      <c r="AH350" t="s">
        <v>608</v>
      </c>
      <c r="AI350" s="66">
        <v>1</v>
      </c>
      <c r="AJ350" s="66">
        <f>IF(LEN(Множество[[#This Row],[Свёртка]])&gt;0,1,-1)</f>
        <v>1</v>
      </c>
      <c r="AK350" s="66" t="s">
        <v>1781</v>
      </c>
      <c r="AL350" s="209">
        <f>IF(LEN(Множество[[#This Row],[Критерии]])&gt;0,1,-1)</f>
        <v>1</v>
      </c>
      <c r="AM350" s="209">
        <f>IF(AND(LEN(Множество[[#This Row],[Свёртка]])&gt;0,LEN(Множество[[#This Row],[Критерии]])&gt;0,LEN(Множество[[#This Row],[Оценки]])&gt;0),1,-1)</f>
        <v>1</v>
      </c>
      <c r="AN350">
        <v>-2.9</v>
      </c>
      <c r="AO350">
        <v>-18.3333333333333</v>
      </c>
      <c r="AP350" s="208"/>
      <c r="AQ350" s="208"/>
      <c r="AR350" s="226"/>
      <c r="AS350" s="225"/>
      <c r="AT350" s="226"/>
      <c r="AU350" s="225"/>
      <c r="AV350" s="225"/>
      <c r="AW350" s="225"/>
      <c r="AX350" s="225"/>
      <c r="AY350" s="225"/>
    </row>
    <row r="351" spans="33:51" x14ac:dyDescent="0.25">
      <c r="AG351" s="66">
        <f>IF(AND(Множество[[#This Row],[Y]]=1),ROW()-ROW(Множество[[#Headers],[№]]),"")</f>
        <v>342</v>
      </c>
      <c r="AH351" t="s">
        <v>608</v>
      </c>
      <c r="AI351" s="66">
        <v>1</v>
      </c>
      <c r="AJ351" s="66">
        <f>IF(LEN(Множество[[#This Row],[Свёртка]])&gt;0,1,-1)</f>
        <v>1</v>
      </c>
      <c r="AK351" s="66" t="s">
        <v>1781</v>
      </c>
      <c r="AL351" s="209">
        <f>IF(LEN(Множество[[#This Row],[Критерии]])&gt;0,1,-1)</f>
        <v>1</v>
      </c>
      <c r="AM351" s="209">
        <f>IF(AND(LEN(Множество[[#This Row],[Свёртка]])&gt;0,LEN(Множество[[#This Row],[Критерии]])&gt;0,LEN(Множество[[#This Row],[Оценки]])&gt;0),1,-1)</f>
        <v>1</v>
      </c>
      <c r="AN351">
        <v>-2.9750000000000001</v>
      </c>
      <c r="AO351">
        <v>-18.816666666666698</v>
      </c>
      <c r="AP351" s="208"/>
      <c r="AQ351" s="208"/>
      <c r="AR351" s="226"/>
      <c r="AS351" s="225"/>
      <c r="AT351" s="226"/>
      <c r="AU351" s="225"/>
      <c r="AV351" s="225"/>
      <c r="AW351" s="225"/>
      <c r="AX351" s="225"/>
      <c r="AY351" s="225"/>
    </row>
    <row r="352" spans="33:51" x14ac:dyDescent="0.25">
      <c r="AG352" s="66">
        <f>IF(AND(Множество[[#This Row],[Y]]=1),ROW()-ROW(Множество[[#Headers],[№]]),"")</f>
        <v>343</v>
      </c>
      <c r="AH352" t="s">
        <v>608</v>
      </c>
      <c r="AI352" s="66">
        <v>1</v>
      </c>
      <c r="AJ352" s="66">
        <f>IF(LEN(Множество[[#This Row],[Свёртка]])&gt;0,1,-1)</f>
        <v>1</v>
      </c>
      <c r="AK352" s="66" t="s">
        <v>1781</v>
      </c>
      <c r="AL352" s="209">
        <f>IF(LEN(Множество[[#This Row],[Критерии]])&gt;0,1,-1)</f>
        <v>1</v>
      </c>
      <c r="AM352" s="209">
        <f>IF(AND(LEN(Множество[[#This Row],[Свёртка]])&gt;0,LEN(Множество[[#This Row],[Критерии]])&gt;0,LEN(Множество[[#This Row],[Оценки]])&gt;0),1,-1)</f>
        <v>1</v>
      </c>
      <c r="AN352">
        <v>-3.05</v>
      </c>
      <c r="AO352">
        <v>-18.866666666666699</v>
      </c>
      <c r="AP352" s="208"/>
      <c r="AQ352" s="208"/>
      <c r="AR352" s="226"/>
      <c r="AS352" s="225"/>
      <c r="AT352" s="226"/>
      <c r="AU352" s="225"/>
      <c r="AV352" s="225"/>
      <c r="AW352" s="225"/>
      <c r="AX352" s="225"/>
      <c r="AY352" s="225"/>
    </row>
    <row r="353" spans="33:51" x14ac:dyDescent="0.25">
      <c r="AG353" s="66">
        <f>IF(AND(Множество[[#This Row],[Y]]=1),ROW()-ROW(Множество[[#Headers],[№]]),"")</f>
        <v>344</v>
      </c>
      <c r="AH353" t="s">
        <v>608</v>
      </c>
      <c r="AI353" s="66">
        <v>1</v>
      </c>
      <c r="AJ353" s="66">
        <f>IF(LEN(Множество[[#This Row],[Свёртка]])&gt;0,1,-1)</f>
        <v>1</v>
      </c>
      <c r="AK353" s="66" t="s">
        <v>1781</v>
      </c>
      <c r="AL353" s="209">
        <f>IF(LEN(Множество[[#This Row],[Критерии]])&gt;0,1,-1)</f>
        <v>1</v>
      </c>
      <c r="AM353" s="209">
        <f>IF(AND(LEN(Множество[[#This Row],[Свёртка]])&gt;0,LEN(Множество[[#This Row],[Критерии]])&gt;0,LEN(Множество[[#This Row],[Оценки]])&gt;0),1,-1)</f>
        <v>1</v>
      </c>
      <c r="AN353">
        <v>-3.125</v>
      </c>
      <c r="AO353">
        <v>-18.9166666666667</v>
      </c>
      <c r="AP353" s="208"/>
      <c r="AQ353" s="208"/>
      <c r="AR353" s="226"/>
      <c r="AS353" s="225"/>
      <c r="AT353" s="226"/>
      <c r="AU353" s="225"/>
      <c r="AV353" s="225"/>
      <c r="AW353" s="225"/>
      <c r="AX353" s="225"/>
      <c r="AY353" s="225"/>
    </row>
    <row r="354" spans="33:51" x14ac:dyDescent="0.25">
      <c r="AG354" s="66">
        <f>IF(AND(Множество[[#This Row],[Y]]=1),ROW()-ROW(Множество[[#Headers],[№]]),"")</f>
        <v>345</v>
      </c>
      <c r="AH354" t="s">
        <v>608</v>
      </c>
      <c r="AI354" s="66">
        <v>1</v>
      </c>
      <c r="AJ354" s="66">
        <f>IF(LEN(Множество[[#This Row],[Свёртка]])&gt;0,1,-1)</f>
        <v>1</v>
      </c>
      <c r="AK354" s="66" t="s">
        <v>1781</v>
      </c>
      <c r="AL354" s="209">
        <f>IF(LEN(Множество[[#This Row],[Критерии]])&gt;0,1,-1)</f>
        <v>1</v>
      </c>
      <c r="AM354" s="209">
        <f>IF(AND(LEN(Множество[[#This Row],[Свёртка]])&gt;0,LEN(Множество[[#This Row],[Критерии]])&gt;0,LEN(Множество[[#This Row],[Оценки]])&gt;0),1,-1)</f>
        <v>1</v>
      </c>
      <c r="AN354">
        <v>-3.2</v>
      </c>
      <c r="AO354">
        <v>-18.95</v>
      </c>
      <c r="AP354" s="208"/>
      <c r="AQ354" s="208"/>
      <c r="AR354" s="226"/>
      <c r="AS354" s="225"/>
      <c r="AT354" s="226"/>
      <c r="AU354" s="225"/>
      <c r="AV354" s="225"/>
      <c r="AW354" s="225"/>
      <c r="AX354" s="225"/>
      <c r="AY354" s="225"/>
    </row>
    <row r="355" spans="33:51" x14ac:dyDescent="0.25">
      <c r="AG355" s="66">
        <f>IF(AND(Множество[[#This Row],[Y]]=1),ROW()-ROW(Множество[[#Headers],[№]]),"")</f>
        <v>346</v>
      </c>
      <c r="AH355" t="s">
        <v>608</v>
      </c>
      <c r="AI355" s="66">
        <v>1</v>
      </c>
      <c r="AJ355" s="66">
        <f>IF(LEN(Множество[[#This Row],[Свёртка]])&gt;0,1,-1)</f>
        <v>1</v>
      </c>
      <c r="AK355" s="66" t="s">
        <v>1781</v>
      </c>
      <c r="AL355" s="209">
        <f>IF(LEN(Множество[[#This Row],[Критерии]])&gt;0,1,-1)</f>
        <v>1</v>
      </c>
      <c r="AM355" s="209">
        <f>IF(AND(LEN(Множество[[#This Row],[Свёртка]])&gt;0,LEN(Множество[[#This Row],[Критерии]])&gt;0,LEN(Множество[[#This Row],[Оценки]])&gt;0),1,-1)</f>
        <v>1</v>
      </c>
      <c r="AN355">
        <v>-3.2749999999999999</v>
      </c>
      <c r="AO355">
        <v>-19</v>
      </c>
      <c r="AP355" s="208"/>
      <c r="AQ355" s="208"/>
      <c r="AR355" s="226"/>
      <c r="AS355" s="225"/>
      <c r="AT355" s="226"/>
      <c r="AU355" s="225"/>
      <c r="AV355" s="225"/>
      <c r="AW355" s="225"/>
      <c r="AX355" s="225"/>
      <c r="AY355" s="225"/>
    </row>
    <row r="356" spans="33:51" x14ac:dyDescent="0.25">
      <c r="AG356" s="66">
        <f>IF(AND(Множество[[#This Row],[Y]]=1),ROW()-ROW(Множество[[#Headers],[№]]),"")</f>
        <v>347</v>
      </c>
      <c r="AH356" t="s">
        <v>608</v>
      </c>
      <c r="AI356" s="66">
        <v>1</v>
      </c>
      <c r="AJ356" s="66">
        <f>IF(LEN(Множество[[#This Row],[Свёртка]])&gt;0,1,-1)</f>
        <v>1</v>
      </c>
      <c r="AK356" s="66" t="s">
        <v>1781</v>
      </c>
      <c r="AL356" s="209">
        <f>IF(LEN(Множество[[#This Row],[Критерии]])&gt;0,1,-1)</f>
        <v>1</v>
      </c>
      <c r="AM356" s="209">
        <f>IF(AND(LEN(Множество[[#This Row],[Свёртка]])&gt;0,LEN(Множество[[#This Row],[Критерии]])&gt;0,LEN(Множество[[#This Row],[Оценки]])&gt;0),1,-1)</f>
        <v>1</v>
      </c>
      <c r="AN356">
        <v>-3.35</v>
      </c>
      <c r="AO356">
        <v>-19.033333333333299</v>
      </c>
      <c r="AP356" s="208"/>
      <c r="AQ356" s="208"/>
      <c r="AR356" s="226"/>
      <c r="AS356" s="225"/>
      <c r="AT356" s="226"/>
      <c r="AU356" s="225"/>
      <c r="AV356" s="225"/>
      <c r="AW356" s="225"/>
      <c r="AX356" s="225"/>
      <c r="AY356" s="225"/>
    </row>
    <row r="357" spans="33:51" x14ac:dyDescent="0.25">
      <c r="AG357" s="66">
        <f>IF(AND(Множество[[#This Row],[Y]]=1),ROW()-ROW(Множество[[#Headers],[№]]),"")</f>
        <v>348</v>
      </c>
      <c r="AH357" t="s">
        <v>608</v>
      </c>
      <c r="AI357" s="66">
        <v>1</v>
      </c>
      <c r="AJ357" s="66">
        <f>IF(LEN(Множество[[#This Row],[Свёртка]])&gt;0,1,-1)</f>
        <v>1</v>
      </c>
      <c r="AK357" s="66" t="s">
        <v>1781</v>
      </c>
      <c r="AL357" s="209">
        <f>IF(LEN(Множество[[#This Row],[Критерии]])&gt;0,1,-1)</f>
        <v>1</v>
      </c>
      <c r="AM357" s="209">
        <f>IF(AND(LEN(Множество[[#This Row],[Свёртка]])&gt;0,LEN(Множество[[#This Row],[Критерии]])&gt;0,LEN(Множество[[#This Row],[Оценки]])&gt;0),1,-1)</f>
        <v>1</v>
      </c>
      <c r="AN357">
        <v>-3.4249999999999998</v>
      </c>
      <c r="AO357">
        <v>-19.0833333333333</v>
      </c>
      <c r="AP357" s="208"/>
      <c r="AQ357" s="208"/>
      <c r="AR357" s="226"/>
      <c r="AS357" s="225"/>
      <c r="AT357" s="226"/>
      <c r="AU357" s="225"/>
      <c r="AV357" s="225"/>
      <c r="AW357" s="225"/>
      <c r="AX357" s="225"/>
      <c r="AY357" s="225"/>
    </row>
    <row r="358" spans="33:51" x14ac:dyDescent="0.25">
      <c r="AG358" s="66">
        <f>IF(AND(Множество[[#This Row],[Y]]=1),ROW()-ROW(Множество[[#Headers],[№]]),"")</f>
        <v>349</v>
      </c>
      <c r="AH358" t="s">
        <v>608</v>
      </c>
      <c r="AI358" s="66">
        <v>1</v>
      </c>
      <c r="AJ358" s="66">
        <f>IF(LEN(Множество[[#This Row],[Свёртка]])&gt;0,1,-1)</f>
        <v>1</v>
      </c>
      <c r="AK358" s="66" t="s">
        <v>1781</v>
      </c>
      <c r="AL358" s="209">
        <f>IF(LEN(Множество[[#This Row],[Критерии]])&gt;0,1,-1)</f>
        <v>1</v>
      </c>
      <c r="AM358" s="209">
        <f>IF(AND(LEN(Множество[[#This Row],[Свёртка]])&gt;0,LEN(Множество[[#This Row],[Критерии]])&gt;0,LEN(Множество[[#This Row],[Оценки]])&gt;0),1,-1)</f>
        <v>1</v>
      </c>
      <c r="AN358">
        <v>-3.5</v>
      </c>
      <c r="AO358">
        <v>-19.133333333333301</v>
      </c>
      <c r="AP358" s="208"/>
      <c r="AQ358" s="208"/>
      <c r="AR358" s="226"/>
      <c r="AS358" s="225"/>
      <c r="AT358" s="226"/>
      <c r="AU358" s="225"/>
      <c r="AV358" s="225"/>
      <c r="AW358" s="225"/>
      <c r="AX358" s="225"/>
      <c r="AY358" s="225"/>
    </row>
    <row r="359" spans="33:51" x14ac:dyDescent="0.25">
      <c r="AG359" s="66" t="str">
        <f>IF(AND(Множество[[#This Row],[Y]]=1),ROW()-ROW(Множество[[#Headers],[№]]),"")</f>
        <v/>
      </c>
      <c r="AI359" s="66">
        <v>1</v>
      </c>
      <c r="AJ359" s="66">
        <f>IF(LEN(Множество[[#This Row],[Свёртка]])&gt;0,1,-1)</f>
        <v>1</v>
      </c>
      <c r="AK359" s="66" t="s">
        <v>1781</v>
      </c>
      <c r="AL359" s="209">
        <f>IF(LEN(Множество[[#This Row],[Критерии]])&gt;0,1,-1)</f>
        <v>1</v>
      </c>
      <c r="AM359" s="209">
        <f>IF(AND(LEN(Множество[[#This Row],[Свёртка]])&gt;0,LEN(Множество[[#This Row],[Критерии]])&gt;0,LEN(Множество[[#This Row],[Оценки]])&gt;0),1,-1)</f>
        <v>-1</v>
      </c>
      <c r="AP359" s="208"/>
      <c r="AQ359" s="208"/>
      <c r="AR359" s="226"/>
      <c r="AS359" s="225"/>
      <c r="AT359" s="226"/>
      <c r="AU359" s="225"/>
      <c r="AV359" s="225"/>
      <c r="AW359" s="225"/>
      <c r="AX359" s="225"/>
      <c r="AY359" s="225"/>
    </row>
    <row r="360" spans="33:51" x14ac:dyDescent="0.25">
      <c r="AG360" s="66" t="str">
        <f>IF(AND(Множество[[#This Row],[Y]]=1),ROW()-ROW(Множество[[#Headers],[№]]),"")</f>
        <v/>
      </c>
      <c r="AI360" s="66">
        <v>1</v>
      </c>
      <c r="AJ360" s="66">
        <f>IF(LEN(Множество[[#This Row],[Свёртка]])&gt;0,1,-1)</f>
        <v>1</v>
      </c>
      <c r="AK360" s="66" t="s">
        <v>1781</v>
      </c>
      <c r="AL360" s="209">
        <f>IF(LEN(Множество[[#This Row],[Критерии]])&gt;0,1,-1)</f>
        <v>1</v>
      </c>
      <c r="AM360" s="209">
        <f>IF(AND(LEN(Множество[[#This Row],[Свёртка]])&gt;0,LEN(Множество[[#This Row],[Критерии]])&gt;0,LEN(Множество[[#This Row],[Оценки]])&gt;0),1,-1)</f>
        <v>-1</v>
      </c>
      <c r="AP360" s="208"/>
      <c r="AQ360" s="208"/>
      <c r="AR360" s="226"/>
      <c r="AS360" s="225"/>
      <c r="AT360" s="226"/>
      <c r="AU360" s="225"/>
      <c r="AV360" s="225"/>
      <c r="AW360" s="225"/>
      <c r="AX360" s="225"/>
      <c r="AY360" s="225"/>
    </row>
    <row r="361" spans="33:51" x14ac:dyDescent="0.25">
      <c r="AG361" s="66" t="str">
        <f>IF(AND(Множество[[#This Row],[Y]]=1),ROW()-ROW(Множество[[#Headers],[№]]),"")</f>
        <v/>
      </c>
      <c r="AI361" s="66">
        <v>1</v>
      </c>
      <c r="AJ361" s="66">
        <f>IF(LEN(Множество[[#This Row],[Свёртка]])&gt;0,1,-1)</f>
        <v>1</v>
      </c>
      <c r="AK361" s="66" t="s">
        <v>1781</v>
      </c>
      <c r="AL361" s="209">
        <f>IF(LEN(Множество[[#This Row],[Критерии]])&gt;0,1,-1)</f>
        <v>1</v>
      </c>
      <c r="AM361" s="209">
        <f>IF(AND(LEN(Множество[[#This Row],[Свёртка]])&gt;0,LEN(Множество[[#This Row],[Критерии]])&gt;0,LEN(Множество[[#This Row],[Оценки]])&gt;0),1,-1)</f>
        <v>-1</v>
      </c>
      <c r="AN361" s="208"/>
      <c r="AO361" s="208"/>
      <c r="AP361" s="208"/>
      <c r="AQ361" s="208"/>
      <c r="AR361" s="226"/>
      <c r="AS361" s="225"/>
      <c r="AT361" s="226"/>
      <c r="AU361" s="225"/>
      <c r="AV361" s="225"/>
      <c r="AW361" s="225"/>
      <c r="AX361" s="225"/>
      <c r="AY361" s="225"/>
    </row>
    <row r="362" spans="33:51" x14ac:dyDescent="0.25">
      <c r="AG362" s="66" t="str">
        <f>IF(AND(Множество[[#This Row],[Y]]=1),ROW()-ROW(Множество[[#Headers],[№]]),"")</f>
        <v/>
      </c>
      <c r="AI362" s="66">
        <v>1</v>
      </c>
      <c r="AJ362" s="66">
        <f>IF(LEN(Множество[[#This Row],[Свёртка]])&gt;0,1,-1)</f>
        <v>1</v>
      </c>
      <c r="AK362" s="66" t="s">
        <v>1781</v>
      </c>
      <c r="AL362" s="209">
        <f>IF(LEN(Множество[[#This Row],[Критерии]])&gt;0,1,-1)</f>
        <v>1</v>
      </c>
      <c r="AM362" s="209">
        <f>IF(AND(LEN(Множество[[#This Row],[Свёртка]])&gt;0,LEN(Множество[[#This Row],[Критерии]])&gt;0,LEN(Множество[[#This Row],[Оценки]])&gt;0),1,-1)</f>
        <v>-1</v>
      </c>
      <c r="AN362" s="208"/>
      <c r="AO362" s="208"/>
      <c r="AP362" s="208"/>
      <c r="AQ362" s="208"/>
      <c r="AR362" s="226"/>
      <c r="AS362" s="225"/>
      <c r="AT362" s="226"/>
      <c r="AU362" s="225"/>
      <c r="AV362" s="225"/>
      <c r="AW362" s="225"/>
      <c r="AX362" s="225"/>
      <c r="AY362" s="225"/>
    </row>
    <row r="363" spans="33:51" x14ac:dyDescent="0.25">
      <c r="AG363" s="66" t="str">
        <f>IF(AND(Множество[[#This Row],[Y]]=1),ROW()-ROW(Множество[[#Headers],[№]]),"")</f>
        <v/>
      </c>
      <c r="AI363" s="66">
        <v>1</v>
      </c>
      <c r="AJ363" s="66">
        <f>IF(LEN(Множество[[#This Row],[Свёртка]])&gt;0,1,-1)</f>
        <v>1</v>
      </c>
      <c r="AK363" s="66" t="s">
        <v>1781</v>
      </c>
      <c r="AL363" s="209">
        <f>IF(LEN(Множество[[#This Row],[Критерии]])&gt;0,1,-1)</f>
        <v>1</v>
      </c>
      <c r="AM363" s="209">
        <f>IF(AND(LEN(Множество[[#This Row],[Свёртка]])&gt;0,LEN(Множество[[#This Row],[Критерии]])&gt;0,LEN(Множество[[#This Row],[Оценки]])&gt;0),1,-1)</f>
        <v>-1</v>
      </c>
      <c r="AN363" s="208"/>
      <c r="AO363" s="208"/>
      <c r="AP363" s="208"/>
      <c r="AQ363" s="208"/>
      <c r="AR363" s="226"/>
      <c r="AS363" s="225"/>
      <c r="AT363" s="226"/>
      <c r="AU363" s="225"/>
      <c r="AV363" s="225"/>
      <c r="AW363" s="225"/>
      <c r="AX363" s="225"/>
      <c r="AY363" s="225"/>
    </row>
    <row r="364" spans="33:51" x14ac:dyDescent="0.25">
      <c r="AG364" s="66" t="str">
        <f>IF(AND(Множество[[#This Row],[Y]]=1),ROW()-ROW(Множество[[#Headers],[№]]),"")</f>
        <v/>
      </c>
      <c r="AI364" s="66">
        <v>1</v>
      </c>
      <c r="AJ364" s="66">
        <f>IF(LEN(Множество[[#This Row],[Свёртка]])&gt;0,1,-1)</f>
        <v>1</v>
      </c>
      <c r="AK364" s="66" t="s">
        <v>1781</v>
      </c>
      <c r="AL364" s="209">
        <f>IF(LEN(Множество[[#This Row],[Критерии]])&gt;0,1,-1)</f>
        <v>1</v>
      </c>
      <c r="AM364" s="209">
        <f>IF(AND(LEN(Множество[[#This Row],[Свёртка]])&gt;0,LEN(Множество[[#This Row],[Критерии]])&gt;0,LEN(Множество[[#This Row],[Оценки]])&gt;0),1,-1)</f>
        <v>-1</v>
      </c>
      <c r="AN364" s="208"/>
      <c r="AO364" s="208"/>
      <c r="AP364" s="208"/>
      <c r="AQ364" s="208"/>
      <c r="AR364" s="226"/>
      <c r="AS364" s="225"/>
      <c r="AT364" s="226"/>
      <c r="AU364" s="225"/>
      <c r="AV364" s="225"/>
      <c r="AW364" s="225"/>
      <c r="AX364" s="225"/>
      <c r="AY364" s="225"/>
    </row>
    <row r="365" spans="33:51" x14ac:dyDescent="0.25">
      <c r="AG365" s="66" t="str">
        <f>IF(AND(Множество[[#This Row],[Y]]=1),ROW()-ROW(Множество[[#Headers],[№]]),"")</f>
        <v/>
      </c>
      <c r="AI365" s="66">
        <v>1</v>
      </c>
      <c r="AJ365" s="66">
        <f>IF(LEN(Множество[[#This Row],[Свёртка]])&gt;0,1,-1)</f>
        <v>1</v>
      </c>
      <c r="AK365" s="66" t="s">
        <v>1781</v>
      </c>
      <c r="AL365" s="209">
        <f>IF(LEN(Множество[[#This Row],[Критерии]])&gt;0,1,-1)</f>
        <v>1</v>
      </c>
      <c r="AM365" s="209">
        <f>IF(AND(LEN(Множество[[#This Row],[Свёртка]])&gt;0,LEN(Множество[[#This Row],[Критерии]])&gt;0,LEN(Множество[[#This Row],[Оценки]])&gt;0),1,-1)</f>
        <v>-1</v>
      </c>
      <c r="AN365" s="208"/>
      <c r="AO365" s="208"/>
      <c r="AP365" s="208"/>
      <c r="AQ365" s="208"/>
      <c r="AR365" s="226"/>
      <c r="AS365" s="225"/>
      <c r="AT365" s="226"/>
      <c r="AU365" s="225"/>
      <c r="AV365" s="225"/>
      <c r="AW365" s="225"/>
      <c r="AX365" s="225"/>
      <c r="AY365" s="225"/>
    </row>
    <row r="366" spans="33:51" x14ac:dyDescent="0.25">
      <c r="AG366" s="66" t="str">
        <f>IF(AND(Множество[[#This Row],[Y]]=1),ROW()-ROW(Множество[[#Headers],[№]]),"")</f>
        <v/>
      </c>
      <c r="AI366" s="66">
        <v>1</v>
      </c>
      <c r="AJ366" s="66">
        <f>IF(LEN(Множество[[#This Row],[Свёртка]])&gt;0,1,-1)</f>
        <v>1</v>
      </c>
      <c r="AK366" s="66" t="s">
        <v>1781</v>
      </c>
      <c r="AL366" s="209">
        <f>IF(LEN(Множество[[#This Row],[Критерии]])&gt;0,1,-1)</f>
        <v>1</v>
      </c>
      <c r="AM366" s="209">
        <f>IF(AND(LEN(Множество[[#This Row],[Свёртка]])&gt;0,LEN(Множество[[#This Row],[Критерии]])&gt;0,LEN(Множество[[#This Row],[Оценки]])&gt;0),1,-1)</f>
        <v>-1</v>
      </c>
      <c r="AN366" s="208"/>
      <c r="AO366" s="208"/>
      <c r="AP366" s="208"/>
      <c r="AQ366" s="208"/>
      <c r="AR366" s="226"/>
      <c r="AS366" s="225"/>
      <c r="AT366" s="226"/>
      <c r="AU366" s="225"/>
      <c r="AV366" s="225"/>
      <c r="AW366" s="225"/>
      <c r="AX366" s="225"/>
      <c r="AY366" s="225"/>
    </row>
    <row r="367" spans="33:51" x14ac:dyDescent="0.25">
      <c r="AG367" s="66" t="str">
        <f>IF(AND(Множество[[#This Row],[Y]]=1),ROW()-ROW(Множество[[#Headers],[№]]),"")</f>
        <v/>
      </c>
      <c r="AI367" s="66">
        <v>1</v>
      </c>
      <c r="AJ367" s="66">
        <f>IF(LEN(Множество[[#This Row],[Свёртка]])&gt;0,1,-1)</f>
        <v>1</v>
      </c>
      <c r="AK367" s="66" t="s">
        <v>1781</v>
      </c>
      <c r="AL367" s="209">
        <f>IF(LEN(Множество[[#This Row],[Критерии]])&gt;0,1,-1)</f>
        <v>1</v>
      </c>
      <c r="AM367" s="209">
        <f>IF(AND(LEN(Множество[[#This Row],[Свёртка]])&gt;0,LEN(Множество[[#This Row],[Критерии]])&gt;0,LEN(Множество[[#This Row],[Оценки]])&gt;0),1,-1)</f>
        <v>-1</v>
      </c>
      <c r="AN367" s="208"/>
      <c r="AO367" s="208"/>
      <c r="AP367" s="208"/>
      <c r="AQ367" s="208"/>
      <c r="AR367" s="226"/>
      <c r="AS367" s="225"/>
      <c r="AT367" s="226"/>
      <c r="AU367" s="225"/>
      <c r="AV367" s="225"/>
      <c r="AW367" s="225"/>
      <c r="AX367" s="225"/>
      <c r="AY367" s="225"/>
    </row>
    <row r="368" spans="33:51" x14ac:dyDescent="0.25">
      <c r="AG368" s="66" t="str">
        <f>IF(AND(Множество[[#This Row],[Y]]=1),ROW()-ROW(Множество[[#Headers],[№]]),"")</f>
        <v/>
      </c>
      <c r="AI368" s="66">
        <v>1</v>
      </c>
      <c r="AJ368" s="66">
        <f>IF(LEN(Множество[[#This Row],[Свёртка]])&gt;0,1,-1)</f>
        <v>1</v>
      </c>
      <c r="AK368" s="66" t="s">
        <v>1781</v>
      </c>
      <c r="AL368" s="209">
        <f>IF(LEN(Множество[[#This Row],[Критерии]])&gt;0,1,-1)</f>
        <v>1</v>
      </c>
      <c r="AM368" s="209">
        <f>IF(AND(LEN(Множество[[#This Row],[Свёртка]])&gt;0,LEN(Множество[[#This Row],[Критерии]])&gt;0,LEN(Множество[[#This Row],[Оценки]])&gt;0),1,-1)</f>
        <v>-1</v>
      </c>
      <c r="AN368" s="208"/>
      <c r="AO368" s="208"/>
      <c r="AP368" s="208"/>
      <c r="AQ368" s="208"/>
      <c r="AR368" s="226"/>
      <c r="AS368" s="225"/>
      <c r="AT368" s="226"/>
      <c r="AU368" s="225"/>
      <c r="AV368" s="225"/>
      <c r="AW368" s="225"/>
      <c r="AX368" s="225"/>
      <c r="AY368" s="225"/>
    </row>
    <row r="369" spans="33:51" x14ac:dyDescent="0.25">
      <c r="AG369" s="66" t="str">
        <f>IF(AND(Множество[[#This Row],[Y]]=1),ROW()-ROW(Множество[[#Headers],[№]]),"")</f>
        <v/>
      </c>
      <c r="AI369" s="66">
        <v>1</v>
      </c>
      <c r="AJ369" s="66">
        <f>IF(LEN(Множество[[#This Row],[Свёртка]])&gt;0,1,-1)</f>
        <v>1</v>
      </c>
      <c r="AK369" s="66" t="s">
        <v>1781</v>
      </c>
      <c r="AL369" s="209">
        <f>IF(LEN(Множество[[#This Row],[Критерии]])&gt;0,1,-1)</f>
        <v>1</v>
      </c>
      <c r="AM369" s="209">
        <f>IF(AND(LEN(Множество[[#This Row],[Свёртка]])&gt;0,LEN(Множество[[#This Row],[Критерии]])&gt;0,LEN(Множество[[#This Row],[Оценки]])&gt;0),1,-1)</f>
        <v>-1</v>
      </c>
      <c r="AN369" s="208"/>
      <c r="AO369" s="208"/>
      <c r="AP369" s="208"/>
      <c r="AQ369" s="208"/>
      <c r="AR369" s="226"/>
      <c r="AS369" s="225"/>
      <c r="AT369" s="226"/>
      <c r="AU369" s="225"/>
      <c r="AV369" s="225"/>
      <c r="AW369" s="225"/>
      <c r="AX369" s="225"/>
      <c r="AY369" s="225"/>
    </row>
    <row r="370" spans="33:51" x14ac:dyDescent="0.25">
      <c r="AG370" s="66" t="str">
        <f>IF(AND(Множество[[#This Row],[Y]]=1),ROW()-ROW(Множество[[#Headers],[№]]),"")</f>
        <v/>
      </c>
      <c r="AI370" s="66">
        <v>1</v>
      </c>
      <c r="AJ370" s="66">
        <f>IF(LEN(Множество[[#This Row],[Свёртка]])&gt;0,1,-1)</f>
        <v>1</v>
      </c>
      <c r="AK370" s="66" t="s">
        <v>1781</v>
      </c>
      <c r="AL370" s="209">
        <f>IF(LEN(Множество[[#This Row],[Критерии]])&gt;0,1,-1)</f>
        <v>1</v>
      </c>
      <c r="AM370" s="209">
        <f>IF(AND(LEN(Множество[[#This Row],[Свёртка]])&gt;0,LEN(Множество[[#This Row],[Критерии]])&gt;0,LEN(Множество[[#This Row],[Оценки]])&gt;0),1,-1)</f>
        <v>-1</v>
      </c>
      <c r="AN370" s="208"/>
      <c r="AO370" s="208"/>
      <c r="AP370" s="208"/>
      <c r="AQ370" s="208"/>
      <c r="AR370" s="226"/>
      <c r="AS370" s="225"/>
      <c r="AT370" s="226"/>
      <c r="AU370" s="225"/>
      <c r="AV370" s="225"/>
      <c r="AW370" s="225"/>
      <c r="AX370" s="225"/>
      <c r="AY370" s="225"/>
    </row>
    <row r="371" spans="33:51" x14ac:dyDescent="0.25">
      <c r="AG371" s="66" t="str">
        <f>IF(AND(Множество[[#This Row],[Y]]=1),ROW()-ROW(Множество[[#Headers],[№]]),"")</f>
        <v/>
      </c>
      <c r="AI371" s="66">
        <v>1</v>
      </c>
      <c r="AJ371" s="66">
        <f>IF(LEN(Множество[[#This Row],[Свёртка]])&gt;0,1,-1)</f>
        <v>1</v>
      </c>
      <c r="AK371" s="66" t="s">
        <v>1781</v>
      </c>
      <c r="AL371" s="209">
        <f>IF(LEN(Множество[[#This Row],[Критерии]])&gt;0,1,-1)</f>
        <v>1</v>
      </c>
      <c r="AM371" s="209">
        <f>IF(AND(LEN(Множество[[#This Row],[Свёртка]])&gt;0,LEN(Множество[[#This Row],[Критерии]])&gt;0,LEN(Множество[[#This Row],[Оценки]])&gt;0),1,-1)</f>
        <v>-1</v>
      </c>
      <c r="AN371" s="208"/>
      <c r="AO371" s="208"/>
      <c r="AP371" s="208"/>
      <c r="AQ371" s="208"/>
      <c r="AR371" s="226"/>
      <c r="AS371" s="225"/>
      <c r="AT371" s="226"/>
      <c r="AU371" s="225"/>
      <c r="AV371" s="225"/>
      <c r="AW371" s="225"/>
      <c r="AX371" s="225"/>
      <c r="AY371" s="225"/>
    </row>
    <row r="372" spans="33:51" x14ac:dyDescent="0.25">
      <c r="AG372" s="66" t="str">
        <f>IF(AND(Множество[[#This Row],[Y]]=1),ROW()-ROW(Множество[[#Headers],[№]]),"")</f>
        <v/>
      </c>
      <c r="AI372" s="66">
        <v>1</v>
      </c>
      <c r="AJ372" s="66">
        <f>IF(LEN(Множество[[#This Row],[Свёртка]])&gt;0,1,-1)</f>
        <v>1</v>
      </c>
      <c r="AK372" s="66" t="s">
        <v>1781</v>
      </c>
      <c r="AL372" s="209">
        <f>IF(LEN(Множество[[#This Row],[Критерии]])&gt;0,1,-1)</f>
        <v>1</v>
      </c>
      <c r="AM372" s="209">
        <f>IF(AND(LEN(Множество[[#This Row],[Свёртка]])&gt;0,LEN(Множество[[#This Row],[Критерии]])&gt;0,LEN(Множество[[#This Row],[Оценки]])&gt;0),1,-1)</f>
        <v>-1</v>
      </c>
      <c r="AN372" s="208"/>
      <c r="AO372" s="208"/>
      <c r="AP372" s="208"/>
      <c r="AQ372" s="208"/>
      <c r="AR372" s="226"/>
      <c r="AS372" s="225"/>
      <c r="AT372" s="226"/>
      <c r="AU372" s="225"/>
      <c r="AV372" s="225"/>
      <c r="AW372" s="225"/>
      <c r="AX372" s="225"/>
      <c r="AY372" s="225"/>
    </row>
    <row r="373" spans="33:51" x14ac:dyDescent="0.25">
      <c r="AG373" s="66" t="str">
        <f>IF(AND(Множество[[#This Row],[Y]]=1),ROW()-ROW(Множество[[#Headers],[№]]),"")</f>
        <v/>
      </c>
      <c r="AI373" s="66">
        <v>1</v>
      </c>
      <c r="AJ373" s="66">
        <f>IF(LEN(Множество[[#This Row],[Свёртка]])&gt;0,1,-1)</f>
        <v>1</v>
      </c>
      <c r="AK373" s="66" t="s">
        <v>1781</v>
      </c>
      <c r="AL373" s="209">
        <f>IF(LEN(Множество[[#This Row],[Критерии]])&gt;0,1,-1)</f>
        <v>1</v>
      </c>
      <c r="AM373" s="209">
        <f>IF(AND(LEN(Множество[[#This Row],[Свёртка]])&gt;0,LEN(Множество[[#This Row],[Критерии]])&gt;0,LEN(Множество[[#This Row],[Оценки]])&gt;0),1,-1)</f>
        <v>-1</v>
      </c>
      <c r="AN373" s="208"/>
      <c r="AO373" s="208"/>
      <c r="AP373" s="208"/>
      <c r="AQ373" s="208"/>
      <c r="AR373" s="226"/>
      <c r="AS373" s="225"/>
      <c r="AT373" s="226"/>
      <c r="AU373" s="225"/>
      <c r="AV373" s="225"/>
      <c r="AW373" s="225"/>
      <c r="AX373" s="225"/>
      <c r="AY373" s="225"/>
    </row>
    <row r="374" spans="33:51" x14ac:dyDescent="0.25">
      <c r="AG374" s="66" t="str">
        <f>IF(AND(Множество[[#This Row],[Y]]=1),ROW()-ROW(Множество[[#Headers],[№]]),"")</f>
        <v/>
      </c>
      <c r="AI374" s="66">
        <v>1</v>
      </c>
      <c r="AJ374" s="66">
        <f>IF(LEN(Множество[[#This Row],[Свёртка]])&gt;0,1,-1)</f>
        <v>1</v>
      </c>
      <c r="AK374" s="66" t="s">
        <v>1781</v>
      </c>
      <c r="AL374" s="209">
        <f>IF(LEN(Множество[[#This Row],[Критерии]])&gt;0,1,-1)</f>
        <v>1</v>
      </c>
      <c r="AM374" s="209">
        <f>IF(AND(LEN(Множество[[#This Row],[Свёртка]])&gt;0,LEN(Множество[[#This Row],[Критерии]])&gt;0,LEN(Множество[[#This Row],[Оценки]])&gt;0),1,-1)</f>
        <v>-1</v>
      </c>
      <c r="AN374" s="208"/>
      <c r="AO374" s="208"/>
      <c r="AP374" s="208"/>
      <c r="AQ374" s="208"/>
      <c r="AR374" s="226"/>
      <c r="AS374" s="225"/>
      <c r="AT374" s="226"/>
      <c r="AU374" s="225"/>
      <c r="AV374" s="225"/>
      <c r="AW374" s="225"/>
      <c r="AX374" s="225"/>
      <c r="AY374" s="225"/>
    </row>
    <row r="375" spans="33:51" x14ac:dyDescent="0.25">
      <c r="AG375" s="66" t="str">
        <f>IF(AND(Множество[[#This Row],[Y]]=1),ROW()-ROW(Множество[[#Headers],[№]]),"")</f>
        <v/>
      </c>
      <c r="AI375" s="66">
        <v>1</v>
      </c>
      <c r="AJ375" s="66">
        <f>IF(LEN(Множество[[#This Row],[Свёртка]])&gt;0,1,-1)</f>
        <v>1</v>
      </c>
      <c r="AK375" s="66" t="s">
        <v>1781</v>
      </c>
      <c r="AL375" s="209">
        <f>IF(LEN(Множество[[#This Row],[Критерии]])&gt;0,1,-1)</f>
        <v>1</v>
      </c>
      <c r="AM375" s="209">
        <f>IF(AND(LEN(Множество[[#This Row],[Свёртка]])&gt;0,LEN(Множество[[#This Row],[Критерии]])&gt;0,LEN(Множество[[#This Row],[Оценки]])&gt;0),1,-1)</f>
        <v>-1</v>
      </c>
      <c r="AN375" s="208"/>
      <c r="AO375" s="208"/>
      <c r="AP375" s="208"/>
      <c r="AQ375" s="208"/>
      <c r="AR375" s="226"/>
      <c r="AS375" s="225"/>
      <c r="AT375" s="226"/>
      <c r="AU375" s="225"/>
      <c r="AV375" s="225"/>
      <c r="AW375" s="225"/>
      <c r="AX375" s="225"/>
      <c r="AY375" s="225"/>
    </row>
    <row r="376" spans="33:51" x14ac:dyDescent="0.25">
      <c r="AG376" s="66" t="str">
        <f>IF(AND(Множество[[#This Row],[Y]]=1),ROW()-ROW(Множество[[#Headers],[№]]),"")</f>
        <v/>
      </c>
      <c r="AI376" s="66">
        <v>1</v>
      </c>
      <c r="AJ376" s="66">
        <f>IF(LEN(Множество[[#This Row],[Свёртка]])&gt;0,1,-1)</f>
        <v>1</v>
      </c>
      <c r="AK376" s="66" t="s">
        <v>1781</v>
      </c>
      <c r="AL376" s="209">
        <f>IF(LEN(Множество[[#This Row],[Критерии]])&gt;0,1,-1)</f>
        <v>1</v>
      </c>
      <c r="AM376" s="209">
        <f>IF(AND(LEN(Множество[[#This Row],[Свёртка]])&gt;0,LEN(Множество[[#This Row],[Критерии]])&gt;0,LEN(Множество[[#This Row],[Оценки]])&gt;0),1,-1)</f>
        <v>-1</v>
      </c>
      <c r="AN376" s="208"/>
      <c r="AO376" s="208"/>
      <c r="AP376" s="208"/>
      <c r="AQ376" s="208"/>
      <c r="AR376" s="226"/>
      <c r="AS376" s="225"/>
      <c r="AT376" s="226"/>
      <c r="AU376" s="225"/>
      <c r="AV376" s="225"/>
      <c r="AW376" s="225"/>
      <c r="AX376" s="225"/>
      <c r="AY376" s="225"/>
    </row>
    <row r="377" spans="33:51" x14ac:dyDescent="0.25">
      <c r="AG377" s="66" t="str">
        <f>IF(AND(Множество[[#This Row],[Y]]=1),ROW()-ROW(Множество[[#Headers],[№]]),"")</f>
        <v/>
      </c>
      <c r="AI377" s="66">
        <v>1</v>
      </c>
      <c r="AJ377" s="66">
        <f>IF(LEN(Множество[[#This Row],[Свёртка]])&gt;0,1,-1)</f>
        <v>1</v>
      </c>
      <c r="AK377" s="66" t="s">
        <v>1781</v>
      </c>
      <c r="AL377" s="209">
        <f>IF(LEN(Множество[[#This Row],[Критерии]])&gt;0,1,-1)</f>
        <v>1</v>
      </c>
      <c r="AM377" s="209">
        <f>IF(AND(LEN(Множество[[#This Row],[Свёртка]])&gt;0,LEN(Множество[[#This Row],[Критерии]])&gt;0,LEN(Множество[[#This Row],[Оценки]])&gt;0),1,-1)</f>
        <v>-1</v>
      </c>
      <c r="AN377" s="208"/>
      <c r="AO377" s="208"/>
      <c r="AP377" s="208"/>
      <c r="AQ377" s="208"/>
      <c r="AR377" s="226"/>
      <c r="AS377" s="225"/>
      <c r="AT377" s="226"/>
      <c r="AU377" s="225"/>
      <c r="AV377" s="225"/>
      <c r="AW377" s="225"/>
      <c r="AX377" s="225"/>
      <c r="AY377" s="225"/>
    </row>
    <row r="378" spans="33:51" x14ac:dyDescent="0.25">
      <c r="AG378" s="66" t="str">
        <f>IF(AND(Множество[[#This Row],[Y]]=1),ROW()-ROW(Множество[[#Headers],[№]]),"")</f>
        <v/>
      </c>
      <c r="AI378" s="66">
        <v>1</v>
      </c>
      <c r="AJ378" s="66">
        <f>IF(LEN(Множество[[#This Row],[Свёртка]])&gt;0,1,-1)</f>
        <v>1</v>
      </c>
      <c r="AK378" s="66" t="s">
        <v>1781</v>
      </c>
      <c r="AL378" s="209">
        <f>IF(LEN(Множество[[#This Row],[Критерии]])&gt;0,1,-1)</f>
        <v>1</v>
      </c>
      <c r="AM378" s="209">
        <f>IF(AND(LEN(Множество[[#This Row],[Свёртка]])&gt;0,LEN(Множество[[#This Row],[Критерии]])&gt;0,LEN(Множество[[#This Row],[Оценки]])&gt;0),1,-1)</f>
        <v>-1</v>
      </c>
      <c r="AN378" s="208"/>
      <c r="AO378" s="208"/>
      <c r="AP378" s="208"/>
      <c r="AQ378" s="208"/>
      <c r="AR378" s="226"/>
      <c r="AS378" s="225"/>
      <c r="AT378" s="226"/>
      <c r="AU378" s="225"/>
      <c r="AV378" s="225"/>
      <c r="AW378" s="225"/>
      <c r="AX378" s="225"/>
      <c r="AY378" s="225"/>
    </row>
    <row r="379" spans="33:51" x14ac:dyDescent="0.25">
      <c r="AG379" s="66" t="str">
        <f>IF(AND(Множество[[#This Row],[Y]]=1),ROW()-ROW(Множество[[#Headers],[№]]),"")</f>
        <v/>
      </c>
      <c r="AI379" s="66">
        <v>1</v>
      </c>
      <c r="AJ379" s="66">
        <f>IF(LEN(Множество[[#This Row],[Свёртка]])&gt;0,1,-1)</f>
        <v>1</v>
      </c>
      <c r="AK379" s="66" t="s">
        <v>1781</v>
      </c>
      <c r="AL379" s="209">
        <f>IF(LEN(Множество[[#This Row],[Критерии]])&gt;0,1,-1)</f>
        <v>1</v>
      </c>
      <c r="AM379" s="209">
        <f>IF(AND(LEN(Множество[[#This Row],[Свёртка]])&gt;0,LEN(Множество[[#This Row],[Критерии]])&gt;0,LEN(Множество[[#This Row],[Оценки]])&gt;0),1,-1)</f>
        <v>-1</v>
      </c>
      <c r="AN379" s="208"/>
      <c r="AO379" s="208"/>
      <c r="AP379" s="208"/>
      <c r="AQ379" s="208"/>
      <c r="AR379" s="226"/>
      <c r="AS379" s="225"/>
      <c r="AT379" s="226"/>
      <c r="AU379" s="225"/>
      <c r="AV379" s="225"/>
      <c r="AW379" s="225"/>
      <c r="AX379" s="225"/>
      <c r="AY379" s="225"/>
    </row>
    <row r="380" spans="33:51" x14ac:dyDescent="0.25">
      <c r="AG380" s="66" t="str">
        <f>IF(AND(Множество[[#This Row],[Y]]=1),ROW()-ROW(Множество[[#Headers],[№]]),"")</f>
        <v/>
      </c>
      <c r="AI380" s="66">
        <v>1</v>
      </c>
      <c r="AJ380" s="66">
        <f>IF(LEN(Множество[[#This Row],[Свёртка]])&gt;0,1,-1)</f>
        <v>1</v>
      </c>
      <c r="AK380" s="66" t="s">
        <v>1781</v>
      </c>
      <c r="AL380" s="209">
        <f>IF(LEN(Множество[[#This Row],[Критерии]])&gt;0,1,-1)</f>
        <v>1</v>
      </c>
      <c r="AM380" s="209">
        <f>IF(AND(LEN(Множество[[#This Row],[Свёртка]])&gt;0,LEN(Множество[[#This Row],[Критерии]])&gt;0,LEN(Множество[[#This Row],[Оценки]])&gt;0),1,-1)</f>
        <v>-1</v>
      </c>
      <c r="AN380" s="208"/>
      <c r="AO380" s="208"/>
      <c r="AP380" s="208"/>
      <c r="AQ380" s="208"/>
      <c r="AR380" s="226"/>
      <c r="AS380" s="225"/>
      <c r="AT380" s="226"/>
      <c r="AU380" s="225"/>
      <c r="AV380" s="225"/>
      <c r="AW380" s="225"/>
      <c r="AX380" s="225"/>
      <c r="AY380" s="225"/>
    </row>
    <row r="381" spans="33:51" x14ac:dyDescent="0.25">
      <c r="AG381" s="66" t="str">
        <f>IF(AND(Множество[[#This Row],[Y]]=1),ROW()-ROW(Множество[[#Headers],[№]]),"")</f>
        <v/>
      </c>
      <c r="AI381" s="66">
        <v>1</v>
      </c>
      <c r="AJ381" s="66">
        <f>IF(LEN(Множество[[#This Row],[Свёртка]])&gt;0,1,-1)</f>
        <v>1</v>
      </c>
      <c r="AK381" s="66" t="s">
        <v>1781</v>
      </c>
      <c r="AL381" s="209">
        <f>IF(LEN(Множество[[#This Row],[Критерии]])&gt;0,1,-1)</f>
        <v>1</v>
      </c>
      <c r="AM381" s="209">
        <f>IF(AND(LEN(Множество[[#This Row],[Свёртка]])&gt;0,LEN(Множество[[#This Row],[Критерии]])&gt;0,LEN(Множество[[#This Row],[Оценки]])&gt;0),1,-1)</f>
        <v>-1</v>
      </c>
      <c r="AN381" s="208"/>
      <c r="AO381" s="208"/>
      <c r="AP381" s="208"/>
      <c r="AQ381" s="208"/>
      <c r="AR381" s="226"/>
      <c r="AS381" s="225"/>
      <c r="AT381" s="226"/>
      <c r="AU381" s="225"/>
      <c r="AV381" s="225"/>
      <c r="AW381" s="225"/>
      <c r="AX381" s="225"/>
      <c r="AY381" s="225"/>
    </row>
    <row r="382" spans="33:51" x14ac:dyDescent="0.25">
      <c r="AG382" s="66" t="str">
        <f>IF(AND(Множество[[#This Row],[Y]]=1),ROW()-ROW(Множество[[#Headers],[№]]),"")</f>
        <v/>
      </c>
      <c r="AI382" s="66">
        <v>1</v>
      </c>
      <c r="AJ382" s="66">
        <f>IF(LEN(Множество[[#This Row],[Свёртка]])&gt;0,1,-1)</f>
        <v>1</v>
      </c>
      <c r="AK382" s="66" t="s">
        <v>1781</v>
      </c>
      <c r="AL382" s="209">
        <f>IF(LEN(Множество[[#This Row],[Критерии]])&gt;0,1,-1)</f>
        <v>1</v>
      </c>
      <c r="AM382" s="209">
        <f>IF(AND(LEN(Множество[[#This Row],[Свёртка]])&gt;0,LEN(Множество[[#This Row],[Критерии]])&gt;0,LEN(Множество[[#This Row],[Оценки]])&gt;0),1,-1)</f>
        <v>-1</v>
      </c>
      <c r="AN382" s="208"/>
      <c r="AO382" s="208"/>
      <c r="AP382" s="208"/>
      <c r="AQ382" s="208"/>
      <c r="AR382" s="226"/>
      <c r="AS382" s="225"/>
      <c r="AT382" s="226"/>
      <c r="AU382" s="225"/>
      <c r="AV382" s="225"/>
      <c r="AW382" s="225"/>
      <c r="AX382" s="225"/>
      <c r="AY382" s="225"/>
    </row>
    <row r="383" spans="33:51" x14ac:dyDescent="0.25">
      <c r="AG383" s="66" t="str">
        <f>IF(AND(Множество[[#This Row],[Y]]=1),ROW()-ROW(Множество[[#Headers],[№]]),"")</f>
        <v/>
      </c>
      <c r="AI383" s="66">
        <v>1</v>
      </c>
      <c r="AJ383" s="66">
        <f>IF(LEN(Множество[[#This Row],[Свёртка]])&gt;0,1,-1)</f>
        <v>1</v>
      </c>
      <c r="AK383" s="66" t="s">
        <v>1781</v>
      </c>
      <c r="AL383" s="209">
        <f>IF(LEN(Множество[[#This Row],[Критерии]])&gt;0,1,-1)</f>
        <v>1</v>
      </c>
      <c r="AM383" s="209">
        <f>IF(AND(LEN(Множество[[#This Row],[Свёртка]])&gt;0,LEN(Множество[[#This Row],[Критерии]])&gt;0,LEN(Множество[[#This Row],[Оценки]])&gt;0),1,-1)</f>
        <v>-1</v>
      </c>
      <c r="AN383" s="208"/>
      <c r="AO383" s="208"/>
      <c r="AP383" s="208"/>
      <c r="AQ383" s="208"/>
      <c r="AR383" s="226"/>
      <c r="AS383" s="225"/>
      <c r="AT383" s="226"/>
      <c r="AU383" s="225"/>
      <c r="AV383" s="225"/>
      <c r="AW383" s="225"/>
      <c r="AX383" s="225"/>
      <c r="AY383" s="225"/>
    </row>
    <row r="384" spans="33:51" x14ac:dyDescent="0.25">
      <c r="AG384" s="66" t="str">
        <f>IF(AND(Множество[[#This Row],[Y]]=1),ROW()-ROW(Множество[[#Headers],[№]]),"")</f>
        <v/>
      </c>
      <c r="AI384" s="66">
        <v>1</v>
      </c>
      <c r="AJ384" s="66">
        <f>IF(LEN(Множество[[#This Row],[Свёртка]])&gt;0,1,-1)</f>
        <v>1</v>
      </c>
      <c r="AK384" s="66" t="s">
        <v>1781</v>
      </c>
      <c r="AL384" s="209">
        <f>IF(LEN(Множество[[#This Row],[Критерии]])&gt;0,1,-1)</f>
        <v>1</v>
      </c>
      <c r="AM384" s="209">
        <f>IF(AND(LEN(Множество[[#This Row],[Свёртка]])&gt;0,LEN(Множество[[#This Row],[Критерии]])&gt;0,LEN(Множество[[#This Row],[Оценки]])&gt;0),1,-1)</f>
        <v>-1</v>
      </c>
      <c r="AN384" s="208"/>
      <c r="AO384" s="208"/>
      <c r="AP384" s="208"/>
      <c r="AQ384" s="208"/>
      <c r="AR384" s="226"/>
      <c r="AS384" s="225"/>
      <c r="AT384" s="226"/>
      <c r="AU384" s="225"/>
      <c r="AV384" s="225"/>
      <c r="AW384" s="225"/>
      <c r="AX384" s="225"/>
      <c r="AY384" s="225"/>
    </row>
    <row r="385" spans="33:51" x14ac:dyDescent="0.25">
      <c r="AG385" s="66" t="str">
        <f>IF(AND(Множество[[#This Row],[Y]]=1),ROW()-ROW(Множество[[#Headers],[№]]),"")</f>
        <v/>
      </c>
      <c r="AI385" s="66">
        <v>1</v>
      </c>
      <c r="AJ385" s="66">
        <f>IF(LEN(Множество[[#This Row],[Свёртка]])&gt;0,1,-1)</f>
        <v>1</v>
      </c>
      <c r="AK385" s="66" t="s">
        <v>1781</v>
      </c>
      <c r="AL385" s="209">
        <f>IF(LEN(Множество[[#This Row],[Критерии]])&gt;0,1,-1)</f>
        <v>1</v>
      </c>
      <c r="AM385" s="209">
        <f>IF(AND(LEN(Множество[[#This Row],[Свёртка]])&gt;0,LEN(Множество[[#This Row],[Критерии]])&gt;0,LEN(Множество[[#This Row],[Оценки]])&gt;0),1,-1)</f>
        <v>-1</v>
      </c>
      <c r="AN385" s="208"/>
      <c r="AO385" s="208"/>
      <c r="AP385" s="208"/>
      <c r="AQ385" s="208"/>
      <c r="AR385" s="226"/>
      <c r="AS385" s="225"/>
      <c r="AT385" s="226"/>
      <c r="AU385" s="225"/>
      <c r="AV385" s="225"/>
      <c r="AW385" s="225"/>
      <c r="AX385" s="225"/>
      <c r="AY385" s="225"/>
    </row>
    <row r="386" spans="33:51" x14ac:dyDescent="0.25">
      <c r="AG386" s="66" t="str">
        <f>IF(AND(Множество[[#This Row],[Y]]=1),ROW()-ROW(Множество[[#Headers],[№]]),"")</f>
        <v/>
      </c>
      <c r="AI386" s="66">
        <v>1</v>
      </c>
      <c r="AJ386" s="66">
        <f>IF(LEN(Множество[[#This Row],[Свёртка]])&gt;0,1,-1)</f>
        <v>1</v>
      </c>
      <c r="AK386" s="66" t="s">
        <v>1781</v>
      </c>
      <c r="AL386" s="209">
        <f>IF(LEN(Множество[[#This Row],[Критерии]])&gt;0,1,-1)</f>
        <v>1</v>
      </c>
      <c r="AM386" s="209">
        <f>IF(AND(LEN(Множество[[#This Row],[Свёртка]])&gt;0,LEN(Множество[[#This Row],[Критерии]])&gt;0,LEN(Множество[[#This Row],[Оценки]])&gt;0),1,-1)</f>
        <v>-1</v>
      </c>
      <c r="AN386" s="208"/>
      <c r="AO386" s="208"/>
      <c r="AP386" s="208"/>
      <c r="AQ386" s="208"/>
      <c r="AR386" s="226"/>
      <c r="AS386" s="225"/>
      <c r="AT386" s="226"/>
      <c r="AU386" s="225"/>
      <c r="AV386" s="225"/>
      <c r="AW386" s="225"/>
      <c r="AX386" s="225"/>
      <c r="AY386" s="225"/>
    </row>
    <row r="387" spans="33:51" x14ac:dyDescent="0.25">
      <c r="AG387" s="66" t="str">
        <f>IF(AND(Множество[[#This Row],[Y]]=1),ROW()-ROW(Множество[[#Headers],[№]]),"")</f>
        <v/>
      </c>
      <c r="AI387" s="66">
        <v>1</v>
      </c>
      <c r="AJ387" s="66">
        <f>IF(LEN(Множество[[#This Row],[Свёртка]])&gt;0,1,-1)</f>
        <v>1</v>
      </c>
      <c r="AK387" s="66" t="s">
        <v>1781</v>
      </c>
      <c r="AL387" s="209">
        <f>IF(LEN(Множество[[#This Row],[Критерии]])&gt;0,1,-1)</f>
        <v>1</v>
      </c>
      <c r="AM387" s="209">
        <f>IF(AND(LEN(Множество[[#This Row],[Свёртка]])&gt;0,LEN(Множество[[#This Row],[Критерии]])&gt;0,LEN(Множество[[#This Row],[Оценки]])&gt;0),1,-1)</f>
        <v>-1</v>
      </c>
      <c r="AN387" s="208"/>
      <c r="AO387" s="208"/>
      <c r="AP387" s="208"/>
      <c r="AQ387" s="208"/>
      <c r="AR387" s="226"/>
      <c r="AS387" s="225"/>
      <c r="AT387" s="226"/>
      <c r="AU387" s="225"/>
      <c r="AV387" s="225"/>
      <c r="AW387" s="225"/>
      <c r="AX387" s="225"/>
      <c r="AY387" s="225"/>
    </row>
    <row r="388" spans="33:51" x14ac:dyDescent="0.25">
      <c r="AG388" s="66" t="str">
        <f>IF(AND(Множество[[#This Row],[Y]]=1),ROW()-ROW(Множество[[#Headers],[№]]),"")</f>
        <v/>
      </c>
      <c r="AI388" s="66">
        <v>1</v>
      </c>
      <c r="AJ388" s="66">
        <f>IF(LEN(Множество[[#This Row],[Свёртка]])&gt;0,1,-1)</f>
        <v>1</v>
      </c>
      <c r="AK388" s="66" t="s">
        <v>1781</v>
      </c>
      <c r="AL388" s="209">
        <f>IF(LEN(Множество[[#This Row],[Критерии]])&gt;0,1,-1)</f>
        <v>1</v>
      </c>
      <c r="AM388" s="209">
        <f>IF(AND(LEN(Множество[[#This Row],[Свёртка]])&gt;0,LEN(Множество[[#This Row],[Критерии]])&gt;0,LEN(Множество[[#This Row],[Оценки]])&gt;0),1,-1)</f>
        <v>-1</v>
      </c>
      <c r="AN388" s="208"/>
      <c r="AO388" s="208"/>
      <c r="AP388" s="208"/>
      <c r="AQ388" s="208"/>
      <c r="AR388" s="226"/>
      <c r="AS388" s="225"/>
      <c r="AT388" s="226"/>
      <c r="AU388" s="225"/>
      <c r="AV388" s="225"/>
      <c r="AW388" s="225"/>
      <c r="AX388" s="225"/>
      <c r="AY388" s="225"/>
    </row>
    <row r="389" spans="33:51" x14ac:dyDescent="0.25">
      <c r="AG389" s="66" t="str">
        <f>IF(AND(Множество[[#This Row],[Y]]=1),ROW()-ROW(Множество[[#Headers],[№]]),"")</f>
        <v/>
      </c>
      <c r="AI389" s="66">
        <v>1</v>
      </c>
      <c r="AJ389" s="66">
        <f>IF(LEN(Множество[[#This Row],[Свёртка]])&gt;0,1,-1)</f>
        <v>1</v>
      </c>
      <c r="AK389" s="66" t="s">
        <v>1781</v>
      </c>
      <c r="AL389" s="209">
        <f>IF(LEN(Множество[[#This Row],[Критерии]])&gt;0,1,-1)</f>
        <v>1</v>
      </c>
      <c r="AM389" s="209">
        <f>IF(AND(LEN(Множество[[#This Row],[Свёртка]])&gt;0,LEN(Множество[[#This Row],[Критерии]])&gt;0,LEN(Множество[[#This Row],[Оценки]])&gt;0),1,-1)</f>
        <v>-1</v>
      </c>
      <c r="AN389" s="208"/>
      <c r="AO389" s="208"/>
      <c r="AP389" s="208"/>
      <c r="AQ389" s="208"/>
      <c r="AR389" s="226"/>
      <c r="AS389" s="225"/>
      <c r="AT389" s="226"/>
      <c r="AU389" s="225"/>
      <c r="AV389" s="225"/>
      <c r="AW389" s="225"/>
      <c r="AX389" s="225"/>
      <c r="AY389" s="225"/>
    </row>
    <row r="390" spans="33:51" x14ac:dyDescent="0.25">
      <c r="AG390" s="66" t="str">
        <f>IF(AND(Множество[[#This Row],[Y]]=1),ROW()-ROW(Множество[[#Headers],[№]]),"")</f>
        <v/>
      </c>
      <c r="AI390" s="66">
        <v>1</v>
      </c>
      <c r="AJ390" s="66">
        <f>IF(LEN(Множество[[#This Row],[Свёртка]])&gt;0,1,-1)</f>
        <v>1</v>
      </c>
      <c r="AK390" s="66" t="s">
        <v>1781</v>
      </c>
      <c r="AL390" s="209">
        <f>IF(LEN(Множество[[#This Row],[Критерии]])&gt;0,1,-1)</f>
        <v>1</v>
      </c>
      <c r="AM390" s="209">
        <f>IF(AND(LEN(Множество[[#This Row],[Свёртка]])&gt;0,LEN(Множество[[#This Row],[Критерии]])&gt;0,LEN(Множество[[#This Row],[Оценки]])&gt;0),1,-1)</f>
        <v>-1</v>
      </c>
      <c r="AN390" s="208"/>
      <c r="AO390" s="208"/>
      <c r="AP390" s="208"/>
      <c r="AQ390" s="208"/>
      <c r="AR390" s="226"/>
      <c r="AS390" s="225"/>
      <c r="AT390" s="226"/>
      <c r="AU390" s="225"/>
      <c r="AV390" s="225"/>
      <c r="AW390" s="225"/>
      <c r="AX390" s="225"/>
      <c r="AY390" s="225"/>
    </row>
    <row r="391" spans="33:51" x14ac:dyDescent="0.25">
      <c r="AG391" s="66" t="str">
        <f>IF(AND(Множество[[#This Row],[Y]]=1),ROW()-ROW(Множество[[#Headers],[№]]),"")</f>
        <v/>
      </c>
      <c r="AI391" s="66">
        <v>1</v>
      </c>
      <c r="AJ391" s="66">
        <f>IF(LEN(Множество[[#This Row],[Свёртка]])&gt;0,1,-1)</f>
        <v>1</v>
      </c>
      <c r="AK391" s="66" t="s">
        <v>1781</v>
      </c>
      <c r="AL391" s="209">
        <f>IF(LEN(Множество[[#This Row],[Критерии]])&gt;0,1,-1)</f>
        <v>1</v>
      </c>
      <c r="AM391" s="209">
        <f>IF(AND(LEN(Множество[[#This Row],[Свёртка]])&gt;0,LEN(Множество[[#This Row],[Критерии]])&gt;0,LEN(Множество[[#This Row],[Оценки]])&gt;0),1,-1)</f>
        <v>-1</v>
      </c>
      <c r="AN391" s="208"/>
      <c r="AO391" s="208"/>
      <c r="AP391" s="208"/>
      <c r="AQ391" s="208"/>
      <c r="AR391" s="226"/>
      <c r="AS391" s="225"/>
      <c r="AT391" s="226"/>
      <c r="AU391" s="225"/>
      <c r="AV391" s="225"/>
      <c r="AW391" s="225"/>
      <c r="AX391" s="225"/>
      <c r="AY391" s="225"/>
    </row>
    <row r="392" spans="33:51" x14ac:dyDescent="0.25">
      <c r="AG392" s="66" t="str">
        <f>IF(AND(Множество[[#This Row],[Y]]=1),ROW()-ROW(Множество[[#Headers],[№]]),"")</f>
        <v/>
      </c>
      <c r="AI392" s="66">
        <v>1</v>
      </c>
      <c r="AJ392" s="66">
        <f>IF(LEN(Множество[[#This Row],[Свёртка]])&gt;0,1,-1)</f>
        <v>1</v>
      </c>
      <c r="AK392" s="66" t="s">
        <v>1781</v>
      </c>
      <c r="AL392" s="209">
        <f>IF(LEN(Множество[[#This Row],[Критерии]])&gt;0,1,-1)</f>
        <v>1</v>
      </c>
      <c r="AM392" s="209">
        <f>IF(AND(LEN(Множество[[#This Row],[Свёртка]])&gt;0,LEN(Множество[[#This Row],[Критерии]])&gt;0,LEN(Множество[[#This Row],[Оценки]])&gt;0),1,-1)</f>
        <v>-1</v>
      </c>
      <c r="AN392" s="208"/>
      <c r="AO392" s="208"/>
      <c r="AP392" s="208"/>
      <c r="AQ392" s="208"/>
      <c r="AR392" s="226"/>
      <c r="AS392" s="225"/>
      <c r="AT392" s="226"/>
      <c r="AU392" s="225"/>
      <c r="AV392" s="225"/>
      <c r="AW392" s="225"/>
      <c r="AX392" s="225"/>
      <c r="AY392" s="225"/>
    </row>
    <row r="393" spans="33:51" x14ac:dyDescent="0.25">
      <c r="AG393" s="66" t="str">
        <f>IF(AND(Множество[[#This Row],[Y]]=1),ROW()-ROW(Множество[[#Headers],[№]]),"")</f>
        <v/>
      </c>
      <c r="AI393" s="66">
        <v>1</v>
      </c>
      <c r="AJ393" s="66">
        <f>IF(LEN(Множество[[#This Row],[Свёртка]])&gt;0,1,-1)</f>
        <v>1</v>
      </c>
      <c r="AK393" s="66" t="s">
        <v>1781</v>
      </c>
      <c r="AL393" s="209">
        <f>IF(LEN(Множество[[#This Row],[Критерии]])&gt;0,1,-1)</f>
        <v>1</v>
      </c>
      <c r="AM393" s="209">
        <f>IF(AND(LEN(Множество[[#This Row],[Свёртка]])&gt;0,LEN(Множество[[#This Row],[Критерии]])&gt;0,LEN(Множество[[#This Row],[Оценки]])&gt;0),1,-1)</f>
        <v>-1</v>
      </c>
      <c r="AN393" s="208"/>
      <c r="AO393" s="208"/>
      <c r="AP393" s="208"/>
      <c r="AQ393" s="208"/>
      <c r="AR393" s="226"/>
      <c r="AS393" s="225"/>
      <c r="AT393" s="226"/>
      <c r="AU393" s="225"/>
      <c r="AV393" s="225"/>
      <c r="AW393" s="225"/>
      <c r="AX393" s="225"/>
      <c r="AY393" s="225"/>
    </row>
    <row r="394" spans="33:51" x14ac:dyDescent="0.25">
      <c r="AG394" s="66" t="str">
        <f>IF(AND(Множество[[#This Row],[Y]]=1),ROW()-ROW(Множество[[#Headers],[№]]),"")</f>
        <v/>
      </c>
      <c r="AI394" s="66">
        <v>1</v>
      </c>
      <c r="AJ394" s="66">
        <f>IF(LEN(Множество[[#This Row],[Свёртка]])&gt;0,1,-1)</f>
        <v>1</v>
      </c>
      <c r="AK394" s="66" t="s">
        <v>1781</v>
      </c>
      <c r="AL394" s="209">
        <f>IF(LEN(Множество[[#This Row],[Критерии]])&gt;0,1,-1)</f>
        <v>1</v>
      </c>
      <c r="AM394" s="209">
        <f>IF(AND(LEN(Множество[[#This Row],[Свёртка]])&gt;0,LEN(Множество[[#This Row],[Критерии]])&gt;0,LEN(Множество[[#This Row],[Оценки]])&gt;0),1,-1)</f>
        <v>-1</v>
      </c>
      <c r="AN394" s="208"/>
      <c r="AO394" s="208"/>
      <c r="AP394" s="208"/>
      <c r="AQ394" s="208"/>
      <c r="AR394" s="226"/>
      <c r="AS394" s="225"/>
      <c r="AT394" s="226"/>
      <c r="AU394" s="225"/>
      <c r="AV394" s="225"/>
      <c r="AW394" s="225"/>
      <c r="AX394" s="225"/>
      <c r="AY394" s="225"/>
    </row>
    <row r="395" spans="33:51" x14ac:dyDescent="0.25">
      <c r="AG395" s="66" t="str">
        <f>IF(AND(Множество[[#This Row],[Y]]=1),ROW()-ROW(Множество[[#Headers],[№]]),"")</f>
        <v/>
      </c>
      <c r="AI395" s="66">
        <v>1</v>
      </c>
      <c r="AJ395" s="66">
        <f>IF(LEN(Множество[[#This Row],[Свёртка]])&gt;0,1,-1)</f>
        <v>1</v>
      </c>
      <c r="AK395" s="66" t="s">
        <v>1781</v>
      </c>
      <c r="AL395" s="209">
        <f>IF(LEN(Множество[[#This Row],[Критерии]])&gt;0,1,-1)</f>
        <v>1</v>
      </c>
      <c r="AM395" s="209">
        <f>IF(AND(LEN(Множество[[#This Row],[Свёртка]])&gt;0,LEN(Множество[[#This Row],[Критерии]])&gt;0,LEN(Множество[[#This Row],[Оценки]])&gt;0),1,-1)</f>
        <v>-1</v>
      </c>
      <c r="AN395" s="208"/>
      <c r="AO395" s="208"/>
      <c r="AP395" s="208"/>
      <c r="AQ395" s="208"/>
      <c r="AR395" s="226"/>
      <c r="AS395" s="225"/>
      <c r="AT395" s="226"/>
      <c r="AU395" s="225"/>
      <c r="AV395" s="225"/>
      <c r="AW395" s="225"/>
      <c r="AX395" s="225"/>
      <c r="AY395" s="225"/>
    </row>
    <row r="396" spans="33:51" x14ac:dyDescent="0.25">
      <c r="AG396" s="66" t="str">
        <f>IF(AND(Множество[[#This Row],[Y]]=1),ROW()-ROW(Множество[[#Headers],[№]]),"")</f>
        <v/>
      </c>
      <c r="AI396" s="66">
        <v>1</v>
      </c>
      <c r="AJ396" s="66">
        <f>IF(LEN(Множество[[#This Row],[Свёртка]])&gt;0,1,-1)</f>
        <v>1</v>
      </c>
      <c r="AK396" s="66" t="s">
        <v>1781</v>
      </c>
      <c r="AL396" s="209">
        <f>IF(LEN(Множество[[#This Row],[Критерии]])&gt;0,1,-1)</f>
        <v>1</v>
      </c>
      <c r="AM396" s="209">
        <f>IF(AND(LEN(Множество[[#This Row],[Свёртка]])&gt;0,LEN(Множество[[#This Row],[Критерии]])&gt;0,LEN(Множество[[#This Row],[Оценки]])&gt;0),1,-1)</f>
        <v>-1</v>
      </c>
      <c r="AN396" s="208"/>
      <c r="AO396" s="208"/>
      <c r="AP396" s="208"/>
      <c r="AQ396" s="208"/>
      <c r="AR396" s="226"/>
      <c r="AS396" s="225"/>
      <c r="AT396" s="226"/>
      <c r="AU396" s="225"/>
      <c r="AV396" s="225"/>
      <c r="AW396" s="225"/>
      <c r="AX396" s="225"/>
      <c r="AY396" s="225"/>
    </row>
    <row r="397" spans="33:51" x14ac:dyDescent="0.25">
      <c r="AG397" s="66" t="str">
        <f>IF(AND(Множество[[#This Row],[Y]]=1),ROW()-ROW(Множество[[#Headers],[№]]),"")</f>
        <v/>
      </c>
      <c r="AI397" s="66">
        <v>1</v>
      </c>
      <c r="AJ397" s="66">
        <f>IF(LEN(Множество[[#This Row],[Свёртка]])&gt;0,1,-1)</f>
        <v>1</v>
      </c>
      <c r="AK397" s="66" t="s">
        <v>1781</v>
      </c>
      <c r="AL397" s="209">
        <f>IF(LEN(Множество[[#This Row],[Критерии]])&gt;0,1,-1)</f>
        <v>1</v>
      </c>
      <c r="AM397" s="209">
        <f>IF(AND(LEN(Множество[[#This Row],[Свёртка]])&gt;0,LEN(Множество[[#This Row],[Критерии]])&gt;0,LEN(Множество[[#This Row],[Оценки]])&gt;0),1,-1)</f>
        <v>-1</v>
      </c>
      <c r="AN397" s="208"/>
      <c r="AO397" s="208"/>
      <c r="AP397" s="208"/>
      <c r="AQ397" s="208"/>
      <c r="AR397" s="226"/>
      <c r="AS397" s="225"/>
      <c r="AT397" s="226"/>
      <c r="AU397" s="225"/>
      <c r="AV397" s="225"/>
      <c r="AW397" s="225"/>
      <c r="AX397" s="225"/>
      <c r="AY397" s="225"/>
    </row>
    <row r="398" spans="33:51" x14ac:dyDescent="0.25">
      <c r="AG398" s="66" t="str">
        <f>IF(AND(Множество[[#This Row],[Y]]=1),ROW()-ROW(Множество[[#Headers],[№]]),"")</f>
        <v/>
      </c>
      <c r="AI398" s="66">
        <v>1</v>
      </c>
      <c r="AJ398" s="66">
        <f>IF(LEN(Множество[[#This Row],[Свёртка]])&gt;0,1,-1)</f>
        <v>1</v>
      </c>
      <c r="AK398" s="66" t="s">
        <v>1781</v>
      </c>
      <c r="AL398" s="209">
        <f>IF(LEN(Множество[[#This Row],[Критерии]])&gt;0,1,-1)</f>
        <v>1</v>
      </c>
      <c r="AM398" s="209">
        <f>IF(AND(LEN(Множество[[#This Row],[Свёртка]])&gt;0,LEN(Множество[[#This Row],[Критерии]])&gt;0,LEN(Множество[[#This Row],[Оценки]])&gt;0),1,-1)</f>
        <v>-1</v>
      </c>
      <c r="AN398" s="208"/>
      <c r="AO398" s="208"/>
      <c r="AP398" s="208"/>
      <c r="AQ398" s="208"/>
      <c r="AR398" s="226"/>
      <c r="AS398" s="225"/>
      <c r="AT398" s="226"/>
      <c r="AU398" s="225"/>
      <c r="AV398" s="225"/>
      <c r="AW398" s="225"/>
      <c r="AX398" s="225"/>
      <c r="AY398" s="225"/>
    </row>
    <row r="399" spans="33:51" x14ac:dyDescent="0.25">
      <c r="AG399" s="66" t="str">
        <f>IF(AND(Множество[[#This Row],[Y]]=1),ROW()-ROW(Множество[[#Headers],[№]]),"")</f>
        <v/>
      </c>
      <c r="AI399" s="66">
        <v>1</v>
      </c>
      <c r="AJ399" s="66">
        <f>IF(LEN(Множество[[#This Row],[Свёртка]])&gt;0,1,-1)</f>
        <v>1</v>
      </c>
      <c r="AK399" s="66" t="s">
        <v>1781</v>
      </c>
      <c r="AL399" s="209">
        <f>IF(LEN(Множество[[#This Row],[Критерии]])&gt;0,1,-1)</f>
        <v>1</v>
      </c>
      <c r="AM399" s="209">
        <f>IF(AND(LEN(Множество[[#This Row],[Свёртка]])&gt;0,LEN(Множество[[#This Row],[Критерии]])&gt;0,LEN(Множество[[#This Row],[Оценки]])&gt;0),1,-1)</f>
        <v>-1</v>
      </c>
      <c r="AN399" s="208"/>
      <c r="AO399" s="208"/>
      <c r="AP399" s="208"/>
      <c r="AQ399" s="208"/>
      <c r="AR399" s="226"/>
      <c r="AS399" s="225"/>
      <c r="AT399" s="226"/>
      <c r="AU399" s="225"/>
      <c r="AV399" s="225"/>
      <c r="AW399" s="225"/>
      <c r="AX399" s="225"/>
      <c r="AY399" s="225"/>
    </row>
    <row r="400" spans="33:51" x14ac:dyDescent="0.25">
      <c r="AG400" s="66" t="str">
        <f>IF(AND(Множество[[#This Row],[Y]]=1),ROW()-ROW(Множество[[#Headers],[№]]),"")</f>
        <v/>
      </c>
      <c r="AI400" s="66">
        <v>1</v>
      </c>
      <c r="AJ400" s="66">
        <f>IF(LEN(Множество[[#This Row],[Свёртка]])&gt;0,1,-1)</f>
        <v>1</v>
      </c>
      <c r="AK400" s="66" t="s">
        <v>1781</v>
      </c>
      <c r="AL400" s="209">
        <f>IF(LEN(Множество[[#This Row],[Критерии]])&gt;0,1,-1)</f>
        <v>1</v>
      </c>
      <c r="AM400" s="209">
        <f>IF(AND(LEN(Множество[[#This Row],[Свёртка]])&gt;0,LEN(Множество[[#This Row],[Критерии]])&gt;0,LEN(Множество[[#This Row],[Оценки]])&gt;0),1,-1)</f>
        <v>-1</v>
      </c>
      <c r="AN400" s="208"/>
      <c r="AO400" s="208"/>
      <c r="AP400" s="208"/>
      <c r="AQ400" s="208"/>
      <c r="AR400" s="226"/>
      <c r="AS400" s="225"/>
      <c r="AT400" s="226"/>
      <c r="AU400" s="225"/>
      <c r="AV400" s="225"/>
      <c r="AW400" s="225"/>
      <c r="AX400" s="225"/>
      <c r="AY400" s="225"/>
    </row>
    <row r="401" spans="33:51" x14ac:dyDescent="0.25">
      <c r="AG401" s="66" t="str">
        <f>IF(AND(Множество[[#This Row],[Y]]=1),ROW()-ROW(Множество[[#Headers],[№]]),"")</f>
        <v/>
      </c>
      <c r="AI401" s="66">
        <v>1</v>
      </c>
      <c r="AJ401" s="66">
        <f>IF(LEN(Множество[[#This Row],[Свёртка]])&gt;0,1,-1)</f>
        <v>1</v>
      </c>
      <c r="AK401" s="66" t="s">
        <v>1781</v>
      </c>
      <c r="AL401" s="209">
        <f>IF(LEN(Множество[[#This Row],[Критерии]])&gt;0,1,-1)</f>
        <v>1</v>
      </c>
      <c r="AM401" s="209">
        <f>IF(AND(LEN(Множество[[#This Row],[Свёртка]])&gt;0,LEN(Множество[[#This Row],[Критерии]])&gt;0,LEN(Множество[[#This Row],[Оценки]])&gt;0),1,-1)</f>
        <v>-1</v>
      </c>
      <c r="AN401" s="208"/>
      <c r="AO401" s="208"/>
      <c r="AP401" s="208"/>
      <c r="AQ401" s="208"/>
      <c r="AR401" s="226"/>
      <c r="AS401" s="225"/>
      <c r="AT401" s="226"/>
      <c r="AU401" s="225"/>
      <c r="AV401" s="225"/>
      <c r="AW401" s="225"/>
      <c r="AX401" s="225"/>
      <c r="AY401" s="225"/>
    </row>
    <row r="402" spans="33:51" x14ac:dyDescent="0.25">
      <c r="AG402" s="66" t="str">
        <f>IF(AND(Множество[[#This Row],[Y]]=1),ROW()-ROW(Множество[[#Headers],[№]]),"")</f>
        <v/>
      </c>
      <c r="AI402" s="66">
        <v>1</v>
      </c>
      <c r="AJ402" s="66">
        <f>IF(LEN(Множество[[#This Row],[Свёртка]])&gt;0,1,-1)</f>
        <v>1</v>
      </c>
      <c r="AK402" s="66" t="s">
        <v>1781</v>
      </c>
      <c r="AL402" s="209">
        <f>IF(LEN(Множество[[#This Row],[Критерии]])&gt;0,1,-1)</f>
        <v>1</v>
      </c>
      <c r="AM402" s="209">
        <f>IF(AND(LEN(Множество[[#This Row],[Свёртка]])&gt;0,LEN(Множество[[#This Row],[Критерии]])&gt;0,LEN(Множество[[#This Row],[Оценки]])&gt;0),1,-1)</f>
        <v>-1</v>
      </c>
      <c r="AN402" s="208"/>
      <c r="AO402" s="208"/>
      <c r="AP402" s="208"/>
      <c r="AQ402" s="208"/>
      <c r="AR402" s="226"/>
      <c r="AS402" s="225"/>
      <c r="AT402" s="226"/>
      <c r="AU402" s="225"/>
      <c r="AV402" s="225"/>
      <c r="AW402" s="225"/>
      <c r="AX402" s="225"/>
      <c r="AY402" s="225"/>
    </row>
    <row r="403" spans="33:51" x14ac:dyDescent="0.25">
      <c r="AG403" s="66" t="str">
        <f>IF(AND(Множество[[#This Row],[Y]]=1),ROW()-ROW(Множество[[#Headers],[№]]),"")</f>
        <v/>
      </c>
      <c r="AI403" s="66">
        <v>1</v>
      </c>
      <c r="AJ403" s="66">
        <f>IF(LEN(Множество[[#This Row],[Свёртка]])&gt;0,1,-1)</f>
        <v>1</v>
      </c>
      <c r="AK403" s="66" t="s">
        <v>1781</v>
      </c>
      <c r="AL403" s="209">
        <f>IF(LEN(Множество[[#This Row],[Критерии]])&gt;0,1,-1)</f>
        <v>1</v>
      </c>
      <c r="AM403" s="209">
        <f>IF(AND(LEN(Множество[[#This Row],[Свёртка]])&gt;0,LEN(Множество[[#This Row],[Критерии]])&gt;0,LEN(Множество[[#This Row],[Оценки]])&gt;0),1,-1)</f>
        <v>-1</v>
      </c>
      <c r="AN403" s="208"/>
      <c r="AO403" s="208"/>
      <c r="AP403" s="208"/>
      <c r="AQ403" s="208"/>
      <c r="AR403" s="226"/>
      <c r="AS403" s="225"/>
      <c r="AT403" s="226"/>
      <c r="AU403" s="225"/>
      <c r="AV403" s="225"/>
      <c r="AW403" s="225"/>
      <c r="AX403" s="225"/>
      <c r="AY403" s="225"/>
    </row>
    <row r="404" spans="33:51" x14ac:dyDescent="0.25">
      <c r="AG404" s="66" t="str">
        <f>IF(AND(Множество[[#This Row],[Y]]=1),ROW()-ROW(Множество[[#Headers],[№]]),"")</f>
        <v/>
      </c>
      <c r="AI404" s="66">
        <v>1</v>
      </c>
      <c r="AJ404" s="66">
        <f>IF(LEN(Множество[[#This Row],[Свёртка]])&gt;0,1,-1)</f>
        <v>1</v>
      </c>
      <c r="AK404" s="66" t="s">
        <v>1781</v>
      </c>
      <c r="AL404" s="209">
        <f>IF(LEN(Множество[[#This Row],[Критерии]])&gt;0,1,-1)</f>
        <v>1</v>
      </c>
      <c r="AM404" s="209">
        <f>IF(AND(LEN(Множество[[#This Row],[Свёртка]])&gt;0,LEN(Множество[[#This Row],[Критерии]])&gt;0,LEN(Множество[[#This Row],[Оценки]])&gt;0),1,-1)</f>
        <v>-1</v>
      </c>
      <c r="AN404" s="208"/>
      <c r="AO404" s="208"/>
      <c r="AP404" s="208"/>
      <c r="AQ404" s="208"/>
      <c r="AR404" s="226"/>
      <c r="AS404" s="225"/>
      <c r="AT404" s="226"/>
      <c r="AU404" s="225"/>
      <c r="AV404" s="225"/>
      <c r="AW404" s="225"/>
      <c r="AX404" s="225"/>
      <c r="AY404" s="225"/>
    </row>
    <row r="405" spans="33:51" x14ac:dyDescent="0.25">
      <c r="AG405" s="66" t="str">
        <f>IF(AND(Множество[[#This Row],[Y]]=1),ROW()-ROW(Множество[[#Headers],[№]]),"")</f>
        <v/>
      </c>
      <c r="AI405" s="66">
        <v>1</v>
      </c>
      <c r="AJ405" s="66">
        <f>IF(LEN(Множество[[#This Row],[Свёртка]])&gt;0,1,-1)</f>
        <v>1</v>
      </c>
      <c r="AK405" s="66" t="s">
        <v>1781</v>
      </c>
      <c r="AL405" s="209">
        <f>IF(LEN(Множество[[#This Row],[Критерии]])&gt;0,1,-1)</f>
        <v>1</v>
      </c>
      <c r="AM405" s="209">
        <f>IF(AND(LEN(Множество[[#This Row],[Свёртка]])&gt;0,LEN(Множество[[#This Row],[Критерии]])&gt;0,LEN(Множество[[#This Row],[Оценки]])&gt;0),1,-1)</f>
        <v>-1</v>
      </c>
      <c r="AN405" s="208"/>
      <c r="AO405" s="208"/>
      <c r="AP405" s="208"/>
      <c r="AQ405" s="208"/>
      <c r="AR405" s="226"/>
      <c r="AS405" s="225"/>
      <c r="AT405" s="226"/>
      <c r="AU405" s="225"/>
      <c r="AV405" s="225"/>
      <c r="AW405" s="225"/>
      <c r="AX405" s="225"/>
      <c r="AY405" s="225"/>
    </row>
    <row r="406" spans="33:51" x14ac:dyDescent="0.25">
      <c r="AG406" s="66" t="str">
        <f>IF(AND(Множество[[#This Row],[Y]]=1),ROW()-ROW(Множество[[#Headers],[№]]),"")</f>
        <v/>
      </c>
      <c r="AI406" s="66">
        <v>1</v>
      </c>
      <c r="AJ406" s="66">
        <f>IF(LEN(Множество[[#This Row],[Свёртка]])&gt;0,1,-1)</f>
        <v>1</v>
      </c>
      <c r="AK406" s="66" t="s">
        <v>1781</v>
      </c>
      <c r="AL406" s="209">
        <f>IF(LEN(Множество[[#This Row],[Критерии]])&gt;0,1,-1)</f>
        <v>1</v>
      </c>
      <c r="AM406" s="209">
        <f>IF(AND(LEN(Множество[[#This Row],[Свёртка]])&gt;0,LEN(Множество[[#This Row],[Критерии]])&gt;0,LEN(Множество[[#This Row],[Оценки]])&gt;0),1,-1)</f>
        <v>-1</v>
      </c>
      <c r="AN406" s="208"/>
      <c r="AO406" s="208"/>
      <c r="AP406" s="208"/>
      <c r="AQ406" s="208"/>
      <c r="AR406" s="226"/>
      <c r="AS406" s="225"/>
      <c r="AT406" s="226"/>
      <c r="AU406" s="225"/>
      <c r="AV406" s="225"/>
      <c r="AW406" s="225"/>
      <c r="AX406" s="225"/>
      <c r="AY406" s="225"/>
    </row>
    <row r="407" spans="33:51" x14ac:dyDescent="0.25">
      <c r="AG407" s="66" t="str">
        <f>IF(AND(Множество[[#This Row],[Y]]=1),ROW()-ROW(Множество[[#Headers],[№]]),"")</f>
        <v/>
      </c>
      <c r="AI407" s="66">
        <v>1</v>
      </c>
      <c r="AJ407" s="66">
        <f>IF(LEN(Множество[[#This Row],[Свёртка]])&gt;0,1,-1)</f>
        <v>1</v>
      </c>
      <c r="AK407" s="66" t="s">
        <v>1781</v>
      </c>
      <c r="AL407" s="209">
        <f>IF(LEN(Множество[[#This Row],[Критерии]])&gt;0,1,-1)</f>
        <v>1</v>
      </c>
      <c r="AM407" s="209">
        <f>IF(AND(LEN(Множество[[#This Row],[Свёртка]])&gt;0,LEN(Множество[[#This Row],[Критерии]])&gt;0,LEN(Множество[[#This Row],[Оценки]])&gt;0),1,-1)</f>
        <v>-1</v>
      </c>
      <c r="AN407" s="208"/>
      <c r="AO407" s="208"/>
      <c r="AP407" s="208"/>
      <c r="AQ407" s="208"/>
      <c r="AR407" s="226"/>
      <c r="AS407" s="225"/>
      <c r="AT407" s="226"/>
      <c r="AU407" s="225"/>
      <c r="AV407" s="225"/>
      <c r="AW407" s="225"/>
      <c r="AX407" s="225"/>
      <c r="AY407" s="225"/>
    </row>
    <row r="408" spans="33:51" x14ac:dyDescent="0.25">
      <c r="AG408" s="66" t="str">
        <f>IF(AND(Множество[[#This Row],[Y]]=1),ROW()-ROW(Множество[[#Headers],[№]]),"")</f>
        <v/>
      </c>
      <c r="AI408" s="66">
        <v>1</v>
      </c>
      <c r="AJ408" s="66">
        <f>IF(LEN(Множество[[#This Row],[Свёртка]])&gt;0,1,-1)</f>
        <v>1</v>
      </c>
      <c r="AK408" s="66" t="s">
        <v>1781</v>
      </c>
      <c r="AL408" s="209">
        <f>IF(LEN(Множество[[#This Row],[Критерии]])&gt;0,1,-1)</f>
        <v>1</v>
      </c>
      <c r="AM408" s="209">
        <f>IF(AND(LEN(Множество[[#This Row],[Свёртка]])&gt;0,LEN(Множество[[#This Row],[Критерии]])&gt;0,LEN(Множество[[#This Row],[Оценки]])&gt;0),1,-1)</f>
        <v>-1</v>
      </c>
      <c r="AN408" s="208"/>
      <c r="AO408" s="208"/>
      <c r="AP408" s="208"/>
      <c r="AQ408" s="208"/>
      <c r="AR408" s="226"/>
      <c r="AS408" s="225"/>
      <c r="AT408" s="226"/>
      <c r="AU408" s="225"/>
      <c r="AV408" s="225"/>
      <c r="AW408" s="225"/>
      <c r="AX408" s="225"/>
      <c r="AY408" s="225"/>
    </row>
    <row r="409" spans="33:51" x14ac:dyDescent="0.25">
      <c r="AG409" s="66" t="str">
        <f>IF(AND(Множество[[#This Row],[Y]]=1),ROW()-ROW(Множество[[#Headers],[№]]),"")</f>
        <v/>
      </c>
      <c r="AI409" s="66">
        <v>1</v>
      </c>
      <c r="AJ409" s="66">
        <f>IF(LEN(Множество[[#This Row],[Свёртка]])&gt;0,1,-1)</f>
        <v>1</v>
      </c>
      <c r="AK409" s="66" t="s">
        <v>1781</v>
      </c>
      <c r="AL409" s="209">
        <f>IF(LEN(Множество[[#This Row],[Критерии]])&gt;0,1,-1)</f>
        <v>1</v>
      </c>
      <c r="AM409" s="209">
        <f>IF(AND(LEN(Множество[[#This Row],[Свёртка]])&gt;0,LEN(Множество[[#This Row],[Критерии]])&gt;0,LEN(Множество[[#This Row],[Оценки]])&gt;0),1,-1)</f>
        <v>-1</v>
      </c>
      <c r="AN409" s="208"/>
      <c r="AO409" s="208"/>
      <c r="AP409" s="208"/>
      <c r="AQ409" s="208"/>
      <c r="AR409" s="226"/>
      <c r="AS409" s="225"/>
      <c r="AT409" s="226"/>
      <c r="AU409" s="225"/>
      <c r="AV409" s="225"/>
      <c r="AW409" s="225"/>
      <c r="AX409" s="225"/>
      <c r="AY409" s="225"/>
    </row>
    <row r="410" spans="33:51" x14ac:dyDescent="0.25">
      <c r="AG410" s="66" t="str">
        <f>IF(AND(Множество[[#This Row],[Y]]=1),ROW()-ROW(Множество[[#Headers],[№]]),"")</f>
        <v/>
      </c>
      <c r="AI410" s="66">
        <v>1</v>
      </c>
      <c r="AJ410" s="66">
        <f>IF(LEN(Множество[[#This Row],[Свёртка]])&gt;0,1,-1)</f>
        <v>1</v>
      </c>
      <c r="AK410" s="66" t="s">
        <v>1781</v>
      </c>
      <c r="AL410" s="209">
        <f>IF(LEN(Множество[[#This Row],[Критерии]])&gt;0,1,-1)</f>
        <v>1</v>
      </c>
      <c r="AM410" s="209">
        <f>IF(AND(LEN(Множество[[#This Row],[Свёртка]])&gt;0,LEN(Множество[[#This Row],[Критерии]])&gt;0,LEN(Множество[[#This Row],[Оценки]])&gt;0),1,-1)</f>
        <v>-1</v>
      </c>
      <c r="AN410" s="208"/>
      <c r="AO410" s="208"/>
      <c r="AP410" s="208"/>
      <c r="AQ410" s="208"/>
      <c r="AR410" s="226"/>
      <c r="AS410" s="225"/>
      <c r="AT410" s="226"/>
      <c r="AU410" s="225"/>
      <c r="AV410" s="225"/>
      <c r="AW410" s="225"/>
      <c r="AX410" s="225"/>
      <c r="AY410" s="225"/>
    </row>
    <row r="411" spans="33:51" x14ac:dyDescent="0.25">
      <c r="AG411" s="66" t="str">
        <f>IF(AND(Множество[[#This Row],[Y]]=1),ROW()-ROW(Множество[[#Headers],[№]]),"")</f>
        <v/>
      </c>
      <c r="AI411" s="66">
        <v>1</v>
      </c>
      <c r="AJ411" s="66">
        <f>IF(LEN(Множество[[#This Row],[Свёртка]])&gt;0,1,-1)</f>
        <v>1</v>
      </c>
      <c r="AK411" s="66" t="s">
        <v>1781</v>
      </c>
      <c r="AL411" s="209">
        <f>IF(LEN(Множество[[#This Row],[Критерии]])&gt;0,1,-1)</f>
        <v>1</v>
      </c>
      <c r="AM411" s="209">
        <f>IF(AND(LEN(Множество[[#This Row],[Свёртка]])&gt;0,LEN(Множество[[#This Row],[Критерии]])&gt;0,LEN(Множество[[#This Row],[Оценки]])&gt;0),1,-1)</f>
        <v>-1</v>
      </c>
      <c r="AN411" s="208"/>
      <c r="AO411" s="208"/>
      <c r="AP411" s="208"/>
      <c r="AQ411" s="208"/>
      <c r="AR411" s="226"/>
      <c r="AS411" s="225"/>
      <c r="AT411" s="226"/>
      <c r="AU411" s="225"/>
      <c r="AV411" s="225"/>
      <c r="AW411" s="225"/>
      <c r="AX411" s="225"/>
      <c r="AY411" s="225"/>
    </row>
    <row r="412" spans="33:51" x14ac:dyDescent="0.25">
      <c r="AG412" s="66" t="str">
        <f>IF(AND(Множество[[#This Row],[Y]]=1),ROW()-ROW(Множество[[#Headers],[№]]),"")</f>
        <v/>
      </c>
      <c r="AI412" s="66">
        <v>1</v>
      </c>
      <c r="AJ412" s="66">
        <f>IF(LEN(Множество[[#This Row],[Свёртка]])&gt;0,1,-1)</f>
        <v>1</v>
      </c>
      <c r="AK412" s="66" t="s">
        <v>1781</v>
      </c>
      <c r="AL412" s="209">
        <f>IF(LEN(Множество[[#This Row],[Критерии]])&gt;0,1,-1)</f>
        <v>1</v>
      </c>
      <c r="AM412" s="209">
        <f>IF(AND(LEN(Множество[[#This Row],[Свёртка]])&gt;0,LEN(Множество[[#This Row],[Критерии]])&gt;0,LEN(Множество[[#This Row],[Оценки]])&gt;0),1,-1)</f>
        <v>-1</v>
      </c>
      <c r="AN412" s="208"/>
      <c r="AO412" s="208"/>
      <c r="AP412" s="208"/>
      <c r="AQ412" s="208"/>
      <c r="AR412" s="226"/>
      <c r="AS412" s="225"/>
      <c r="AT412" s="226"/>
      <c r="AU412" s="225"/>
      <c r="AV412" s="225"/>
      <c r="AW412" s="225"/>
      <c r="AX412" s="225"/>
      <c r="AY412" s="225"/>
    </row>
    <row r="413" spans="33:51" x14ac:dyDescent="0.25">
      <c r="AG413" s="66" t="str">
        <f>IF(AND(Множество[[#This Row],[Y]]=1),ROW()-ROW(Множество[[#Headers],[№]]),"")</f>
        <v/>
      </c>
      <c r="AI413" s="66">
        <v>1</v>
      </c>
      <c r="AJ413" s="66">
        <f>IF(LEN(Множество[[#This Row],[Свёртка]])&gt;0,1,-1)</f>
        <v>1</v>
      </c>
      <c r="AK413" s="66" t="s">
        <v>1781</v>
      </c>
      <c r="AL413" s="209">
        <f>IF(LEN(Множество[[#This Row],[Критерии]])&gt;0,1,-1)</f>
        <v>1</v>
      </c>
      <c r="AM413" s="209">
        <f>IF(AND(LEN(Множество[[#This Row],[Свёртка]])&gt;0,LEN(Множество[[#This Row],[Критерии]])&gt;0,LEN(Множество[[#This Row],[Оценки]])&gt;0),1,-1)</f>
        <v>-1</v>
      </c>
      <c r="AN413" s="208"/>
      <c r="AO413" s="208"/>
      <c r="AP413" s="208"/>
      <c r="AQ413" s="208"/>
      <c r="AR413" s="226"/>
      <c r="AS413" s="225"/>
      <c r="AT413" s="226"/>
      <c r="AU413" s="225"/>
      <c r="AV413" s="225"/>
      <c r="AW413" s="225"/>
      <c r="AX413" s="225"/>
      <c r="AY413" s="225"/>
    </row>
    <row r="414" spans="33:51" x14ac:dyDescent="0.25">
      <c r="AG414" s="66" t="str">
        <f>IF(AND(Множество[[#This Row],[Y]]=1),ROW()-ROW(Множество[[#Headers],[№]]),"")</f>
        <v/>
      </c>
      <c r="AI414" s="66">
        <v>1</v>
      </c>
      <c r="AJ414" s="66">
        <f>IF(LEN(Множество[[#This Row],[Свёртка]])&gt;0,1,-1)</f>
        <v>1</v>
      </c>
      <c r="AK414" s="66" t="s">
        <v>1781</v>
      </c>
      <c r="AL414" s="209">
        <f>IF(LEN(Множество[[#This Row],[Критерии]])&gt;0,1,-1)</f>
        <v>1</v>
      </c>
      <c r="AM414" s="209">
        <f>IF(AND(LEN(Множество[[#This Row],[Свёртка]])&gt;0,LEN(Множество[[#This Row],[Критерии]])&gt;0,LEN(Множество[[#This Row],[Оценки]])&gt;0),1,-1)</f>
        <v>-1</v>
      </c>
      <c r="AN414" s="208"/>
      <c r="AO414" s="208"/>
      <c r="AP414" s="208"/>
      <c r="AQ414" s="208"/>
      <c r="AR414" s="226"/>
      <c r="AS414" s="225"/>
      <c r="AT414" s="226"/>
      <c r="AU414" s="225"/>
      <c r="AV414" s="225"/>
      <c r="AW414" s="225"/>
      <c r="AX414" s="225"/>
      <c r="AY414" s="225"/>
    </row>
    <row r="415" spans="33:51" x14ac:dyDescent="0.25">
      <c r="AG415" s="66" t="str">
        <f>IF(AND(Множество[[#This Row],[Y]]=1),ROW()-ROW(Множество[[#Headers],[№]]),"")</f>
        <v/>
      </c>
      <c r="AI415" s="66">
        <v>1</v>
      </c>
      <c r="AJ415" s="66">
        <f>IF(LEN(Множество[[#This Row],[Свёртка]])&gt;0,1,-1)</f>
        <v>1</v>
      </c>
      <c r="AK415" s="66" t="s">
        <v>1781</v>
      </c>
      <c r="AL415" s="209">
        <f>IF(LEN(Множество[[#This Row],[Критерии]])&gt;0,1,-1)</f>
        <v>1</v>
      </c>
      <c r="AM415" s="209">
        <f>IF(AND(LEN(Множество[[#This Row],[Свёртка]])&gt;0,LEN(Множество[[#This Row],[Критерии]])&gt;0,LEN(Множество[[#This Row],[Оценки]])&gt;0),1,-1)</f>
        <v>-1</v>
      </c>
      <c r="AN415" s="208"/>
      <c r="AO415" s="208"/>
      <c r="AP415" s="208"/>
      <c r="AQ415" s="208"/>
      <c r="AR415" s="226"/>
      <c r="AS415" s="225"/>
      <c r="AT415" s="226"/>
      <c r="AU415" s="225"/>
      <c r="AV415" s="225"/>
      <c r="AW415" s="225"/>
      <c r="AX415" s="225"/>
      <c r="AY415" s="225"/>
    </row>
    <row r="416" spans="33:51" x14ac:dyDescent="0.25">
      <c r="AG416" s="66" t="str">
        <f>IF(AND(Множество[[#This Row],[Y]]=1),ROW()-ROW(Множество[[#Headers],[№]]),"")</f>
        <v/>
      </c>
      <c r="AI416" s="66">
        <v>1</v>
      </c>
      <c r="AJ416" s="66">
        <f>IF(LEN(Множество[[#This Row],[Свёртка]])&gt;0,1,-1)</f>
        <v>1</v>
      </c>
      <c r="AK416" s="66" t="s">
        <v>1781</v>
      </c>
      <c r="AL416" s="209">
        <f>IF(LEN(Множество[[#This Row],[Критерии]])&gt;0,1,-1)</f>
        <v>1</v>
      </c>
      <c r="AM416" s="209">
        <f>IF(AND(LEN(Множество[[#This Row],[Свёртка]])&gt;0,LEN(Множество[[#This Row],[Критерии]])&gt;0,LEN(Множество[[#This Row],[Оценки]])&gt;0),1,-1)</f>
        <v>-1</v>
      </c>
      <c r="AN416" s="208"/>
      <c r="AO416" s="208"/>
      <c r="AP416" s="208"/>
      <c r="AQ416" s="208"/>
      <c r="AR416" s="226"/>
      <c r="AS416" s="225"/>
      <c r="AT416" s="226"/>
      <c r="AU416" s="225"/>
      <c r="AV416" s="225"/>
      <c r="AW416" s="225"/>
      <c r="AX416" s="225"/>
      <c r="AY416" s="225"/>
    </row>
    <row r="417" spans="33:51" x14ac:dyDescent="0.25">
      <c r="AG417" s="66" t="str">
        <f>IF(AND(Множество[[#This Row],[Y]]=1),ROW()-ROW(Множество[[#Headers],[№]]),"")</f>
        <v/>
      </c>
      <c r="AI417" s="66">
        <v>1</v>
      </c>
      <c r="AJ417" s="66">
        <f>IF(LEN(Множество[[#This Row],[Свёртка]])&gt;0,1,-1)</f>
        <v>1</v>
      </c>
      <c r="AK417" s="66" t="s">
        <v>1781</v>
      </c>
      <c r="AL417" s="209">
        <f>IF(LEN(Множество[[#This Row],[Критерии]])&gt;0,1,-1)</f>
        <v>1</v>
      </c>
      <c r="AM417" s="209">
        <f>IF(AND(LEN(Множество[[#This Row],[Свёртка]])&gt;0,LEN(Множество[[#This Row],[Критерии]])&gt;0,LEN(Множество[[#This Row],[Оценки]])&gt;0),1,-1)</f>
        <v>-1</v>
      </c>
      <c r="AN417" s="208"/>
      <c r="AO417" s="208"/>
      <c r="AP417" s="208"/>
      <c r="AQ417" s="208"/>
      <c r="AR417" s="226"/>
      <c r="AS417" s="225"/>
      <c r="AT417" s="226"/>
      <c r="AU417" s="225"/>
      <c r="AV417" s="225"/>
      <c r="AW417" s="225"/>
      <c r="AX417" s="225"/>
      <c r="AY417" s="225"/>
    </row>
    <row r="418" spans="33:51" x14ac:dyDescent="0.25">
      <c r="AG418" s="66" t="str">
        <f>IF(AND(Множество[[#This Row],[Y]]=1),ROW()-ROW(Множество[[#Headers],[№]]),"")</f>
        <v/>
      </c>
      <c r="AI418" s="66">
        <v>1</v>
      </c>
      <c r="AJ418" s="66">
        <f>IF(LEN(Множество[[#This Row],[Свёртка]])&gt;0,1,-1)</f>
        <v>1</v>
      </c>
      <c r="AK418" s="66" t="s">
        <v>1781</v>
      </c>
      <c r="AL418" s="209">
        <f>IF(LEN(Множество[[#This Row],[Критерии]])&gt;0,1,-1)</f>
        <v>1</v>
      </c>
      <c r="AM418" s="209">
        <f>IF(AND(LEN(Множество[[#This Row],[Свёртка]])&gt;0,LEN(Множество[[#This Row],[Критерии]])&gt;0,LEN(Множество[[#This Row],[Оценки]])&gt;0),1,-1)</f>
        <v>-1</v>
      </c>
      <c r="AN418" s="208"/>
      <c r="AO418" s="208"/>
      <c r="AP418" s="208"/>
      <c r="AQ418" s="208"/>
      <c r="AR418" s="226"/>
      <c r="AS418" s="225"/>
      <c r="AT418" s="226"/>
      <c r="AU418" s="225"/>
      <c r="AV418" s="225"/>
      <c r="AW418" s="225"/>
      <c r="AX418" s="225"/>
      <c r="AY418" s="225"/>
    </row>
    <row r="419" spans="33:51" x14ac:dyDescent="0.25">
      <c r="AG419" s="66" t="str">
        <f>IF(AND(Множество[[#This Row],[Y]]=1),ROW()-ROW(Множество[[#Headers],[№]]),"")</f>
        <v/>
      </c>
      <c r="AI419" s="66">
        <v>1</v>
      </c>
      <c r="AJ419" s="66">
        <f>IF(LEN(Множество[[#This Row],[Свёртка]])&gt;0,1,-1)</f>
        <v>1</v>
      </c>
      <c r="AK419" s="66" t="s">
        <v>1781</v>
      </c>
      <c r="AL419" s="209">
        <f>IF(LEN(Множество[[#This Row],[Критерии]])&gt;0,1,-1)</f>
        <v>1</v>
      </c>
      <c r="AM419" s="209">
        <f>IF(AND(LEN(Множество[[#This Row],[Свёртка]])&gt;0,LEN(Множество[[#This Row],[Критерии]])&gt;0,LEN(Множество[[#This Row],[Оценки]])&gt;0),1,-1)</f>
        <v>-1</v>
      </c>
      <c r="AN419" s="208"/>
      <c r="AO419" s="208"/>
      <c r="AP419" s="208"/>
      <c r="AQ419" s="208"/>
      <c r="AR419" s="226"/>
      <c r="AS419" s="225"/>
      <c r="AT419" s="226"/>
      <c r="AU419" s="225"/>
      <c r="AV419" s="225"/>
      <c r="AW419" s="225"/>
      <c r="AX419" s="225"/>
      <c r="AY419" s="225"/>
    </row>
    <row r="420" spans="33:51" x14ac:dyDescent="0.25">
      <c r="AG420" s="66" t="str">
        <f>IF(AND(Множество[[#This Row],[Y]]=1),ROW()-ROW(Множество[[#Headers],[№]]),"")</f>
        <v/>
      </c>
      <c r="AI420" s="66">
        <v>1</v>
      </c>
      <c r="AJ420" s="66">
        <f>IF(LEN(Множество[[#This Row],[Свёртка]])&gt;0,1,-1)</f>
        <v>1</v>
      </c>
      <c r="AK420" s="66" t="s">
        <v>1781</v>
      </c>
      <c r="AL420" s="209">
        <f>IF(LEN(Множество[[#This Row],[Критерии]])&gt;0,1,-1)</f>
        <v>1</v>
      </c>
      <c r="AM420" s="209">
        <f>IF(AND(LEN(Множество[[#This Row],[Свёртка]])&gt;0,LEN(Множество[[#This Row],[Критерии]])&gt;0,LEN(Множество[[#This Row],[Оценки]])&gt;0),1,-1)</f>
        <v>-1</v>
      </c>
      <c r="AN420" s="208"/>
      <c r="AO420" s="208"/>
      <c r="AP420" s="208"/>
      <c r="AQ420" s="208"/>
      <c r="AR420" s="226"/>
      <c r="AS420" s="225"/>
      <c r="AT420" s="226"/>
      <c r="AU420" s="225"/>
      <c r="AV420" s="225"/>
      <c r="AW420" s="225"/>
      <c r="AX420" s="225"/>
      <c r="AY420" s="225"/>
    </row>
    <row r="421" spans="33:51" x14ac:dyDescent="0.25">
      <c r="AG421" s="66" t="str">
        <f>IF(AND(Множество[[#This Row],[Y]]=1),ROW()-ROW(Множество[[#Headers],[№]]),"")</f>
        <v/>
      </c>
      <c r="AI421" s="66">
        <v>1</v>
      </c>
      <c r="AJ421" s="66">
        <f>IF(LEN(Множество[[#This Row],[Свёртка]])&gt;0,1,-1)</f>
        <v>1</v>
      </c>
      <c r="AK421" s="66" t="s">
        <v>1781</v>
      </c>
      <c r="AL421" s="209">
        <f>IF(LEN(Множество[[#This Row],[Критерии]])&gt;0,1,-1)</f>
        <v>1</v>
      </c>
      <c r="AM421" s="209">
        <f>IF(AND(LEN(Множество[[#This Row],[Свёртка]])&gt;0,LEN(Множество[[#This Row],[Критерии]])&gt;0,LEN(Множество[[#This Row],[Оценки]])&gt;0),1,-1)</f>
        <v>-1</v>
      </c>
      <c r="AN421" s="208"/>
      <c r="AO421" s="208"/>
      <c r="AP421" s="208"/>
      <c r="AQ421" s="208"/>
      <c r="AR421" s="226"/>
      <c r="AS421" s="225"/>
      <c r="AT421" s="226"/>
      <c r="AU421" s="225"/>
      <c r="AV421" s="225"/>
      <c r="AW421" s="225"/>
      <c r="AX421" s="225"/>
      <c r="AY421" s="225"/>
    </row>
    <row r="422" spans="33:51" x14ac:dyDescent="0.25">
      <c r="AG422" s="66" t="str">
        <f>IF(AND(Множество[[#This Row],[Y]]=1),ROW()-ROW(Множество[[#Headers],[№]]),"")</f>
        <v/>
      </c>
      <c r="AI422" s="66">
        <v>1</v>
      </c>
      <c r="AJ422" s="66">
        <f>IF(LEN(Множество[[#This Row],[Свёртка]])&gt;0,1,-1)</f>
        <v>1</v>
      </c>
      <c r="AK422" s="66" t="s">
        <v>1781</v>
      </c>
      <c r="AL422" s="209">
        <f>IF(LEN(Множество[[#This Row],[Критерии]])&gt;0,1,-1)</f>
        <v>1</v>
      </c>
      <c r="AM422" s="209">
        <f>IF(AND(LEN(Множество[[#This Row],[Свёртка]])&gt;0,LEN(Множество[[#This Row],[Критерии]])&gt;0,LEN(Множество[[#This Row],[Оценки]])&gt;0),1,-1)</f>
        <v>-1</v>
      </c>
      <c r="AN422" s="208"/>
      <c r="AO422" s="208"/>
      <c r="AP422" s="208"/>
      <c r="AQ422" s="208"/>
      <c r="AR422" s="226"/>
      <c r="AS422" s="225"/>
      <c r="AT422" s="226"/>
      <c r="AU422" s="225"/>
      <c r="AV422" s="225"/>
      <c r="AW422" s="225"/>
      <c r="AX422" s="225"/>
      <c r="AY422" s="225"/>
    </row>
    <row r="423" spans="33:51" x14ac:dyDescent="0.25">
      <c r="AG423" s="66" t="str">
        <f>IF(AND(Множество[[#This Row],[Y]]=1),ROW()-ROW(Множество[[#Headers],[№]]),"")</f>
        <v/>
      </c>
      <c r="AI423" s="66">
        <v>1</v>
      </c>
      <c r="AJ423" s="66">
        <f>IF(LEN(Множество[[#This Row],[Свёртка]])&gt;0,1,-1)</f>
        <v>1</v>
      </c>
      <c r="AK423" s="66" t="s">
        <v>1781</v>
      </c>
      <c r="AL423" s="209">
        <f>IF(LEN(Множество[[#This Row],[Критерии]])&gt;0,1,-1)</f>
        <v>1</v>
      </c>
      <c r="AM423" s="209">
        <f>IF(AND(LEN(Множество[[#This Row],[Свёртка]])&gt;0,LEN(Множество[[#This Row],[Критерии]])&gt;0,LEN(Множество[[#This Row],[Оценки]])&gt;0),1,-1)</f>
        <v>-1</v>
      </c>
      <c r="AN423" s="208"/>
      <c r="AO423" s="208"/>
      <c r="AP423" s="208"/>
      <c r="AQ423" s="208"/>
      <c r="AR423" s="226"/>
      <c r="AS423" s="225"/>
      <c r="AT423" s="226"/>
      <c r="AU423" s="225"/>
      <c r="AV423" s="225"/>
      <c r="AW423" s="225"/>
      <c r="AX423" s="225"/>
      <c r="AY423" s="225"/>
    </row>
    <row r="424" spans="33:51" x14ac:dyDescent="0.25">
      <c r="AG424" s="66" t="str">
        <f>IF(AND(Множество[[#This Row],[Y]]=1),ROW()-ROW(Множество[[#Headers],[№]]),"")</f>
        <v/>
      </c>
      <c r="AI424" s="66">
        <v>1</v>
      </c>
      <c r="AJ424" s="66">
        <f>IF(LEN(Множество[[#This Row],[Свёртка]])&gt;0,1,-1)</f>
        <v>1</v>
      </c>
      <c r="AK424" s="66" t="s">
        <v>1781</v>
      </c>
      <c r="AL424" s="209">
        <f>IF(LEN(Множество[[#This Row],[Критерии]])&gt;0,1,-1)</f>
        <v>1</v>
      </c>
      <c r="AM424" s="209">
        <f>IF(AND(LEN(Множество[[#This Row],[Свёртка]])&gt;0,LEN(Множество[[#This Row],[Критерии]])&gt;0,LEN(Множество[[#This Row],[Оценки]])&gt;0),1,-1)</f>
        <v>-1</v>
      </c>
      <c r="AN424" s="208"/>
      <c r="AO424" s="208"/>
      <c r="AP424" s="208"/>
      <c r="AQ424" s="208"/>
      <c r="AR424" s="226"/>
      <c r="AS424" s="225"/>
      <c r="AT424" s="226"/>
      <c r="AU424" s="225"/>
      <c r="AV424" s="225"/>
      <c r="AW424" s="225"/>
      <c r="AX424" s="225"/>
      <c r="AY424" s="225"/>
    </row>
    <row r="425" spans="33:51" x14ac:dyDescent="0.25">
      <c r="AG425" s="66" t="str">
        <f>IF(AND(Множество[[#This Row],[Y]]=1),ROW()-ROW(Множество[[#Headers],[№]]),"")</f>
        <v/>
      </c>
      <c r="AI425" s="66">
        <v>1</v>
      </c>
      <c r="AJ425" s="66">
        <f>IF(LEN(Множество[[#This Row],[Свёртка]])&gt;0,1,-1)</f>
        <v>1</v>
      </c>
      <c r="AK425" s="66" t="s">
        <v>1781</v>
      </c>
      <c r="AL425" s="209">
        <f>IF(LEN(Множество[[#This Row],[Критерии]])&gt;0,1,-1)</f>
        <v>1</v>
      </c>
      <c r="AM425" s="209">
        <f>IF(AND(LEN(Множество[[#This Row],[Свёртка]])&gt;0,LEN(Множество[[#This Row],[Критерии]])&gt;0,LEN(Множество[[#This Row],[Оценки]])&gt;0),1,-1)</f>
        <v>-1</v>
      </c>
      <c r="AN425" s="208"/>
      <c r="AO425" s="208"/>
      <c r="AP425" s="208"/>
      <c r="AQ425" s="208"/>
      <c r="AR425" s="226"/>
      <c r="AS425" s="225"/>
      <c r="AT425" s="226"/>
      <c r="AU425" s="225"/>
      <c r="AV425" s="225"/>
      <c r="AW425" s="225"/>
      <c r="AX425" s="225"/>
      <c r="AY425" s="225"/>
    </row>
    <row r="426" spans="33:51" x14ac:dyDescent="0.25">
      <c r="AG426" s="66" t="str">
        <f>IF(AND(Множество[[#This Row],[Y]]=1),ROW()-ROW(Множество[[#Headers],[№]]),"")</f>
        <v/>
      </c>
      <c r="AI426" s="66">
        <v>1</v>
      </c>
      <c r="AJ426" s="66">
        <f>IF(LEN(Множество[[#This Row],[Свёртка]])&gt;0,1,-1)</f>
        <v>1</v>
      </c>
      <c r="AK426" s="66" t="s">
        <v>1781</v>
      </c>
      <c r="AL426" s="209">
        <f>IF(LEN(Множество[[#This Row],[Критерии]])&gt;0,1,-1)</f>
        <v>1</v>
      </c>
      <c r="AM426" s="209">
        <f>IF(AND(LEN(Множество[[#This Row],[Свёртка]])&gt;0,LEN(Множество[[#This Row],[Критерии]])&gt;0,LEN(Множество[[#This Row],[Оценки]])&gt;0),1,-1)</f>
        <v>-1</v>
      </c>
      <c r="AN426" s="208"/>
      <c r="AO426" s="208"/>
      <c r="AP426" s="208"/>
      <c r="AQ426" s="208"/>
      <c r="AR426" s="226"/>
      <c r="AS426" s="225"/>
      <c r="AT426" s="226"/>
      <c r="AU426" s="225"/>
      <c r="AV426" s="225"/>
      <c r="AW426" s="225"/>
      <c r="AX426" s="225"/>
      <c r="AY426" s="225"/>
    </row>
    <row r="427" spans="33:51" x14ac:dyDescent="0.25">
      <c r="AG427" s="66" t="str">
        <f>IF(AND(Множество[[#This Row],[Y]]=1),ROW()-ROW(Множество[[#Headers],[№]]),"")</f>
        <v/>
      </c>
      <c r="AI427" s="66">
        <v>1</v>
      </c>
      <c r="AJ427" s="66">
        <f>IF(LEN(Множество[[#This Row],[Свёртка]])&gt;0,1,-1)</f>
        <v>1</v>
      </c>
      <c r="AK427" s="66" t="s">
        <v>1781</v>
      </c>
      <c r="AL427" s="209">
        <f>IF(LEN(Множество[[#This Row],[Критерии]])&gt;0,1,-1)</f>
        <v>1</v>
      </c>
      <c r="AM427" s="209">
        <f>IF(AND(LEN(Множество[[#This Row],[Свёртка]])&gt;0,LEN(Множество[[#This Row],[Критерии]])&gt;0,LEN(Множество[[#This Row],[Оценки]])&gt;0),1,-1)</f>
        <v>-1</v>
      </c>
      <c r="AN427" s="208"/>
      <c r="AO427" s="208"/>
      <c r="AP427" s="208"/>
      <c r="AQ427" s="208"/>
      <c r="AR427" s="226"/>
      <c r="AS427" s="225"/>
      <c r="AT427" s="226"/>
      <c r="AU427" s="225"/>
      <c r="AV427" s="225"/>
      <c r="AW427" s="225"/>
      <c r="AX427" s="225"/>
      <c r="AY427" s="225"/>
    </row>
    <row r="428" spans="33:51" x14ac:dyDescent="0.25">
      <c r="AG428" s="66" t="str">
        <f>IF(AND(Множество[[#This Row],[Y]]=1),ROW()-ROW(Множество[[#Headers],[№]]),"")</f>
        <v/>
      </c>
      <c r="AI428" s="66">
        <v>1</v>
      </c>
      <c r="AJ428" s="66">
        <f>IF(LEN(Множество[[#This Row],[Свёртка]])&gt;0,1,-1)</f>
        <v>1</v>
      </c>
      <c r="AK428" s="66" t="s">
        <v>1781</v>
      </c>
      <c r="AL428" s="209">
        <f>IF(LEN(Множество[[#This Row],[Критерии]])&gt;0,1,-1)</f>
        <v>1</v>
      </c>
      <c r="AM428" s="209">
        <f>IF(AND(LEN(Множество[[#This Row],[Свёртка]])&gt;0,LEN(Множество[[#This Row],[Критерии]])&gt;0,LEN(Множество[[#This Row],[Оценки]])&gt;0),1,-1)</f>
        <v>-1</v>
      </c>
      <c r="AN428" s="208"/>
      <c r="AO428" s="208"/>
      <c r="AP428" s="208"/>
      <c r="AQ428" s="208"/>
      <c r="AR428" s="226"/>
      <c r="AS428" s="225"/>
      <c r="AT428" s="226"/>
      <c r="AU428" s="225"/>
      <c r="AV428" s="225"/>
      <c r="AW428" s="225"/>
      <c r="AX428" s="225"/>
      <c r="AY428" s="225"/>
    </row>
    <row r="429" spans="33:51" x14ac:dyDescent="0.25">
      <c r="AG429" s="66" t="str">
        <f>IF(AND(Множество[[#This Row],[Y]]=1),ROW()-ROW(Множество[[#Headers],[№]]),"")</f>
        <v/>
      </c>
      <c r="AI429" s="66">
        <v>1</v>
      </c>
      <c r="AJ429" s="66">
        <f>IF(LEN(Множество[[#This Row],[Свёртка]])&gt;0,1,-1)</f>
        <v>1</v>
      </c>
      <c r="AK429" s="66" t="s">
        <v>1781</v>
      </c>
      <c r="AL429" s="209">
        <f>IF(LEN(Множество[[#This Row],[Критерии]])&gt;0,1,-1)</f>
        <v>1</v>
      </c>
      <c r="AM429" s="209">
        <f>IF(AND(LEN(Множество[[#This Row],[Свёртка]])&gt;0,LEN(Множество[[#This Row],[Критерии]])&gt;0,LEN(Множество[[#This Row],[Оценки]])&gt;0),1,-1)</f>
        <v>-1</v>
      </c>
      <c r="AN429" s="208"/>
      <c r="AO429" s="208"/>
      <c r="AP429" s="208"/>
      <c r="AQ429" s="208"/>
      <c r="AR429" s="226"/>
      <c r="AS429" s="225"/>
      <c r="AT429" s="226"/>
      <c r="AU429" s="225"/>
      <c r="AV429" s="225"/>
      <c r="AW429" s="225"/>
      <c r="AX429" s="225"/>
      <c r="AY429" s="225"/>
    </row>
    <row r="430" spans="33:51" x14ac:dyDescent="0.25">
      <c r="AG430" s="66" t="str">
        <f>IF(AND(Множество[[#This Row],[Y]]=1),ROW()-ROW(Множество[[#Headers],[№]]),"")</f>
        <v/>
      </c>
      <c r="AI430" s="66">
        <v>1</v>
      </c>
      <c r="AJ430" s="66">
        <f>IF(LEN(Множество[[#This Row],[Свёртка]])&gt;0,1,-1)</f>
        <v>1</v>
      </c>
      <c r="AK430" s="66" t="s">
        <v>1781</v>
      </c>
      <c r="AL430" s="209">
        <f>IF(LEN(Множество[[#This Row],[Критерии]])&gt;0,1,-1)</f>
        <v>1</v>
      </c>
      <c r="AM430" s="209">
        <f>IF(AND(LEN(Множество[[#This Row],[Свёртка]])&gt;0,LEN(Множество[[#This Row],[Критерии]])&gt;0,LEN(Множество[[#This Row],[Оценки]])&gt;0),1,-1)</f>
        <v>-1</v>
      </c>
      <c r="AN430" s="208"/>
      <c r="AO430" s="208"/>
      <c r="AP430" s="208"/>
      <c r="AQ430" s="208"/>
      <c r="AR430" s="226"/>
      <c r="AS430" s="225"/>
      <c r="AT430" s="226"/>
      <c r="AU430" s="225"/>
      <c r="AV430" s="225"/>
      <c r="AW430" s="225"/>
      <c r="AX430" s="225"/>
      <c r="AY430" s="225"/>
    </row>
    <row r="431" spans="33:51" x14ac:dyDescent="0.25">
      <c r="AG431" s="66" t="str">
        <f>IF(AND(Множество[[#This Row],[Y]]=1),ROW()-ROW(Множество[[#Headers],[№]]),"")</f>
        <v/>
      </c>
      <c r="AI431" s="66">
        <v>1</v>
      </c>
      <c r="AJ431" s="66">
        <f>IF(LEN(Множество[[#This Row],[Свёртка]])&gt;0,1,-1)</f>
        <v>1</v>
      </c>
      <c r="AK431" s="66" t="s">
        <v>1781</v>
      </c>
      <c r="AL431" s="209">
        <f>IF(LEN(Множество[[#This Row],[Критерии]])&gt;0,1,-1)</f>
        <v>1</v>
      </c>
      <c r="AM431" s="209">
        <f>IF(AND(LEN(Множество[[#This Row],[Свёртка]])&gt;0,LEN(Множество[[#This Row],[Критерии]])&gt;0,LEN(Множество[[#This Row],[Оценки]])&gt;0),1,-1)</f>
        <v>-1</v>
      </c>
      <c r="AN431" s="208"/>
      <c r="AO431" s="208"/>
      <c r="AP431" s="208"/>
      <c r="AQ431" s="208"/>
      <c r="AR431" s="226"/>
      <c r="AS431" s="225"/>
      <c r="AT431" s="226"/>
      <c r="AU431" s="225"/>
      <c r="AV431" s="225"/>
      <c r="AW431" s="225"/>
      <c r="AX431" s="225"/>
      <c r="AY431" s="225"/>
    </row>
    <row r="432" spans="33:51" x14ac:dyDescent="0.25">
      <c r="AG432" s="66" t="str">
        <f>IF(AND(Множество[[#This Row],[Y]]=1),ROW()-ROW(Множество[[#Headers],[№]]),"")</f>
        <v/>
      </c>
      <c r="AI432" s="66">
        <v>1</v>
      </c>
      <c r="AJ432" s="66">
        <f>IF(LEN(Множество[[#This Row],[Свёртка]])&gt;0,1,-1)</f>
        <v>1</v>
      </c>
      <c r="AK432" s="66" t="s">
        <v>1781</v>
      </c>
      <c r="AL432" s="209">
        <f>IF(LEN(Множество[[#This Row],[Критерии]])&gt;0,1,-1)</f>
        <v>1</v>
      </c>
      <c r="AM432" s="209">
        <f>IF(AND(LEN(Множество[[#This Row],[Свёртка]])&gt;0,LEN(Множество[[#This Row],[Критерии]])&gt;0,LEN(Множество[[#This Row],[Оценки]])&gt;0),1,-1)</f>
        <v>-1</v>
      </c>
      <c r="AN432" s="208"/>
      <c r="AO432" s="208"/>
      <c r="AP432" s="208"/>
      <c r="AQ432" s="208"/>
      <c r="AR432" s="226"/>
      <c r="AS432" s="225"/>
      <c r="AT432" s="226"/>
      <c r="AU432" s="225"/>
      <c r="AV432" s="225"/>
      <c r="AW432" s="225"/>
      <c r="AX432" s="225"/>
      <c r="AY432" s="225"/>
    </row>
    <row r="433" spans="33:51" x14ac:dyDescent="0.25">
      <c r="AG433" s="66" t="str">
        <f>IF(AND(Множество[[#This Row],[Y]]=1),ROW()-ROW(Множество[[#Headers],[№]]),"")</f>
        <v/>
      </c>
      <c r="AI433" s="66">
        <v>1</v>
      </c>
      <c r="AJ433" s="66">
        <f>IF(LEN(Множество[[#This Row],[Свёртка]])&gt;0,1,-1)</f>
        <v>1</v>
      </c>
      <c r="AK433" s="66" t="s">
        <v>1781</v>
      </c>
      <c r="AL433" s="209">
        <f>IF(LEN(Множество[[#This Row],[Критерии]])&gt;0,1,-1)</f>
        <v>1</v>
      </c>
      <c r="AM433" s="209">
        <f>IF(AND(LEN(Множество[[#This Row],[Свёртка]])&gt;0,LEN(Множество[[#This Row],[Критерии]])&gt;0,LEN(Множество[[#This Row],[Оценки]])&gt;0),1,-1)</f>
        <v>-1</v>
      </c>
      <c r="AN433" s="208"/>
      <c r="AO433" s="208"/>
      <c r="AP433" s="208"/>
      <c r="AQ433" s="208"/>
      <c r="AR433" s="226"/>
      <c r="AS433" s="225"/>
      <c r="AT433" s="226"/>
      <c r="AU433" s="225"/>
      <c r="AV433" s="225"/>
      <c r="AW433" s="225"/>
      <c r="AX433" s="225"/>
      <c r="AY433" s="225"/>
    </row>
    <row r="434" spans="33:51" x14ac:dyDescent="0.25">
      <c r="AG434" s="66" t="str">
        <f>IF(AND(Множество[[#This Row],[Y]]=1),ROW()-ROW(Множество[[#Headers],[№]]),"")</f>
        <v/>
      </c>
      <c r="AI434" s="66">
        <v>1</v>
      </c>
      <c r="AJ434" s="66">
        <f>IF(LEN(Множество[[#This Row],[Свёртка]])&gt;0,1,-1)</f>
        <v>1</v>
      </c>
      <c r="AK434" s="66" t="s">
        <v>1781</v>
      </c>
      <c r="AL434" s="209">
        <f>IF(LEN(Множество[[#This Row],[Критерии]])&gt;0,1,-1)</f>
        <v>1</v>
      </c>
      <c r="AM434" s="209">
        <f>IF(AND(LEN(Множество[[#This Row],[Свёртка]])&gt;0,LEN(Множество[[#This Row],[Критерии]])&gt;0,LEN(Множество[[#This Row],[Оценки]])&gt;0),1,-1)</f>
        <v>-1</v>
      </c>
      <c r="AN434" s="208"/>
      <c r="AO434" s="208"/>
      <c r="AP434" s="208"/>
      <c r="AQ434" s="208"/>
      <c r="AR434" s="226"/>
      <c r="AS434" s="225"/>
      <c r="AT434" s="226"/>
      <c r="AU434" s="225"/>
      <c r="AV434" s="225"/>
      <c r="AW434" s="225"/>
      <c r="AX434" s="225"/>
      <c r="AY434" s="225"/>
    </row>
    <row r="435" spans="33:51" x14ac:dyDescent="0.25">
      <c r="AG435" s="66" t="str">
        <f>IF(AND(Множество[[#This Row],[Y]]=1),ROW()-ROW(Множество[[#Headers],[№]]),"")</f>
        <v/>
      </c>
      <c r="AI435" s="66">
        <v>1</v>
      </c>
      <c r="AJ435" s="66">
        <f>IF(LEN(Множество[[#This Row],[Свёртка]])&gt;0,1,-1)</f>
        <v>1</v>
      </c>
      <c r="AK435" s="66" t="s">
        <v>1781</v>
      </c>
      <c r="AL435" s="209">
        <f>IF(LEN(Множество[[#This Row],[Критерии]])&gt;0,1,-1)</f>
        <v>1</v>
      </c>
      <c r="AM435" s="209">
        <f>IF(AND(LEN(Множество[[#This Row],[Свёртка]])&gt;0,LEN(Множество[[#This Row],[Критерии]])&gt;0,LEN(Множество[[#This Row],[Оценки]])&gt;0),1,-1)</f>
        <v>-1</v>
      </c>
      <c r="AN435" s="208"/>
      <c r="AO435" s="208"/>
      <c r="AP435" s="208"/>
      <c r="AQ435" s="208"/>
      <c r="AR435" s="226"/>
      <c r="AS435" s="225"/>
      <c r="AT435" s="226"/>
      <c r="AU435" s="225"/>
      <c r="AV435" s="225"/>
      <c r="AW435" s="225"/>
      <c r="AX435" s="225"/>
      <c r="AY435" s="225"/>
    </row>
    <row r="436" spans="33:51" x14ac:dyDescent="0.25">
      <c r="AG436" s="66" t="str">
        <f>IF(AND(Множество[[#This Row],[Y]]=1),ROW()-ROW(Множество[[#Headers],[№]]),"")</f>
        <v/>
      </c>
      <c r="AI436" s="66">
        <v>1</v>
      </c>
      <c r="AJ436" s="66">
        <f>IF(LEN(Множество[[#This Row],[Свёртка]])&gt;0,1,-1)</f>
        <v>1</v>
      </c>
      <c r="AK436" s="66" t="s">
        <v>1781</v>
      </c>
      <c r="AL436" s="209">
        <f>IF(LEN(Множество[[#This Row],[Критерии]])&gt;0,1,-1)</f>
        <v>1</v>
      </c>
      <c r="AM436" s="209">
        <f>IF(AND(LEN(Множество[[#This Row],[Свёртка]])&gt;0,LEN(Множество[[#This Row],[Критерии]])&gt;0,LEN(Множество[[#This Row],[Оценки]])&gt;0),1,-1)</f>
        <v>-1</v>
      </c>
      <c r="AN436" s="208"/>
      <c r="AO436" s="208"/>
      <c r="AP436" s="208"/>
      <c r="AQ436" s="208"/>
      <c r="AR436" s="226"/>
      <c r="AS436" s="225"/>
      <c r="AT436" s="226"/>
      <c r="AU436" s="225"/>
      <c r="AV436" s="225"/>
      <c r="AW436" s="225"/>
      <c r="AX436" s="225"/>
      <c r="AY436" s="225"/>
    </row>
    <row r="437" spans="33:51" x14ac:dyDescent="0.25">
      <c r="AG437" s="66" t="str">
        <f>IF(AND(Множество[[#This Row],[Y]]=1),ROW()-ROW(Множество[[#Headers],[№]]),"")</f>
        <v/>
      </c>
      <c r="AI437" s="66">
        <v>1</v>
      </c>
      <c r="AJ437" s="66">
        <f>IF(LEN(Множество[[#This Row],[Свёртка]])&gt;0,1,-1)</f>
        <v>1</v>
      </c>
      <c r="AK437" s="66" t="s">
        <v>1781</v>
      </c>
      <c r="AL437" s="209">
        <f>IF(LEN(Множество[[#This Row],[Критерии]])&gt;0,1,-1)</f>
        <v>1</v>
      </c>
      <c r="AM437" s="209">
        <f>IF(AND(LEN(Множество[[#This Row],[Свёртка]])&gt;0,LEN(Множество[[#This Row],[Критерии]])&gt;0,LEN(Множество[[#This Row],[Оценки]])&gt;0),1,-1)</f>
        <v>-1</v>
      </c>
      <c r="AN437" s="208"/>
      <c r="AO437" s="208"/>
      <c r="AP437" s="208"/>
      <c r="AQ437" s="208"/>
      <c r="AR437" s="226"/>
      <c r="AS437" s="225"/>
      <c r="AT437" s="226"/>
      <c r="AU437" s="225"/>
      <c r="AV437" s="225"/>
      <c r="AW437" s="225"/>
      <c r="AX437" s="225"/>
      <c r="AY437" s="225"/>
    </row>
    <row r="438" spans="33:51" x14ac:dyDescent="0.25">
      <c r="AG438" s="66" t="str">
        <f>IF(AND(Множество[[#This Row],[Y]]=1),ROW()-ROW(Множество[[#Headers],[№]]),"")</f>
        <v/>
      </c>
      <c r="AI438" s="66">
        <v>1</v>
      </c>
      <c r="AJ438" s="66">
        <f>IF(LEN(Множество[[#This Row],[Свёртка]])&gt;0,1,-1)</f>
        <v>1</v>
      </c>
      <c r="AK438" s="66" t="s">
        <v>1781</v>
      </c>
      <c r="AL438" s="209">
        <f>IF(LEN(Множество[[#This Row],[Критерии]])&gt;0,1,-1)</f>
        <v>1</v>
      </c>
      <c r="AM438" s="209">
        <f>IF(AND(LEN(Множество[[#This Row],[Свёртка]])&gt;0,LEN(Множество[[#This Row],[Критерии]])&gt;0,LEN(Множество[[#This Row],[Оценки]])&gt;0),1,-1)</f>
        <v>-1</v>
      </c>
      <c r="AN438" s="208"/>
      <c r="AO438" s="208"/>
      <c r="AP438" s="208"/>
      <c r="AQ438" s="208"/>
      <c r="AR438" s="226"/>
      <c r="AS438" s="225"/>
      <c r="AT438" s="226"/>
      <c r="AU438" s="225"/>
      <c r="AV438" s="225"/>
      <c r="AW438" s="225"/>
      <c r="AX438" s="225"/>
      <c r="AY438" s="225"/>
    </row>
    <row r="439" spans="33:51" x14ac:dyDescent="0.25">
      <c r="AG439" s="66" t="str">
        <f>IF(AND(Множество[[#This Row],[Y]]=1),ROW()-ROW(Множество[[#Headers],[№]]),"")</f>
        <v/>
      </c>
      <c r="AI439" s="66">
        <v>1</v>
      </c>
      <c r="AJ439" s="66">
        <f>IF(LEN(Множество[[#This Row],[Свёртка]])&gt;0,1,-1)</f>
        <v>1</v>
      </c>
      <c r="AK439" s="66" t="s">
        <v>1781</v>
      </c>
      <c r="AL439" s="209">
        <f>IF(LEN(Множество[[#This Row],[Критерии]])&gt;0,1,-1)</f>
        <v>1</v>
      </c>
      <c r="AM439" s="209">
        <f>IF(AND(LEN(Множество[[#This Row],[Свёртка]])&gt;0,LEN(Множество[[#This Row],[Критерии]])&gt;0,LEN(Множество[[#This Row],[Оценки]])&gt;0),1,-1)</f>
        <v>-1</v>
      </c>
      <c r="AN439" s="208"/>
      <c r="AO439" s="208"/>
      <c r="AP439" s="208"/>
      <c r="AQ439" s="208"/>
      <c r="AR439" s="226"/>
      <c r="AS439" s="225"/>
      <c r="AT439" s="226"/>
      <c r="AU439" s="225"/>
      <c r="AV439" s="225"/>
      <c r="AW439" s="225"/>
      <c r="AX439" s="225"/>
      <c r="AY439" s="225"/>
    </row>
    <row r="440" spans="33:51" x14ac:dyDescent="0.25">
      <c r="AG440" s="66" t="str">
        <f>IF(AND(Множество[[#This Row],[Y]]=1),ROW()-ROW(Множество[[#Headers],[№]]),"")</f>
        <v/>
      </c>
      <c r="AI440" s="66">
        <v>1</v>
      </c>
      <c r="AJ440" s="66">
        <f>IF(LEN(Множество[[#This Row],[Свёртка]])&gt;0,1,-1)</f>
        <v>1</v>
      </c>
      <c r="AK440" s="66" t="s">
        <v>1781</v>
      </c>
      <c r="AL440" s="209">
        <f>IF(LEN(Множество[[#This Row],[Критерии]])&gt;0,1,-1)</f>
        <v>1</v>
      </c>
      <c r="AM440" s="209">
        <f>IF(AND(LEN(Множество[[#This Row],[Свёртка]])&gt;0,LEN(Множество[[#This Row],[Критерии]])&gt;0,LEN(Множество[[#This Row],[Оценки]])&gt;0),1,-1)</f>
        <v>-1</v>
      </c>
      <c r="AN440" s="208"/>
      <c r="AO440" s="208"/>
      <c r="AP440" s="208"/>
      <c r="AQ440" s="208"/>
      <c r="AR440" s="226"/>
      <c r="AS440" s="225"/>
      <c r="AT440" s="226"/>
      <c r="AU440" s="225"/>
      <c r="AV440" s="225"/>
      <c r="AW440" s="225"/>
      <c r="AX440" s="225"/>
      <c r="AY440" s="225"/>
    </row>
    <row r="441" spans="33:51" x14ac:dyDescent="0.25">
      <c r="AG441" s="66" t="str">
        <f>IF(AND(Множество[[#This Row],[Y]]=1),ROW()-ROW(Множество[[#Headers],[№]]),"")</f>
        <v/>
      </c>
      <c r="AI441" s="66">
        <v>1</v>
      </c>
      <c r="AJ441" s="66">
        <f>IF(LEN(Множество[[#This Row],[Свёртка]])&gt;0,1,-1)</f>
        <v>1</v>
      </c>
      <c r="AK441" s="66" t="s">
        <v>1781</v>
      </c>
      <c r="AL441" s="209">
        <f>IF(LEN(Множество[[#This Row],[Критерии]])&gt;0,1,-1)</f>
        <v>1</v>
      </c>
      <c r="AM441" s="209">
        <f>IF(AND(LEN(Множество[[#This Row],[Свёртка]])&gt;0,LEN(Множество[[#This Row],[Критерии]])&gt;0,LEN(Множество[[#This Row],[Оценки]])&gt;0),1,-1)</f>
        <v>-1</v>
      </c>
      <c r="AN441" s="208"/>
      <c r="AO441" s="208"/>
      <c r="AP441" s="208"/>
      <c r="AQ441" s="208"/>
      <c r="AR441" s="226"/>
      <c r="AS441" s="225"/>
      <c r="AT441" s="226"/>
      <c r="AU441" s="225"/>
      <c r="AV441" s="225"/>
      <c r="AW441" s="225"/>
      <c r="AX441" s="225"/>
      <c r="AY441" s="225"/>
    </row>
    <row r="442" spans="33:51" x14ac:dyDescent="0.25">
      <c r="AG442" s="66" t="str">
        <f>IF(AND(Множество[[#This Row],[Y]]=1),ROW()-ROW(Множество[[#Headers],[№]]),"")</f>
        <v/>
      </c>
      <c r="AI442" s="66">
        <v>1</v>
      </c>
      <c r="AJ442" s="66">
        <f>IF(LEN(Множество[[#This Row],[Свёртка]])&gt;0,1,-1)</f>
        <v>1</v>
      </c>
      <c r="AK442" s="66" t="s">
        <v>1781</v>
      </c>
      <c r="AL442" s="209">
        <f>IF(LEN(Множество[[#This Row],[Критерии]])&gt;0,1,-1)</f>
        <v>1</v>
      </c>
      <c r="AM442" s="209">
        <f>IF(AND(LEN(Множество[[#This Row],[Свёртка]])&gt;0,LEN(Множество[[#This Row],[Критерии]])&gt;0,LEN(Множество[[#This Row],[Оценки]])&gt;0),1,-1)</f>
        <v>-1</v>
      </c>
      <c r="AN442" s="208"/>
      <c r="AO442" s="208"/>
      <c r="AP442" s="208"/>
      <c r="AQ442" s="208"/>
      <c r="AR442" s="226"/>
      <c r="AS442" s="225"/>
      <c r="AT442" s="226"/>
      <c r="AU442" s="225"/>
      <c r="AV442" s="225"/>
      <c r="AW442" s="225"/>
      <c r="AX442" s="225"/>
      <c r="AY442" s="225"/>
    </row>
    <row r="443" spans="33:51" x14ac:dyDescent="0.25">
      <c r="AG443" s="66" t="str">
        <f>IF(AND(Множество[[#This Row],[Y]]=1),ROW()-ROW(Множество[[#Headers],[№]]),"")</f>
        <v/>
      </c>
      <c r="AI443" s="66">
        <v>1</v>
      </c>
      <c r="AJ443" s="66">
        <f>IF(LEN(Множество[[#This Row],[Свёртка]])&gt;0,1,-1)</f>
        <v>1</v>
      </c>
      <c r="AK443" s="66" t="s">
        <v>1781</v>
      </c>
      <c r="AL443" s="209">
        <f>IF(LEN(Множество[[#This Row],[Критерии]])&gt;0,1,-1)</f>
        <v>1</v>
      </c>
      <c r="AM443" s="209">
        <f>IF(AND(LEN(Множество[[#This Row],[Свёртка]])&gt;0,LEN(Множество[[#This Row],[Критерии]])&gt;0,LEN(Множество[[#This Row],[Оценки]])&gt;0),1,-1)</f>
        <v>-1</v>
      </c>
      <c r="AN443" s="208"/>
      <c r="AO443" s="208"/>
      <c r="AP443" s="208"/>
      <c r="AQ443" s="208"/>
      <c r="AR443" s="226"/>
      <c r="AS443" s="225"/>
      <c r="AT443" s="226"/>
      <c r="AU443" s="225"/>
      <c r="AV443" s="225"/>
      <c r="AW443" s="225"/>
      <c r="AX443" s="225"/>
      <c r="AY443" s="225"/>
    </row>
    <row r="444" spans="33:51" x14ac:dyDescent="0.25">
      <c r="AG444" s="66" t="str">
        <f>IF(AND(Множество[[#This Row],[Y]]=1),ROW()-ROW(Множество[[#Headers],[№]]),"")</f>
        <v/>
      </c>
      <c r="AI444" s="66">
        <v>1</v>
      </c>
      <c r="AJ444" s="66">
        <f>IF(LEN(Множество[[#This Row],[Свёртка]])&gt;0,1,-1)</f>
        <v>1</v>
      </c>
      <c r="AK444" s="66" t="s">
        <v>1781</v>
      </c>
      <c r="AL444" s="209">
        <f>IF(LEN(Множество[[#This Row],[Критерии]])&gt;0,1,-1)</f>
        <v>1</v>
      </c>
      <c r="AM444" s="209">
        <f>IF(AND(LEN(Множество[[#This Row],[Свёртка]])&gt;0,LEN(Множество[[#This Row],[Критерии]])&gt;0,LEN(Множество[[#This Row],[Оценки]])&gt;0),1,-1)</f>
        <v>-1</v>
      </c>
      <c r="AN444" s="208"/>
      <c r="AO444" s="208"/>
      <c r="AP444" s="208"/>
      <c r="AQ444" s="208"/>
      <c r="AR444" s="226"/>
      <c r="AS444" s="225"/>
      <c r="AT444" s="226"/>
      <c r="AU444" s="225"/>
      <c r="AV444" s="225"/>
      <c r="AW444" s="225"/>
      <c r="AX444" s="225"/>
      <c r="AY444" s="225"/>
    </row>
    <row r="445" spans="33:51" x14ac:dyDescent="0.25">
      <c r="AG445" s="66" t="str">
        <f>IF(AND(Множество[[#This Row],[Y]]=1),ROW()-ROW(Множество[[#Headers],[№]]),"")</f>
        <v/>
      </c>
      <c r="AI445" s="66">
        <v>1</v>
      </c>
      <c r="AJ445" s="66">
        <f>IF(LEN(Множество[[#This Row],[Свёртка]])&gt;0,1,-1)</f>
        <v>1</v>
      </c>
      <c r="AK445" s="66" t="s">
        <v>1781</v>
      </c>
      <c r="AL445" s="209">
        <f>IF(LEN(Множество[[#This Row],[Критерии]])&gt;0,1,-1)</f>
        <v>1</v>
      </c>
      <c r="AM445" s="209">
        <f>IF(AND(LEN(Множество[[#This Row],[Свёртка]])&gt;0,LEN(Множество[[#This Row],[Критерии]])&gt;0,LEN(Множество[[#This Row],[Оценки]])&gt;0),1,-1)</f>
        <v>-1</v>
      </c>
      <c r="AN445" s="208"/>
      <c r="AO445" s="208"/>
      <c r="AP445" s="208"/>
      <c r="AQ445" s="208"/>
      <c r="AR445" s="226"/>
      <c r="AS445" s="225"/>
      <c r="AT445" s="226"/>
      <c r="AU445" s="225"/>
      <c r="AV445" s="225"/>
      <c r="AW445" s="225"/>
      <c r="AX445" s="225"/>
      <c r="AY445" s="225"/>
    </row>
    <row r="446" spans="33:51" x14ac:dyDescent="0.25">
      <c r="AG446" s="66" t="str">
        <f>IF(AND(Множество[[#This Row],[Y]]=1),ROW()-ROW(Множество[[#Headers],[№]]),"")</f>
        <v/>
      </c>
      <c r="AI446" s="66">
        <v>1</v>
      </c>
      <c r="AJ446" s="66">
        <f>IF(LEN(Множество[[#This Row],[Свёртка]])&gt;0,1,-1)</f>
        <v>1</v>
      </c>
      <c r="AK446" s="66" t="s">
        <v>1781</v>
      </c>
      <c r="AL446" s="209">
        <f>IF(LEN(Множество[[#This Row],[Критерии]])&gt;0,1,-1)</f>
        <v>1</v>
      </c>
      <c r="AM446" s="209">
        <f>IF(AND(LEN(Множество[[#This Row],[Свёртка]])&gt;0,LEN(Множество[[#This Row],[Критерии]])&gt;0,LEN(Множество[[#This Row],[Оценки]])&gt;0),1,-1)</f>
        <v>-1</v>
      </c>
      <c r="AN446" s="208"/>
      <c r="AO446" s="208"/>
      <c r="AP446" s="208"/>
      <c r="AQ446" s="208"/>
      <c r="AR446" s="226"/>
      <c r="AS446" s="225"/>
      <c r="AT446" s="226"/>
      <c r="AU446" s="225"/>
      <c r="AV446" s="225"/>
      <c r="AW446" s="225"/>
      <c r="AX446" s="225"/>
      <c r="AY446" s="225"/>
    </row>
    <row r="447" spans="33:51" x14ac:dyDescent="0.25">
      <c r="AG447" s="66" t="str">
        <f>IF(AND(Множество[[#This Row],[Y]]=1),ROW()-ROW(Множество[[#Headers],[№]]),"")</f>
        <v/>
      </c>
      <c r="AI447" s="66">
        <v>1</v>
      </c>
      <c r="AJ447" s="66">
        <f>IF(LEN(Множество[[#This Row],[Свёртка]])&gt;0,1,-1)</f>
        <v>1</v>
      </c>
      <c r="AK447" s="66" t="s">
        <v>1781</v>
      </c>
      <c r="AL447" s="209">
        <f>IF(LEN(Множество[[#This Row],[Критерии]])&gt;0,1,-1)</f>
        <v>1</v>
      </c>
      <c r="AM447" s="209">
        <f>IF(AND(LEN(Множество[[#This Row],[Свёртка]])&gt;0,LEN(Множество[[#This Row],[Критерии]])&gt;0,LEN(Множество[[#This Row],[Оценки]])&gt;0),1,-1)</f>
        <v>-1</v>
      </c>
      <c r="AN447" s="208"/>
      <c r="AO447" s="208"/>
      <c r="AP447" s="208"/>
      <c r="AQ447" s="208"/>
      <c r="AR447" s="226"/>
      <c r="AS447" s="225"/>
      <c r="AT447" s="226"/>
      <c r="AU447" s="225"/>
      <c r="AV447" s="225"/>
      <c r="AW447" s="225"/>
      <c r="AX447" s="225"/>
      <c r="AY447" s="225"/>
    </row>
    <row r="448" spans="33:51" x14ac:dyDescent="0.25">
      <c r="AG448" s="66" t="str">
        <f>IF(AND(Множество[[#This Row],[Y]]=1),ROW()-ROW(Множество[[#Headers],[№]]),"")</f>
        <v/>
      </c>
      <c r="AI448" s="66">
        <v>1</v>
      </c>
      <c r="AJ448" s="66">
        <f>IF(LEN(Множество[[#This Row],[Свёртка]])&gt;0,1,-1)</f>
        <v>1</v>
      </c>
      <c r="AK448" s="66" t="s">
        <v>1781</v>
      </c>
      <c r="AL448" s="209">
        <f>IF(LEN(Множество[[#This Row],[Критерии]])&gt;0,1,-1)</f>
        <v>1</v>
      </c>
      <c r="AM448" s="209">
        <f>IF(AND(LEN(Множество[[#This Row],[Свёртка]])&gt;0,LEN(Множество[[#This Row],[Критерии]])&gt;0,LEN(Множество[[#This Row],[Оценки]])&gt;0),1,-1)</f>
        <v>-1</v>
      </c>
      <c r="AN448" s="208"/>
      <c r="AO448" s="208"/>
      <c r="AP448" s="208"/>
      <c r="AQ448" s="208"/>
      <c r="AR448" s="226"/>
      <c r="AS448" s="225"/>
      <c r="AT448" s="226"/>
      <c r="AU448" s="225"/>
      <c r="AV448" s="225"/>
      <c r="AW448" s="225"/>
      <c r="AX448" s="225"/>
      <c r="AY448" s="225"/>
    </row>
    <row r="449" spans="33:51" x14ac:dyDescent="0.25">
      <c r="AG449" s="66" t="str">
        <f>IF(AND(Множество[[#This Row],[Y]]=1),ROW()-ROW(Множество[[#Headers],[№]]),"")</f>
        <v/>
      </c>
      <c r="AI449" s="66">
        <v>1</v>
      </c>
      <c r="AJ449" s="66">
        <f>IF(LEN(Множество[[#This Row],[Свёртка]])&gt;0,1,-1)</f>
        <v>1</v>
      </c>
      <c r="AK449" s="66" t="s">
        <v>1781</v>
      </c>
      <c r="AL449" s="209">
        <f>IF(LEN(Множество[[#This Row],[Критерии]])&gt;0,1,-1)</f>
        <v>1</v>
      </c>
      <c r="AM449" s="209">
        <f>IF(AND(LEN(Множество[[#This Row],[Свёртка]])&gt;0,LEN(Множество[[#This Row],[Критерии]])&gt;0,LEN(Множество[[#This Row],[Оценки]])&gt;0),1,-1)</f>
        <v>-1</v>
      </c>
      <c r="AN449" s="208"/>
      <c r="AO449" s="208"/>
      <c r="AP449" s="208"/>
      <c r="AQ449" s="208"/>
      <c r="AR449" s="226"/>
      <c r="AS449" s="225"/>
      <c r="AT449" s="226"/>
      <c r="AU449" s="225"/>
      <c r="AV449" s="225"/>
      <c r="AW449" s="225"/>
      <c r="AX449" s="225"/>
      <c r="AY449" s="225"/>
    </row>
    <row r="450" spans="33:51" x14ac:dyDescent="0.25">
      <c r="AG450" s="66" t="str">
        <f>IF(AND(Множество[[#This Row],[Y]]=1),ROW()-ROW(Множество[[#Headers],[№]]),"")</f>
        <v/>
      </c>
      <c r="AI450" s="66">
        <v>1</v>
      </c>
      <c r="AJ450" s="66">
        <f>IF(LEN(Множество[[#This Row],[Свёртка]])&gt;0,1,-1)</f>
        <v>1</v>
      </c>
      <c r="AK450" s="66" t="s">
        <v>1781</v>
      </c>
      <c r="AL450" s="209">
        <f>IF(LEN(Множество[[#This Row],[Критерии]])&gt;0,1,-1)</f>
        <v>1</v>
      </c>
      <c r="AM450" s="209">
        <f>IF(AND(LEN(Множество[[#This Row],[Свёртка]])&gt;0,LEN(Множество[[#This Row],[Критерии]])&gt;0,LEN(Множество[[#This Row],[Оценки]])&gt;0),1,-1)</f>
        <v>-1</v>
      </c>
      <c r="AN450" s="208"/>
      <c r="AO450" s="208"/>
      <c r="AP450" s="208"/>
      <c r="AQ450" s="208"/>
      <c r="AR450" s="226"/>
      <c r="AS450" s="225"/>
      <c r="AT450" s="226"/>
      <c r="AU450" s="225"/>
      <c r="AV450" s="225"/>
      <c r="AW450" s="225"/>
      <c r="AX450" s="225"/>
      <c r="AY450" s="225"/>
    </row>
    <row r="451" spans="33:51" x14ac:dyDescent="0.25">
      <c r="AG451" s="66" t="str">
        <f>IF(AND(Множество[[#This Row],[Y]]=1),ROW()-ROW(Множество[[#Headers],[№]]),"")</f>
        <v/>
      </c>
      <c r="AI451" s="66">
        <v>1</v>
      </c>
      <c r="AJ451" s="66">
        <f>IF(LEN(Множество[[#This Row],[Свёртка]])&gt;0,1,-1)</f>
        <v>1</v>
      </c>
      <c r="AK451" s="66" t="s">
        <v>1781</v>
      </c>
      <c r="AL451" s="209">
        <f>IF(LEN(Множество[[#This Row],[Критерии]])&gt;0,1,-1)</f>
        <v>1</v>
      </c>
      <c r="AM451" s="209">
        <f>IF(AND(LEN(Множество[[#This Row],[Свёртка]])&gt;0,LEN(Множество[[#This Row],[Критерии]])&gt;0,LEN(Множество[[#This Row],[Оценки]])&gt;0),1,-1)</f>
        <v>-1</v>
      </c>
      <c r="AN451" s="208"/>
      <c r="AO451" s="208"/>
      <c r="AP451" s="208"/>
      <c r="AQ451" s="208"/>
      <c r="AR451" s="226"/>
      <c r="AS451" s="225"/>
      <c r="AT451" s="226"/>
      <c r="AU451" s="225"/>
      <c r="AV451" s="225"/>
      <c r="AW451" s="225"/>
      <c r="AX451" s="225"/>
      <c r="AY451" s="225"/>
    </row>
    <row r="452" spans="33:51" x14ac:dyDescent="0.25">
      <c r="AG452" s="66" t="str">
        <f>IF(AND(Множество[[#This Row],[Y]]=1),ROW()-ROW(Множество[[#Headers],[№]]),"")</f>
        <v/>
      </c>
      <c r="AI452" s="66">
        <v>1</v>
      </c>
      <c r="AJ452" s="66">
        <f>IF(LEN(Множество[[#This Row],[Свёртка]])&gt;0,1,-1)</f>
        <v>1</v>
      </c>
      <c r="AK452" s="66" t="s">
        <v>1781</v>
      </c>
      <c r="AL452" s="209">
        <f>IF(LEN(Множество[[#This Row],[Критерии]])&gt;0,1,-1)</f>
        <v>1</v>
      </c>
      <c r="AM452" s="209">
        <f>IF(AND(LEN(Множество[[#This Row],[Свёртка]])&gt;0,LEN(Множество[[#This Row],[Критерии]])&gt;0,LEN(Множество[[#This Row],[Оценки]])&gt;0),1,-1)</f>
        <v>-1</v>
      </c>
      <c r="AN452" s="208"/>
      <c r="AO452" s="208"/>
      <c r="AP452" s="208"/>
      <c r="AQ452" s="208"/>
      <c r="AR452" s="226"/>
      <c r="AS452" s="225"/>
      <c r="AT452" s="226"/>
      <c r="AU452" s="225"/>
      <c r="AV452" s="225"/>
      <c r="AW452" s="225"/>
      <c r="AX452" s="225"/>
      <c r="AY452" s="225"/>
    </row>
    <row r="453" spans="33:51" x14ac:dyDescent="0.25">
      <c r="AG453" s="66" t="str">
        <f>IF(AND(Множество[[#This Row],[Y]]=1),ROW()-ROW(Множество[[#Headers],[№]]),"")</f>
        <v/>
      </c>
      <c r="AI453" s="66">
        <v>1</v>
      </c>
      <c r="AJ453" s="66">
        <f>IF(LEN(Множество[[#This Row],[Свёртка]])&gt;0,1,-1)</f>
        <v>1</v>
      </c>
      <c r="AK453" s="66" t="s">
        <v>1781</v>
      </c>
      <c r="AL453" s="209">
        <f>IF(LEN(Множество[[#This Row],[Критерии]])&gt;0,1,-1)</f>
        <v>1</v>
      </c>
      <c r="AM453" s="209">
        <f>IF(AND(LEN(Множество[[#This Row],[Свёртка]])&gt;0,LEN(Множество[[#This Row],[Критерии]])&gt;0,LEN(Множество[[#This Row],[Оценки]])&gt;0),1,-1)</f>
        <v>-1</v>
      </c>
      <c r="AN453" s="208"/>
      <c r="AO453" s="208"/>
      <c r="AP453" s="208"/>
      <c r="AQ453" s="208"/>
      <c r="AR453" s="226"/>
      <c r="AS453" s="225"/>
      <c r="AT453" s="226"/>
      <c r="AU453" s="225"/>
      <c r="AV453" s="225"/>
      <c r="AW453" s="225"/>
      <c r="AX453" s="225"/>
      <c r="AY453" s="225"/>
    </row>
    <row r="454" spans="33:51" x14ac:dyDescent="0.25">
      <c r="AG454" s="66" t="str">
        <f>IF(AND(Множество[[#This Row],[Y]]=1),ROW()-ROW(Множество[[#Headers],[№]]),"")</f>
        <v/>
      </c>
      <c r="AI454" s="66">
        <v>1</v>
      </c>
      <c r="AJ454" s="66">
        <f>IF(LEN(Множество[[#This Row],[Свёртка]])&gt;0,1,-1)</f>
        <v>1</v>
      </c>
      <c r="AK454" s="66" t="s">
        <v>1781</v>
      </c>
      <c r="AL454" s="209">
        <f>IF(LEN(Множество[[#This Row],[Критерии]])&gt;0,1,-1)</f>
        <v>1</v>
      </c>
      <c r="AM454" s="209">
        <f>IF(AND(LEN(Множество[[#This Row],[Свёртка]])&gt;0,LEN(Множество[[#This Row],[Критерии]])&gt;0,LEN(Множество[[#This Row],[Оценки]])&gt;0),1,-1)</f>
        <v>-1</v>
      </c>
      <c r="AN454" s="208"/>
      <c r="AO454" s="208"/>
      <c r="AP454" s="208"/>
      <c r="AQ454" s="208"/>
      <c r="AR454" s="226"/>
      <c r="AS454" s="225"/>
      <c r="AT454" s="226"/>
      <c r="AU454" s="225"/>
      <c r="AV454" s="225"/>
      <c r="AW454" s="225"/>
      <c r="AX454" s="225"/>
      <c r="AY454" s="225"/>
    </row>
    <row r="455" spans="33:51" x14ac:dyDescent="0.25">
      <c r="AG455" s="66" t="str">
        <f>IF(AND(Множество[[#This Row],[Y]]=1),ROW()-ROW(Множество[[#Headers],[№]]),"")</f>
        <v/>
      </c>
      <c r="AI455" s="66">
        <v>1</v>
      </c>
      <c r="AJ455" s="66">
        <f>IF(LEN(Множество[[#This Row],[Свёртка]])&gt;0,1,-1)</f>
        <v>1</v>
      </c>
      <c r="AK455" s="66" t="s">
        <v>1781</v>
      </c>
      <c r="AL455" s="209">
        <f>IF(LEN(Множество[[#This Row],[Критерии]])&gt;0,1,-1)</f>
        <v>1</v>
      </c>
      <c r="AM455" s="209">
        <f>IF(AND(LEN(Множество[[#This Row],[Свёртка]])&gt;0,LEN(Множество[[#This Row],[Критерии]])&gt;0,LEN(Множество[[#This Row],[Оценки]])&gt;0),1,-1)</f>
        <v>-1</v>
      </c>
      <c r="AN455" s="208"/>
      <c r="AO455" s="208"/>
      <c r="AP455" s="208"/>
      <c r="AQ455" s="208"/>
      <c r="AR455" s="226"/>
      <c r="AS455" s="225"/>
      <c r="AT455" s="226"/>
      <c r="AU455" s="225"/>
      <c r="AV455" s="225"/>
      <c r="AW455" s="225"/>
      <c r="AX455" s="225"/>
      <c r="AY455" s="225"/>
    </row>
    <row r="456" spans="33:51" x14ac:dyDescent="0.25">
      <c r="AG456" s="66" t="str">
        <f>IF(AND(Множество[[#This Row],[Y]]=1),ROW()-ROW(Множество[[#Headers],[№]]),"")</f>
        <v/>
      </c>
      <c r="AI456" s="66">
        <v>1</v>
      </c>
      <c r="AJ456" s="66">
        <f>IF(LEN(Множество[[#This Row],[Свёртка]])&gt;0,1,-1)</f>
        <v>1</v>
      </c>
      <c r="AK456" s="66" t="s">
        <v>1781</v>
      </c>
      <c r="AL456" s="209">
        <f>IF(LEN(Множество[[#This Row],[Критерии]])&gt;0,1,-1)</f>
        <v>1</v>
      </c>
      <c r="AM456" s="209">
        <f>IF(AND(LEN(Множество[[#This Row],[Свёртка]])&gt;0,LEN(Множество[[#This Row],[Критерии]])&gt;0,LEN(Множество[[#This Row],[Оценки]])&gt;0),1,-1)</f>
        <v>-1</v>
      </c>
      <c r="AN456" s="208"/>
      <c r="AO456" s="208"/>
      <c r="AP456" s="208"/>
      <c r="AQ456" s="208"/>
      <c r="AR456" s="226"/>
      <c r="AS456" s="225"/>
      <c r="AT456" s="226"/>
      <c r="AU456" s="225"/>
      <c r="AV456" s="225"/>
      <c r="AW456" s="225"/>
      <c r="AX456" s="225"/>
      <c r="AY456" s="225"/>
    </row>
    <row r="457" spans="33:51" x14ac:dyDescent="0.25">
      <c r="AG457" s="66" t="str">
        <f>IF(AND(Множество[[#This Row],[Y]]=1),ROW()-ROW(Множество[[#Headers],[№]]),"")</f>
        <v/>
      </c>
      <c r="AI457" s="66">
        <v>1</v>
      </c>
      <c r="AJ457" s="66">
        <f>IF(LEN(Множество[[#This Row],[Свёртка]])&gt;0,1,-1)</f>
        <v>1</v>
      </c>
      <c r="AK457" s="66" t="s">
        <v>1781</v>
      </c>
      <c r="AL457" s="209">
        <f>IF(LEN(Множество[[#This Row],[Критерии]])&gt;0,1,-1)</f>
        <v>1</v>
      </c>
      <c r="AM457" s="209">
        <f>IF(AND(LEN(Множество[[#This Row],[Свёртка]])&gt;0,LEN(Множество[[#This Row],[Критерии]])&gt;0,LEN(Множество[[#This Row],[Оценки]])&gt;0),1,-1)</f>
        <v>-1</v>
      </c>
      <c r="AN457" s="208"/>
      <c r="AO457" s="208"/>
      <c r="AP457" s="208"/>
      <c r="AQ457" s="208"/>
      <c r="AR457" s="226"/>
      <c r="AS457" s="225"/>
      <c r="AT457" s="226"/>
      <c r="AU457" s="225"/>
      <c r="AV457" s="225"/>
      <c r="AW457" s="225"/>
      <c r="AX457" s="225"/>
      <c r="AY457" s="225"/>
    </row>
    <row r="458" spans="33:51" x14ac:dyDescent="0.25">
      <c r="AG458" s="66" t="str">
        <f>IF(AND(Множество[[#This Row],[Y]]=1),ROW()-ROW(Множество[[#Headers],[№]]),"")</f>
        <v/>
      </c>
      <c r="AI458" s="66">
        <v>1</v>
      </c>
      <c r="AJ458" s="66">
        <f>IF(LEN(Множество[[#This Row],[Свёртка]])&gt;0,1,-1)</f>
        <v>1</v>
      </c>
      <c r="AK458" s="66" t="s">
        <v>1781</v>
      </c>
      <c r="AL458" s="209">
        <f>IF(LEN(Множество[[#This Row],[Критерии]])&gt;0,1,-1)</f>
        <v>1</v>
      </c>
      <c r="AM458" s="209">
        <f>IF(AND(LEN(Множество[[#This Row],[Свёртка]])&gt;0,LEN(Множество[[#This Row],[Критерии]])&gt;0,LEN(Множество[[#This Row],[Оценки]])&gt;0),1,-1)</f>
        <v>-1</v>
      </c>
      <c r="AN458" s="208"/>
      <c r="AO458" s="208"/>
      <c r="AP458" s="208"/>
      <c r="AQ458" s="208"/>
      <c r="AR458" s="226"/>
      <c r="AS458" s="225"/>
      <c r="AT458" s="226"/>
      <c r="AU458" s="225"/>
      <c r="AV458" s="225"/>
      <c r="AW458" s="225"/>
      <c r="AX458" s="225"/>
      <c r="AY458" s="225"/>
    </row>
    <row r="459" spans="33:51" x14ac:dyDescent="0.25">
      <c r="AG459" s="66" t="str">
        <f>IF(AND(Множество[[#This Row],[Y]]=1),ROW()-ROW(Множество[[#Headers],[№]]),"")</f>
        <v/>
      </c>
      <c r="AI459" s="66">
        <v>1</v>
      </c>
      <c r="AJ459" s="66">
        <f>IF(LEN(Множество[[#This Row],[Свёртка]])&gt;0,1,-1)</f>
        <v>1</v>
      </c>
      <c r="AK459" s="66" t="s">
        <v>1781</v>
      </c>
      <c r="AL459" s="209">
        <f>IF(LEN(Множество[[#This Row],[Критерии]])&gt;0,1,-1)</f>
        <v>1</v>
      </c>
      <c r="AM459" s="209">
        <f>IF(AND(LEN(Множество[[#This Row],[Свёртка]])&gt;0,LEN(Множество[[#This Row],[Критерии]])&gt;0,LEN(Множество[[#This Row],[Оценки]])&gt;0),1,-1)</f>
        <v>-1</v>
      </c>
      <c r="AN459" s="208"/>
      <c r="AO459" s="208"/>
      <c r="AP459" s="208"/>
      <c r="AQ459" s="208"/>
      <c r="AR459" s="226"/>
      <c r="AS459" s="225"/>
      <c r="AT459" s="226"/>
      <c r="AU459" s="225"/>
      <c r="AV459" s="225"/>
      <c r="AW459" s="225"/>
      <c r="AX459" s="225"/>
      <c r="AY459" s="225"/>
    </row>
    <row r="460" spans="33:51" x14ac:dyDescent="0.25">
      <c r="AG460" s="66" t="str">
        <f>IF(AND(Множество[[#This Row],[Y]]=1),ROW()-ROW(Множество[[#Headers],[№]]),"")</f>
        <v/>
      </c>
      <c r="AI460" s="66">
        <v>1</v>
      </c>
      <c r="AJ460" s="66">
        <f>IF(LEN(Множество[[#This Row],[Свёртка]])&gt;0,1,-1)</f>
        <v>1</v>
      </c>
      <c r="AK460" s="66" t="s">
        <v>1781</v>
      </c>
      <c r="AL460" s="209">
        <f>IF(LEN(Множество[[#This Row],[Критерии]])&gt;0,1,-1)</f>
        <v>1</v>
      </c>
      <c r="AM460" s="209">
        <f>IF(AND(LEN(Множество[[#This Row],[Свёртка]])&gt;0,LEN(Множество[[#This Row],[Критерии]])&gt;0,LEN(Множество[[#This Row],[Оценки]])&gt;0),1,-1)</f>
        <v>-1</v>
      </c>
      <c r="AN460" s="208"/>
      <c r="AO460" s="208"/>
      <c r="AP460" s="208"/>
      <c r="AQ460" s="208"/>
      <c r="AR460" s="226"/>
      <c r="AS460" s="225"/>
      <c r="AT460" s="226"/>
      <c r="AU460" s="225"/>
      <c r="AV460" s="225"/>
      <c r="AW460" s="225"/>
      <c r="AX460" s="225"/>
      <c r="AY460" s="225"/>
    </row>
    <row r="461" spans="33:51" x14ac:dyDescent="0.25">
      <c r="AG461" s="66" t="str">
        <f>IF(AND(Множество[[#This Row],[Y]]=1),ROW()-ROW(Множество[[#Headers],[№]]),"")</f>
        <v/>
      </c>
      <c r="AI461" s="66">
        <v>1</v>
      </c>
      <c r="AJ461" s="66">
        <f>IF(LEN(Множество[[#This Row],[Свёртка]])&gt;0,1,-1)</f>
        <v>1</v>
      </c>
      <c r="AK461" s="66" t="s">
        <v>1781</v>
      </c>
      <c r="AL461" s="209">
        <f>IF(LEN(Множество[[#This Row],[Критерии]])&gt;0,1,-1)</f>
        <v>1</v>
      </c>
      <c r="AM461" s="209">
        <f>IF(AND(LEN(Множество[[#This Row],[Свёртка]])&gt;0,LEN(Множество[[#This Row],[Критерии]])&gt;0,LEN(Множество[[#This Row],[Оценки]])&gt;0),1,-1)</f>
        <v>-1</v>
      </c>
      <c r="AN461" s="208"/>
      <c r="AO461" s="208"/>
      <c r="AP461" s="208"/>
      <c r="AQ461" s="208"/>
      <c r="AR461" s="226"/>
      <c r="AS461" s="225"/>
      <c r="AT461" s="226"/>
      <c r="AU461" s="225"/>
      <c r="AV461" s="225"/>
      <c r="AW461" s="225"/>
      <c r="AX461" s="225"/>
      <c r="AY461" s="225"/>
    </row>
    <row r="462" spans="33:51" x14ac:dyDescent="0.25">
      <c r="AG462" s="66" t="str">
        <f>IF(AND(Множество[[#This Row],[Y]]=1),ROW()-ROW(Множество[[#Headers],[№]]),"")</f>
        <v/>
      </c>
      <c r="AI462" s="66">
        <v>1</v>
      </c>
      <c r="AJ462" s="66">
        <f>IF(LEN(Множество[[#This Row],[Свёртка]])&gt;0,1,-1)</f>
        <v>1</v>
      </c>
      <c r="AK462" s="66" t="s">
        <v>1781</v>
      </c>
      <c r="AL462" s="209">
        <f>IF(LEN(Множество[[#This Row],[Критерии]])&gt;0,1,-1)</f>
        <v>1</v>
      </c>
      <c r="AM462" s="209">
        <f>IF(AND(LEN(Множество[[#This Row],[Свёртка]])&gt;0,LEN(Множество[[#This Row],[Критерии]])&gt;0,LEN(Множество[[#This Row],[Оценки]])&gt;0),1,-1)</f>
        <v>-1</v>
      </c>
      <c r="AN462" s="208"/>
      <c r="AO462" s="208"/>
      <c r="AP462" s="208"/>
      <c r="AQ462" s="208"/>
      <c r="AR462" s="226"/>
      <c r="AS462" s="225"/>
      <c r="AT462" s="226"/>
      <c r="AU462" s="225"/>
      <c r="AV462" s="225"/>
      <c r="AW462" s="225"/>
      <c r="AX462" s="225"/>
      <c r="AY462" s="225"/>
    </row>
    <row r="463" spans="33:51" x14ac:dyDescent="0.25">
      <c r="AG463" s="66" t="str">
        <f>IF(AND(Множество[[#This Row],[Y]]=1),ROW()-ROW(Множество[[#Headers],[№]]),"")</f>
        <v/>
      </c>
      <c r="AI463" s="66">
        <v>1</v>
      </c>
      <c r="AJ463" s="66">
        <f>IF(LEN(Множество[[#This Row],[Свёртка]])&gt;0,1,-1)</f>
        <v>1</v>
      </c>
      <c r="AK463" s="66" t="s">
        <v>1781</v>
      </c>
      <c r="AL463" s="209">
        <f>IF(LEN(Множество[[#This Row],[Критерии]])&gt;0,1,-1)</f>
        <v>1</v>
      </c>
      <c r="AM463" s="209">
        <f>IF(AND(LEN(Множество[[#This Row],[Свёртка]])&gt;0,LEN(Множество[[#This Row],[Критерии]])&gt;0,LEN(Множество[[#This Row],[Оценки]])&gt;0),1,-1)</f>
        <v>-1</v>
      </c>
      <c r="AN463" s="208"/>
      <c r="AO463" s="208"/>
      <c r="AP463" s="208"/>
      <c r="AQ463" s="208"/>
      <c r="AR463" s="226"/>
      <c r="AS463" s="225"/>
      <c r="AT463" s="226"/>
      <c r="AU463" s="225"/>
      <c r="AV463" s="225"/>
      <c r="AW463" s="225"/>
      <c r="AX463" s="225"/>
      <c r="AY463" s="225"/>
    </row>
    <row r="464" spans="33:51" x14ac:dyDescent="0.25">
      <c r="AG464" s="66" t="str">
        <f>IF(AND(Множество[[#This Row],[Y]]=1),ROW()-ROW(Множество[[#Headers],[№]]),"")</f>
        <v/>
      </c>
      <c r="AI464" s="66">
        <v>1</v>
      </c>
      <c r="AJ464" s="66">
        <f>IF(LEN(Множество[[#This Row],[Свёртка]])&gt;0,1,-1)</f>
        <v>1</v>
      </c>
      <c r="AK464" s="66" t="s">
        <v>1781</v>
      </c>
      <c r="AL464" s="209">
        <f>IF(LEN(Множество[[#This Row],[Критерии]])&gt;0,1,-1)</f>
        <v>1</v>
      </c>
      <c r="AM464" s="209">
        <f>IF(AND(LEN(Множество[[#This Row],[Свёртка]])&gt;0,LEN(Множество[[#This Row],[Критерии]])&gt;0,LEN(Множество[[#This Row],[Оценки]])&gt;0),1,-1)</f>
        <v>-1</v>
      </c>
      <c r="AN464" s="208"/>
      <c r="AO464" s="208"/>
      <c r="AP464" s="208"/>
      <c r="AQ464" s="208"/>
      <c r="AR464" s="226"/>
      <c r="AS464" s="225"/>
      <c r="AT464" s="226"/>
      <c r="AU464" s="225"/>
      <c r="AV464" s="225"/>
      <c r="AW464" s="225"/>
      <c r="AX464" s="225"/>
      <c r="AY464" s="225"/>
    </row>
    <row r="465" spans="33:51" x14ac:dyDescent="0.25">
      <c r="AG465" s="66" t="str">
        <f>IF(AND(Множество[[#This Row],[Y]]=1),ROW()-ROW(Множество[[#Headers],[№]]),"")</f>
        <v/>
      </c>
      <c r="AI465" s="66">
        <v>1</v>
      </c>
      <c r="AJ465" s="66">
        <f>IF(LEN(Множество[[#This Row],[Свёртка]])&gt;0,1,-1)</f>
        <v>1</v>
      </c>
      <c r="AK465" s="66" t="s">
        <v>1781</v>
      </c>
      <c r="AL465" s="209">
        <f>IF(LEN(Множество[[#This Row],[Критерии]])&gt;0,1,-1)</f>
        <v>1</v>
      </c>
      <c r="AM465" s="209">
        <f>IF(AND(LEN(Множество[[#This Row],[Свёртка]])&gt;0,LEN(Множество[[#This Row],[Критерии]])&gt;0,LEN(Множество[[#This Row],[Оценки]])&gt;0),1,-1)</f>
        <v>-1</v>
      </c>
      <c r="AN465" s="208"/>
      <c r="AO465" s="208"/>
      <c r="AP465" s="208"/>
      <c r="AQ465" s="208"/>
      <c r="AR465" s="226"/>
      <c r="AS465" s="225"/>
      <c r="AT465" s="226"/>
      <c r="AU465" s="225"/>
      <c r="AV465" s="225"/>
      <c r="AW465" s="225"/>
      <c r="AX465" s="225"/>
      <c r="AY465" s="225"/>
    </row>
    <row r="466" spans="33:51" x14ac:dyDescent="0.25">
      <c r="AG466" s="66" t="str">
        <f>IF(AND(Множество[[#This Row],[Y]]=1),ROW()-ROW(Множество[[#Headers],[№]]),"")</f>
        <v/>
      </c>
      <c r="AI466" s="66">
        <v>1</v>
      </c>
      <c r="AJ466" s="66">
        <f>IF(LEN(Множество[[#This Row],[Свёртка]])&gt;0,1,-1)</f>
        <v>1</v>
      </c>
      <c r="AK466" s="66" t="s">
        <v>1781</v>
      </c>
      <c r="AL466" s="209">
        <f>IF(LEN(Множество[[#This Row],[Критерии]])&gt;0,1,-1)</f>
        <v>1</v>
      </c>
      <c r="AM466" s="209">
        <f>IF(AND(LEN(Множество[[#This Row],[Свёртка]])&gt;0,LEN(Множество[[#This Row],[Критерии]])&gt;0,LEN(Множество[[#This Row],[Оценки]])&gt;0),1,-1)</f>
        <v>-1</v>
      </c>
      <c r="AN466" s="208"/>
      <c r="AO466" s="208"/>
      <c r="AP466" s="208"/>
      <c r="AQ466" s="208"/>
      <c r="AR466" s="226"/>
      <c r="AS466" s="225"/>
      <c r="AT466" s="226"/>
      <c r="AU466" s="225"/>
      <c r="AV466" s="225"/>
      <c r="AW466" s="225"/>
      <c r="AX466" s="225"/>
      <c r="AY466" s="225"/>
    </row>
    <row r="467" spans="33:51" x14ac:dyDescent="0.25">
      <c r="AG467" s="66" t="str">
        <f>IF(AND(Множество[[#This Row],[Y]]=1),ROW()-ROW(Множество[[#Headers],[№]]),"")</f>
        <v/>
      </c>
      <c r="AI467" s="66">
        <v>1</v>
      </c>
      <c r="AJ467" s="66">
        <f>IF(LEN(Множество[[#This Row],[Свёртка]])&gt;0,1,-1)</f>
        <v>1</v>
      </c>
      <c r="AK467" s="66" t="s">
        <v>1781</v>
      </c>
      <c r="AL467" s="209">
        <f>IF(LEN(Множество[[#This Row],[Критерии]])&gt;0,1,-1)</f>
        <v>1</v>
      </c>
      <c r="AM467" s="209">
        <f>IF(AND(LEN(Множество[[#This Row],[Свёртка]])&gt;0,LEN(Множество[[#This Row],[Критерии]])&gt;0,LEN(Множество[[#This Row],[Оценки]])&gt;0),1,-1)</f>
        <v>-1</v>
      </c>
      <c r="AN467" s="208"/>
      <c r="AO467" s="208"/>
      <c r="AP467" s="208"/>
      <c r="AQ467" s="208"/>
      <c r="AR467" s="226"/>
      <c r="AS467" s="225"/>
      <c r="AT467" s="226"/>
      <c r="AU467" s="225"/>
      <c r="AV467" s="225"/>
      <c r="AW467" s="225"/>
      <c r="AX467" s="225"/>
      <c r="AY467" s="225"/>
    </row>
    <row r="468" spans="33:51" x14ac:dyDescent="0.25">
      <c r="AG468" s="66" t="str">
        <f>IF(AND(Множество[[#This Row],[Y]]=1),ROW()-ROW(Множество[[#Headers],[№]]),"")</f>
        <v/>
      </c>
      <c r="AI468" s="66">
        <v>1</v>
      </c>
      <c r="AJ468" s="66">
        <f>IF(LEN(Множество[[#This Row],[Свёртка]])&gt;0,1,-1)</f>
        <v>1</v>
      </c>
      <c r="AK468" s="66" t="s">
        <v>1781</v>
      </c>
      <c r="AL468" s="209">
        <f>IF(LEN(Множество[[#This Row],[Критерии]])&gt;0,1,-1)</f>
        <v>1</v>
      </c>
      <c r="AM468" s="209">
        <f>IF(AND(LEN(Множество[[#This Row],[Свёртка]])&gt;0,LEN(Множество[[#This Row],[Критерии]])&gt;0,LEN(Множество[[#This Row],[Оценки]])&gt;0),1,-1)</f>
        <v>-1</v>
      </c>
      <c r="AN468" s="208"/>
      <c r="AO468" s="208"/>
      <c r="AP468" s="208"/>
      <c r="AQ468" s="208"/>
      <c r="AR468" s="226"/>
      <c r="AS468" s="225"/>
      <c r="AT468" s="226"/>
      <c r="AU468" s="225"/>
      <c r="AV468" s="225"/>
      <c r="AW468" s="225"/>
      <c r="AX468" s="225"/>
      <c r="AY468" s="225"/>
    </row>
    <row r="469" spans="33:51" x14ac:dyDescent="0.25">
      <c r="AG469" s="66" t="str">
        <f>IF(AND(Множество[[#This Row],[Y]]=1),ROW()-ROW(Множество[[#Headers],[№]]),"")</f>
        <v/>
      </c>
      <c r="AI469" s="66">
        <v>1</v>
      </c>
      <c r="AJ469" s="66">
        <f>IF(LEN(Множество[[#This Row],[Свёртка]])&gt;0,1,-1)</f>
        <v>1</v>
      </c>
      <c r="AK469" s="66" t="s">
        <v>1781</v>
      </c>
      <c r="AL469" s="209">
        <f>IF(LEN(Множество[[#This Row],[Критерии]])&gt;0,1,-1)</f>
        <v>1</v>
      </c>
      <c r="AM469" s="209">
        <f>IF(AND(LEN(Множество[[#This Row],[Свёртка]])&gt;0,LEN(Множество[[#This Row],[Критерии]])&gt;0,LEN(Множество[[#This Row],[Оценки]])&gt;0),1,-1)</f>
        <v>-1</v>
      </c>
      <c r="AN469" s="208"/>
      <c r="AO469" s="208"/>
      <c r="AP469" s="208"/>
      <c r="AQ469" s="208"/>
      <c r="AR469" s="226"/>
      <c r="AS469" s="225"/>
      <c r="AT469" s="226"/>
      <c r="AU469" s="225"/>
      <c r="AV469" s="225"/>
      <c r="AW469" s="225"/>
      <c r="AX469" s="225"/>
      <c r="AY469" s="225"/>
    </row>
    <row r="470" spans="33:51" x14ac:dyDescent="0.25">
      <c r="AG470" s="66" t="str">
        <f>IF(AND(Множество[[#This Row],[Y]]=1),ROW()-ROW(Множество[[#Headers],[№]]),"")</f>
        <v/>
      </c>
      <c r="AI470" s="66">
        <v>1</v>
      </c>
      <c r="AJ470" s="66">
        <f>IF(LEN(Множество[[#This Row],[Свёртка]])&gt;0,1,-1)</f>
        <v>1</v>
      </c>
      <c r="AK470" s="66" t="s">
        <v>1781</v>
      </c>
      <c r="AL470" s="209">
        <f>IF(LEN(Множество[[#This Row],[Критерии]])&gt;0,1,-1)</f>
        <v>1</v>
      </c>
      <c r="AM470" s="209">
        <f>IF(AND(LEN(Множество[[#This Row],[Свёртка]])&gt;0,LEN(Множество[[#This Row],[Критерии]])&gt;0,LEN(Множество[[#This Row],[Оценки]])&gt;0),1,-1)</f>
        <v>-1</v>
      </c>
      <c r="AN470" s="208"/>
      <c r="AO470" s="208"/>
      <c r="AP470" s="208"/>
      <c r="AQ470" s="208"/>
      <c r="AR470" s="226"/>
      <c r="AS470" s="225"/>
      <c r="AT470" s="226"/>
      <c r="AU470" s="225"/>
      <c r="AV470" s="225"/>
      <c r="AW470" s="225"/>
      <c r="AX470" s="225"/>
      <c r="AY470" s="225"/>
    </row>
    <row r="471" spans="33:51" x14ac:dyDescent="0.25">
      <c r="AG471" s="66" t="str">
        <f>IF(AND(Множество[[#This Row],[Y]]=1),ROW()-ROW(Множество[[#Headers],[№]]),"")</f>
        <v/>
      </c>
      <c r="AI471" s="66">
        <v>1</v>
      </c>
      <c r="AJ471" s="66">
        <f>IF(LEN(Множество[[#This Row],[Свёртка]])&gt;0,1,-1)</f>
        <v>1</v>
      </c>
      <c r="AK471" s="66" t="s">
        <v>1781</v>
      </c>
      <c r="AL471" s="209">
        <f>IF(LEN(Множество[[#This Row],[Критерии]])&gt;0,1,-1)</f>
        <v>1</v>
      </c>
      <c r="AM471" s="209">
        <f>IF(AND(LEN(Множество[[#This Row],[Свёртка]])&gt;0,LEN(Множество[[#This Row],[Критерии]])&gt;0,LEN(Множество[[#This Row],[Оценки]])&gt;0),1,-1)</f>
        <v>-1</v>
      </c>
      <c r="AN471" s="208"/>
      <c r="AO471" s="208"/>
      <c r="AP471" s="208"/>
      <c r="AQ471" s="208"/>
      <c r="AR471" s="226"/>
      <c r="AS471" s="225"/>
      <c r="AT471" s="226"/>
      <c r="AU471" s="225"/>
      <c r="AV471" s="225"/>
      <c r="AW471" s="225"/>
      <c r="AX471" s="225"/>
      <c r="AY471" s="225"/>
    </row>
    <row r="472" spans="33:51" x14ac:dyDescent="0.25">
      <c r="AG472" s="66" t="str">
        <f>IF(AND(Множество[[#This Row],[Y]]=1),ROW()-ROW(Множество[[#Headers],[№]]),"")</f>
        <v/>
      </c>
      <c r="AI472" s="66">
        <v>1</v>
      </c>
      <c r="AJ472" s="66">
        <f>IF(LEN(Множество[[#This Row],[Свёртка]])&gt;0,1,-1)</f>
        <v>1</v>
      </c>
      <c r="AK472" s="66" t="s">
        <v>1781</v>
      </c>
      <c r="AL472" s="209">
        <f>IF(LEN(Множество[[#This Row],[Критерии]])&gt;0,1,-1)</f>
        <v>1</v>
      </c>
      <c r="AM472" s="209">
        <f>IF(AND(LEN(Множество[[#This Row],[Свёртка]])&gt;0,LEN(Множество[[#This Row],[Критерии]])&gt;0,LEN(Множество[[#This Row],[Оценки]])&gt;0),1,-1)</f>
        <v>-1</v>
      </c>
      <c r="AN472" s="208"/>
      <c r="AO472" s="208"/>
      <c r="AP472" s="208"/>
      <c r="AQ472" s="208"/>
      <c r="AR472" s="226"/>
      <c r="AS472" s="225"/>
      <c r="AT472" s="226"/>
      <c r="AU472" s="225"/>
      <c r="AV472" s="225"/>
      <c r="AW472" s="225"/>
      <c r="AX472" s="225"/>
      <c r="AY472" s="225"/>
    </row>
    <row r="473" spans="33:51" x14ac:dyDescent="0.25">
      <c r="AG473" s="66" t="str">
        <f>IF(AND(Множество[[#This Row],[Y]]=1),ROW()-ROW(Множество[[#Headers],[№]]),"")</f>
        <v/>
      </c>
      <c r="AI473" s="66">
        <v>1</v>
      </c>
      <c r="AJ473" s="66">
        <f>IF(LEN(Множество[[#This Row],[Свёртка]])&gt;0,1,-1)</f>
        <v>1</v>
      </c>
      <c r="AK473" s="66" t="s">
        <v>1781</v>
      </c>
      <c r="AL473" s="209">
        <f>IF(LEN(Множество[[#This Row],[Критерии]])&gt;0,1,-1)</f>
        <v>1</v>
      </c>
      <c r="AM473" s="209">
        <f>IF(AND(LEN(Множество[[#This Row],[Свёртка]])&gt;0,LEN(Множество[[#This Row],[Критерии]])&gt;0,LEN(Множество[[#This Row],[Оценки]])&gt;0),1,-1)</f>
        <v>-1</v>
      </c>
      <c r="AN473" s="208"/>
      <c r="AO473" s="208"/>
      <c r="AP473" s="208"/>
      <c r="AQ473" s="208"/>
      <c r="AR473" s="226"/>
      <c r="AS473" s="225"/>
      <c r="AT473" s="226"/>
      <c r="AU473" s="225"/>
      <c r="AV473" s="225"/>
      <c r="AW473" s="225"/>
      <c r="AX473" s="225"/>
      <c r="AY473" s="225"/>
    </row>
    <row r="474" spans="33:51" x14ac:dyDescent="0.25">
      <c r="AG474" s="66" t="str">
        <f>IF(AND(Множество[[#This Row],[Y]]=1),ROW()-ROW(Множество[[#Headers],[№]]),"")</f>
        <v/>
      </c>
      <c r="AI474" s="66">
        <v>1</v>
      </c>
      <c r="AJ474" s="66">
        <f>IF(LEN(Множество[[#This Row],[Свёртка]])&gt;0,1,-1)</f>
        <v>1</v>
      </c>
      <c r="AK474" s="66" t="s">
        <v>1781</v>
      </c>
      <c r="AL474" s="209">
        <f>IF(LEN(Множество[[#This Row],[Критерии]])&gt;0,1,-1)</f>
        <v>1</v>
      </c>
      <c r="AM474" s="209">
        <f>IF(AND(LEN(Множество[[#This Row],[Свёртка]])&gt;0,LEN(Множество[[#This Row],[Критерии]])&gt;0,LEN(Множество[[#This Row],[Оценки]])&gt;0),1,-1)</f>
        <v>-1</v>
      </c>
      <c r="AN474" s="208"/>
      <c r="AO474" s="208"/>
      <c r="AP474" s="208"/>
      <c r="AQ474" s="208"/>
      <c r="AR474" s="226"/>
      <c r="AS474" s="225"/>
      <c r="AT474" s="226"/>
      <c r="AU474" s="225"/>
      <c r="AV474" s="225"/>
      <c r="AW474" s="225"/>
      <c r="AX474" s="225"/>
      <c r="AY474" s="225"/>
    </row>
    <row r="475" spans="33:51" x14ac:dyDescent="0.25">
      <c r="AG475" s="66" t="str">
        <f>IF(AND(Множество[[#This Row],[Y]]=1),ROW()-ROW(Множество[[#Headers],[№]]),"")</f>
        <v/>
      </c>
      <c r="AI475" s="66">
        <v>1</v>
      </c>
      <c r="AJ475" s="66">
        <f>IF(LEN(Множество[[#This Row],[Свёртка]])&gt;0,1,-1)</f>
        <v>1</v>
      </c>
      <c r="AK475" s="66" t="s">
        <v>1781</v>
      </c>
      <c r="AL475" s="209">
        <f>IF(LEN(Множество[[#This Row],[Критерии]])&gt;0,1,-1)</f>
        <v>1</v>
      </c>
      <c r="AM475" s="209">
        <f>IF(AND(LEN(Множество[[#This Row],[Свёртка]])&gt;0,LEN(Множество[[#This Row],[Критерии]])&gt;0,LEN(Множество[[#This Row],[Оценки]])&gt;0),1,-1)</f>
        <v>-1</v>
      </c>
      <c r="AN475" s="208"/>
      <c r="AO475" s="208"/>
      <c r="AP475" s="208"/>
      <c r="AQ475" s="208"/>
      <c r="AR475" s="226"/>
      <c r="AS475" s="225"/>
      <c r="AT475" s="226"/>
      <c r="AU475" s="225"/>
      <c r="AV475" s="225"/>
      <c r="AW475" s="225"/>
      <c r="AX475" s="225"/>
      <c r="AY475" s="225"/>
    </row>
    <row r="476" spans="33:51" x14ac:dyDescent="0.25">
      <c r="AG476" s="66" t="str">
        <f>IF(AND(Множество[[#This Row],[Y]]=1),ROW()-ROW(Множество[[#Headers],[№]]),"")</f>
        <v/>
      </c>
      <c r="AI476" s="66">
        <v>1</v>
      </c>
      <c r="AJ476" s="66">
        <f>IF(LEN(Множество[[#This Row],[Свёртка]])&gt;0,1,-1)</f>
        <v>1</v>
      </c>
      <c r="AK476" s="66" t="s">
        <v>1781</v>
      </c>
      <c r="AL476" s="209">
        <f>IF(LEN(Множество[[#This Row],[Критерии]])&gt;0,1,-1)</f>
        <v>1</v>
      </c>
      <c r="AM476" s="209">
        <f>IF(AND(LEN(Множество[[#This Row],[Свёртка]])&gt;0,LEN(Множество[[#This Row],[Критерии]])&gt;0,LEN(Множество[[#This Row],[Оценки]])&gt;0),1,-1)</f>
        <v>-1</v>
      </c>
      <c r="AN476" s="208"/>
      <c r="AO476" s="208"/>
      <c r="AP476" s="208"/>
      <c r="AQ476" s="208"/>
      <c r="AR476" s="226"/>
      <c r="AS476" s="225"/>
      <c r="AT476" s="226"/>
      <c r="AU476" s="225"/>
      <c r="AV476" s="225"/>
      <c r="AW476" s="225"/>
      <c r="AX476" s="225"/>
      <c r="AY476" s="225"/>
    </row>
    <row r="477" spans="33:51" x14ac:dyDescent="0.25">
      <c r="AG477" s="66" t="str">
        <f>IF(AND(Множество[[#This Row],[Y]]=1),ROW()-ROW(Множество[[#Headers],[№]]),"")</f>
        <v/>
      </c>
      <c r="AI477" s="66">
        <v>1</v>
      </c>
      <c r="AJ477" s="66">
        <f>IF(LEN(Множество[[#This Row],[Свёртка]])&gt;0,1,-1)</f>
        <v>1</v>
      </c>
      <c r="AK477" s="66" t="s">
        <v>1781</v>
      </c>
      <c r="AL477" s="209">
        <f>IF(LEN(Множество[[#This Row],[Критерии]])&gt;0,1,-1)</f>
        <v>1</v>
      </c>
      <c r="AM477" s="209">
        <f>IF(AND(LEN(Множество[[#This Row],[Свёртка]])&gt;0,LEN(Множество[[#This Row],[Критерии]])&gt;0,LEN(Множество[[#This Row],[Оценки]])&gt;0),1,-1)</f>
        <v>-1</v>
      </c>
      <c r="AN477" s="208"/>
      <c r="AO477" s="208"/>
      <c r="AP477" s="208"/>
      <c r="AQ477" s="208"/>
      <c r="AR477" s="226"/>
      <c r="AS477" s="225"/>
      <c r="AT477" s="226"/>
      <c r="AU477" s="225"/>
      <c r="AV477" s="225"/>
      <c r="AW477" s="225"/>
      <c r="AX477" s="225"/>
      <c r="AY477" s="225"/>
    </row>
    <row r="478" spans="33:51" x14ac:dyDescent="0.25">
      <c r="AG478" s="66" t="str">
        <f>IF(AND(Множество[[#This Row],[Y]]=1),ROW()-ROW(Множество[[#Headers],[№]]),"")</f>
        <v/>
      </c>
      <c r="AI478" s="66">
        <v>1</v>
      </c>
      <c r="AJ478" s="66">
        <f>IF(LEN(Множество[[#This Row],[Свёртка]])&gt;0,1,-1)</f>
        <v>1</v>
      </c>
      <c r="AK478" s="66" t="s">
        <v>1781</v>
      </c>
      <c r="AL478" s="209">
        <f>IF(LEN(Множество[[#This Row],[Критерии]])&gt;0,1,-1)</f>
        <v>1</v>
      </c>
      <c r="AM478" s="209">
        <f>IF(AND(LEN(Множество[[#This Row],[Свёртка]])&gt;0,LEN(Множество[[#This Row],[Критерии]])&gt;0,LEN(Множество[[#This Row],[Оценки]])&gt;0),1,-1)</f>
        <v>-1</v>
      </c>
      <c r="AN478" s="208"/>
      <c r="AO478" s="208"/>
      <c r="AP478" s="208"/>
      <c r="AQ478" s="208"/>
      <c r="AR478" s="226"/>
      <c r="AS478" s="225"/>
      <c r="AT478" s="226"/>
      <c r="AU478" s="225"/>
      <c r="AV478" s="225"/>
      <c r="AW478" s="225"/>
      <c r="AX478" s="225"/>
      <c r="AY478" s="225"/>
    </row>
    <row r="479" spans="33:51" x14ac:dyDescent="0.25">
      <c r="AG479" s="66" t="str">
        <f>IF(AND(Множество[[#This Row],[Y]]=1),ROW()-ROW(Множество[[#Headers],[№]]),"")</f>
        <v/>
      </c>
      <c r="AI479" s="66">
        <v>1</v>
      </c>
      <c r="AJ479" s="66">
        <f>IF(LEN(Множество[[#This Row],[Свёртка]])&gt;0,1,-1)</f>
        <v>1</v>
      </c>
      <c r="AK479" s="66" t="s">
        <v>1781</v>
      </c>
      <c r="AL479" s="209">
        <f>IF(LEN(Множество[[#This Row],[Критерии]])&gt;0,1,-1)</f>
        <v>1</v>
      </c>
      <c r="AM479" s="209">
        <f>IF(AND(LEN(Множество[[#This Row],[Свёртка]])&gt;0,LEN(Множество[[#This Row],[Критерии]])&gt;0,LEN(Множество[[#This Row],[Оценки]])&gt;0),1,-1)</f>
        <v>-1</v>
      </c>
      <c r="AN479" s="208"/>
      <c r="AO479" s="208"/>
      <c r="AP479" s="208"/>
      <c r="AQ479" s="208"/>
      <c r="AR479" s="226"/>
      <c r="AS479" s="225"/>
      <c r="AT479" s="226"/>
      <c r="AU479" s="225"/>
      <c r="AV479" s="225"/>
      <c r="AW479" s="225"/>
      <c r="AX479" s="225"/>
      <c r="AY479" s="225"/>
    </row>
    <row r="480" spans="33:51" x14ac:dyDescent="0.25">
      <c r="AG480" s="66" t="str">
        <f>IF(AND(Множество[[#This Row],[Y]]=1),ROW()-ROW(Множество[[#Headers],[№]]),"")</f>
        <v/>
      </c>
      <c r="AI480" s="66">
        <v>1</v>
      </c>
      <c r="AJ480" s="66">
        <f>IF(LEN(Множество[[#This Row],[Свёртка]])&gt;0,1,-1)</f>
        <v>1</v>
      </c>
      <c r="AK480" s="66" t="s">
        <v>1781</v>
      </c>
      <c r="AL480" s="209">
        <f>IF(LEN(Множество[[#This Row],[Критерии]])&gt;0,1,-1)</f>
        <v>1</v>
      </c>
      <c r="AM480" s="209">
        <f>IF(AND(LEN(Множество[[#This Row],[Свёртка]])&gt;0,LEN(Множество[[#This Row],[Критерии]])&gt;0,LEN(Множество[[#This Row],[Оценки]])&gt;0),1,-1)</f>
        <v>-1</v>
      </c>
      <c r="AN480" s="208"/>
      <c r="AO480" s="208"/>
      <c r="AP480" s="208"/>
      <c r="AQ480" s="208"/>
      <c r="AR480" s="226"/>
      <c r="AS480" s="225"/>
      <c r="AT480" s="226"/>
      <c r="AU480" s="225"/>
      <c r="AV480" s="225"/>
      <c r="AW480" s="225"/>
      <c r="AX480" s="225"/>
      <c r="AY480" s="225"/>
    </row>
    <row r="481" spans="33:51" x14ac:dyDescent="0.25">
      <c r="AG481" s="66" t="str">
        <f>IF(AND(Множество[[#This Row],[Y]]=1),ROW()-ROW(Множество[[#Headers],[№]]),"")</f>
        <v/>
      </c>
      <c r="AI481" s="66">
        <v>1</v>
      </c>
      <c r="AJ481" s="66">
        <f>IF(LEN(Множество[[#This Row],[Свёртка]])&gt;0,1,-1)</f>
        <v>1</v>
      </c>
      <c r="AK481" s="66" t="s">
        <v>1781</v>
      </c>
      <c r="AL481" s="209">
        <f>IF(LEN(Множество[[#This Row],[Критерии]])&gt;0,1,-1)</f>
        <v>1</v>
      </c>
      <c r="AM481" s="209">
        <f>IF(AND(LEN(Множество[[#This Row],[Свёртка]])&gt;0,LEN(Множество[[#This Row],[Критерии]])&gt;0,LEN(Множество[[#This Row],[Оценки]])&gt;0),1,-1)</f>
        <v>-1</v>
      </c>
      <c r="AN481" s="208"/>
      <c r="AO481" s="208"/>
      <c r="AP481" s="208"/>
      <c r="AQ481" s="208"/>
      <c r="AR481" s="226"/>
      <c r="AS481" s="225"/>
      <c r="AT481" s="226"/>
      <c r="AU481" s="225"/>
      <c r="AV481" s="225"/>
      <c r="AW481" s="225"/>
      <c r="AX481" s="225"/>
      <c r="AY481" s="225"/>
    </row>
    <row r="482" spans="33:51" x14ac:dyDescent="0.25">
      <c r="AG482" s="66" t="str">
        <f>IF(AND(Множество[[#This Row],[Y]]=1),ROW()-ROW(Множество[[#Headers],[№]]),"")</f>
        <v/>
      </c>
      <c r="AI482" s="66">
        <v>1</v>
      </c>
      <c r="AJ482" s="66">
        <f>IF(LEN(Множество[[#This Row],[Свёртка]])&gt;0,1,-1)</f>
        <v>1</v>
      </c>
      <c r="AK482" s="66" t="s">
        <v>1781</v>
      </c>
      <c r="AL482" s="209">
        <f>IF(LEN(Множество[[#This Row],[Критерии]])&gt;0,1,-1)</f>
        <v>1</v>
      </c>
      <c r="AM482" s="209">
        <f>IF(AND(LEN(Множество[[#This Row],[Свёртка]])&gt;0,LEN(Множество[[#This Row],[Критерии]])&gt;0,LEN(Множество[[#This Row],[Оценки]])&gt;0),1,-1)</f>
        <v>-1</v>
      </c>
      <c r="AN482" s="208"/>
      <c r="AO482" s="208"/>
      <c r="AP482" s="208"/>
      <c r="AQ482" s="208"/>
      <c r="AR482" s="226"/>
      <c r="AS482" s="225"/>
      <c r="AT482" s="226"/>
      <c r="AU482" s="225"/>
      <c r="AV482" s="225"/>
      <c r="AW482" s="225"/>
      <c r="AX482" s="225"/>
      <c r="AY482" s="225"/>
    </row>
    <row r="483" spans="33:51" x14ac:dyDescent="0.25">
      <c r="AG483" s="66" t="str">
        <f>IF(AND(Множество[[#This Row],[Y]]=1),ROW()-ROW(Множество[[#Headers],[№]]),"")</f>
        <v/>
      </c>
      <c r="AI483" s="66">
        <v>1</v>
      </c>
      <c r="AJ483" s="66">
        <f>IF(LEN(Множество[[#This Row],[Свёртка]])&gt;0,1,-1)</f>
        <v>1</v>
      </c>
      <c r="AK483" s="66" t="s">
        <v>1781</v>
      </c>
      <c r="AL483" s="209">
        <f>IF(LEN(Множество[[#This Row],[Критерии]])&gt;0,1,-1)</f>
        <v>1</v>
      </c>
      <c r="AM483" s="209">
        <f>IF(AND(LEN(Множество[[#This Row],[Свёртка]])&gt;0,LEN(Множество[[#This Row],[Критерии]])&gt;0,LEN(Множество[[#This Row],[Оценки]])&gt;0),1,-1)</f>
        <v>-1</v>
      </c>
      <c r="AN483" s="208"/>
      <c r="AO483" s="208"/>
      <c r="AP483" s="208"/>
      <c r="AQ483" s="208"/>
      <c r="AR483" s="226"/>
      <c r="AS483" s="225"/>
      <c r="AT483" s="226"/>
      <c r="AU483" s="225"/>
      <c r="AV483" s="225"/>
      <c r="AW483" s="225"/>
      <c r="AX483" s="225"/>
      <c r="AY483" s="225"/>
    </row>
    <row r="484" spans="33:51" x14ac:dyDescent="0.25">
      <c r="AG484" s="66" t="str">
        <f>IF(AND(Множество[[#This Row],[Y]]=1),ROW()-ROW(Множество[[#Headers],[№]]),"")</f>
        <v/>
      </c>
      <c r="AI484" s="66">
        <v>1</v>
      </c>
      <c r="AJ484" s="66">
        <f>IF(LEN(Множество[[#This Row],[Свёртка]])&gt;0,1,-1)</f>
        <v>1</v>
      </c>
      <c r="AK484" s="66" t="s">
        <v>1781</v>
      </c>
      <c r="AL484" s="209">
        <f>IF(LEN(Множество[[#This Row],[Критерии]])&gt;0,1,-1)</f>
        <v>1</v>
      </c>
      <c r="AM484" s="209">
        <f>IF(AND(LEN(Множество[[#This Row],[Свёртка]])&gt;0,LEN(Множество[[#This Row],[Критерии]])&gt;0,LEN(Множество[[#This Row],[Оценки]])&gt;0),1,-1)</f>
        <v>-1</v>
      </c>
      <c r="AN484" s="208"/>
      <c r="AO484" s="208"/>
      <c r="AP484" s="208"/>
      <c r="AQ484" s="208"/>
      <c r="AR484" s="226"/>
      <c r="AS484" s="225"/>
      <c r="AT484" s="226"/>
      <c r="AU484" s="225"/>
      <c r="AV484" s="225"/>
      <c r="AW484" s="225"/>
      <c r="AX484" s="225"/>
      <c r="AY484" s="225"/>
    </row>
    <row r="485" spans="33:51" x14ac:dyDescent="0.25">
      <c r="AG485" s="66" t="str">
        <f>IF(AND(Множество[[#This Row],[Y]]=1),ROW()-ROW(Множество[[#Headers],[№]]),"")</f>
        <v/>
      </c>
      <c r="AI485" s="66">
        <v>1</v>
      </c>
      <c r="AJ485" s="66">
        <f>IF(LEN(Множество[[#This Row],[Свёртка]])&gt;0,1,-1)</f>
        <v>1</v>
      </c>
      <c r="AK485" s="66" t="s">
        <v>1781</v>
      </c>
      <c r="AL485" s="209">
        <f>IF(LEN(Множество[[#This Row],[Критерии]])&gt;0,1,-1)</f>
        <v>1</v>
      </c>
      <c r="AM485" s="209">
        <f>IF(AND(LEN(Множество[[#This Row],[Свёртка]])&gt;0,LEN(Множество[[#This Row],[Критерии]])&gt;0,LEN(Множество[[#This Row],[Оценки]])&gt;0),1,-1)</f>
        <v>-1</v>
      </c>
      <c r="AN485" s="208"/>
      <c r="AO485" s="208"/>
      <c r="AP485" s="208"/>
      <c r="AQ485" s="208"/>
      <c r="AR485" s="226"/>
      <c r="AS485" s="225"/>
      <c r="AT485" s="226"/>
      <c r="AU485" s="225"/>
      <c r="AV485" s="225"/>
      <c r="AW485" s="225"/>
      <c r="AX485" s="225"/>
      <c r="AY485" s="225"/>
    </row>
    <row r="486" spans="33:51" x14ac:dyDescent="0.25">
      <c r="AG486" s="66" t="str">
        <f>IF(AND(Множество[[#This Row],[Y]]=1),ROW()-ROW(Множество[[#Headers],[№]]),"")</f>
        <v/>
      </c>
      <c r="AI486" s="66">
        <v>1</v>
      </c>
      <c r="AJ486" s="66">
        <f>IF(LEN(Множество[[#This Row],[Свёртка]])&gt;0,1,-1)</f>
        <v>1</v>
      </c>
      <c r="AK486" s="66" t="s">
        <v>1781</v>
      </c>
      <c r="AL486" s="209">
        <f>IF(LEN(Множество[[#This Row],[Критерии]])&gt;0,1,-1)</f>
        <v>1</v>
      </c>
      <c r="AM486" s="209">
        <f>IF(AND(LEN(Множество[[#This Row],[Свёртка]])&gt;0,LEN(Множество[[#This Row],[Критерии]])&gt;0,LEN(Множество[[#This Row],[Оценки]])&gt;0),1,-1)</f>
        <v>-1</v>
      </c>
      <c r="AN486" s="208"/>
      <c r="AO486" s="208"/>
      <c r="AP486" s="208"/>
      <c r="AQ486" s="208"/>
      <c r="AR486" s="226"/>
      <c r="AS486" s="225"/>
      <c r="AT486" s="226"/>
      <c r="AU486" s="225"/>
      <c r="AV486" s="225"/>
      <c r="AW486" s="225"/>
      <c r="AX486" s="225"/>
      <c r="AY486" s="225"/>
    </row>
    <row r="487" spans="33:51" x14ac:dyDescent="0.25">
      <c r="AG487" s="66" t="str">
        <f>IF(AND(Множество[[#This Row],[Y]]=1),ROW()-ROW(Множество[[#Headers],[№]]),"")</f>
        <v/>
      </c>
      <c r="AI487" s="66">
        <v>1</v>
      </c>
      <c r="AJ487" s="66">
        <f>IF(LEN(Множество[[#This Row],[Свёртка]])&gt;0,1,-1)</f>
        <v>1</v>
      </c>
      <c r="AK487" s="66" t="s">
        <v>1781</v>
      </c>
      <c r="AL487" s="209">
        <f>IF(LEN(Множество[[#This Row],[Критерии]])&gt;0,1,-1)</f>
        <v>1</v>
      </c>
      <c r="AM487" s="209">
        <f>IF(AND(LEN(Множество[[#This Row],[Свёртка]])&gt;0,LEN(Множество[[#This Row],[Критерии]])&gt;0,LEN(Множество[[#This Row],[Оценки]])&gt;0),1,-1)</f>
        <v>-1</v>
      </c>
      <c r="AN487" s="208"/>
      <c r="AO487" s="208"/>
      <c r="AP487" s="208"/>
      <c r="AQ487" s="208"/>
      <c r="AR487" s="226"/>
      <c r="AS487" s="225"/>
      <c r="AT487" s="226"/>
      <c r="AU487" s="225"/>
      <c r="AV487" s="225"/>
      <c r="AW487" s="225"/>
      <c r="AX487" s="225"/>
      <c r="AY487" s="225"/>
    </row>
    <row r="488" spans="33:51" x14ac:dyDescent="0.25">
      <c r="AG488" s="66" t="str">
        <f>IF(AND(Множество[[#This Row],[Y]]=1),ROW()-ROW(Множество[[#Headers],[№]]),"")</f>
        <v/>
      </c>
      <c r="AI488" s="66">
        <v>1</v>
      </c>
      <c r="AJ488" s="66">
        <f>IF(LEN(Множество[[#This Row],[Свёртка]])&gt;0,1,-1)</f>
        <v>1</v>
      </c>
      <c r="AK488" s="66" t="s">
        <v>1781</v>
      </c>
      <c r="AL488" s="209">
        <f>IF(LEN(Множество[[#This Row],[Критерии]])&gt;0,1,-1)</f>
        <v>1</v>
      </c>
      <c r="AM488" s="209">
        <f>IF(AND(LEN(Множество[[#This Row],[Свёртка]])&gt;0,LEN(Множество[[#This Row],[Критерии]])&gt;0,LEN(Множество[[#This Row],[Оценки]])&gt;0),1,-1)</f>
        <v>-1</v>
      </c>
      <c r="AN488" s="208"/>
      <c r="AO488" s="208"/>
      <c r="AP488" s="208"/>
      <c r="AQ488" s="208"/>
      <c r="AR488" s="226"/>
      <c r="AS488" s="225"/>
      <c r="AT488" s="226"/>
      <c r="AU488" s="225"/>
      <c r="AV488" s="225"/>
      <c r="AW488" s="225"/>
      <c r="AX488" s="225"/>
      <c r="AY488" s="225"/>
    </row>
    <row r="489" spans="33:51" x14ac:dyDescent="0.25">
      <c r="AG489" s="66" t="str">
        <f>IF(AND(Множество[[#This Row],[Y]]=1),ROW()-ROW(Множество[[#Headers],[№]]),"")</f>
        <v/>
      </c>
      <c r="AI489" s="66">
        <v>1</v>
      </c>
      <c r="AJ489" s="66">
        <f>IF(LEN(Множество[[#This Row],[Свёртка]])&gt;0,1,-1)</f>
        <v>1</v>
      </c>
      <c r="AK489" s="66" t="s">
        <v>1781</v>
      </c>
      <c r="AL489" s="209">
        <f>IF(LEN(Множество[[#This Row],[Критерии]])&gt;0,1,-1)</f>
        <v>1</v>
      </c>
      <c r="AM489" s="209">
        <f>IF(AND(LEN(Множество[[#This Row],[Свёртка]])&gt;0,LEN(Множество[[#This Row],[Критерии]])&gt;0,LEN(Множество[[#This Row],[Оценки]])&gt;0),1,-1)</f>
        <v>-1</v>
      </c>
      <c r="AN489" s="208"/>
      <c r="AO489" s="208"/>
      <c r="AP489" s="208"/>
      <c r="AQ489" s="208"/>
      <c r="AR489" s="226"/>
      <c r="AS489" s="225"/>
      <c r="AT489" s="226"/>
      <c r="AU489" s="225"/>
      <c r="AV489" s="225"/>
      <c r="AW489" s="225"/>
      <c r="AX489" s="225"/>
      <c r="AY489" s="225"/>
    </row>
    <row r="490" spans="33:51" x14ac:dyDescent="0.25">
      <c r="AG490" s="66" t="str">
        <f>IF(AND(Множество[[#This Row],[Y]]=1),ROW()-ROW(Множество[[#Headers],[№]]),"")</f>
        <v/>
      </c>
      <c r="AI490" s="66">
        <v>1</v>
      </c>
      <c r="AJ490" s="66">
        <f>IF(LEN(Множество[[#This Row],[Свёртка]])&gt;0,1,-1)</f>
        <v>1</v>
      </c>
      <c r="AK490" s="66" t="s">
        <v>1781</v>
      </c>
      <c r="AL490" s="209">
        <f>IF(LEN(Множество[[#This Row],[Критерии]])&gt;0,1,-1)</f>
        <v>1</v>
      </c>
      <c r="AM490" s="209">
        <f>IF(AND(LEN(Множество[[#This Row],[Свёртка]])&gt;0,LEN(Множество[[#This Row],[Критерии]])&gt;0,LEN(Множество[[#This Row],[Оценки]])&gt;0),1,-1)</f>
        <v>-1</v>
      </c>
      <c r="AN490" s="208"/>
      <c r="AO490" s="208"/>
      <c r="AP490" s="208"/>
      <c r="AQ490" s="208"/>
      <c r="AR490" s="226"/>
      <c r="AS490" s="225"/>
      <c r="AT490" s="226"/>
      <c r="AU490" s="225"/>
      <c r="AV490" s="225"/>
      <c r="AW490" s="225"/>
      <c r="AX490" s="225"/>
      <c r="AY490" s="225"/>
    </row>
    <row r="491" spans="33:51" x14ac:dyDescent="0.25">
      <c r="AG491" s="66" t="str">
        <f>IF(AND(Множество[[#This Row],[Y]]=1),ROW()-ROW(Множество[[#Headers],[№]]),"")</f>
        <v/>
      </c>
      <c r="AI491" s="66">
        <v>1</v>
      </c>
      <c r="AJ491" s="66">
        <f>IF(LEN(Множество[[#This Row],[Свёртка]])&gt;0,1,-1)</f>
        <v>1</v>
      </c>
      <c r="AK491" s="66" t="s">
        <v>1781</v>
      </c>
      <c r="AL491" s="209">
        <f>IF(LEN(Множество[[#This Row],[Критерии]])&gt;0,1,-1)</f>
        <v>1</v>
      </c>
      <c r="AM491" s="209">
        <f>IF(AND(LEN(Множество[[#This Row],[Свёртка]])&gt;0,LEN(Множество[[#This Row],[Критерии]])&gt;0,LEN(Множество[[#This Row],[Оценки]])&gt;0),1,-1)</f>
        <v>-1</v>
      </c>
      <c r="AN491" s="208"/>
      <c r="AO491" s="208"/>
      <c r="AP491" s="208"/>
      <c r="AQ491" s="208"/>
      <c r="AR491" s="226"/>
      <c r="AS491" s="225"/>
      <c r="AT491" s="226"/>
      <c r="AU491" s="225"/>
      <c r="AV491" s="225"/>
      <c r="AW491" s="225"/>
      <c r="AX491" s="225"/>
      <c r="AY491" s="225"/>
    </row>
    <row r="492" spans="33:51" x14ac:dyDescent="0.25">
      <c r="AG492" s="66" t="str">
        <f>IF(AND(Множество[[#This Row],[Y]]=1),ROW()-ROW(Множество[[#Headers],[№]]),"")</f>
        <v/>
      </c>
      <c r="AI492" s="66">
        <v>1</v>
      </c>
      <c r="AJ492" s="66">
        <f>IF(LEN(Множество[[#This Row],[Свёртка]])&gt;0,1,-1)</f>
        <v>1</v>
      </c>
      <c r="AK492" s="66" t="s">
        <v>1781</v>
      </c>
      <c r="AL492" s="209">
        <f>IF(LEN(Множество[[#This Row],[Критерии]])&gt;0,1,-1)</f>
        <v>1</v>
      </c>
      <c r="AM492" s="209">
        <f>IF(AND(LEN(Множество[[#This Row],[Свёртка]])&gt;0,LEN(Множество[[#This Row],[Критерии]])&gt;0,LEN(Множество[[#This Row],[Оценки]])&gt;0),1,-1)</f>
        <v>-1</v>
      </c>
      <c r="AN492" s="208"/>
      <c r="AO492" s="208"/>
      <c r="AP492" s="208"/>
      <c r="AQ492" s="208"/>
      <c r="AR492" s="226"/>
      <c r="AS492" s="225"/>
      <c r="AT492" s="226"/>
      <c r="AU492" s="225"/>
      <c r="AV492" s="225"/>
      <c r="AW492" s="225"/>
      <c r="AX492" s="225"/>
      <c r="AY492" s="225"/>
    </row>
    <row r="493" spans="33:51" x14ac:dyDescent="0.25">
      <c r="AG493" s="66" t="str">
        <f>IF(AND(Множество[[#This Row],[Y]]=1),ROW()-ROW(Множество[[#Headers],[№]]),"")</f>
        <v/>
      </c>
      <c r="AI493" s="66">
        <v>1</v>
      </c>
      <c r="AJ493" s="66">
        <f>IF(LEN(Множество[[#This Row],[Свёртка]])&gt;0,1,-1)</f>
        <v>1</v>
      </c>
      <c r="AK493" s="66" t="s">
        <v>1781</v>
      </c>
      <c r="AL493" s="209">
        <f>IF(LEN(Множество[[#This Row],[Критерии]])&gt;0,1,-1)</f>
        <v>1</v>
      </c>
      <c r="AM493" s="209">
        <f>IF(AND(LEN(Множество[[#This Row],[Свёртка]])&gt;0,LEN(Множество[[#This Row],[Критерии]])&gt;0,LEN(Множество[[#This Row],[Оценки]])&gt;0),1,-1)</f>
        <v>-1</v>
      </c>
      <c r="AN493" s="208"/>
      <c r="AO493" s="208"/>
      <c r="AP493" s="208"/>
      <c r="AQ493" s="208"/>
      <c r="AR493" s="226"/>
      <c r="AS493" s="225"/>
      <c r="AT493" s="226"/>
      <c r="AU493" s="225"/>
      <c r="AV493" s="225"/>
      <c r="AW493" s="225"/>
      <c r="AX493" s="225"/>
      <c r="AY493" s="225"/>
    </row>
    <row r="494" spans="33:51" x14ac:dyDescent="0.25">
      <c r="AG494" s="66" t="str">
        <f>IF(AND(Множество[[#This Row],[Y]]=1),ROW()-ROW(Множество[[#Headers],[№]]),"")</f>
        <v/>
      </c>
      <c r="AI494" s="66">
        <v>1</v>
      </c>
      <c r="AJ494" s="66">
        <f>IF(LEN(Множество[[#This Row],[Свёртка]])&gt;0,1,-1)</f>
        <v>1</v>
      </c>
      <c r="AK494" s="66" t="s">
        <v>1781</v>
      </c>
      <c r="AL494" s="209">
        <f>IF(LEN(Множество[[#This Row],[Критерии]])&gt;0,1,-1)</f>
        <v>1</v>
      </c>
      <c r="AM494" s="209">
        <f>IF(AND(LEN(Множество[[#This Row],[Свёртка]])&gt;0,LEN(Множество[[#This Row],[Критерии]])&gt;0,LEN(Множество[[#This Row],[Оценки]])&gt;0),1,-1)</f>
        <v>-1</v>
      </c>
      <c r="AN494" s="208"/>
      <c r="AO494" s="208"/>
      <c r="AP494" s="208"/>
      <c r="AQ494" s="208"/>
      <c r="AR494" s="226"/>
      <c r="AS494" s="225"/>
      <c r="AT494" s="226"/>
      <c r="AU494" s="225"/>
      <c r="AV494" s="225"/>
      <c r="AW494" s="225"/>
      <c r="AX494" s="225"/>
      <c r="AY494" s="225"/>
    </row>
    <row r="495" spans="33:51" x14ac:dyDescent="0.25">
      <c r="AG495" s="66" t="str">
        <f>IF(AND(Множество[[#This Row],[Y]]=1),ROW()-ROW(Множество[[#Headers],[№]]),"")</f>
        <v/>
      </c>
      <c r="AI495" s="66">
        <v>1</v>
      </c>
      <c r="AJ495" s="66">
        <f>IF(LEN(Множество[[#This Row],[Свёртка]])&gt;0,1,-1)</f>
        <v>1</v>
      </c>
      <c r="AK495" s="66" t="s">
        <v>1781</v>
      </c>
      <c r="AL495" s="209">
        <f>IF(LEN(Множество[[#This Row],[Критерии]])&gt;0,1,-1)</f>
        <v>1</v>
      </c>
      <c r="AM495" s="209">
        <f>IF(AND(LEN(Множество[[#This Row],[Свёртка]])&gt;0,LEN(Множество[[#This Row],[Критерии]])&gt;0,LEN(Множество[[#This Row],[Оценки]])&gt;0),1,-1)</f>
        <v>-1</v>
      </c>
      <c r="AN495" s="208"/>
      <c r="AO495" s="208"/>
      <c r="AP495" s="208"/>
      <c r="AQ495" s="208"/>
      <c r="AR495" s="226"/>
      <c r="AS495" s="225"/>
      <c r="AT495" s="226"/>
      <c r="AU495" s="225"/>
      <c r="AV495" s="225"/>
      <c r="AW495" s="225"/>
      <c r="AX495" s="225"/>
      <c r="AY495" s="225"/>
    </row>
    <row r="496" spans="33:51" x14ac:dyDescent="0.25">
      <c r="AG496" s="66" t="str">
        <f>IF(AND(Множество[[#This Row],[Y]]=1),ROW()-ROW(Множество[[#Headers],[№]]),"")</f>
        <v/>
      </c>
      <c r="AI496" s="66">
        <v>1</v>
      </c>
      <c r="AJ496" s="66">
        <f>IF(LEN(Множество[[#This Row],[Свёртка]])&gt;0,1,-1)</f>
        <v>1</v>
      </c>
      <c r="AK496" s="66" t="s">
        <v>1781</v>
      </c>
      <c r="AL496" s="209">
        <f>IF(LEN(Множество[[#This Row],[Критерии]])&gt;0,1,-1)</f>
        <v>1</v>
      </c>
      <c r="AM496" s="209">
        <f>IF(AND(LEN(Множество[[#This Row],[Свёртка]])&gt;0,LEN(Множество[[#This Row],[Критерии]])&gt;0,LEN(Множество[[#This Row],[Оценки]])&gt;0),1,-1)</f>
        <v>-1</v>
      </c>
      <c r="AN496" s="208"/>
      <c r="AO496" s="208"/>
      <c r="AP496" s="208"/>
      <c r="AQ496" s="208"/>
      <c r="AR496" s="226"/>
      <c r="AS496" s="225"/>
      <c r="AT496" s="226"/>
      <c r="AU496" s="225"/>
      <c r="AV496" s="225"/>
      <c r="AW496" s="225"/>
      <c r="AX496" s="225"/>
      <c r="AY496" s="225"/>
    </row>
    <row r="497" spans="33:51" x14ac:dyDescent="0.25">
      <c r="AG497" s="66" t="str">
        <f>IF(AND(Множество[[#This Row],[Y]]=1),ROW()-ROW(Множество[[#Headers],[№]]),"")</f>
        <v/>
      </c>
      <c r="AI497" s="66">
        <v>1</v>
      </c>
      <c r="AJ497" s="66">
        <f>IF(LEN(Множество[[#This Row],[Свёртка]])&gt;0,1,-1)</f>
        <v>1</v>
      </c>
      <c r="AK497" s="66" t="s">
        <v>1781</v>
      </c>
      <c r="AL497" s="209">
        <f>IF(LEN(Множество[[#This Row],[Критерии]])&gt;0,1,-1)</f>
        <v>1</v>
      </c>
      <c r="AM497" s="209">
        <f>IF(AND(LEN(Множество[[#This Row],[Свёртка]])&gt;0,LEN(Множество[[#This Row],[Критерии]])&gt;0,LEN(Множество[[#This Row],[Оценки]])&gt;0),1,-1)</f>
        <v>-1</v>
      </c>
      <c r="AN497" s="208"/>
      <c r="AO497" s="208"/>
      <c r="AP497" s="208"/>
      <c r="AQ497" s="208"/>
      <c r="AR497" s="226"/>
      <c r="AS497" s="225"/>
      <c r="AT497" s="226"/>
      <c r="AU497" s="225"/>
      <c r="AV497" s="225"/>
      <c r="AW497" s="225"/>
      <c r="AX497" s="225"/>
      <c r="AY497" s="225"/>
    </row>
    <row r="498" spans="33:51" x14ac:dyDescent="0.25">
      <c r="AG498" s="66" t="str">
        <f>IF(AND(Множество[[#This Row],[Y]]=1),ROW()-ROW(Множество[[#Headers],[№]]),"")</f>
        <v/>
      </c>
      <c r="AI498" s="66">
        <v>1</v>
      </c>
      <c r="AJ498" s="66">
        <f>IF(LEN(Множество[[#This Row],[Свёртка]])&gt;0,1,-1)</f>
        <v>1</v>
      </c>
      <c r="AK498" s="66" t="s">
        <v>1781</v>
      </c>
      <c r="AL498" s="209">
        <f>IF(LEN(Множество[[#This Row],[Критерии]])&gt;0,1,-1)</f>
        <v>1</v>
      </c>
      <c r="AM498" s="209">
        <f>IF(AND(LEN(Множество[[#This Row],[Свёртка]])&gt;0,LEN(Множество[[#This Row],[Критерии]])&gt;0,LEN(Множество[[#This Row],[Оценки]])&gt;0),1,-1)</f>
        <v>-1</v>
      </c>
      <c r="AN498" s="208"/>
      <c r="AO498" s="208"/>
      <c r="AP498" s="208"/>
      <c r="AQ498" s="208"/>
      <c r="AR498" s="226"/>
      <c r="AS498" s="225"/>
      <c r="AT498" s="226"/>
      <c r="AU498" s="225"/>
      <c r="AV498" s="225"/>
      <c r="AW498" s="225"/>
      <c r="AX498" s="225"/>
      <c r="AY498" s="225"/>
    </row>
    <row r="499" spans="33:51" x14ac:dyDescent="0.25">
      <c r="AG499" s="66" t="str">
        <f>IF(AND(Множество[[#This Row],[Y]]=1),ROW()-ROW(Множество[[#Headers],[№]]),"")</f>
        <v/>
      </c>
      <c r="AI499" s="66">
        <v>1</v>
      </c>
      <c r="AJ499" s="66">
        <f>IF(LEN(Множество[[#This Row],[Свёртка]])&gt;0,1,-1)</f>
        <v>1</v>
      </c>
      <c r="AK499" s="66" t="s">
        <v>1781</v>
      </c>
      <c r="AL499" s="209">
        <f>IF(LEN(Множество[[#This Row],[Критерии]])&gt;0,1,-1)</f>
        <v>1</v>
      </c>
      <c r="AM499" s="209">
        <f>IF(AND(LEN(Множество[[#This Row],[Свёртка]])&gt;0,LEN(Множество[[#This Row],[Критерии]])&gt;0,LEN(Множество[[#This Row],[Оценки]])&gt;0),1,-1)</f>
        <v>-1</v>
      </c>
      <c r="AN499" s="208"/>
      <c r="AO499" s="208"/>
      <c r="AP499" s="208"/>
      <c r="AQ499" s="208"/>
      <c r="AR499" s="226"/>
      <c r="AS499" s="225"/>
      <c r="AT499" s="226"/>
      <c r="AU499" s="225"/>
      <c r="AV499" s="225"/>
      <c r="AW499" s="225"/>
      <c r="AX499" s="225"/>
      <c r="AY499" s="225"/>
    </row>
    <row r="500" spans="33:51" x14ac:dyDescent="0.25">
      <c r="AG500" s="66" t="str">
        <f>IF(AND(Множество[[#This Row],[Y]]=1),ROW()-ROW(Множество[[#Headers],[№]]),"")</f>
        <v/>
      </c>
      <c r="AI500" s="66">
        <v>1</v>
      </c>
      <c r="AJ500" s="66">
        <f>IF(LEN(Множество[[#This Row],[Свёртка]])&gt;0,1,-1)</f>
        <v>1</v>
      </c>
      <c r="AK500" s="66" t="s">
        <v>1781</v>
      </c>
      <c r="AL500" s="209">
        <f>IF(LEN(Множество[[#This Row],[Критерии]])&gt;0,1,-1)</f>
        <v>1</v>
      </c>
      <c r="AM500" s="209">
        <f>IF(AND(LEN(Множество[[#This Row],[Свёртка]])&gt;0,LEN(Множество[[#This Row],[Критерии]])&gt;0,LEN(Множество[[#This Row],[Оценки]])&gt;0),1,-1)</f>
        <v>-1</v>
      </c>
      <c r="AN500" s="208"/>
      <c r="AO500" s="208"/>
      <c r="AP500" s="208"/>
      <c r="AQ500" s="208"/>
      <c r="AR500" s="226"/>
      <c r="AS500" s="225"/>
      <c r="AT500" s="226"/>
      <c r="AU500" s="225"/>
      <c r="AV500" s="225"/>
      <c r="AW500" s="225"/>
      <c r="AX500" s="225"/>
      <c r="AY500" s="225"/>
    </row>
    <row r="501" spans="33:51" x14ac:dyDescent="0.25">
      <c r="AG501" s="66" t="str">
        <f>IF(AND(Множество[[#This Row],[Y]]=1),ROW()-ROW(Множество[[#Headers],[№]]),"")</f>
        <v/>
      </c>
      <c r="AI501" s="66">
        <v>1</v>
      </c>
      <c r="AJ501" s="66">
        <f>IF(LEN(Множество[[#This Row],[Свёртка]])&gt;0,1,-1)</f>
        <v>1</v>
      </c>
      <c r="AK501" s="66" t="s">
        <v>1781</v>
      </c>
      <c r="AL501" s="209">
        <f>IF(LEN(Множество[[#This Row],[Критерии]])&gt;0,1,-1)</f>
        <v>1</v>
      </c>
      <c r="AM501" s="209">
        <f>IF(AND(LEN(Множество[[#This Row],[Свёртка]])&gt;0,LEN(Множество[[#This Row],[Критерии]])&gt;0,LEN(Множество[[#This Row],[Оценки]])&gt;0),1,-1)</f>
        <v>-1</v>
      </c>
      <c r="AN501" s="208"/>
      <c r="AO501" s="208"/>
      <c r="AP501" s="208"/>
      <c r="AQ501" s="208"/>
      <c r="AR501" s="226"/>
      <c r="AS501" s="225"/>
      <c r="AT501" s="226"/>
      <c r="AU501" s="225"/>
      <c r="AV501" s="225"/>
      <c r="AW501" s="225"/>
      <c r="AX501" s="225"/>
      <c r="AY501" s="225"/>
    </row>
    <row r="502" spans="33:51" x14ac:dyDescent="0.25">
      <c r="AG502" s="66" t="str">
        <f>IF(AND(Множество[[#This Row],[Y]]=1),ROW()-ROW(Множество[[#Headers],[№]]),"")</f>
        <v/>
      </c>
      <c r="AI502" s="66">
        <v>1</v>
      </c>
      <c r="AJ502" s="66">
        <f>IF(LEN(Множество[[#This Row],[Свёртка]])&gt;0,1,-1)</f>
        <v>1</v>
      </c>
      <c r="AK502" s="66" t="s">
        <v>1781</v>
      </c>
      <c r="AL502" s="209">
        <f>IF(LEN(Множество[[#This Row],[Критерии]])&gt;0,1,-1)</f>
        <v>1</v>
      </c>
      <c r="AM502" s="209">
        <f>IF(AND(LEN(Множество[[#This Row],[Свёртка]])&gt;0,LEN(Множество[[#This Row],[Критерии]])&gt;0,LEN(Множество[[#This Row],[Оценки]])&gt;0),1,-1)</f>
        <v>-1</v>
      </c>
      <c r="AN502" s="208"/>
      <c r="AO502" s="208"/>
      <c r="AP502" s="208"/>
      <c r="AQ502" s="208"/>
      <c r="AR502" s="226"/>
      <c r="AS502" s="225"/>
      <c r="AT502" s="226"/>
      <c r="AU502" s="225"/>
      <c r="AV502" s="225"/>
      <c r="AW502" s="225"/>
      <c r="AX502" s="225"/>
      <c r="AY502" s="225"/>
    </row>
    <row r="503" spans="33:51" x14ac:dyDescent="0.25">
      <c r="AG503" s="66" t="str">
        <f>IF(AND(Множество[[#This Row],[Y]]=1),ROW()-ROW(Множество[[#Headers],[№]]),"")</f>
        <v/>
      </c>
      <c r="AI503" s="66">
        <v>1</v>
      </c>
      <c r="AJ503" s="66">
        <f>IF(LEN(Множество[[#This Row],[Свёртка]])&gt;0,1,-1)</f>
        <v>1</v>
      </c>
      <c r="AK503" s="66" t="s">
        <v>1781</v>
      </c>
      <c r="AL503" s="209">
        <f>IF(LEN(Множество[[#This Row],[Критерии]])&gt;0,1,-1)</f>
        <v>1</v>
      </c>
      <c r="AM503" s="209">
        <f>IF(AND(LEN(Множество[[#This Row],[Свёртка]])&gt;0,LEN(Множество[[#This Row],[Критерии]])&gt;0,LEN(Множество[[#This Row],[Оценки]])&gt;0),1,-1)</f>
        <v>-1</v>
      </c>
      <c r="AN503" s="208"/>
      <c r="AO503" s="208"/>
      <c r="AP503" s="208"/>
      <c r="AQ503" s="208"/>
      <c r="AR503" s="226"/>
      <c r="AS503" s="225"/>
      <c r="AT503" s="226"/>
      <c r="AU503" s="225"/>
      <c r="AV503" s="225"/>
      <c r="AW503" s="225"/>
      <c r="AX503" s="225"/>
      <c r="AY503" s="225"/>
    </row>
    <row r="504" spans="33:51" x14ac:dyDescent="0.25">
      <c r="AG504" s="66" t="str">
        <f>IF(AND(Множество[[#This Row],[Y]]=1),ROW()-ROW(Множество[[#Headers],[№]]),"")</f>
        <v/>
      </c>
      <c r="AI504" s="66">
        <v>1</v>
      </c>
      <c r="AJ504" s="66">
        <f>IF(LEN(Множество[[#This Row],[Свёртка]])&gt;0,1,-1)</f>
        <v>1</v>
      </c>
      <c r="AK504" s="66" t="s">
        <v>1781</v>
      </c>
      <c r="AL504" s="209">
        <f>IF(LEN(Множество[[#This Row],[Критерии]])&gt;0,1,-1)</f>
        <v>1</v>
      </c>
      <c r="AM504" s="209">
        <f>IF(AND(LEN(Множество[[#This Row],[Свёртка]])&gt;0,LEN(Множество[[#This Row],[Критерии]])&gt;0,LEN(Множество[[#This Row],[Оценки]])&gt;0),1,-1)</f>
        <v>-1</v>
      </c>
      <c r="AN504" s="208"/>
      <c r="AO504" s="208"/>
      <c r="AP504" s="208"/>
      <c r="AQ504" s="208"/>
      <c r="AR504" s="226"/>
      <c r="AS504" s="225"/>
      <c r="AT504" s="226"/>
      <c r="AU504" s="225"/>
      <c r="AV504" s="225"/>
      <c r="AW504" s="225"/>
      <c r="AX504" s="225"/>
      <c r="AY504" s="225"/>
    </row>
    <row r="505" spans="33:51" x14ac:dyDescent="0.25">
      <c r="AG505" s="66" t="str">
        <f>IF(AND(Множество[[#This Row],[Y]]=1),ROW()-ROW(Множество[[#Headers],[№]]),"")</f>
        <v/>
      </c>
      <c r="AI505" s="66">
        <v>1</v>
      </c>
      <c r="AJ505" s="66">
        <f>IF(LEN(Множество[[#This Row],[Свёртка]])&gt;0,1,-1)</f>
        <v>1</v>
      </c>
      <c r="AK505" s="66" t="s">
        <v>1781</v>
      </c>
      <c r="AL505" s="209">
        <f>IF(LEN(Множество[[#This Row],[Критерии]])&gt;0,1,-1)</f>
        <v>1</v>
      </c>
      <c r="AM505" s="209">
        <f>IF(AND(LEN(Множество[[#This Row],[Свёртка]])&gt;0,LEN(Множество[[#This Row],[Критерии]])&gt;0,LEN(Множество[[#This Row],[Оценки]])&gt;0),1,-1)</f>
        <v>-1</v>
      </c>
      <c r="AN505" s="208"/>
      <c r="AO505" s="208"/>
      <c r="AP505" s="208"/>
      <c r="AQ505" s="208"/>
      <c r="AR505" s="226"/>
      <c r="AS505" s="225"/>
      <c r="AT505" s="226"/>
      <c r="AU505" s="225"/>
      <c r="AV505" s="225"/>
      <c r="AW505" s="225"/>
      <c r="AX505" s="225"/>
      <c r="AY505" s="225"/>
    </row>
    <row r="506" spans="33:51" x14ac:dyDescent="0.25">
      <c r="AG506" s="66" t="str">
        <f>IF(AND(Множество[[#This Row],[Y]]=1),ROW()-ROW(Множество[[#Headers],[№]]),"")</f>
        <v/>
      </c>
      <c r="AI506" s="66">
        <v>1</v>
      </c>
      <c r="AJ506" s="66">
        <f>IF(LEN(Множество[[#This Row],[Свёртка]])&gt;0,1,-1)</f>
        <v>1</v>
      </c>
      <c r="AK506" s="66" t="s">
        <v>1781</v>
      </c>
      <c r="AL506" s="209">
        <f>IF(LEN(Множество[[#This Row],[Критерии]])&gt;0,1,-1)</f>
        <v>1</v>
      </c>
      <c r="AM506" s="209">
        <f>IF(AND(LEN(Множество[[#This Row],[Свёртка]])&gt;0,LEN(Множество[[#This Row],[Критерии]])&gt;0,LEN(Множество[[#This Row],[Оценки]])&gt;0),1,-1)</f>
        <v>-1</v>
      </c>
      <c r="AN506" s="208"/>
      <c r="AO506" s="208"/>
      <c r="AP506" s="208"/>
      <c r="AQ506" s="208"/>
      <c r="AR506" s="226"/>
      <c r="AS506" s="225"/>
      <c r="AT506" s="226"/>
      <c r="AU506" s="225"/>
      <c r="AV506" s="225"/>
      <c r="AW506" s="225"/>
      <c r="AX506" s="225"/>
      <c r="AY506" s="225"/>
    </row>
    <row r="507" spans="33:51" x14ac:dyDescent="0.25">
      <c r="AG507" s="66" t="str">
        <f>IF(AND(Множество[[#This Row],[Y]]=1),ROW()-ROW(Множество[[#Headers],[№]]),"")</f>
        <v/>
      </c>
      <c r="AI507" s="66">
        <v>1</v>
      </c>
      <c r="AJ507" s="66">
        <f>IF(LEN(Множество[[#This Row],[Свёртка]])&gt;0,1,-1)</f>
        <v>1</v>
      </c>
      <c r="AK507" s="66" t="s">
        <v>1781</v>
      </c>
      <c r="AL507" s="209">
        <f>IF(LEN(Множество[[#This Row],[Критерии]])&gt;0,1,-1)</f>
        <v>1</v>
      </c>
      <c r="AM507" s="209">
        <f>IF(AND(LEN(Множество[[#This Row],[Свёртка]])&gt;0,LEN(Множество[[#This Row],[Критерии]])&gt;0,LEN(Множество[[#This Row],[Оценки]])&gt;0),1,-1)</f>
        <v>-1</v>
      </c>
      <c r="AN507" s="208"/>
      <c r="AO507" s="208"/>
      <c r="AP507" s="208"/>
      <c r="AQ507" s="208"/>
      <c r="AR507" s="226"/>
      <c r="AS507" s="225"/>
      <c r="AT507" s="226"/>
      <c r="AU507" s="225"/>
      <c r="AV507" s="225"/>
      <c r="AW507" s="225"/>
      <c r="AX507" s="225"/>
      <c r="AY507" s="225"/>
    </row>
    <row r="508" spans="33:51" x14ac:dyDescent="0.25">
      <c r="AG508" s="66" t="str">
        <f>IF(AND(Множество[[#This Row],[Y]]=1),ROW()-ROW(Множество[[#Headers],[№]]),"")</f>
        <v/>
      </c>
      <c r="AI508" s="66">
        <v>1</v>
      </c>
      <c r="AJ508" s="66">
        <f>IF(LEN(Множество[[#This Row],[Свёртка]])&gt;0,1,-1)</f>
        <v>1</v>
      </c>
      <c r="AK508" s="66" t="s">
        <v>1781</v>
      </c>
      <c r="AL508" s="209">
        <f>IF(LEN(Множество[[#This Row],[Критерии]])&gt;0,1,-1)</f>
        <v>1</v>
      </c>
      <c r="AM508" s="209">
        <f>IF(AND(LEN(Множество[[#This Row],[Свёртка]])&gt;0,LEN(Множество[[#This Row],[Критерии]])&gt;0,LEN(Множество[[#This Row],[Оценки]])&gt;0),1,-1)</f>
        <v>-1</v>
      </c>
      <c r="AN508" s="208"/>
      <c r="AO508" s="208"/>
      <c r="AP508" s="208"/>
      <c r="AQ508" s="208"/>
      <c r="AR508" s="226"/>
      <c r="AS508" s="225"/>
      <c r="AT508" s="226"/>
      <c r="AU508" s="225"/>
      <c r="AV508" s="225"/>
      <c r="AW508" s="225"/>
      <c r="AX508" s="225"/>
      <c r="AY508" s="225"/>
    </row>
    <row r="509" spans="33:51" x14ac:dyDescent="0.25">
      <c r="AG509" s="66" t="str">
        <f>IF(AND(Множество[[#This Row],[Y]]=1),ROW()-ROW(Множество[[#Headers],[№]]),"")</f>
        <v/>
      </c>
      <c r="AI509" s="66">
        <v>1</v>
      </c>
      <c r="AJ509" s="66">
        <f>IF(LEN(Множество[[#This Row],[Свёртка]])&gt;0,1,-1)</f>
        <v>1</v>
      </c>
      <c r="AK509" s="66" t="s">
        <v>1781</v>
      </c>
      <c r="AL509" s="209">
        <f>IF(LEN(Множество[[#This Row],[Критерии]])&gt;0,1,-1)</f>
        <v>1</v>
      </c>
      <c r="AM509" s="209">
        <f>IF(AND(LEN(Множество[[#This Row],[Свёртка]])&gt;0,LEN(Множество[[#This Row],[Критерии]])&gt;0,LEN(Множество[[#This Row],[Оценки]])&gt;0),1,-1)</f>
        <v>-1</v>
      </c>
      <c r="AN509" s="208"/>
      <c r="AO509" s="208"/>
      <c r="AP509" s="208"/>
      <c r="AQ509" s="208"/>
      <c r="AR509" s="226"/>
      <c r="AS509" s="225"/>
      <c r="AT509" s="226"/>
      <c r="AU509" s="225"/>
      <c r="AV509" s="225"/>
      <c r="AW509" s="225"/>
      <c r="AX509" s="225"/>
      <c r="AY509" s="225"/>
    </row>
    <row r="510" spans="33:51" x14ac:dyDescent="0.25">
      <c r="AG510" s="66" t="str">
        <f>IF(AND(Множество[[#This Row],[Y]]=1),ROW()-ROW(Множество[[#Headers],[№]]),"")</f>
        <v/>
      </c>
      <c r="AI510" s="66">
        <v>1</v>
      </c>
      <c r="AJ510" s="66">
        <f>IF(LEN(Множество[[#This Row],[Свёртка]])&gt;0,1,-1)</f>
        <v>1</v>
      </c>
      <c r="AK510" s="66" t="s">
        <v>1781</v>
      </c>
      <c r="AL510" s="209">
        <f>IF(LEN(Множество[[#This Row],[Критерии]])&gt;0,1,-1)</f>
        <v>1</v>
      </c>
      <c r="AM510" s="209">
        <f>IF(AND(LEN(Множество[[#This Row],[Свёртка]])&gt;0,LEN(Множество[[#This Row],[Критерии]])&gt;0,LEN(Множество[[#This Row],[Оценки]])&gt;0),1,-1)</f>
        <v>-1</v>
      </c>
      <c r="AN510" s="208"/>
      <c r="AO510" s="208"/>
      <c r="AP510" s="208"/>
      <c r="AQ510" s="208"/>
      <c r="AR510" s="226"/>
      <c r="AS510" s="225"/>
      <c r="AT510" s="226"/>
      <c r="AU510" s="225"/>
      <c r="AV510" s="225"/>
      <c r="AW510" s="225"/>
      <c r="AX510" s="225"/>
      <c r="AY510" s="225"/>
    </row>
    <row r="511" spans="33:51" x14ac:dyDescent="0.25">
      <c r="AG511" s="66" t="str">
        <f>IF(AND(Множество[[#This Row],[Y]]=1),ROW()-ROW(Множество[[#Headers],[№]]),"")</f>
        <v/>
      </c>
      <c r="AI511" s="66">
        <v>1</v>
      </c>
      <c r="AJ511" s="66">
        <f>IF(LEN(Множество[[#This Row],[Свёртка]])&gt;0,1,-1)</f>
        <v>1</v>
      </c>
      <c r="AK511" s="66" t="s">
        <v>1781</v>
      </c>
      <c r="AL511" s="209">
        <f>IF(LEN(Множество[[#This Row],[Критерии]])&gt;0,1,-1)</f>
        <v>1</v>
      </c>
      <c r="AM511" s="209">
        <f>IF(AND(LEN(Множество[[#This Row],[Свёртка]])&gt;0,LEN(Множество[[#This Row],[Критерии]])&gt;0,LEN(Множество[[#This Row],[Оценки]])&gt;0),1,-1)</f>
        <v>-1</v>
      </c>
      <c r="AN511" s="208"/>
      <c r="AO511" s="208"/>
      <c r="AP511" s="208"/>
      <c r="AQ511" s="208"/>
      <c r="AR511" s="226"/>
      <c r="AS511" s="225"/>
      <c r="AT511" s="226"/>
      <c r="AU511" s="225"/>
      <c r="AV511" s="225"/>
      <c r="AW511" s="225"/>
      <c r="AX511" s="225"/>
      <c r="AY511" s="225"/>
    </row>
    <row r="512" spans="33:51" x14ac:dyDescent="0.25">
      <c r="AG512" s="66" t="str">
        <f>IF(AND(Множество[[#This Row],[Y]]=1),ROW()-ROW(Множество[[#Headers],[№]]),"")</f>
        <v/>
      </c>
      <c r="AI512" s="66">
        <v>1</v>
      </c>
      <c r="AJ512" s="66">
        <f>IF(LEN(Множество[[#This Row],[Свёртка]])&gt;0,1,-1)</f>
        <v>1</v>
      </c>
      <c r="AK512" s="66" t="s">
        <v>1781</v>
      </c>
      <c r="AL512" s="209">
        <f>IF(LEN(Множество[[#This Row],[Критерии]])&gt;0,1,-1)</f>
        <v>1</v>
      </c>
      <c r="AM512" s="209">
        <f>IF(AND(LEN(Множество[[#This Row],[Свёртка]])&gt;0,LEN(Множество[[#This Row],[Критерии]])&gt;0,LEN(Множество[[#This Row],[Оценки]])&gt;0),1,-1)</f>
        <v>-1</v>
      </c>
      <c r="AN512" s="208"/>
      <c r="AO512" s="208"/>
      <c r="AP512" s="208"/>
      <c r="AQ512" s="208"/>
      <c r="AR512" s="226"/>
      <c r="AS512" s="225"/>
      <c r="AT512" s="226"/>
      <c r="AU512" s="225"/>
      <c r="AV512" s="225"/>
      <c r="AW512" s="225"/>
      <c r="AX512" s="225"/>
      <c r="AY512" s="225"/>
    </row>
    <row r="513" spans="33:51" x14ac:dyDescent="0.25">
      <c r="AG513" s="66" t="str">
        <f>IF(AND(Множество[[#This Row],[Y]]=1),ROW()-ROW(Множество[[#Headers],[№]]),"")</f>
        <v/>
      </c>
      <c r="AI513" s="66">
        <v>1</v>
      </c>
      <c r="AJ513" s="66">
        <f>IF(LEN(Множество[[#This Row],[Свёртка]])&gt;0,1,-1)</f>
        <v>1</v>
      </c>
      <c r="AK513" s="66" t="s">
        <v>1781</v>
      </c>
      <c r="AL513" s="209">
        <f>IF(LEN(Множество[[#This Row],[Критерии]])&gt;0,1,-1)</f>
        <v>1</v>
      </c>
      <c r="AM513" s="209">
        <f>IF(AND(LEN(Множество[[#This Row],[Свёртка]])&gt;0,LEN(Множество[[#This Row],[Критерии]])&gt;0,LEN(Множество[[#This Row],[Оценки]])&gt;0),1,-1)</f>
        <v>-1</v>
      </c>
      <c r="AN513" s="208"/>
      <c r="AO513" s="208"/>
      <c r="AP513" s="208"/>
      <c r="AQ513" s="208"/>
      <c r="AR513" s="226"/>
      <c r="AS513" s="225"/>
      <c r="AT513" s="226"/>
      <c r="AU513" s="225"/>
      <c r="AV513" s="225"/>
      <c r="AW513" s="225"/>
      <c r="AX513" s="225"/>
      <c r="AY513" s="225"/>
    </row>
    <row r="514" spans="33:51" x14ac:dyDescent="0.25">
      <c r="AG514" s="66" t="str">
        <f>IF(AND(Множество[[#This Row],[Y]]=1),ROW()-ROW(Множество[[#Headers],[№]]),"")</f>
        <v/>
      </c>
      <c r="AI514" s="66">
        <v>1</v>
      </c>
      <c r="AJ514" s="66">
        <f>IF(LEN(Множество[[#This Row],[Свёртка]])&gt;0,1,-1)</f>
        <v>1</v>
      </c>
      <c r="AK514" s="66" t="s">
        <v>1781</v>
      </c>
      <c r="AL514" s="209">
        <f>IF(LEN(Множество[[#This Row],[Критерии]])&gt;0,1,-1)</f>
        <v>1</v>
      </c>
      <c r="AM514" s="209">
        <f>IF(AND(LEN(Множество[[#This Row],[Свёртка]])&gt;0,LEN(Множество[[#This Row],[Критерии]])&gt;0,LEN(Множество[[#This Row],[Оценки]])&gt;0),1,-1)</f>
        <v>-1</v>
      </c>
      <c r="AN514" s="208"/>
      <c r="AO514" s="208"/>
      <c r="AP514" s="208"/>
      <c r="AQ514" s="208"/>
      <c r="AR514" s="226"/>
      <c r="AS514" s="225"/>
      <c r="AT514" s="226"/>
      <c r="AU514" s="225"/>
      <c r="AV514" s="225"/>
      <c r="AW514" s="225"/>
      <c r="AX514" s="225"/>
      <c r="AY514" s="225"/>
    </row>
    <row r="515" spans="33:51" x14ac:dyDescent="0.25">
      <c r="AG515" s="66" t="str">
        <f>IF(AND(Множество[[#This Row],[Y]]=1),ROW()-ROW(Множество[[#Headers],[№]]),"")</f>
        <v/>
      </c>
      <c r="AI515" s="66">
        <v>1</v>
      </c>
      <c r="AJ515" s="66">
        <f>IF(LEN(Множество[[#This Row],[Свёртка]])&gt;0,1,-1)</f>
        <v>1</v>
      </c>
      <c r="AK515" s="66" t="s">
        <v>1781</v>
      </c>
      <c r="AL515" s="209">
        <f>IF(LEN(Множество[[#This Row],[Критерии]])&gt;0,1,-1)</f>
        <v>1</v>
      </c>
      <c r="AM515" s="209">
        <f>IF(AND(LEN(Множество[[#This Row],[Свёртка]])&gt;0,LEN(Множество[[#This Row],[Критерии]])&gt;0,LEN(Множество[[#This Row],[Оценки]])&gt;0),1,-1)</f>
        <v>-1</v>
      </c>
      <c r="AN515" s="208"/>
      <c r="AO515" s="208"/>
      <c r="AP515" s="208"/>
      <c r="AQ515" s="208"/>
      <c r="AR515" s="226"/>
      <c r="AS515" s="225"/>
      <c r="AT515" s="226"/>
      <c r="AU515" s="225"/>
      <c r="AV515" s="225"/>
      <c r="AW515" s="225"/>
      <c r="AX515" s="225"/>
      <c r="AY515" s="225"/>
    </row>
    <row r="516" spans="33:51" x14ac:dyDescent="0.25">
      <c r="AG516" s="66" t="str">
        <f>IF(AND(Множество[[#This Row],[Y]]=1),ROW()-ROW(Множество[[#Headers],[№]]),"")</f>
        <v/>
      </c>
      <c r="AI516" s="66">
        <v>1</v>
      </c>
      <c r="AJ516" s="66">
        <f>IF(LEN(Множество[[#This Row],[Свёртка]])&gt;0,1,-1)</f>
        <v>1</v>
      </c>
      <c r="AK516" s="66" t="s">
        <v>1781</v>
      </c>
      <c r="AL516" s="209">
        <f>IF(LEN(Множество[[#This Row],[Критерии]])&gt;0,1,-1)</f>
        <v>1</v>
      </c>
      <c r="AM516" s="209">
        <f>IF(AND(LEN(Множество[[#This Row],[Свёртка]])&gt;0,LEN(Множество[[#This Row],[Критерии]])&gt;0,LEN(Множество[[#This Row],[Оценки]])&gt;0),1,-1)</f>
        <v>-1</v>
      </c>
      <c r="AN516" s="208"/>
      <c r="AO516" s="208"/>
      <c r="AP516" s="208"/>
      <c r="AQ516" s="208"/>
      <c r="AR516" s="226"/>
      <c r="AS516" s="225"/>
      <c r="AT516" s="226"/>
      <c r="AU516" s="225"/>
      <c r="AV516" s="225"/>
      <c r="AW516" s="225"/>
      <c r="AX516" s="225"/>
      <c r="AY516" s="225"/>
    </row>
    <row r="517" spans="33:51" x14ac:dyDescent="0.25">
      <c r="AG517" s="66" t="str">
        <f>IF(AND(Множество[[#This Row],[Y]]=1),ROW()-ROW(Множество[[#Headers],[№]]),"")</f>
        <v/>
      </c>
      <c r="AI517" s="66">
        <v>1</v>
      </c>
      <c r="AJ517" s="66">
        <f>IF(LEN(Множество[[#This Row],[Свёртка]])&gt;0,1,-1)</f>
        <v>1</v>
      </c>
      <c r="AK517" s="66" t="s">
        <v>1781</v>
      </c>
      <c r="AL517" s="209">
        <f>IF(LEN(Множество[[#This Row],[Критерии]])&gt;0,1,-1)</f>
        <v>1</v>
      </c>
      <c r="AM517" s="209">
        <f>IF(AND(LEN(Множество[[#This Row],[Свёртка]])&gt;0,LEN(Множество[[#This Row],[Критерии]])&gt;0,LEN(Множество[[#This Row],[Оценки]])&gt;0),1,-1)</f>
        <v>-1</v>
      </c>
      <c r="AN517" s="208"/>
      <c r="AO517" s="208"/>
      <c r="AP517" s="208"/>
      <c r="AQ517" s="208"/>
      <c r="AR517" s="226"/>
      <c r="AS517" s="225"/>
      <c r="AT517" s="226"/>
      <c r="AU517" s="225"/>
      <c r="AV517" s="225"/>
      <c r="AW517" s="225"/>
      <c r="AX517" s="225"/>
      <c r="AY517" s="225"/>
    </row>
    <row r="518" spans="33:51" x14ac:dyDescent="0.25">
      <c r="AG518" s="66" t="str">
        <f>IF(AND(Множество[[#This Row],[Y]]=1),ROW()-ROW(Множество[[#Headers],[№]]),"")</f>
        <v/>
      </c>
      <c r="AI518" s="66">
        <v>1</v>
      </c>
      <c r="AJ518" s="66">
        <f>IF(LEN(Множество[[#This Row],[Свёртка]])&gt;0,1,-1)</f>
        <v>1</v>
      </c>
      <c r="AK518" s="66" t="s">
        <v>1781</v>
      </c>
      <c r="AL518" s="209">
        <f>IF(LEN(Множество[[#This Row],[Критерии]])&gt;0,1,-1)</f>
        <v>1</v>
      </c>
      <c r="AM518" s="209">
        <f>IF(AND(LEN(Множество[[#This Row],[Свёртка]])&gt;0,LEN(Множество[[#This Row],[Критерии]])&gt;0,LEN(Множество[[#This Row],[Оценки]])&gt;0),1,-1)</f>
        <v>-1</v>
      </c>
      <c r="AN518" s="208"/>
      <c r="AO518" s="208"/>
      <c r="AP518" s="208"/>
      <c r="AQ518" s="208"/>
      <c r="AR518" s="226"/>
      <c r="AS518" s="225"/>
      <c r="AT518" s="226"/>
      <c r="AU518" s="225"/>
      <c r="AV518" s="225"/>
      <c r="AW518" s="225"/>
      <c r="AX518" s="225"/>
      <c r="AY518" s="225"/>
    </row>
    <row r="519" spans="33:51" x14ac:dyDescent="0.25">
      <c r="AG519" s="66" t="str">
        <f>IF(AND(Множество[[#This Row],[Y]]=1),ROW()-ROW(Множество[[#Headers],[№]]),"")</f>
        <v/>
      </c>
      <c r="AI519" s="66">
        <v>1</v>
      </c>
      <c r="AJ519" s="66">
        <f>IF(LEN(Множество[[#This Row],[Свёртка]])&gt;0,1,-1)</f>
        <v>1</v>
      </c>
      <c r="AK519" s="66" t="s">
        <v>1781</v>
      </c>
      <c r="AL519" s="209">
        <f>IF(LEN(Множество[[#This Row],[Критерии]])&gt;0,1,-1)</f>
        <v>1</v>
      </c>
      <c r="AM519" s="209">
        <f>IF(AND(LEN(Множество[[#This Row],[Свёртка]])&gt;0,LEN(Множество[[#This Row],[Критерии]])&gt;0,LEN(Множество[[#This Row],[Оценки]])&gt;0),1,-1)</f>
        <v>-1</v>
      </c>
      <c r="AN519" s="208"/>
      <c r="AO519" s="208"/>
      <c r="AP519" s="208"/>
      <c r="AQ519" s="208"/>
      <c r="AR519" s="226"/>
      <c r="AS519" s="225"/>
      <c r="AT519" s="226"/>
      <c r="AU519" s="225"/>
      <c r="AV519" s="225"/>
      <c r="AW519" s="225"/>
      <c r="AX519" s="225"/>
      <c r="AY519" s="225"/>
    </row>
    <row r="520" spans="33:51" x14ac:dyDescent="0.25">
      <c r="AG520" s="66" t="str">
        <f>IF(AND(Множество[[#This Row],[Y]]=1),ROW()-ROW(Множество[[#Headers],[№]]),"")</f>
        <v/>
      </c>
      <c r="AI520" s="66">
        <v>1</v>
      </c>
      <c r="AJ520" s="66">
        <f>IF(LEN(Множество[[#This Row],[Свёртка]])&gt;0,1,-1)</f>
        <v>1</v>
      </c>
      <c r="AK520" s="66" t="s">
        <v>1781</v>
      </c>
      <c r="AL520" s="209">
        <f>IF(LEN(Множество[[#This Row],[Критерии]])&gt;0,1,-1)</f>
        <v>1</v>
      </c>
      <c r="AM520" s="209">
        <f>IF(AND(LEN(Множество[[#This Row],[Свёртка]])&gt;0,LEN(Множество[[#This Row],[Критерии]])&gt;0,LEN(Множество[[#This Row],[Оценки]])&gt;0),1,-1)</f>
        <v>-1</v>
      </c>
      <c r="AN520" s="208"/>
      <c r="AO520" s="208"/>
      <c r="AP520" s="208"/>
      <c r="AQ520" s="208"/>
      <c r="AR520" s="226"/>
      <c r="AS520" s="225"/>
      <c r="AT520" s="226"/>
      <c r="AU520" s="225"/>
      <c r="AV520" s="225"/>
      <c r="AW520" s="225"/>
      <c r="AX520" s="225"/>
      <c r="AY520" s="225"/>
    </row>
    <row r="521" spans="33:51" x14ac:dyDescent="0.25">
      <c r="AG521" s="66" t="str">
        <f>IF(AND(Множество[[#This Row],[Y]]=1),ROW()-ROW(Множество[[#Headers],[№]]),"")</f>
        <v/>
      </c>
      <c r="AI521" s="66">
        <v>1</v>
      </c>
      <c r="AJ521" s="66">
        <f>IF(LEN(Множество[[#This Row],[Свёртка]])&gt;0,1,-1)</f>
        <v>1</v>
      </c>
      <c r="AK521" s="66" t="s">
        <v>1781</v>
      </c>
      <c r="AL521" s="209">
        <f>IF(LEN(Множество[[#This Row],[Критерии]])&gt;0,1,-1)</f>
        <v>1</v>
      </c>
      <c r="AM521" s="209">
        <f>IF(AND(LEN(Множество[[#This Row],[Свёртка]])&gt;0,LEN(Множество[[#This Row],[Критерии]])&gt;0,LEN(Множество[[#This Row],[Оценки]])&gt;0),1,-1)</f>
        <v>-1</v>
      </c>
      <c r="AN521" s="208"/>
      <c r="AO521" s="208"/>
      <c r="AP521" s="208"/>
      <c r="AQ521" s="208"/>
      <c r="AR521" s="226"/>
      <c r="AS521" s="225"/>
      <c r="AT521" s="226"/>
      <c r="AU521" s="225"/>
      <c r="AV521" s="225"/>
      <c r="AW521" s="225"/>
      <c r="AX521" s="225"/>
      <c r="AY521" s="225"/>
    </row>
    <row r="522" spans="33:51" x14ac:dyDescent="0.25">
      <c r="AG522" s="66" t="str">
        <f>IF(AND(Множество[[#This Row],[Y]]=1),ROW()-ROW(Множество[[#Headers],[№]]),"")</f>
        <v/>
      </c>
      <c r="AI522" s="66">
        <v>1</v>
      </c>
      <c r="AJ522" s="66">
        <f>IF(LEN(Множество[[#This Row],[Свёртка]])&gt;0,1,-1)</f>
        <v>1</v>
      </c>
      <c r="AK522" s="66" t="s">
        <v>1781</v>
      </c>
      <c r="AL522" s="209">
        <f>IF(LEN(Множество[[#This Row],[Критерии]])&gt;0,1,-1)</f>
        <v>1</v>
      </c>
      <c r="AM522" s="209">
        <f>IF(AND(LEN(Множество[[#This Row],[Свёртка]])&gt;0,LEN(Множество[[#This Row],[Критерии]])&gt;0,LEN(Множество[[#This Row],[Оценки]])&gt;0),1,-1)</f>
        <v>-1</v>
      </c>
      <c r="AN522" s="208"/>
      <c r="AO522" s="208"/>
      <c r="AP522" s="208"/>
      <c r="AQ522" s="208"/>
      <c r="AR522" s="226"/>
      <c r="AS522" s="225"/>
      <c r="AT522" s="226"/>
      <c r="AU522" s="225"/>
      <c r="AV522" s="225"/>
      <c r="AW522" s="225"/>
      <c r="AX522" s="225"/>
      <c r="AY522" s="225"/>
    </row>
    <row r="523" spans="33:51" x14ac:dyDescent="0.25">
      <c r="AG523" s="66" t="str">
        <f>IF(AND(Множество[[#This Row],[Y]]=1),ROW()-ROW(Множество[[#Headers],[№]]),"")</f>
        <v/>
      </c>
      <c r="AI523" s="66">
        <v>1</v>
      </c>
      <c r="AJ523" s="66">
        <f>IF(LEN(Множество[[#This Row],[Свёртка]])&gt;0,1,-1)</f>
        <v>1</v>
      </c>
      <c r="AK523" s="66" t="s">
        <v>1781</v>
      </c>
      <c r="AL523" s="209">
        <f>IF(LEN(Множество[[#This Row],[Критерии]])&gt;0,1,-1)</f>
        <v>1</v>
      </c>
      <c r="AM523" s="209">
        <f>IF(AND(LEN(Множество[[#This Row],[Свёртка]])&gt;0,LEN(Множество[[#This Row],[Критерии]])&gt;0,LEN(Множество[[#This Row],[Оценки]])&gt;0),1,-1)</f>
        <v>-1</v>
      </c>
      <c r="AN523" s="208"/>
      <c r="AO523" s="208"/>
      <c r="AP523" s="208"/>
      <c r="AQ523" s="208"/>
      <c r="AR523" s="226"/>
      <c r="AS523" s="225"/>
      <c r="AT523" s="226"/>
      <c r="AU523" s="225"/>
      <c r="AV523" s="225"/>
      <c r="AW523" s="225"/>
      <c r="AX523" s="225"/>
      <c r="AY523" s="225"/>
    </row>
    <row r="524" spans="33:51" x14ac:dyDescent="0.25">
      <c r="AG524" s="66" t="str">
        <f>IF(AND(Множество[[#This Row],[Y]]=1),ROW()-ROW(Множество[[#Headers],[№]]),"")</f>
        <v/>
      </c>
      <c r="AI524" s="66">
        <v>1</v>
      </c>
      <c r="AJ524" s="66">
        <f>IF(LEN(Множество[[#This Row],[Свёртка]])&gt;0,1,-1)</f>
        <v>1</v>
      </c>
      <c r="AK524" s="66" t="s">
        <v>1781</v>
      </c>
      <c r="AL524" s="209">
        <f>IF(LEN(Множество[[#This Row],[Критерии]])&gt;0,1,-1)</f>
        <v>1</v>
      </c>
      <c r="AM524" s="209">
        <f>IF(AND(LEN(Множество[[#This Row],[Свёртка]])&gt;0,LEN(Множество[[#This Row],[Критерии]])&gt;0,LEN(Множество[[#This Row],[Оценки]])&gt;0),1,-1)</f>
        <v>-1</v>
      </c>
      <c r="AN524" s="208"/>
      <c r="AO524" s="208"/>
      <c r="AP524" s="208"/>
      <c r="AQ524" s="208"/>
      <c r="AR524" s="226"/>
      <c r="AS524" s="225"/>
      <c r="AT524" s="226"/>
      <c r="AU524" s="225"/>
      <c r="AV524" s="225"/>
      <c r="AW524" s="225"/>
      <c r="AX524" s="225"/>
      <c r="AY524" s="225"/>
    </row>
    <row r="525" spans="33:51" x14ac:dyDescent="0.25">
      <c r="AG525" s="66" t="str">
        <f>IF(AND(Множество[[#This Row],[Y]]=1),ROW()-ROW(Множество[[#Headers],[№]]),"")</f>
        <v/>
      </c>
      <c r="AI525" s="66">
        <v>1</v>
      </c>
      <c r="AJ525" s="66">
        <f>IF(LEN(Множество[[#This Row],[Свёртка]])&gt;0,1,-1)</f>
        <v>1</v>
      </c>
      <c r="AK525" s="66" t="s">
        <v>1781</v>
      </c>
      <c r="AL525" s="209">
        <f>IF(LEN(Множество[[#This Row],[Критерии]])&gt;0,1,-1)</f>
        <v>1</v>
      </c>
      <c r="AM525" s="209">
        <f>IF(AND(LEN(Множество[[#This Row],[Свёртка]])&gt;0,LEN(Множество[[#This Row],[Критерии]])&gt;0,LEN(Множество[[#This Row],[Оценки]])&gt;0),1,-1)</f>
        <v>-1</v>
      </c>
      <c r="AN525" s="208"/>
      <c r="AO525" s="208"/>
      <c r="AP525" s="208"/>
      <c r="AQ525" s="208"/>
      <c r="AR525" s="226"/>
      <c r="AS525" s="225"/>
      <c r="AT525" s="226"/>
      <c r="AU525" s="225"/>
      <c r="AV525" s="225"/>
      <c r="AW525" s="225"/>
      <c r="AX525" s="225"/>
      <c r="AY525" s="225"/>
    </row>
    <row r="526" spans="33:51" x14ac:dyDescent="0.25">
      <c r="AG526" s="66" t="str">
        <f>IF(AND(Множество[[#This Row],[Y]]=1),ROW()-ROW(Множество[[#Headers],[№]]),"")</f>
        <v/>
      </c>
      <c r="AI526" s="66">
        <v>1</v>
      </c>
      <c r="AJ526" s="66">
        <f>IF(LEN(Множество[[#This Row],[Свёртка]])&gt;0,1,-1)</f>
        <v>1</v>
      </c>
      <c r="AK526" s="66" t="s">
        <v>1781</v>
      </c>
      <c r="AL526" s="209">
        <f>IF(LEN(Множество[[#This Row],[Критерии]])&gt;0,1,-1)</f>
        <v>1</v>
      </c>
      <c r="AM526" s="209">
        <f>IF(AND(LEN(Множество[[#This Row],[Свёртка]])&gt;0,LEN(Множество[[#This Row],[Критерии]])&gt;0,LEN(Множество[[#This Row],[Оценки]])&gt;0),1,-1)</f>
        <v>-1</v>
      </c>
      <c r="AN526" s="208"/>
      <c r="AO526" s="208"/>
      <c r="AP526" s="208"/>
      <c r="AQ526" s="208"/>
      <c r="AR526" s="226"/>
      <c r="AS526" s="225"/>
      <c r="AT526" s="226"/>
      <c r="AU526" s="225"/>
      <c r="AV526" s="225"/>
      <c r="AW526" s="225"/>
      <c r="AX526" s="225"/>
      <c r="AY526" s="225"/>
    </row>
    <row r="527" spans="33:51" x14ac:dyDescent="0.25">
      <c r="AG527" s="66" t="str">
        <f>IF(AND(Множество[[#This Row],[Y]]=1),ROW()-ROW(Множество[[#Headers],[№]]),"")</f>
        <v/>
      </c>
      <c r="AI527" s="66">
        <v>1</v>
      </c>
      <c r="AJ527" s="66">
        <f>IF(LEN(Множество[[#This Row],[Свёртка]])&gt;0,1,-1)</f>
        <v>1</v>
      </c>
      <c r="AK527" s="66" t="s">
        <v>1781</v>
      </c>
      <c r="AL527" s="209">
        <f>IF(LEN(Множество[[#This Row],[Критерии]])&gt;0,1,-1)</f>
        <v>1</v>
      </c>
      <c r="AM527" s="209">
        <f>IF(AND(LEN(Множество[[#This Row],[Свёртка]])&gt;0,LEN(Множество[[#This Row],[Критерии]])&gt;0,LEN(Множество[[#This Row],[Оценки]])&gt;0),1,-1)</f>
        <v>-1</v>
      </c>
      <c r="AN527" s="208"/>
      <c r="AO527" s="208"/>
      <c r="AP527" s="208"/>
      <c r="AQ527" s="208"/>
      <c r="AR527" s="226"/>
      <c r="AS527" s="225"/>
      <c r="AT527" s="226"/>
      <c r="AU527" s="225"/>
      <c r="AV527" s="225"/>
      <c r="AW527" s="225"/>
      <c r="AX527" s="225"/>
      <c r="AY527" s="225"/>
    </row>
    <row r="528" spans="33:51" x14ac:dyDescent="0.25">
      <c r="AG528" s="66" t="str">
        <f>IF(AND(Множество[[#This Row],[Y]]=1),ROW()-ROW(Множество[[#Headers],[№]]),"")</f>
        <v/>
      </c>
      <c r="AI528" s="66">
        <v>1</v>
      </c>
      <c r="AJ528" s="66">
        <f>IF(LEN(Множество[[#This Row],[Свёртка]])&gt;0,1,-1)</f>
        <v>1</v>
      </c>
      <c r="AK528" s="66" t="s">
        <v>1781</v>
      </c>
      <c r="AL528" s="209">
        <f>IF(LEN(Множество[[#This Row],[Критерии]])&gt;0,1,-1)</f>
        <v>1</v>
      </c>
      <c r="AM528" s="209">
        <f>IF(AND(LEN(Множество[[#This Row],[Свёртка]])&gt;0,LEN(Множество[[#This Row],[Критерии]])&gt;0,LEN(Множество[[#This Row],[Оценки]])&gt;0),1,-1)</f>
        <v>-1</v>
      </c>
      <c r="AN528" s="208"/>
      <c r="AO528" s="208"/>
      <c r="AP528" s="208"/>
      <c r="AQ528" s="208"/>
      <c r="AR528" s="226"/>
      <c r="AS528" s="225"/>
      <c r="AT528" s="226"/>
      <c r="AU528" s="225"/>
      <c r="AV528" s="225"/>
      <c r="AW528" s="225"/>
      <c r="AX528" s="225"/>
      <c r="AY528" s="225"/>
    </row>
    <row r="529" spans="33:51" x14ac:dyDescent="0.25">
      <c r="AG529" s="66" t="str">
        <f>IF(AND(Множество[[#This Row],[Y]]=1),ROW()-ROW(Множество[[#Headers],[№]]),"")</f>
        <v/>
      </c>
      <c r="AI529" s="66">
        <v>1</v>
      </c>
      <c r="AJ529" s="66">
        <f>IF(LEN(Множество[[#This Row],[Свёртка]])&gt;0,1,-1)</f>
        <v>1</v>
      </c>
      <c r="AK529" s="66" t="s">
        <v>1781</v>
      </c>
      <c r="AL529" s="209">
        <f>IF(LEN(Множество[[#This Row],[Критерии]])&gt;0,1,-1)</f>
        <v>1</v>
      </c>
      <c r="AM529" s="209">
        <f>IF(AND(LEN(Множество[[#This Row],[Свёртка]])&gt;0,LEN(Множество[[#This Row],[Критерии]])&gt;0,LEN(Множество[[#This Row],[Оценки]])&gt;0),1,-1)</f>
        <v>-1</v>
      </c>
      <c r="AN529" s="208"/>
      <c r="AO529" s="208"/>
      <c r="AP529" s="208"/>
      <c r="AQ529" s="208"/>
      <c r="AR529" s="226"/>
      <c r="AS529" s="225"/>
      <c r="AT529" s="226"/>
      <c r="AU529" s="225"/>
      <c r="AV529" s="225"/>
      <c r="AW529" s="225"/>
      <c r="AX529" s="225"/>
      <c r="AY529" s="225"/>
    </row>
    <row r="530" spans="33:51" x14ac:dyDescent="0.25">
      <c r="AG530" s="66" t="str">
        <f>IF(AND(Множество[[#This Row],[Y]]=1),ROW()-ROW(Множество[[#Headers],[№]]),"")</f>
        <v/>
      </c>
      <c r="AI530" s="66">
        <v>1</v>
      </c>
      <c r="AJ530" s="66">
        <f>IF(LEN(Множество[[#This Row],[Свёртка]])&gt;0,1,-1)</f>
        <v>1</v>
      </c>
      <c r="AK530" s="66" t="s">
        <v>1781</v>
      </c>
      <c r="AL530" s="209">
        <f>IF(LEN(Множество[[#This Row],[Критерии]])&gt;0,1,-1)</f>
        <v>1</v>
      </c>
      <c r="AM530" s="209">
        <f>IF(AND(LEN(Множество[[#This Row],[Свёртка]])&gt;0,LEN(Множество[[#This Row],[Критерии]])&gt;0,LEN(Множество[[#This Row],[Оценки]])&gt;0),1,-1)</f>
        <v>-1</v>
      </c>
      <c r="AN530" s="208"/>
      <c r="AO530" s="208"/>
      <c r="AP530" s="208"/>
      <c r="AQ530" s="208"/>
      <c r="AR530" s="226"/>
      <c r="AS530" s="225"/>
      <c r="AT530" s="226"/>
      <c r="AU530" s="225"/>
      <c r="AV530" s="225"/>
      <c r="AW530" s="225"/>
      <c r="AX530" s="225"/>
      <c r="AY530" s="225"/>
    </row>
    <row r="531" spans="33:51" x14ac:dyDescent="0.25">
      <c r="AG531" s="66" t="str">
        <f>IF(AND(Множество[[#This Row],[Y]]=1),ROW()-ROW(Множество[[#Headers],[№]]),"")</f>
        <v/>
      </c>
      <c r="AI531" s="66">
        <v>1</v>
      </c>
      <c r="AJ531" s="66">
        <f>IF(LEN(Множество[[#This Row],[Свёртка]])&gt;0,1,-1)</f>
        <v>1</v>
      </c>
      <c r="AK531" s="66" t="s">
        <v>1781</v>
      </c>
      <c r="AL531" s="209">
        <f>IF(LEN(Множество[[#This Row],[Критерии]])&gt;0,1,-1)</f>
        <v>1</v>
      </c>
      <c r="AM531" s="209">
        <f>IF(AND(LEN(Множество[[#This Row],[Свёртка]])&gt;0,LEN(Множество[[#This Row],[Критерии]])&gt;0,LEN(Множество[[#This Row],[Оценки]])&gt;0),1,-1)</f>
        <v>-1</v>
      </c>
      <c r="AN531" s="208"/>
      <c r="AO531" s="208"/>
      <c r="AP531" s="208"/>
      <c r="AQ531" s="208"/>
      <c r="AR531" s="226"/>
      <c r="AS531" s="225"/>
      <c r="AT531" s="226"/>
      <c r="AU531" s="225"/>
      <c r="AV531" s="225"/>
      <c r="AW531" s="225"/>
      <c r="AX531" s="225"/>
      <c r="AY531" s="225"/>
    </row>
    <row r="532" spans="33:51" x14ac:dyDescent="0.25">
      <c r="AG532" s="66" t="str">
        <f>IF(AND(Множество[[#This Row],[Y]]=1),ROW()-ROW(Множество[[#Headers],[№]]),"")</f>
        <v/>
      </c>
      <c r="AI532" s="66">
        <v>1</v>
      </c>
      <c r="AJ532" s="66">
        <f>IF(LEN(Множество[[#This Row],[Свёртка]])&gt;0,1,-1)</f>
        <v>1</v>
      </c>
      <c r="AK532" s="66" t="s">
        <v>1781</v>
      </c>
      <c r="AL532" s="209">
        <f>IF(LEN(Множество[[#This Row],[Критерии]])&gt;0,1,-1)</f>
        <v>1</v>
      </c>
      <c r="AM532" s="209">
        <f>IF(AND(LEN(Множество[[#This Row],[Свёртка]])&gt;0,LEN(Множество[[#This Row],[Критерии]])&gt;0,LEN(Множество[[#This Row],[Оценки]])&gt;0),1,-1)</f>
        <v>-1</v>
      </c>
      <c r="AN532" s="208"/>
      <c r="AO532" s="208"/>
      <c r="AP532" s="208"/>
      <c r="AQ532" s="208"/>
      <c r="AR532" s="226"/>
      <c r="AS532" s="225"/>
      <c r="AT532" s="226"/>
      <c r="AU532" s="225"/>
      <c r="AV532" s="225"/>
      <c r="AW532" s="225"/>
      <c r="AX532" s="225"/>
      <c r="AY532" s="225"/>
    </row>
    <row r="533" spans="33:51" x14ac:dyDescent="0.25">
      <c r="AG533" s="66" t="str">
        <f>IF(AND(Множество[[#This Row],[Y]]=1),ROW()-ROW(Множество[[#Headers],[№]]),"")</f>
        <v/>
      </c>
      <c r="AI533" s="66">
        <v>1</v>
      </c>
      <c r="AJ533" s="66">
        <f>IF(LEN(Множество[[#This Row],[Свёртка]])&gt;0,1,-1)</f>
        <v>1</v>
      </c>
      <c r="AK533" s="66" t="s">
        <v>1781</v>
      </c>
      <c r="AL533" s="209">
        <f>IF(LEN(Множество[[#This Row],[Критерии]])&gt;0,1,-1)</f>
        <v>1</v>
      </c>
      <c r="AM533" s="209">
        <f>IF(AND(LEN(Множество[[#This Row],[Свёртка]])&gt;0,LEN(Множество[[#This Row],[Критерии]])&gt;0,LEN(Множество[[#This Row],[Оценки]])&gt;0),1,-1)</f>
        <v>-1</v>
      </c>
      <c r="AN533" s="208"/>
      <c r="AO533" s="208"/>
      <c r="AP533" s="208"/>
      <c r="AQ533" s="208"/>
      <c r="AR533" s="226"/>
      <c r="AS533" s="225"/>
      <c r="AT533" s="226"/>
      <c r="AU533" s="225"/>
      <c r="AV533" s="225"/>
      <c r="AW533" s="225"/>
      <c r="AX533" s="225"/>
      <c r="AY533" s="225"/>
    </row>
    <row r="534" spans="33:51" x14ac:dyDescent="0.25">
      <c r="AG534" s="66" t="str">
        <f>IF(AND(Множество[[#This Row],[Y]]=1),ROW()-ROW(Множество[[#Headers],[№]]),"")</f>
        <v/>
      </c>
      <c r="AI534" s="66">
        <v>1</v>
      </c>
      <c r="AJ534" s="66">
        <f>IF(LEN(Множество[[#This Row],[Свёртка]])&gt;0,1,-1)</f>
        <v>1</v>
      </c>
      <c r="AK534" s="66" t="s">
        <v>1781</v>
      </c>
      <c r="AL534" s="209">
        <f>IF(LEN(Множество[[#This Row],[Критерии]])&gt;0,1,-1)</f>
        <v>1</v>
      </c>
      <c r="AM534" s="209">
        <f>IF(AND(LEN(Множество[[#This Row],[Свёртка]])&gt;0,LEN(Множество[[#This Row],[Критерии]])&gt;0,LEN(Множество[[#This Row],[Оценки]])&gt;0),1,-1)</f>
        <v>-1</v>
      </c>
      <c r="AN534" s="208"/>
      <c r="AO534" s="208"/>
      <c r="AP534" s="208"/>
      <c r="AQ534" s="208"/>
      <c r="AR534" s="226"/>
      <c r="AS534" s="225"/>
      <c r="AT534" s="226"/>
      <c r="AU534" s="225"/>
      <c r="AV534" s="225"/>
      <c r="AW534" s="225"/>
      <c r="AX534" s="225"/>
      <c r="AY534" s="225"/>
    </row>
    <row r="535" spans="33:51" x14ac:dyDescent="0.25">
      <c r="AG535" s="66" t="str">
        <f>IF(AND(Множество[[#This Row],[Y]]=1),ROW()-ROW(Множество[[#Headers],[№]]),"")</f>
        <v/>
      </c>
      <c r="AI535" s="66">
        <v>1</v>
      </c>
      <c r="AJ535" s="66">
        <f>IF(LEN(Множество[[#This Row],[Свёртка]])&gt;0,1,-1)</f>
        <v>1</v>
      </c>
      <c r="AK535" s="66" t="s">
        <v>1781</v>
      </c>
      <c r="AL535" s="209">
        <f>IF(LEN(Множество[[#This Row],[Критерии]])&gt;0,1,-1)</f>
        <v>1</v>
      </c>
      <c r="AM535" s="209">
        <f>IF(AND(LEN(Множество[[#This Row],[Свёртка]])&gt;0,LEN(Множество[[#This Row],[Критерии]])&gt;0,LEN(Множество[[#This Row],[Оценки]])&gt;0),1,-1)</f>
        <v>-1</v>
      </c>
      <c r="AN535" s="208"/>
      <c r="AO535" s="208"/>
      <c r="AP535" s="208"/>
      <c r="AQ535" s="208"/>
      <c r="AR535" s="226"/>
      <c r="AS535" s="225"/>
      <c r="AT535" s="226"/>
      <c r="AU535" s="225"/>
      <c r="AV535" s="225"/>
      <c r="AW535" s="225"/>
      <c r="AX535" s="225"/>
      <c r="AY535" s="225"/>
    </row>
    <row r="536" spans="33:51" x14ac:dyDescent="0.25">
      <c r="AG536" s="66" t="str">
        <f>IF(AND(Множество[[#This Row],[Y]]=1),ROW()-ROW(Множество[[#Headers],[№]]),"")</f>
        <v/>
      </c>
      <c r="AI536" s="66">
        <v>1</v>
      </c>
      <c r="AJ536" s="66">
        <f>IF(LEN(Множество[[#This Row],[Свёртка]])&gt;0,1,-1)</f>
        <v>1</v>
      </c>
      <c r="AK536" s="66" t="s">
        <v>1781</v>
      </c>
      <c r="AL536" s="209">
        <f>IF(LEN(Множество[[#This Row],[Критерии]])&gt;0,1,-1)</f>
        <v>1</v>
      </c>
      <c r="AM536" s="209">
        <f>IF(AND(LEN(Множество[[#This Row],[Свёртка]])&gt;0,LEN(Множество[[#This Row],[Критерии]])&gt;0,LEN(Множество[[#This Row],[Оценки]])&gt;0),1,-1)</f>
        <v>-1</v>
      </c>
      <c r="AN536" s="208"/>
      <c r="AO536" s="208"/>
      <c r="AP536" s="208"/>
      <c r="AQ536" s="208"/>
      <c r="AR536" s="226"/>
      <c r="AS536" s="225"/>
      <c r="AT536" s="226"/>
      <c r="AU536" s="225"/>
      <c r="AV536" s="225"/>
      <c r="AW536" s="225"/>
      <c r="AX536" s="225"/>
      <c r="AY536" s="225"/>
    </row>
    <row r="537" spans="33:51" x14ac:dyDescent="0.25">
      <c r="AG537" s="66" t="str">
        <f>IF(AND(Множество[[#This Row],[Y]]=1),ROW()-ROW(Множество[[#Headers],[№]]),"")</f>
        <v/>
      </c>
      <c r="AI537" s="66">
        <v>1</v>
      </c>
      <c r="AJ537" s="66">
        <f>IF(LEN(Множество[[#This Row],[Свёртка]])&gt;0,1,-1)</f>
        <v>1</v>
      </c>
      <c r="AK537" s="66" t="s">
        <v>1781</v>
      </c>
      <c r="AL537" s="209">
        <f>IF(LEN(Множество[[#This Row],[Критерии]])&gt;0,1,-1)</f>
        <v>1</v>
      </c>
      <c r="AM537" s="209">
        <f>IF(AND(LEN(Множество[[#This Row],[Свёртка]])&gt;0,LEN(Множество[[#This Row],[Критерии]])&gt;0,LEN(Множество[[#This Row],[Оценки]])&gt;0),1,-1)</f>
        <v>-1</v>
      </c>
      <c r="AN537" s="208"/>
      <c r="AO537" s="208"/>
      <c r="AP537" s="208"/>
      <c r="AQ537" s="208"/>
      <c r="AR537" s="226"/>
      <c r="AS537" s="225"/>
      <c r="AT537" s="226"/>
      <c r="AU537" s="225"/>
      <c r="AV537" s="225"/>
      <c r="AW537" s="225"/>
      <c r="AX537" s="225"/>
      <c r="AY537" s="225"/>
    </row>
    <row r="538" spans="33:51" x14ac:dyDescent="0.25">
      <c r="AG538" s="66" t="str">
        <f>IF(AND(Множество[[#This Row],[Y]]=1),ROW()-ROW(Множество[[#Headers],[№]]),"")</f>
        <v/>
      </c>
      <c r="AI538" s="66">
        <v>1</v>
      </c>
      <c r="AJ538" s="66">
        <f>IF(LEN(Множество[[#This Row],[Свёртка]])&gt;0,1,-1)</f>
        <v>1</v>
      </c>
      <c r="AK538" s="66" t="s">
        <v>1781</v>
      </c>
      <c r="AL538" s="209">
        <f>IF(LEN(Множество[[#This Row],[Критерии]])&gt;0,1,-1)</f>
        <v>1</v>
      </c>
      <c r="AM538" s="209">
        <f>IF(AND(LEN(Множество[[#This Row],[Свёртка]])&gt;0,LEN(Множество[[#This Row],[Критерии]])&gt;0,LEN(Множество[[#This Row],[Оценки]])&gt;0),1,-1)</f>
        <v>-1</v>
      </c>
      <c r="AN538" s="208"/>
      <c r="AO538" s="208"/>
      <c r="AP538" s="208"/>
      <c r="AQ538" s="208"/>
      <c r="AR538" s="226"/>
      <c r="AS538" s="225"/>
      <c r="AT538" s="226"/>
      <c r="AU538" s="225"/>
      <c r="AV538" s="225"/>
      <c r="AW538" s="225"/>
      <c r="AX538" s="225"/>
      <c r="AY538" s="225"/>
    </row>
    <row r="539" spans="33:51" x14ac:dyDescent="0.25">
      <c r="AG539" s="66" t="str">
        <f>IF(AND(Множество[[#This Row],[Y]]=1),ROW()-ROW(Множество[[#Headers],[№]]),"")</f>
        <v/>
      </c>
      <c r="AI539" s="66">
        <v>1</v>
      </c>
      <c r="AJ539" s="66">
        <f>IF(LEN(Множество[[#This Row],[Свёртка]])&gt;0,1,-1)</f>
        <v>1</v>
      </c>
      <c r="AK539" s="66" t="s">
        <v>1781</v>
      </c>
      <c r="AL539" s="209">
        <f>IF(LEN(Множество[[#This Row],[Критерии]])&gt;0,1,-1)</f>
        <v>1</v>
      </c>
      <c r="AM539" s="209">
        <f>IF(AND(LEN(Множество[[#This Row],[Свёртка]])&gt;0,LEN(Множество[[#This Row],[Критерии]])&gt;0,LEN(Множество[[#This Row],[Оценки]])&gt;0),1,-1)</f>
        <v>-1</v>
      </c>
      <c r="AN539" s="208"/>
      <c r="AO539" s="208"/>
      <c r="AP539" s="208"/>
      <c r="AQ539" s="208"/>
      <c r="AR539" s="226"/>
      <c r="AS539" s="225"/>
      <c r="AT539" s="226"/>
      <c r="AU539" s="225"/>
      <c r="AV539" s="225"/>
      <c r="AW539" s="225"/>
      <c r="AX539" s="225"/>
      <c r="AY539" s="225"/>
    </row>
    <row r="540" spans="33:51" x14ac:dyDescent="0.25">
      <c r="AG540" s="66" t="str">
        <f>IF(AND(Множество[[#This Row],[Y]]=1),ROW()-ROW(Множество[[#Headers],[№]]),"")</f>
        <v/>
      </c>
      <c r="AI540" s="66">
        <v>1</v>
      </c>
      <c r="AJ540" s="66">
        <f>IF(LEN(Множество[[#This Row],[Свёртка]])&gt;0,1,-1)</f>
        <v>1</v>
      </c>
      <c r="AK540" s="66" t="s">
        <v>1781</v>
      </c>
      <c r="AL540" s="209">
        <f>IF(LEN(Множество[[#This Row],[Критерии]])&gt;0,1,-1)</f>
        <v>1</v>
      </c>
      <c r="AM540" s="209">
        <f>IF(AND(LEN(Множество[[#This Row],[Свёртка]])&gt;0,LEN(Множество[[#This Row],[Критерии]])&gt;0,LEN(Множество[[#This Row],[Оценки]])&gt;0),1,-1)</f>
        <v>-1</v>
      </c>
      <c r="AN540" s="208"/>
      <c r="AO540" s="208"/>
      <c r="AP540" s="208"/>
      <c r="AQ540" s="208"/>
      <c r="AR540" s="226"/>
      <c r="AS540" s="225"/>
      <c r="AT540" s="226"/>
      <c r="AU540" s="225"/>
      <c r="AV540" s="225"/>
      <c r="AW540" s="225"/>
      <c r="AX540" s="225"/>
      <c r="AY540" s="225"/>
    </row>
    <row r="541" spans="33:51" x14ac:dyDescent="0.25">
      <c r="AG541" s="66" t="str">
        <f>IF(AND(Множество[[#This Row],[Y]]=1),ROW()-ROW(Множество[[#Headers],[№]]),"")</f>
        <v/>
      </c>
      <c r="AI541" s="66">
        <v>1</v>
      </c>
      <c r="AJ541" s="66">
        <f>IF(LEN(Множество[[#This Row],[Свёртка]])&gt;0,1,-1)</f>
        <v>1</v>
      </c>
      <c r="AK541" s="66" t="s">
        <v>1781</v>
      </c>
      <c r="AL541" s="209">
        <f>IF(LEN(Множество[[#This Row],[Критерии]])&gt;0,1,-1)</f>
        <v>1</v>
      </c>
      <c r="AM541" s="209">
        <f>IF(AND(LEN(Множество[[#This Row],[Свёртка]])&gt;0,LEN(Множество[[#This Row],[Критерии]])&gt;0,LEN(Множество[[#This Row],[Оценки]])&gt;0),1,-1)</f>
        <v>-1</v>
      </c>
      <c r="AN541" s="208"/>
      <c r="AO541" s="208"/>
      <c r="AP541" s="208"/>
      <c r="AQ541" s="208"/>
      <c r="AR541" s="226"/>
      <c r="AS541" s="225"/>
      <c r="AT541" s="226"/>
      <c r="AU541" s="225"/>
      <c r="AV541" s="225"/>
      <c r="AW541" s="225"/>
      <c r="AX541" s="225"/>
      <c r="AY541" s="225"/>
    </row>
    <row r="542" spans="33:51" x14ac:dyDescent="0.25">
      <c r="AG542" s="66" t="str">
        <f>IF(AND(Множество[[#This Row],[Y]]=1),ROW()-ROW(Множество[[#Headers],[№]]),"")</f>
        <v/>
      </c>
      <c r="AI542" s="66">
        <v>1</v>
      </c>
      <c r="AJ542" s="66">
        <f>IF(LEN(Множество[[#This Row],[Свёртка]])&gt;0,1,-1)</f>
        <v>1</v>
      </c>
      <c r="AK542" s="66" t="s">
        <v>1781</v>
      </c>
      <c r="AL542" s="209">
        <f>IF(LEN(Множество[[#This Row],[Критерии]])&gt;0,1,-1)</f>
        <v>1</v>
      </c>
      <c r="AM542" s="209">
        <f>IF(AND(LEN(Множество[[#This Row],[Свёртка]])&gt;0,LEN(Множество[[#This Row],[Критерии]])&gt;0,LEN(Множество[[#This Row],[Оценки]])&gt;0),1,-1)</f>
        <v>-1</v>
      </c>
      <c r="AN542" s="208"/>
      <c r="AO542" s="208"/>
      <c r="AP542" s="208"/>
      <c r="AQ542" s="208"/>
      <c r="AR542" s="226"/>
      <c r="AS542" s="225"/>
      <c r="AT542" s="226"/>
      <c r="AU542" s="225"/>
      <c r="AV542" s="225"/>
      <c r="AW542" s="225"/>
      <c r="AX542" s="225"/>
      <c r="AY542" s="225"/>
    </row>
    <row r="543" spans="33:51" x14ac:dyDescent="0.25">
      <c r="AG543" s="66" t="str">
        <f>IF(AND(Множество[[#This Row],[Y]]=1),ROW()-ROW(Множество[[#Headers],[№]]),"")</f>
        <v/>
      </c>
      <c r="AI543" s="66">
        <v>1</v>
      </c>
      <c r="AJ543" s="66">
        <f>IF(LEN(Множество[[#This Row],[Свёртка]])&gt;0,1,-1)</f>
        <v>1</v>
      </c>
      <c r="AK543" s="66" t="s">
        <v>1781</v>
      </c>
      <c r="AL543" s="209">
        <f>IF(LEN(Множество[[#This Row],[Критерии]])&gt;0,1,-1)</f>
        <v>1</v>
      </c>
      <c r="AM543" s="209">
        <f>IF(AND(LEN(Множество[[#This Row],[Свёртка]])&gt;0,LEN(Множество[[#This Row],[Критерии]])&gt;0,LEN(Множество[[#This Row],[Оценки]])&gt;0),1,-1)</f>
        <v>-1</v>
      </c>
      <c r="AN543" s="208"/>
      <c r="AO543" s="208"/>
      <c r="AP543" s="208"/>
      <c r="AQ543" s="208"/>
      <c r="AR543" s="226"/>
      <c r="AS543" s="225"/>
      <c r="AT543" s="226"/>
      <c r="AU543" s="225"/>
      <c r="AV543" s="225"/>
      <c r="AW543" s="225"/>
      <c r="AX543" s="225"/>
      <c r="AY543" s="225"/>
    </row>
    <row r="544" spans="33:51" x14ac:dyDescent="0.25">
      <c r="AG544" s="66" t="str">
        <f>IF(AND(Множество[[#This Row],[Y]]=1),ROW()-ROW(Множество[[#Headers],[№]]),"")</f>
        <v/>
      </c>
      <c r="AI544" s="66">
        <v>1</v>
      </c>
      <c r="AJ544" s="66">
        <f>IF(LEN(Множество[[#This Row],[Свёртка]])&gt;0,1,-1)</f>
        <v>1</v>
      </c>
      <c r="AK544" s="66" t="s">
        <v>1781</v>
      </c>
      <c r="AL544" s="209">
        <f>IF(LEN(Множество[[#This Row],[Критерии]])&gt;0,1,-1)</f>
        <v>1</v>
      </c>
      <c r="AM544" s="209">
        <f>IF(AND(LEN(Множество[[#This Row],[Свёртка]])&gt;0,LEN(Множество[[#This Row],[Критерии]])&gt;0,LEN(Множество[[#This Row],[Оценки]])&gt;0),1,-1)</f>
        <v>-1</v>
      </c>
      <c r="AN544" s="208"/>
      <c r="AO544" s="208"/>
      <c r="AP544" s="208"/>
      <c r="AQ544" s="208"/>
      <c r="AR544" s="226"/>
      <c r="AS544" s="225"/>
      <c r="AT544" s="226"/>
      <c r="AU544" s="225"/>
      <c r="AV544" s="225"/>
      <c r="AW544" s="225"/>
      <c r="AX544" s="225"/>
      <c r="AY544" s="225"/>
    </row>
    <row r="545" spans="33:51" x14ac:dyDescent="0.25">
      <c r="AG545" s="66" t="str">
        <f>IF(AND(Множество[[#This Row],[Y]]=1),ROW()-ROW(Множество[[#Headers],[№]]),"")</f>
        <v/>
      </c>
      <c r="AI545" s="66">
        <v>1</v>
      </c>
      <c r="AJ545" s="66">
        <f>IF(LEN(Множество[[#This Row],[Свёртка]])&gt;0,1,-1)</f>
        <v>1</v>
      </c>
      <c r="AK545" s="66" t="s">
        <v>1781</v>
      </c>
      <c r="AL545" s="209">
        <f>IF(LEN(Множество[[#This Row],[Критерии]])&gt;0,1,-1)</f>
        <v>1</v>
      </c>
      <c r="AM545" s="209">
        <f>IF(AND(LEN(Множество[[#This Row],[Свёртка]])&gt;0,LEN(Множество[[#This Row],[Критерии]])&gt;0,LEN(Множество[[#This Row],[Оценки]])&gt;0),1,-1)</f>
        <v>-1</v>
      </c>
      <c r="AN545" s="208"/>
      <c r="AO545" s="208"/>
      <c r="AP545" s="208"/>
      <c r="AQ545" s="208"/>
      <c r="AR545" s="226"/>
      <c r="AS545" s="225"/>
      <c r="AT545" s="226"/>
      <c r="AU545" s="225"/>
      <c r="AV545" s="225"/>
      <c r="AW545" s="225"/>
      <c r="AX545" s="225"/>
      <c r="AY545" s="225"/>
    </row>
    <row r="546" spans="33:51" x14ac:dyDescent="0.25">
      <c r="AG546" s="66" t="str">
        <f>IF(AND(Множество[[#This Row],[Y]]=1),ROW()-ROW(Множество[[#Headers],[№]]),"")</f>
        <v/>
      </c>
      <c r="AI546" s="66">
        <v>1</v>
      </c>
      <c r="AJ546" s="66">
        <f>IF(LEN(Множество[[#This Row],[Свёртка]])&gt;0,1,-1)</f>
        <v>1</v>
      </c>
      <c r="AK546" s="66" t="s">
        <v>1781</v>
      </c>
      <c r="AL546" s="209">
        <f>IF(LEN(Множество[[#This Row],[Критерии]])&gt;0,1,-1)</f>
        <v>1</v>
      </c>
      <c r="AM546" s="209">
        <f>IF(AND(LEN(Множество[[#This Row],[Свёртка]])&gt;0,LEN(Множество[[#This Row],[Критерии]])&gt;0,LEN(Множество[[#This Row],[Оценки]])&gt;0),1,-1)</f>
        <v>-1</v>
      </c>
      <c r="AN546" s="208"/>
      <c r="AO546" s="208"/>
      <c r="AP546" s="208"/>
      <c r="AQ546" s="208"/>
      <c r="AR546" s="226"/>
      <c r="AS546" s="225"/>
      <c r="AT546" s="226"/>
      <c r="AU546" s="225"/>
      <c r="AV546" s="225"/>
      <c r="AW546" s="225"/>
      <c r="AX546" s="225"/>
      <c r="AY546" s="225"/>
    </row>
    <row r="547" spans="33:51" x14ac:dyDescent="0.25">
      <c r="AG547" s="66" t="str">
        <f>IF(AND(Множество[[#This Row],[Y]]=1),ROW()-ROW(Множество[[#Headers],[№]]),"")</f>
        <v/>
      </c>
      <c r="AI547" s="66">
        <v>1</v>
      </c>
      <c r="AJ547" s="66">
        <f>IF(LEN(Множество[[#This Row],[Свёртка]])&gt;0,1,-1)</f>
        <v>1</v>
      </c>
      <c r="AK547" s="66" t="s">
        <v>1781</v>
      </c>
      <c r="AL547" s="209">
        <f>IF(LEN(Множество[[#This Row],[Критерии]])&gt;0,1,-1)</f>
        <v>1</v>
      </c>
      <c r="AM547" s="209">
        <f>IF(AND(LEN(Множество[[#This Row],[Свёртка]])&gt;0,LEN(Множество[[#This Row],[Критерии]])&gt;0,LEN(Множество[[#This Row],[Оценки]])&gt;0),1,-1)</f>
        <v>-1</v>
      </c>
      <c r="AN547" s="208"/>
      <c r="AO547" s="208"/>
      <c r="AP547" s="208"/>
      <c r="AQ547" s="208"/>
      <c r="AR547" s="226"/>
      <c r="AS547" s="225"/>
      <c r="AT547" s="226"/>
      <c r="AU547" s="225"/>
      <c r="AV547" s="225"/>
      <c r="AW547" s="225"/>
      <c r="AX547" s="225"/>
      <c r="AY547" s="225"/>
    </row>
    <row r="548" spans="33:51" x14ac:dyDescent="0.25">
      <c r="AG548" s="66" t="str">
        <f>IF(AND(Множество[[#This Row],[Y]]=1),ROW()-ROW(Множество[[#Headers],[№]]),"")</f>
        <v/>
      </c>
      <c r="AI548" s="66">
        <v>1</v>
      </c>
      <c r="AJ548" s="66">
        <f>IF(LEN(Множество[[#This Row],[Свёртка]])&gt;0,1,-1)</f>
        <v>1</v>
      </c>
      <c r="AK548" s="66" t="s">
        <v>1781</v>
      </c>
      <c r="AL548" s="209">
        <f>IF(LEN(Множество[[#This Row],[Критерии]])&gt;0,1,-1)</f>
        <v>1</v>
      </c>
      <c r="AM548" s="209">
        <f>IF(AND(LEN(Множество[[#This Row],[Свёртка]])&gt;0,LEN(Множество[[#This Row],[Критерии]])&gt;0,LEN(Множество[[#This Row],[Оценки]])&gt;0),1,-1)</f>
        <v>-1</v>
      </c>
      <c r="AN548" s="208"/>
      <c r="AO548" s="208"/>
      <c r="AP548" s="208"/>
      <c r="AQ548" s="208"/>
      <c r="AR548" s="226"/>
      <c r="AS548" s="225"/>
      <c r="AT548" s="226"/>
      <c r="AU548" s="225"/>
      <c r="AV548" s="225"/>
      <c r="AW548" s="225"/>
      <c r="AX548" s="225"/>
      <c r="AY548" s="225"/>
    </row>
    <row r="549" spans="33:51" x14ac:dyDescent="0.25">
      <c r="AG549" s="66" t="str">
        <f>IF(AND(Множество[[#This Row],[Y]]=1),ROW()-ROW(Множество[[#Headers],[№]]),"")</f>
        <v/>
      </c>
      <c r="AI549" s="66">
        <v>1</v>
      </c>
      <c r="AJ549" s="66">
        <f>IF(LEN(Множество[[#This Row],[Свёртка]])&gt;0,1,-1)</f>
        <v>1</v>
      </c>
      <c r="AK549" s="66" t="s">
        <v>1781</v>
      </c>
      <c r="AL549" s="209">
        <f>IF(LEN(Множество[[#This Row],[Критерии]])&gt;0,1,-1)</f>
        <v>1</v>
      </c>
      <c r="AM549" s="209">
        <f>IF(AND(LEN(Множество[[#This Row],[Свёртка]])&gt;0,LEN(Множество[[#This Row],[Критерии]])&gt;0,LEN(Множество[[#This Row],[Оценки]])&gt;0),1,-1)</f>
        <v>-1</v>
      </c>
      <c r="AN549" s="208"/>
      <c r="AO549" s="208"/>
      <c r="AP549" s="208"/>
      <c r="AQ549" s="208"/>
      <c r="AR549" s="226"/>
      <c r="AS549" s="225"/>
      <c r="AT549" s="226"/>
      <c r="AU549" s="225"/>
      <c r="AV549" s="225"/>
      <c r="AW549" s="225"/>
      <c r="AX549" s="225"/>
      <c r="AY549" s="225"/>
    </row>
    <row r="550" spans="33:51" x14ac:dyDescent="0.25">
      <c r="AG550" s="66" t="str">
        <f>IF(AND(Множество[[#This Row],[Y]]=1),ROW()-ROW(Множество[[#Headers],[№]]),"")</f>
        <v/>
      </c>
      <c r="AI550" s="66">
        <v>1</v>
      </c>
      <c r="AJ550" s="66">
        <f>IF(LEN(Множество[[#This Row],[Свёртка]])&gt;0,1,-1)</f>
        <v>1</v>
      </c>
      <c r="AK550" s="66" t="s">
        <v>1781</v>
      </c>
      <c r="AL550" s="209">
        <f>IF(LEN(Множество[[#This Row],[Критерии]])&gt;0,1,-1)</f>
        <v>1</v>
      </c>
      <c r="AM550" s="209">
        <f>IF(AND(LEN(Множество[[#This Row],[Свёртка]])&gt;0,LEN(Множество[[#This Row],[Критерии]])&gt;0,LEN(Множество[[#This Row],[Оценки]])&gt;0),1,-1)</f>
        <v>-1</v>
      </c>
      <c r="AN550" s="208"/>
      <c r="AO550" s="208"/>
      <c r="AP550" s="208"/>
      <c r="AQ550" s="208"/>
      <c r="AR550" s="226"/>
      <c r="AS550" s="225"/>
      <c r="AT550" s="226"/>
      <c r="AU550" s="225"/>
      <c r="AV550" s="225"/>
      <c r="AW550" s="225"/>
      <c r="AX550" s="225"/>
      <c r="AY550" s="225"/>
    </row>
    <row r="551" spans="33:51" x14ac:dyDescent="0.25">
      <c r="AG551" s="66" t="str">
        <f>IF(AND(Множество[[#This Row],[Y]]=1),ROW()-ROW(Множество[[#Headers],[№]]),"")</f>
        <v/>
      </c>
      <c r="AI551" s="66">
        <v>1</v>
      </c>
      <c r="AJ551" s="66">
        <f>IF(LEN(Множество[[#This Row],[Свёртка]])&gt;0,1,-1)</f>
        <v>1</v>
      </c>
      <c r="AK551" s="66" t="s">
        <v>1781</v>
      </c>
      <c r="AL551" s="209">
        <f>IF(LEN(Множество[[#This Row],[Критерии]])&gt;0,1,-1)</f>
        <v>1</v>
      </c>
      <c r="AM551" s="209">
        <f>IF(AND(LEN(Множество[[#This Row],[Свёртка]])&gt;0,LEN(Множество[[#This Row],[Критерии]])&gt;0,LEN(Множество[[#This Row],[Оценки]])&gt;0),1,-1)</f>
        <v>-1</v>
      </c>
      <c r="AN551" s="208"/>
      <c r="AO551" s="208"/>
      <c r="AP551" s="208"/>
      <c r="AQ551" s="208"/>
      <c r="AR551" s="226"/>
      <c r="AS551" s="225"/>
      <c r="AT551" s="226"/>
      <c r="AU551" s="225"/>
      <c r="AV551" s="225"/>
      <c r="AW551" s="225"/>
      <c r="AX551" s="225"/>
      <c r="AY551" s="225"/>
    </row>
    <row r="552" spans="33:51" x14ac:dyDescent="0.25">
      <c r="AG552" s="66" t="str">
        <f>IF(AND(Множество[[#This Row],[Y]]=1),ROW()-ROW(Множество[[#Headers],[№]]),"")</f>
        <v/>
      </c>
      <c r="AI552" s="66">
        <v>1</v>
      </c>
      <c r="AJ552" s="66">
        <f>IF(LEN(Множество[[#This Row],[Свёртка]])&gt;0,1,-1)</f>
        <v>1</v>
      </c>
      <c r="AK552" s="66" t="s">
        <v>1781</v>
      </c>
      <c r="AL552" s="209">
        <f>IF(LEN(Множество[[#This Row],[Критерии]])&gt;0,1,-1)</f>
        <v>1</v>
      </c>
      <c r="AM552" s="209">
        <f>IF(AND(LEN(Множество[[#This Row],[Свёртка]])&gt;0,LEN(Множество[[#This Row],[Критерии]])&gt;0,LEN(Множество[[#This Row],[Оценки]])&gt;0),1,-1)</f>
        <v>-1</v>
      </c>
      <c r="AN552" s="208"/>
      <c r="AO552" s="208"/>
      <c r="AP552" s="208"/>
      <c r="AQ552" s="208"/>
      <c r="AR552" s="226"/>
      <c r="AS552" s="225"/>
      <c r="AT552" s="226"/>
      <c r="AU552" s="225"/>
      <c r="AV552" s="225"/>
      <c r="AW552" s="225"/>
      <c r="AX552" s="225"/>
      <c r="AY552" s="225"/>
    </row>
    <row r="553" spans="33:51" x14ac:dyDescent="0.25">
      <c r="AG553" s="66" t="str">
        <f>IF(AND(Множество[[#This Row],[Y]]=1),ROW()-ROW(Множество[[#Headers],[№]]),"")</f>
        <v/>
      </c>
      <c r="AI553" s="66">
        <v>1</v>
      </c>
      <c r="AJ553" s="66">
        <f>IF(LEN(Множество[[#This Row],[Свёртка]])&gt;0,1,-1)</f>
        <v>1</v>
      </c>
      <c r="AK553" s="66" t="s">
        <v>1781</v>
      </c>
      <c r="AL553" s="209">
        <f>IF(LEN(Множество[[#This Row],[Критерии]])&gt;0,1,-1)</f>
        <v>1</v>
      </c>
      <c r="AM553" s="209">
        <f>IF(AND(LEN(Множество[[#This Row],[Свёртка]])&gt;0,LEN(Множество[[#This Row],[Критерии]])&gt;0,LEN(Множество[[#This Row],[Оценки]])&gt;0),1,-1)</f>
        <v>-1</v>
      </c>
      <c r="AN553" s="208"/>
      <c r="AO553" s="208"/>
      <c r="AP553" s="208"/>
      <c r="AQ553" s="208"/>
      <c r="AR553" s="226"/>
      <c r="AS553" s="225"/>
      <c r="AT553" s="226"/>
      <c r="AU553" s="225"/>
      <c r="AV553" s="225"/>
      <c r="AW553" s="225"/>
      <c r="AX553" s="225"/>
      <c r="AY553" s="225"/>
    </row>
    <row r="554" spans="33:51" x14ac:dyDescent="0.25">
      <c r="AG554" s="66" t="str">
        <f>IF(AND(Множество[[#This Row],[Y]]=1),ROW()-ROW(Множество[[#Headers],[№]]),"")</f>
        <v/>
      </c>
      <c r="AI554" s="66">
        <v>1</v>
      </c>
      <c r="AJ554" s="66">
        <f>IF(LEN(Множество[[#This Row],[Свёртка]])&gt;0,1,-1)</f>
        <v>1</v>
      </c>
      <c r="AK554" s="66" t="s">
        <v>1781</v>
      </c>
      <c r="AL554" s="209">
        <f>IF(LEN(Множество[[#This Row],[Критерии]])&gt;0,1,-1)</f>
        <v>1</v>
      </c>
      <c r="AM554" s="209">
        <f>IF(AND(LEN(Множество[[#This Row],[Свёртка]])&gt;0,LEN(Множество[[#This Row],[Критерии]])&gt;0,LEN(Множество[[#This Row],[Оценки]])&gt;0),1,-1)</f>
        <v>-1</v>
      </c>
      <c r="AN554" s="208"/>
      <c r="AO554" s="208"/>
      <c r="AP554" s="208"/>
      <c r="AQ554" s="208"/>
      <c r="AR554" s="226"/>
      <c r="AS554" s="225"/>
      <c r="AT554" s="226"/>
      <c r="AU554" s="225"/>
      <c r="AV554" s="225"/>
      <c r="AW554" s="225"/>
      <c r="AX554" s="225"/>
      <c r="AY554" s="225"/>
    </row>
    <row r="555" spans="33:51" x14ac:dyDescent="0.25">
      <c r="AG555" s="66" t="str">
        <f>IF(AND(Множество[[#This Row],[Y]]=1),ROW()-ROW(Множество[[#Headers],[№]]),"")</f>
        <v/>
      </c>
      <c r="AI555" s="66">
        <v>1</v>
      </c>
      <c r="AJ555" s="66">
        <f>IF(LEN(Множество[[#This Row],[Свёртка]])&gt;0,1,-1)</f>
        <v>1</v>
      </c>
      <c r="AK555" s="66" t="s">
        <v>1781</v>
      </c>
      <c r="AL555" s="209">
        <f>IF(LEN(Множество[[#This Row],[Критерии]])&gt;0,1,-1)</f>
        <v>1</v>
      </c>
      <c r="AM555" s="209">
        <f>IF(AND(LEN(Множество[[#This Row],[Свёртка]])&gt;0,LEN(Множество[[#This Row],[Критерии]])&gt;0,LEN(Множество[[#This Row],[Оценки]])&gt;0),1,-1)</f>
        <v>-1</v>
      </c>
      <c r="AN555" s="208"/>
      <c r="AO555" s="208"/>
      <c r="AP555" s="208"/>
      <c r="AQ555" s="208"/>
      <c r="AR555" s="226"/>
      <c r="AS555" s="225"/>
      <c r="AT555" s="226"/>
      <c r="AU555" s="225"/>
      <c r="AV555" s="225"/>
      <c r="AW555" s="225"/>
      <c r="AX555" s="225"/>
      <c r="AY555" s="225"/>
    </row>
    <row r="556" spans="33:51" x14ac:dyDescent="0.25">
      <c r="AG556" s="66" t="str">
        <f>IF(AND(Множество[[#This Row],[Y]]=1),ROW()-ROW(Множество[[#Headers],[№]]),"")</f>
        <v/>
      </c>
      <c r="AI556" s="66">
        <v>1</v>
      </c>
      <c r="AJ556" s="66">
        <f>IF(LEN(Множество[[#This Row],[Свёртка]])&gt;0,1,-1)</f>
        <v>1</v>
      </c>
      <c r="AK556" s="66" t="s">
        <v>1781</v>
      </c>
      <c r="AL556" s="209">
        <f>IF(LEN(Множество[[#This Row],[Критерии]])&gt;0,1,-1)</f>
        <v>1</v>
      </c>
      <c r="AM556" s="209">
        <f>IF(AND(LEN(Множество[[#This Row],[Свёртка]])&gt;0,LEN(Множество[[#This Row],[Критерии]])&gt;0,LEN(Множество[[#This Row],[Оценки]])&gt;0),1,-1)</f>
        <v>-1</v>
      </c>
      <c r="AN556" s="208"/>
      <c r="AO556" s="208"/>
      <c r="AP556" s="208"/>
      <c r="AQ556" s="208"/>
      <c r="AR556" s="226"/>
      <c r="AS556" s="225"/>
      <c r="AT556" s="226"/>
      <c r="AU556" s="225"/>
      <c r="AV556" s="225"/>
      <c r="AW556" s="225"/>
      <c r="AX556" s="225"/>
      <c r="AY556" s="225"/>
    </row>
    <row r="557" spans="33:51" x14ac:dyDescent="0.25">
      <c r="AG557" s="66" t="str">
        <f>IF(AND(Множество[[#This Row],[Y]]=1),ROW()-ROW(Множество[[#Headers],[№]]),"")</f>
        <v/>
      </c>
      <c r="AI557" s="66">
        <v>1</v>
      </c>
      <c r="AJ557" s="66">
        <f>IF(LEN(Множество[[#This Row],[Свёртка]])&gt;0,1,-1)</f>
        <v>1</v>
      </c>
      <c r="AK557" s="66" t="s">
        <v>1781</v>
      </c>
      <c r="AL557" s="209">
        <f>IF(LEN(Множество[[#This Row],[Критерии]])&gt;0,1,-1)</f>
        <v>1</v>
      </c>
      <c r="AM557" s="209">
        <f>IF(AND(LEN(Множество[[#This Row],[Свёртка]])&gt;0,LEN(Множество[[#This Row],[Критерии]])&gt;0,LEN(Множество[[#This Row],[Оценки]])&gt;0),1,-1)</f>
        <v>-1</v>
      </c>
      <c r="AN557" s="208"/>
      <c r="AO557" s="208"/>
      <c r="AP557" s="208"/>
      <c r="AQ557" s="208"/>
      <c r="AR557" s="226"/>
      <c r="AS557" s="225"/>
      <c r="AT557" s="226"/>
      <c r="AU557" s="225"/>
      <c r="AV557" s="225"/>
      <c r="AW557" s="225"/>
      <c r="AX557" s="225"/>
      <c r="AY557" s="225"/>
    </row>
    <row r="558" spans="33:51" x14ac:dyDescent="0.25">
      <c r="AG558" s="66" t="str">
        <f>IF(AND(Множество[[#This Row],[Y]]=1),ROW()-ROW(Множество[[#Headers],[№]]),"")</f>
        <v/>
      </c>
      <c r="AI558" s="66">
        <v>1</v>
      </c>
      <c r="AJ558" s="66">
        <f>IF(LEN(Множество[[#This Row],[Свёртка]])&gt;0,1,-1)</f>
        <v>1</v>
      </c>
      <c r="AK558" s="66" t="s">
        <v>1781</v>
      </c>
      <c r="AL558" s="209">
        <f>IF(LEN(Множество[[#This Row],[Критерии]])&gt;0,1,-1)</f>
        <v>1</v>
      </c>
      <c r="AM558" s="209">
        <f>IF(AND(LEN(Множество[[#This Row],[Свёртка]])&gt;0,LEN(Множество[[#This Row],[Критерии]])&gt;0,LEN(Множество[[#This Row],[Оценки]])&gt;0),1,-1)</f>
        <v>-1</v>
      </c>
      <c r="AN558" s="208"/>
      <c r="AO558" s="208"/>
      <c r="AP558" s="208"/>
      <c r="AQ558" s="208"/>
      <c r="AR558" s="226"/>
      <c r="AS558" s="225"/>
      <c r="AT558" s="226"/>
      <c r="AU558" s="225"/>
      <c r="AV558" s="225"/>
      <c r="AW558" s="225"/>
      <c r="AX558" s="225"/>
      <c r="AY558" s="225"/>
    </row>
    <row r="559" spans="33:51" x14ac:dyDescent="0.25">
      <c r="AG559" s="66" t="str">
        <f>IF(AND(Множество[[#This Row],[Y]]=1),ROW()-ROW(Множество[[#Headers],[№]]),"")</f>
        <v/>
      </c>
      <c r="AI559" s="66">
        <v>1</v>
      </c>
      <c r="AJ559" s="66">
        <f>IF(LEN(Множество[[#This Row],[Свёртка]])&gt;0,1,-1)</f>
        <v>1</v>
      </c>
      <c r="AK559" s="66" t="s">
        <v>1781</v>
      </c>
      <c r="AL559" s="209">
        <f>IF(LEN(Множество[[#This Row],[Критерии]])&gt;0,1,-1)</f>
        <v>1</v>
      </c>
      <c r="AM559" s="209">
        <f>IF(AND(LEN(Множество[[#This Row],[Свёртка]])&gt;0,LEN(Множество[[#This Row],[Критерии]])&gt;0,LEN(Множество[[#This Row],[Оценки]])&gt;0),1,-1)</f>
        <v>-1</v>
      </c>
      <c r="AN559" s="208"/>
      <c r="AO559" s="208"/>
      <c r="AP559" s="208"/>
      <c r="AQ559" s="208"/>
      <c r="AR559" s="226"/>
      <c r="AS559" s="225"/>
      <c r="AT559" s="226"/>
      <c r="AU559" s="225"/>
      <c r="AV559" s="225"/>
      <c r="AW559" s="225"/>
      <c r="AX559" s="225"/>
      <c r="AY559" s="225"/>
    </row>
    <row r="560" spans="33:51" x14ac:dyDescent="0.25">
      <c r="AG560" s="66" t="str">
        <f>IF(AND(Множество[[#This Row],[Y]]=1),ROW()-ROW(Множество[[#Headers],[№]]),"")</f>
        <v/>
      </c>
      <c r="AI560" s="66">
        <v>1</v>
      </c>
      <c r="AJ560" s="66">
        <f>IF(LEN(Множество[[#This Row],[Свёртка]])&gt;0,1,-1)</f>
        <v>1</v>
      </c>
      <c r="AK560" s="66" t="s">
        <v>1781</v>
      </c>
      <c r="AL560" s="209">
        <f>IF(LEN(Множество[[#This Row],[Критерии]])&gt;0,1,-1)</f>
        <v>1</v>
      </c>
      <c r="AM560" s="209">
        <f>IF(AND(LEN(Множество[[#This Row],[Свёртка]])&gt;0,LEN(Множество[[#This Row],[Критерии]])&gt;0,LEN(Множество[[#This Row],[Оценки]])&gt;0),1,-1)</f>
        <v>-1</v>
      </c>
      <c r="AN560" s="208"/>
      <c r="AO560" s="208"/>
      <c r="AP560" s="208"/>
      <c r="AQ560" s="208"/>
      <c r="AR560" s="226"/>
      <c r="AS560" s="225"/>
      <c r="AT560" s="226"/>
      <c r="AU560" s="225"/>
      <c r="AV560" s="225"/>
      <c r="AW560" s="225"/>
      <c r="AX560" s="225"/>
      <c r="AY560" s="225"/>
    </row>
    <row r="561" spans="33:51" x14ac:dyDescent="0.25">
      <c r="AG561" s="66" t="str">
        <f>IF(AND(Множество[[#This Row],[Y]]=1),ROW()-ROW(Множество[[#Headers],[№]]),"")</f>
        <v/>
      </c>
      <c r="AI561" s="66">
        <v>1</v>
      </c>
      <c r="AJ561" s="66">
        <f>IF(LEN(Множество[[#This Row],[Свёртка]])&gt;0,1,-1)</f>
        <v>1</v>
      </c>
      <c r="AK561" s="66" t="s">
        <v>1781</v>
      </c>
      <c r="AL561" s="209">
        <f>IF(LEN(Множество[[#This Row],[Критерии]])&gt;0,1,-1)</f>
        <v>1</v>
      </c>
      <c r="AM561" s="209">
        <f>IF(AND(LEN(Множество[[#This Row],[Свёртка]])&gt;0,LEN(Множество[[#This Row],[Критерии]])&gt;0,LEN(Множество[[#This Row],[Оценки]])&gt;0),1,-1)</f>
        <v>-1</v>
      </c>
      <c r="AN561" s="208"/>
      <c r="AO561" s="208"/>
      <c r="AP561" s="208"/>
      <c r="AQ561" s="208"/>
      <c r="AR561" s="226"/>
      <c r="AS561" s="225"/>
      <c r="AT561" s="226"/>
      <c r="AU561" s="225"/>
      <c r="AV561" s="225"/>
      <c r="AW561" s="225"/>
      <c r="AX561" s="225"/>
      <c r="AY561" s="225"/>
    </row>
    <row r="562" spans="33:51" x14ac:dyDescent="0.25">
      <c r="AG562" s="66" t="str">
        <f>IF(AND(Множество[[#This Row],[Y]]=1),ROW()-ROW(Множество[[#Headers],[№]]),"")</f>
        <v/>
      </c>
      <c r="AI562" s="66">
        <v>1</v>
      </c>
      <c r="AJ562" s="66">
        <f>IF(LEN(Множество[[#This Row],[Свёртка]])&gt;0,1,-1)</f>
        <v>1</v>
      </c>
      <c r="AK562" s="66" t="s">
        <v>1781</v>
      </c>
      <c r="AL562" s="209">
        <f>IF(LEN(Множество[[#This Row],[Критерии]])&gt;0,1,-1)</f>
        <v>1</v>
      </c>
      <c r="AM562" s="209">
        <f>IF(AND(LEN(Множество[[#This Row],[Свёртка]])&gt;0,LEN(Множество[[#This Row],[Критерии]])&gt;0,LEN(Множество[[#This Row],[Оценки]])&gt;0),1,-1)</f>
        <v>-1</v>
      </c>
      <c r="AN562" s="208"/>
      <c r="AO562" s="208"/>
      <c r="AP562" s="208"/>
      <c r="AQ562" s="208"/>
      <c r="AR562" s="226"/>
      <c r="AS562" s="225"/>
      <c r="AT562" s="226"/>
      <c r="AU562" s="225"/>
      <c r="AV562" s="225"/>
      <c r="AW562" s="225"/>
      <c r="AX562" s="225"/>
      <c r="AY562" s="225"/>
    </row>
    <row r="563" spans="33:51" x14ac:dyDescent="0.25">
      <c r="AG563" s="66" t="str">
        <f>IF(AND(Множество[[#This Row],[Y]]=1),ROW()-ROW(Множество[[#Headers],[№]]),"")</f>
        <v/>
      </c>
      <c r="AI563" s="66">
        <v>1</v>
      </c>
      <c r="AJ563" s="66">
        <f>IF(LEN(Множество[[#This Row],[Свёртка]])&gt;0,1,-1)</f>
        <v>1</v>
      </c>
      <c r="AK563" s="66" t="s">
        <v>1781</v>
      </c>
      <c r="AL563" s="209">
        <f>IF(LEN(Множество[[#This Row],[Критерии]])&gt;0,1,-1)</f>
        <v>1</v>
      </c>
      <c r="AM563" s="209">
        <f>IF(AND(LEN(Множество[[#This Row],[Свёртка]])&gt;0,LEN(Множество[[#This Row],[Критерии]])&gt;0,LEN(Множество[[#This Row],[Оценки]])&gt;0),1,-1)</f>
        <v>-1</v>
      </c>
      <c r="AN563" s="208"/>
      <c r="AO563" s="208"/>
      <c r="AP563" s="208"/>
      <c r="AQ563" s="208"/>
      <c r="AR563" s="226"/>
      <c r="AS563" s="225"/>
      <c r="AT563" s="226"/>
      <c r="AU563" s="225"/>
      <c r="AV563" s="225"/>
      <c r="AW563" s="225"/>
      <c r="AX563" s="225"/>
      <c r="AY563" s="225"/>
    </row>
    <row r="564" spans="33:51" x14ac:dyDescent="0.25">
      <c r="AG564" s="66" t="str">
        <f>IF(AND(Множество[[#This Row],[Y]]=1),ROW()-ROW(Множество[[#Headers],[№]]),"")</f>
        <v/>
      </c>
      <c r="AI564" s="66">
        <v>1</v>
      </c>
      <c r="AJ564" s="66">
        <f>IF(LEN(Множество[[#This Row],[Свёртка]])&gt;0,1,-1)</f>
        <v>1</v>
      </c>
      <c r="AK564" s="66" t="s">
        <v>1781</v>
      </c>
      <c r="AL564" s="209">
        <f>IF(LEN(Множество[[#This Row],[Критерии]])&gt;0,1,-1)</f>
        <v>1</v>
      </c>
      <c r="AM564" s="209">
        <f>IF(AND(LEN(Множество[[#This Row],[Свёртка]])&gt;0,LEN(Множество[[#This Row],[Критерии]])&gt;0,LEN(Множество[[#This Row],[Оценки]])&gt;0),1,-1)</f>
        <v>-1</v>
      </c>
      <c r="AN564" s="208"/>
      <c r="AO564" s="208"/>
      <c r="AP564" s="208"/>
      <c r="AQ564" s="208"/>
      <c r="AR564" s="226"/>
      <c r="AS564" s="225"/>
      <c r="AT564" s="226"/>
      <c r="AU564" s="225"/>
      <c r="AV564" s="225"/>
      <c r="AW564" s="225"/>
      <c r="AX564" s="225"/>
      <c r="AY564" s="225"/>
    </row>
    <row r="565" spans="33:51" x14ac:dyDescent="0.25">
      <c r="AG565" s="66" t="str">
        <f>IF(AND(Множество[[#This Row],[Y]]=1),ROW()-ROW(Множество[[#Headers],[№]]),"")</f>
        <v/>
      </c>
      <c r="AI565" s="66">
        <v>1</v>
      </c>
      <c r="AJ565" s="66">
        <f>IF(LEN(Множество[[#This Row],[Свёртка]])&gt;0,1,-1)</f>
        <v>1</v>
      </c>
      <c r="AK565" s="66" t="s">
        <v>1781</v>
      </c>
      <c r="AL565" s="209">
        <f>IF(LEN(Множество[[#This Row],[Критерии]])&gt;0,1,-1)</f>
        <v>1</v>
      </c>
      <c r="AM565" s="209">
        <f>IF(AND(LEN(Множество[[#This Row],[Свёртка]])&gt;0,LEN(Множество[[#This Row],[Критерии]])&gt;0,LEN(Множество[[#This Row],[Оценки]])&gt;0),1,-1)</f>
        <v>-1</v>
      </c>
      <c r="AN565" s="208"/>
      <c r="AO565" s="208"/>
      <c r="AP565" s="208"/>
      <c r="AQ565" s="208"/>
      <c r="AR565" s="226"/>
      <c r="AS565" s="225"/>
      <c r="AT565" s="226"/>
      <c r="AU565" s="225"/>
      <c r="AV565" s="225"/>
      <c r="AW565" s="225"/>
      <c r="AX565" s="225"/>
      <c r="AY565" s="225"/>
    </row>
    <row r="566" spans="33:51" x14ac:dyDescent="0.25">
      <c r="AG566" s="66" t="str">
        <f>IF(AND(Множество[[#This Row],[Y]]=1),ROW()-ROW(Множество[[#Headers],[№]]),"")</f>
        <v/>
      </c>
      <c r="AI566" s="66">
        <v>1</v>
      </c>
      <c r="AJ566" s="66">
        <f>IF(LEN(Множество[[#This Row],[Свёртка]])&gt;0,1,-1)</f>
        <v>1</v>
      </c>
      <c r="AK566" s="66" t="s">
        <v>1781</v>
      </c>
      <c r="AL566" s="209">
        <f>IF(LEN(Множество[[#This Row],[Критерии]])&gt;0,1,-1)</f>
        <v>1</v>
      </c>
      <c r="AM566" s="209">
        <f>IF(AND(LEN(Множество[[#This Row],[Свёртка]])&gt;0,LEN(Множество[[#This Row],[Критерии]])&gt;0,LEN(Множество[[#This Row],[Оценки]])&gt;0),1,-1)</f>
        <v>-1</v>
      </c>
      <c r="AN566" s="208"/>
      <c r="AO566" s="208"/>
      <c r="AP566" s="208"/>
      <c r="AQ566" s="208"/>
      <c r="AR566" s="226"/>
      <c r="AS566" s="225"/>
      <c r="AT566" s="226"/>
      <c r="AU566" s="225"/>
      <c r="AV566" s="225"/>
      <c r="AW566" s="225"/>
      <c r="AX566" s="225"/>
      <c r="AY566" s="225"/>
    </row>
    <row r="567" spans="33:51" x14ac:dyDescent="0.25">
      <c r="AG567" s="66" t="str">
        <f>IF(AND(Множество[[#This Row],[Y]]=1),ROW()-ROW(Множество[[#Headers],[№]]),"")</f>
        <v/>
      </c>
      <c r="AI567" s="66">
        <v>1</v>
      </c>
      <c r="AJ567" s="66">
        <f>IF(LEN(Множество[[#This Row],[Свёртка]])&gt;0,1,-1)</f>
        <v>1</v>
      </c>
      <c r="AK567" s="66" t="s">
        <v>1781</v>
      </c>
      <c r="AL567" s="209">
        <f>IF(LEN(Множество[[#This Row],[Критерии]])&gt;0,1,-1)</f>
        <v>1</v>
      </c>
      <c r="AM567" s="209">
        <f>IF(AND(LEN(Множество[[#This Row],[Свёртка]])&gt;0,LEN(Множество[[#This Row],[Критерии]])&gt;0,LEN(Множество[[#This Row],[Оценки]])&gt;0),1,-1)</f>
        <v>-1</v>
      </c>
      <c r="AN567" s="208"/>
      <c r="AO567" s="208"/>
      <c r="AP567" s="208"/>
      <c r="AQ567" s="208"/>
      <c r="AR567" s="226"/>
      <c r="AS567" s="225"/>
      <c r="AT567" s="226"/>
      <c r="AU567" s="225"/>
      <c r="AV567" s="225"/>
      <c r="AW567" s="225"/>
      <c r="AX567" s="225"/>
      <c r="AY567" s="225"/>
    </row>
    <row r="568" spans="33:51" x14ac:dyDescent="0.25">
      <c r="AG568" s="66" t="str">
        <f>IF(AND(Множество[[#This Row],[Y]]=1),ROW()-ROW(Множество[[#Headers],[№]]),"")</f>
        <v/>
      </c>
      <c r="AI568" s="66">
        <v>1</v>
      </c>
      <c r="AJ568" s="66">
        <f>IF(LEN(Множество[[#This Row],[Свёртка]])&gt;0,1,-1)</f>
        <v>1</v>
      </c>
      <c r="AK568" s="66" t="s">
        <v>1781</v>
      </c>
      <c r="AL568" s="209">
        <f>IF(LEN(Множество[[#This Row],[Критерии]])&gt;0,1,-1)</f>
        <v>1</v>
      </c>
      <c r="AM568" s="209">
        <f>IF(AND(LEN(Множество[[#This Row],[Свёртка]])&gt;0,LEN(Множество[[#This Row],[Критерии]])&gt;0,LEN(Множество[[#This Row],[Оценки]])&gt;0),1,-1)</f>
        <v>-1</v>
      </c>
      <c r="AN568" s="208"/>
      <c r="AO568" s="208"/>
      <c r="AP568" s="208"/>
      <c r="AQ568" s="208"/>
      <c r="AR568" s="226"/>
      <c r="AS568" s="225"/>
      <c r="AT568" s="226"/>
      <c r="AU568" s="225"/>
      <c r="AV568" s="225"/>
      <c r="AW568" s="225"/>
      <c r="AX568" s="225"/>
      <c r="AY568" s="225"/>
    </row>
    <row r="569" spans="33:51" x14ac:dyDescent="0.25">
      <c r="AG569" s="66" t="str">
        <f>IF(AND(Множество[[#This Row],[Y]]=1),ROW()-ROW(Множество[[#Headers],[№]]),"")</f>
        <v/>
      </c>
      <c r="AI569" s="66">
        <v>1</v>
      </c>
      <c r="AJ569" s="66">
        <f>IF(LEN(Множество[[#This Row],[Свёртка]])&gt;0,1,-1)</f>
        <v>1</v>
      </c>
      <c r="AK569" s="66" t="s">
        <v>1781</v>
      </c>
      <c r="AL569" s="209">
        <f>IF(LEN(Множество[[#This Row],[Критерии]])&gt;0,1,-1)</f>
        <v>1</v>
      </c>
      <c r="AM569" s="209">
        <f>IF(AND(LEN(Множество[[#This Row],[Свёртка]])&gt;0,LEN(Множество[[#This Row],[Критерии]])&gt;0,LEN(Множество[[#This Row],[Оценки]])&gt;0),1,-1)</f>
        <v>-1</v>
      </c>
      <c r="AN569" s="208"/>
      <c r="AO569" s="208"/>
      <c r="AP569" s="208"/>
      <c r="AQ569" s="208"/>
      <c r="AR569" s="226"/>
      <c r="AS569" s="225"/>
      <c r="AT569" s="226"/>
      <c r="AU569" s="225"/>
      <c r="AV569" s="225"/>
      <c r="AW569" s="225"/>
      <c r="AX569" s="225"/>
      <c r="AY569" s="225"/>
    </row>
    <row r="570" spans="33:51" x14ac:dyDescent="0.25">
      <c r="AG570" s="66" t="str">
        <f>IF(AND(Множество[[#This Row],[Y]]=1),ROW()-ROW(Множество[[#Headers],[№]]),"")</f>
        <v/>
      </c>
      <c r="AI570" s="66">
        <v>1</v>
      </c>
      <c r="AJ570" s="66">
        <f>IF(LEN(Множество[[#This Row],[Свёртка]])&gt;0,1,-1)</f>
        <v>1</v>
      </c>
      <c r="AK570" s="66" t="s">
        <v>1781</v>
      </c>
      <c r="AL570" s="209">
        <f>IF(LEN(Множество[[#This Row],[Критерии]])&gt;0,1,-1)</f>
        <v>1</v>
      </c>
      <c r="AM570" s="209">
        <f>IF(AND(LEN(Множество[[#This Row],[Свёртка]])&gt;0,LEN(Множество[[#This Row],[Критерии]])&gt;0,LEN(Множество[[#This Row],[Оценки]])&gt;0),1,-1)</f>
        <v>-1</v>
      </c>
      <c r="AN570" s="208"/>
      <c r="AO570" s="208"/>
      <c r="AP570" s="208"/>
      <c r="AQ570" s="208"/>
      <c r="AR570" s="226"/>
      <c r="AS570" s="225"/>
      <c r="AT570" s="226"/>
      <c r="AU570" s="225"/>
      <c r="AV570" s="225"/>
      <c r="AW570" s="225"/>
      <c r="AX570" s="225"/>
      <c r="AY570" s="225"/>
    </row>
    <row r="571" spans="33:51" x14ac:dyDescent="0.25">
      <c r="AG571" s="66" t="str">
        <f>IF(AND(Множество[[#This Row],[Y]]=1),ROW()-ROW(Множество[[#Headers],[№]]),"")</f>
        <v/>
      </c>
      <c r="AI571" s="66">
        <v>1</v>
      </c>
      <c r="AJ571" s="66">
        <f>IF(LEN(Множество[[#This Row],[Свёртка]])&gt;0,1,-1)</f>
        <v>1</v>
      </c>
      <c r="AK571" s="66" t="s">
        <v>1781</v>
      </c>
      <c r="AL571" s="209">
        <f>IF(LEN(Множество[[#This Row],[Критерии]])&gt;0,1,-1)</f>
        <v>1</v>
      </c>
      <c r="AM571" s="209">
        <f>IF(AND(LEN(Множество[[#This Row],[Свёртка]])&gt;0,LEN(Множество[[#This Row],[Критерии]])&gt;0,LEN(Множество[[#This Row],[Оценки]])&gt;0),1,-1)</f>
        <v>-1</v>
      </c>
      <c r="AN571" s="208"/>
      <c r="AO571" s="208"/>
      <c r="AP571" s="208"/>
      <c r="AQ571" s="208"/>
      <c r="AR571" s="226"/>
      <c r="AS571" s="225"/>
      <c r="AT571" s="226"/>
      <c r="AU571" s="225"/>
      <c r="AV571" s="225"/>
      <c r="AW571" s="225"/>
      <c r="AX571" s="225"/>
      <c r="AY571" s="225"/>
    </row>
    <row r="572" spans="33:51" x14ac:dyDescent="0.25">
      <c r="AG572" s="66" t="str">
        <f>IF(AND(Множество[[#This Row],[Y]]=1),ROW()-ROW(Множество[[#Headers],[№]]),"")</f>
        <v/>
      </c>
      <c r="AI572" s="66">
        <v>1</v>
      </c>
      <c r="AJ572" s="66">
        <f>IF(LEN(Множество[[#This Row],[Свёртка]])&gt;0,1,-1)</f>
        <v>1</v>
      </c>
      <c r="AK572" s="66" t="s">
        <v>1781</v>
      </c>
      <c r="AL572" s="209">
        <f>IF(LEN(Множество[[#This Row],[Критерии]])&gt;0,1,-1)</f>
        <v>1</v>
      </c>
      <c r="AM572" s="209">
        <f>IF(AND(LEN(Множество[[#This Row],[Свёртка]])&gt;0,LEN(Множество[[#This Row],[Критерии]])&gt;0,LEN(Множество[[#This Row],[Оценки]])&gt;0),1,-1)</f>
        <v>-1</v>
      </c>
      <c r="AN572" s="208"/>
      <c r="AO572" s="208"/>
      <c r="AP572" s="208"/>
      <c r="AQ572" s="208"/>
      <c r="AR572" s="226"/>
      <c r="AS572" s="225"/>
      <c r="AT572" s="226"/>
      <c r="AU572" s="225"/>
      <c r="AV572" s="225"/>
      <c r="AW572" s="225"/>
      <c r="AX572" s="225"/>
      <c r="AY572" s="225"/>
    </row>
    <row r="573" spans="33:51" x14ac:dyDescent="0.25">
      <c r="AG573" s="66" t="str">
        <f>IF(AND(Множество[[#This Row],[Y]]=1),ROW()-ROW(Множество[[#Headers],[№]]),"")</f>
        <v/>
      </c>
      <c r="AI573" s="66">
        <v>1</v>
      </c>
      <c r="AJ573" s="66">
        <f>IF(LEN(Множество[[#This Row],[Свёртка]])&gt;0,1,-1)</f>
        <v>1</v>
      </c>
      <c r="AK573" s="66" t="s">
        <v>1781</v>
      </c>
      <c r="AL573" s="209">
        <f>IF(LEN(Множество[[#This Row],[Критерии]])&gt;0,1,-1)</f>
        <v>1</v>
      </c>
      <c r="AM573" s="209">
        <f>IF(AND(LEN(Множество[[#This Row],[Свёртка]])&gt;0,LEN(Множество[[#This Row],[Критерии]])&gt;0,LEN(Множество[[#This Row],[Оценки]])&gt;0),1,-1)</f>
        <v>-1</v>
      </c>
      <c r="AN573" s="208"/>
      <c r="AO573" s="208"/>
      <c r="AP573" s="208"/>
      <c r="AQ573" s="208"/>
      <c r="AR573" s="226"/>
      <c r="AS573" s="225"/>
      <c r="AT573" s="226"/>
      <c r="AU573" s="225"/>
      <c r="AV573" s="225"/>
      <c r="AW573" s="225"/>
      <c r="AX573" s="225"/>
      <c r="AY573" s="225"/>
    </row>
    <row r="574" spans="33:51" x14ac:dyDescent="0.25">
      <c r="AG574" s="66" t="str">
        <f>IF(AND(Множество[[#This Row],[Y]]=1),ROW()-ROW(Множество[[#Headers],[№]]),"")</f>
        <v/>
      </c>
      <c r="AI574" s="66">
        <v>1</v>
      </c>
      <c r="AJ574" s="66">
        <f>IF(LEN(Множество[[#This Row],[Свёртка]])&gt;0,1,-1)</f>
        <v>1</v>
      </c>
      <c r="AK574" s="66" t="s">
        <v>1781</v>
      </c>
      <c r="AL574" s="209">
        <f>IF(LEN(Множество[[#This Row],[Критерии]])&gt;0,1,-1)</f>
        <v>1</v>
      </c>
      <c r="AM574" s="209">
        <f>IF(AND(LEN(Множество[[#This Row],[Свёртка]])&gt;0,LEN(Множество[[#This Row],[Критерии]])&gt;0,LEN(Множество[[#This Row],[Оценки]])&gt;0),1,-1)</f>
        <v>-1</v>
      </c>
      <c r="AN574" s="208"/>
      <c r="AO574" s="208"/>
      <c r="AP574" s="208"/>
      <c r="AQ574" s="208"/>
      <c r="AR574" s="226"/>
      <c r="AS574" s="225"/>
      <c r="AT574" s="226"/>
      <c r="AU574" s="225"/>
      <c r="AV574" s="225"/>
      <c r="AW574" s="225"/>
      <c r="AX574" s="225"/>
      <c r="AY574" s="225"/>
    </row>
    <row r="575" spans="33:51" x14ac:dyDescent="0.25">
      <c r="AG575" s="66" t="str">
        <f>IF(AND(Множество[[#This Row],[Y]]=1),ROW()-ROW(Множество[[#Headers],[№]]),"")</f>
        <v/>
      </c>
      <c r="AI575" s="66">
        <v>1</v>
      </c>
      <c r="AJ575" s="66">
        <f>IF(LEN(Множество[[#This Row],[Свёртка]])&gt;0,1,-1)</f>
        <v>1</v>
      </c>
      <c r="AK575" s="66" t="s">
        <v>1781</v>
      </c>
      <c r="AL575" s="209">
        <f>IF(LEN(Множество[[#This Row],[Критерии]])&gt;0,1,-1)</f>
        <v>1</v>
      </c>
      <c r="AM575" s="209">
        <f>IF(AND(LEN(Множество[[#This Row],[Свёртка]])&gt;0,LEN(Множество[[#This Row],[Критерии]])&gt;0,LEN(Множество[[#This Row],[Оценки]])&gt;0),1,-1)</f>
        <v>-1</v>
      </c>
      <c r="AN575" s="208"/>
      <c r="AO575" s="208"/>
      <c r="AP575" s="208"/>
      <c r="AQ575" s="208"/>
      <c r="AR575" s="226"/>
      <c r="AS575" s="225"/>
      <c r="AT575" s="226"/>
      <c r="AU575" s="225"/>
      <c r="AV575" s="225"/>
      <c r="AW575" s="225"/>
      <c r="AX575" s="225"/>
      <c r="AY575" s="225"/>
    </row>
    <row r="576" spans="33:51" x14ac:dyDescent="0.25">
      <c r="AG576" s="66" t="str">
        <f>IF(AND(Множество[[#This Row],[Y]]=1),ROW()-ROW(Множество[[#Headers],[№]]),"")</f>
        <v/>
      </c>
      <c r="AI576" s="66">
        <v>1</v>
      </c>
      <c r="AJ576" s="66">
        <f>IF(LEN(Множество[[#This Row],[Свёртка]])&gt;0,1,-1)</f>
        <v>1</v>
      </c>
      <c r="AK576" s="66" t="s">
        <v>1781</v>
      </c>
      <c r="AL576" s="209">
        <f>IF(LEN(Множество[[#This Row],[Критерии]])&gt;0,1,-1)</f>
        <v>1</v>
      </c>
      <c r="AM576" s="209">
        <f>IF(AND(LEN(Множество[[#This Row],[Свёртка]])&gt;0,LEN(Множество[[#This Row],[Критерии]])&gt;0,LEN(Множество[[#This Row],[Оценки]])&gt;0),1,-1)</f>
        <v>-1</v>
      </c>
      <c r="AN576" s="208"/>
      <c r="AO576" s="208"/>
      <c r="AP576" s="208"/>
      <c r="AQ576" s="208"/>
      <c r="AR576" s="226"/>
      <c r="AS576" s="225"/>
      <c r="AT576" s="226"/>
      <c r="AU576" s="225"/>
      <c r="AV576" s="225"/>
      <c r="AW576" s="225"/>
      <c r="AX576" s="225"/>
      <c r="AY576" s="225"/>
    </row>
    <row r="577" spans="33:51" x14ac:dyDescent="0.25">
      <c r="AG577" s="66" t="str">
        <f>IF(AND(Множество[[#This Row],[Y]]=1),ROW()-ROW(Множество[[#Headers],[№]]),"")</f>
        <v/>
      </c>
      <c r="AI577" s="66">
        <v>1</v>
      </c>
      <c r="AJ577" s="66">
        <f>IF(LEN(Множество[[#This Row],[Свёртка]])&gt;0,1,-1)</f>
        <v>1</v>
      </c>
      <c r="AK577" s="66" t="s">
        <v>1781</v>
      </c>
      <c r="AL577" s="209">
        <f>IF(LEN(Множество[[#This Row],[Критерии]])&gt;0,1,-1)</f>
        <v>1</v>
      </c>
      <c r="AM577" s="209">
        <f>IF(AND(LEN(Множество[[#This Row],[Свёртка]])&gt;0,LEN(Множество[[#This Row],[Критерии]])&gt;0,LEN(Множество[[#This Row],[Оценки]])&gt;0),1,-1)</f>
        <v>-1</v>
      </c>
      <c r="AN577" s="208"/>
      <c r="AO577" s="208"/>
      <c r="AP577" s="208"/>
      <c r="AQ577" s="208"/>
      <c r="AR577" s="226"/>
      <c r="AS577" s="225"/>
      <c r="AT577" s="226"/>
      <c r="AU577" s="225"/>
      <c r="AV577" s="225"/>
      <c r="AW577" s="225"/>
      <c r="AX577" s="225"/>
      <c r="AY577" s="225"/>
    </row>
    <row r="578" spans="33:51" x14ac:dyDescent="0.25">
      <c r="AG578" s="66" t="str">
        <f>IF(AND(Множество[[#This Row],[Y]]=1),ROW()-ROW(Множество[[#Headers],[№]]),"")</f>
        <v/>
      </c>
      <c r="AI578" s="66">
        <v>1</v>
      </c>
      <c r="AJ578" s="66">
        <f>IF(LEN(Множество[[#This Row],[Свёртка]])&gt;0,1,-1)</f>
        <v>1</v>
      </c>
      <c r="AK578" s="66" t="s">
        <v>1781</v>
      </c>
      <c r="AL578" s="209">
        <f>IF(LEN(Множество[[#This Row],[Критерии]])&gt;0,1,-1)</f>
        <v>1</v>
      </c>
      <c r="AM578" s="209">
        <f>IF(AND(LEN(Множество[[#This Row],[Свёртка]])&gt;0,LEN(Множество[[#This Row],[Критерии]])&gt;0,LEN(Множество[[#This Row],[Оценки]])&gt;0),1,-1)</f>
        <v>-1</v>
      </c>
      <c r="AN578" s="208"/>
      <c r="AO578" s="208"/>
      <c r="AP578" s="208"/>
      <c r="AQ578" s="208"/>
      <c r="AR578" s="226"/>
      <c r="AS578" s="225"/>
      <c r="AT578" s="226"/>
      <c r="AU578" s="225"/>
      <c r="AV578" s="225"/>
      <c r="AW578" s="225"/>
      <c r="AX578" s="225"/>
      <c r="AY578" s="225"/>
    </row>
    <row r="579" spans="33:51" x14ac:dyDescent="0.25">
      <c r="AG579" s="66" t="str">
        <f>IF(AND(Множество[[#This Row],[Y]]=1),ROW()-ROW(Множество[[#Headers],[№]]),"")</f>
        <v/>
      </c>
      <c r="AI579" s="66">
        <v>1</v>
      </c>
      <c r="AJ579" s="66">
        <f>IF(LEN(Множество[[#This Row],[Свёртка]])&gt;0,1,-1)</f>
        <v>1</v>
      </c>
      <c r="AK579" s="66" t="s">
        <v>1781</v>
      </c>
      <c r="AL579" s="209">
        <f>IF(LEN(Множество[[#This Row],[Критерии]])&gt;0,1,-1)</f>
        <v>1</v>
      </c>
      <c r="AM579" s="209">
        <f>IF(AND(LEN(Множество[[#This Row],[Свёртка]])&gt;0,LEN(Множество[[#This Row],[Критерии]])&gt;0,LEN(Множество[[#This Row],[Оценки]])&gt;0),1,-1)</f>
        <v>-1</v>
      </c>
      <c r="AN579" s="208"/>
      <c r="AO579" s="208"/>
      <c r="AP579" s="208"/>
      <c r="AQ579" s="208"/>
      <c r="AR579" s="226"/>
      <c r="AS579" s="225"/>
      <c r="AT579" s="226"/>
      <c r="AU579" s="225"/>
      <c r="AV579" s="225"/>
      <c r="AW579" s="225"/>
      <c r="AX579" s="225"/>
      <c r="AY579" s="225"/>
    </row>
    <row r="580" spans="33:51" x14ac:dyDescent="0.25">
      <c r="AG580" s="66" t="str">
        <f>IF(AND(Множество[[#This Row],[Y]]=1),ROW()-ROW(Множество[[#Headers],[№]]),"")</f>
        <v/>
      </c>
      <c r="AI580" s="66">
        <v>1</v>
      </c>
      <c r="AJ580" s="66">
        <f>IF(LEN(Множество[[#This Row],[Свёртка]])&gt;0,1,-1)</f>
        <v>1</v>
      </c>
      <c r="AK580" s="66" t="s">
        <v>1781</v>
      </c>
      <c r="AL580" s="209">
        <f>IF(LEN(Множество[[#This Row],[Критерии]])&gt;0,1,-1)</f>
        <v>1</v>
      </c>
      <c r="AM580" s="209">
        <f>IF(AND(LEN(Множество[[#This Row],[Свёртка]])&gt;0,LEN(Множество[[#This Row],[Критерии]])&gt;0,LEN(Множество[[#This Row],[Оценки]])&gt;0),1,-1)</f>
        <v>-1</v>
      </c>
      <c r="AN580" s="208"/>
      <c r="AO580" s="208"/>
      <c r="AP580" s="208"/>
      <c r="AQ580" s="208"/>
      <c r="AR580" s="226"/>
      <c r="AS580" s="225"/>
      <c r="AT580" s="226"/>
      <c r="AU580" s="225"/>
      <c r="AV580" s="225"/>
      <c r="AW580" s="225"/>
      <c r="AX580" s="225"/>
      <c r="AY580" s="225"/>
    </row>
    <row r="581" spans="33:51" x14ac:dyDescent="0.25">
      <c r="AG581" s="66" t="str">
        <f>IF(AND(Множество[[#This Row],[Y]]=1),ROW()-ROW(Множество[[#Headers],[№]]),"")</f>
        <v/>
      </c>
      <c r="AI581" s="66">
        <v>1</v>
      </c>
      <c r="AJ581" s="66">
        <f>IF(LEN(Множество[[#This Row],[Свёртка]])&gt;0,1,-1)</f>
        <v>1</v>
      </c>
      <c r="AK581" s="66" t="s">
        <v>1781</v>
      </c>
      <c r="AL581" s="209">
        <f>IF(LEN(Множество[[#This Row],[Критерии]])&gt;0,1,-1)</f>
        <v>1</v>
      </c>
      <c r="AM581" s="209">
        <f>IF(AND(LEN(Множество[[#This Row],[Свёртка]])&gt;0,LEN(Множество[[#This Row],[Критерии]])&gt;0,LEN(Множество[[#This Row],[Оценки]])&gt;0),1,-1)</f>
        <v>-1</v>
      </c>
      <c r="AN581" s="208"/>
      <c r="AO581" s="208"/>
      <c r="AP581" s="208"/>
      <c r="AQ581" s="208"/>
      <c r="AR581" s="226"/>
      <c r="AS581" s="225"/>
      <c r="AT581" s="226"/>
      <c r="AU581" s="225"/>
      <c r="AV581" s="225"/>
      <c r="AW581" s="225"/>
      <c r="AX581" s="225"/>
      <c r="AY581" s="225"/>
    </row>
    <row r="582" spans="33:51" x14ac:dyDescent="0.25">
      <c r="AG582" s="66" t="str">
        <f>IF(AND(Множество[[#This Row],[Y]]=1),ROW()-ROW(Множество[[#Headers],[№]]),"")</f>
        <v/>
      </c>
      <c r="AI582" s="66">
        <v>1</v>
      </c>
      <c r="AJ582" s="66">
        <f>IF(LEN(Множество[[#This Row],[Свёртка]])&gt;0,1,-1)</f>
        <v>1</v>
      </c>
      <c r="AK582" s="66" t="s">
        <v>1781</v>
      </c>
      <c r="AL582" s="209">
        <f>IF(LEN(Множество[[#This Row],[Критерии]])&gt;0,1,-1)</f>
        <v>1</v>
      </c>
      <c r="AM582" s="209">
        <f>IF(AND(LEN(Множество[[#This Row],[Свёртка]])&gt;0,LEN(Множество[[#This Row],[Критерии]])&gt;0,LEN(Множество[[#This Row],[Оценки]])&gt;0),1,-1)</f>
        <v>-1</v>
      </c>
      <c r="AN582" s="208"/>
      <c r="AO582" s="208"/>
      <c r="AP582" s="208"/>
      <c r="AQ582" s="208"/>
      <c r="AR582" s="226"/>
      <c r="AS582" s="225"/>
      <c r="AT582" s="226"/>
      <c r="AU582" s="225"/>
      <c r="AV582" s="225"/>
      <c r="AW582" s="225"/>
      <c r="AX582" s="225"/>
      <c r="AY582" s="225"/>
    </row>
    <row r="583" spans="33:51" x14ac:dyDescent="0.25">
      <c r="AG583" s="66" t="str">
        <f>IF(AND(Множество[[#This Row],[Y]]=1),ROW()-ROW(Множество[[#Headers],[№]]),"")</f>
        <v/>
      </c>
      <c r="AI583" s="66">
        <v>1</v>
      </c>
      <c r="AJ583" s="66">
        <f>IF(LEN(Множество[[#This Row],[Свёртка]])&gt;0,1,-1)</f>
        <v>1</v>
      </c>
      <c r="AK583" s="66" t="s">
        <v>1781</v>
      </c>
      <c r="AL583" s="209">
        <f>IF(LEN(Множество[[#This Row],[Критерии]])&gt;0,1,-1)</f>
        <v>1</v>
      </c>
      <c r="AM583" s="209">
        <f>IF(AND(LEN(Множество[[#This Row],[Свёртка]])&gt;0,LEN(Множество[[#This Row],[Критерии]])&gt;0,LEN(Множество[[#This Row],[Оценки]])&gt;0),1,-1)</f>
        <v>-1</v>
      </c>
      <c r="AN583" s="208"/>
      <c r="AO583" s="208"/>
      <c r="AP583" s="208"/>
      <c r="AQ583" s="208"/>
      <c r="AR583" s="226"/>
      <c r="AS583" s="225"/>
      <c r="AT583" s="226"/>
      <c r="AU583" s="225"/>
      <c r="AV583" s="225"/>
      <c r="AW583" s="225"/>
      <c r="AX583" s="225"/>
      <c r="AY583" s="225"/>
    </row>
    <row r="584" spans="33:51" x14ac:dyDescent="0.25">
      <c r="AG584" s="66" t="str">
        <f>IF(AND(Множество[[#This Row],[Y]]=1),ROW()-ROW(Множество[[#Headers],[№]]),"")</f>
        <v/>
      </c>
      <c r="AI584" s="66">
        <v>1</v>
      </c>
      <c r="AJ584" s="66">
        <f>IF(LEN(Множество[[#This Row],[Свёртка]])&gt;0,1,-1)</f>
        <v>1</v>
      </c>
      <c r="AK584" s="66" t="s">
        <v>1781</v>
      </c>
      <c r="AL584" s="209">
        <f>IF(LEN(Множество[[#This Row],[Критерии]])&gt;0,1,-1)</f>
        <v>1</v>
      </c>
      <c r="AM584" s="209">
        <f>IF(AND(LEN(Множество[[#This Row],[Свёртка]])&gt;0,LEN(Множество[[#This Row],[Критерии]])&gt;0,LEN(Множество[[#This Row],[Оценки]])&gt;0),1,-1)</f>
        <v>-1</v>
      </c>
      <c r="AN584" s="208"/>
      <c r="AO584" s="208"/>
      <c r="AP584" s="208"/>
      <c r="AQ584" s="208"/>
      <c r="AR584" s="226"/>
      <c r="AS584" s="225"/>
      <c r="AT584" s="226"/>
      <c r="AU584" s="225"/>
      <c r="AV584" s="225"/>
      <c r="AW584" s="225"/>
      <c r="AX584" s="225"/>
      <c r="AY584" s="225"/>
    </row>
    <row r="585" spans="33:51" x14ac:dyDescent="0.25">
      <c r="AG585" s="66" t="str">
        <f>IF(AND(Множество[[#This Row],[Y]]=1),ROW()-ROW(Множество[[#Headers],[№]]),"")</f>
        <v/>
      </c>
      <c r="AI585" s="66">
        <v>1</v>
      </c>
      <c r="AJ585" s="66">
        <f>IF(LEN(Множество[[#This Row],[Свёртка]])&gt;0,1,-1)</f>
        <v>1</v>
      </c>
      <c r="AK585" s="66" t="s">
        <v>1781</v>
      </c>
      <c r="AL585" s="209">
        <f>IF(LEN(Множество[[#This Row],[Критерии]])&gt;0,1,-1)</f>
        <v>1</v>
      </c>
      <c r="AM585" s="209">
        <f>IF(AND(LEN(Множество[[#This Row],[Свёртка]])&gt;0,LEN(Множество[[#This Row],[Критерии]])&gt;0,LEN(Множество[[#This Row],[Оценки]])&gt;0),1,-1)</f>
        <v>-1</v>
      </c>
      <c r="AN585" s="208"/>
      <c r="AO585" s="208"/>
      <c r="AP585" s="208"/>
      <c r="AQ585" s="208"/>
      <c r="AR585" s="226"/>
      <c r="AS585" s="225"/>
      <c r="AT585" s="226"/>
      <c r="AU585" s="225"/>
      <c r="AV585" s="225"/>
      <c r="AW585" s="225"/>
      <c r="AX585" s="225"/>
      <c r="AY585" s="225"/>
    </row>
    <row r="586" spans="33:51" x14ac:dyDescent="0.25">
      <c r="AG586" s="66" t="str">
        <f>IF(AND(Множество[[#This Row],[Y]]=1),ROW()-ROW(Множество[[#Headers],[№]]),"")</f>
        <v/>
      </c>
      <c r="AI586" s="66">
        <v>1</v>
      </c>
      <c r="AJ586" s="66">
        <f>IF(LEN(Множество[[#This Row],[Свёртка]])&gt;0,1,-1)</f>
        <v>1</v>
      </c>
      <c r="AK586" s="66" t="s">
        <v>1781</v>
      </c>
      <c r="AL586" s="209">
        <f>IF(LEN(Множество[[#This Row],[Критерии]])&gt;0,1,-1)</f>
        <v>1</v>
      </c>
      <c r="AM586" s="209">
        <f>IF(AND(LEN(Множество[[#This Row],[Свёртка]])&gt;0,LEN(Множество[[#This Row],[Критерии]])&gt;0,LEN(Множество[[#This Row],[Оценки]])&gt;0),1,-1)</f>
        <v>-1</v>
      </c>
      <c r="AN586" s="208"/>
      <c r="AO586" s="208"/>
      <c r="AP586" s="208"/>
      <c r="AQ586" s="208"/>
      <c r="AR586" s="226"/>
      <c r="AS586" s="225"/>
      <c r="AT586" s="226"/>
      <c r="AU586" s="225"/>
      <c r="AV586" s="225"/>
      <c r="AW586" s="225"/>
      <c r="AX586" s="225"/>
      <c r="AY586" s="225"/>
    </row>
    <row r="587" spans="33:51" x14ac:dyDescent="0.25">
      <c r="AG587" s="66" t="str">
        <f>IF(AND(Множество[[#This Row],[Y]]=1),ROW()-ROW(Множество[[#Headers],[№]]),"")</f>
        <v/>
      </c>
      <c r="AI587" s="66">
        <v>1</v>
      </c>
      <c r="AJ587" s="66">
        <f>IF(LEN(Множество[[#This Row],[Свёртка]])&gt;0,1,-1)</f>
        <v>1</v>
      </c>
      <c r="AK587" s="66" t="s">
        <v>1781</v>
      </c>
      <c r="AL587" s="209">
        <f>IF(LEN(Множество[[#This Row],[Критерии]])&gt;0,1,-1)</f>
        <v>1</v>
      </c>
      <c r="AM587" s="209">
        <f>IF(AND(LEN(Множество[[#This Row],[Свёртка]])&gt;0,LEN(Множество[[#This Row],[Критерии]])&gt;0,LEN(Множество[[#This Row],[Оценки]])&gt;0),1,-1)</f>
        <v>-1</v>
      </c>
      <c r="AN587" s="208"/>
      <c r="AO587" s="208"/>
      <c r="AP587" s="208"/>
      <c r="AQ587" s="208"/>
      <c r="AR587" s="226"/>
      <c r="AS587" s="225"/>
      <c r="AT587" s="226"/>
      <c r="AU587" s="225"/>
      <c r="AV587" s="225"/>
      <c r="AW587" s="225"/>
      <c r="AX587" s="225"/>
      <c r="AY587" s="225"/>
    </row>
    <row r="588" spans="33:51" x14ac:dyDescent="0.25">
      <c r="AG588" s="66" t="str">
        <f>IF(AND(Множество[[#This Row],[Y]]=1),ROW()-ROW(Множество[[#Headers],[№]]),"")</f>
        <v/>
      </c>
      <c r="AI588" s="66">
        <v>1</v>
      </c>
      <c r="AJ588" s="66">
        <f>IF(LEN(Множество[[#This Row],[Свёртка]])&gt;0,1,-1)</f>
        <v>1</v>
      </c>
      <c r="AK588" s="66" t="s">
        <v>1781</v>
      </c>
      <c r="AL588" s="209">
        <f>IF(LEN(Множество[[#This Row],[Критерии]])&gt;0,1,-1)</f>
        <v>1</v>
      </c>
      <c r="AM588" s="209">
        <f>IF(AND(LEN(Множество[[#This Row],[Свёртка]])&gt;0,LEN(Множество[[#This Row],[Критерии]])&gt;0,LEN(Множество[[#This Row],[Оценки]])&gt;0),1,-1)</f>
        <v>-1</v>
      </c>
      <c r="AN588" s="208"/>
      <c r="AO588" s="208"/>
      <c r="AP588" s="208"/>
      <c r="AQ588" s="208"/>
      <c r="AR588" s="226"/>
      <c r="AS588" s="225"/>
      <c r="AT588" s="226"/>
      <c r="AU588" s="225"/>
      <c r="AV588" s="225"/>
      <c r="AW588" s="225"/>
      <c r="AX588" s="225"/>
      <c r="AY588" s="225"/>
    </row>
    <row r="589" spans="33:51" x14ac:dyDescent="0.25">
      <c r="AG589" s="66" t="str">
        <f>IF(AND(Множество[[#This Row],[Y]]=1),ROW()-ROW(Множество[[#Headers],[№]]),"")</f>
        <v/>
      </c>
      <c r="AI589" s="66">
        <v>1</v>
      </c>
      <c r="AJ589" s="66">
        <f>IF(LEN(Множество[[#This Row],[Свёртка]])&gt;0,1,-1)</f>
        <v>1</v>
      </c>
      <c r="AK589" s="66" t="s">
        <v>1781</v>
      </c>
      <c r="AL589" s="209">
        <f>IF(LEN(Множество[[#This Row],[Критерии]])&gt;0,1,-1)</f>
        <v>1</v>
      </c>
      <c r="AM589" s="209">
        <f>IF(AND(LEN(Множество[[#This Row],[Свёртка]])&gt;0,LEN(Множество[[#This Row],[Критерии]])&gt;0,LEN(Множество[[#This Row],[Оценки]])&gt;0),1,-1)</f>
        <v>-1</v>
      </c>
      <c r="AN589" s="230"/>
      <c r="AO589" s="208"/>
      <c r="AP589" s="208"/>
      <c r="AQ589" s="208"/>
      <c r="AR589" s="226"/>
      <c r="AS589" s="225"/>
      <c r="AT589" s="226"/>
      <c r="AU589" s="225"/>
      <c r="AV589" s="225"/>
      <c r="AW589" s="225"/>
      <c r="AX589" s="225"/>
      <c r="AY589" s="225"/>
    </row>
    <row r="590" spans="33:51" x14ac:dyDescent="0.25">
      <c r="AG590" s="66" t="str">
        <f>IF(AND(Множество[[#This Row],[Y]]=1),ROW()-ROW(Множество[[#Headers],[№]]),"")</f>
        <v/>
      </c>
      <c r="AI590" s="66">
        <v>1</v>
      </c>
      <c r="AJ590" s="66">
        <f>IF(LEN(Множество[[#This Row],[Свёртка]])&gt;0,1,-1)</f>
        <v>1</v>
      </c>
      <c r="AK590" s="66" t="s">
        <v>1781</v>
      </c>
      <c r="AL590" s="209">
        <f>IF(LEN(Множество[[#This Row],[Критерии]])&gt;0,1,-1)</f>
        <v>1</v>
      </c>
      <c r="AM590" s="209">
        <f>IF(AND(LEN(Множество[[#This Row],[Свёртка]])&gt;0,LEN(Множество[[#This Row],[Критерии]])&gt;0,LEN(Множество[[#This Row],[Оценки]])&gt;0),1,-1)</f>
        <v>-1</v>
      </c>
      <c r="AN590" s="230"/>
      <c r="AO590" s="208"/>
      <c r="AP590" s="208"/>
      <c r="AQ590" s="208"/>
      <c r="AR590" s="226"/>
      <c r="AS590" s="225"/>
      <c r="AT590" s="226"/>
      <c r="AU590" s="225"/>
      <c r="AV590" s="225"/>
      <c r="AW590" s="225"/>
      <c r="AX590" s="225"/>
      <c r="AY590" s="225"/>
    </row>
    <row r="591" spans="33:51" x14ac:dyDescent="0.25">
      <c r="AG591" s="66" t="str">
        <f>IF(AND(Множество[[#This Row],[Y]]=1),ROW()-ROW(Множество[[#Headers],[№]]),"")</f>
        <v/>
      </c>
      <c r="AI591" s="66">
        <v>1</v>
      </c>
      <c r="AJ591" s="66">
        <f>IF(LEN(Множество[[#This Row],[Свёртка]])&gt;0,1,-1)</f>
        <v>1</v>
      </c>
      <c r="AK591" s="66" t="s">
        <v>1781</v>
      </c>
      <c r="AL591" s="209">
        <f>IF(LEN(Множество[[#This Row],[Критерии]])&gt;0,1,-1)</f>
        <v>1</v>
      </c>
      <c r="AM591" s="209">
        <f>IF(AND(LEN(Множество[[#This Row],[Свёртка]])&gt;0,LEN(Множество[[#This Row],[Критерии]])&gt;0,LEN(Множество[[#This Row],[Оценки]])&gt;0),1,-1)</f>
        <v>-1</v>
      </c>
      <c r="AN591" s="230"/>
      <c r="AO591" s="208"/>
      <c r="AP591" s="208"/>
      <c r="AQ591" s="208"/>
      <c r="AR591" s="226"/>
      <c r="AS591" s="225"/>
      <c r="AT591" s="226"/>
      <c r="AU591" s="225"/>
      <c r="AV591" s="225"/>
      <c r="AW591" s="225"/>
      <c r="AX591" s="225"/>
      <c r="AY591" s="225"/>
    </row>
    <row r="592" spans="33:51" x14ac:dyDescent="0.25">
      <c r="AG592" s="66" t="str">
        <f>IF(AND(Множество[[#This Row],[Y]]=1),ROW()-ROW(Множество[[#Headers],[№]]),"")</f>
        <v/>
      </c>
      <c r="AI592" s="66">
        <v>1</v>
      </c>
      <c r="AJ592" s="66">
        <f>IF(LEN(Множество[[#This Row],[Свёртка]])&gt;0,1,-1)</f>
        <v>1</v>
      </c>
      <c r="AK592" s="66" t="s">
        <v>1781</v>
      </c>
      <c r="AL592" s="209">
        <f>IF(LEN(Множество[[#This Row],[Критерии]])&gt;0,1,-1)</f>
        <v>1</v>
      </c>
      <c r="AM592" s="209">
        <f>IF(AND(LEN(Множество[[#This Row],[Свёртка]])&gt;0,LEN(Множество[[#This Row],[Критерии]])&gt;0,LEN(Множество[[#This Row],[Оценки]])&gt;0),1,-1)</f>
        <v>-1</v>
      </c>
      <c r="AN592" s="230"/>
      <c r="AO592" s="208"/>
      <c r="AP592" s="208"/>
      <c r="AQ592" s="208"/>
      <c r="AR592" s="226"/>
      <c r="AS592" s="225"/>
      <c r="AT592" s="226"/>
      <c r="AU592" s="225"/>
      <c r="AV592" s="225"/>
      <c r="AW592" s="225"/>
      <c r="AX592" s="225"/>
      <c r="AY592" s="225"/>
    </row>
    <row r="593" spans="33:51" x14ac:dyDescent="0.25">
      <c r="AG593" s="66" t="str">
        <f>IF(AND(Множество[[#This Row],[Y]]=1),ROW()-ROW(Множество[[#Headers],[№]]),"")</f>
        <v/>
      </c>
      <c r="AI593" s="66">
        <v>1</v>
      </c>
      <c r="AJ593" s="66">
        <f>IF(LEN(Множество[[#This Row],[Свёртка]])&gt;0,1,-1)</f>
        <v>1</v>
      </c>
      <c r="AK593" s="66" t="s">
        <v>1781</v>
      </c>
      <c r="AL593" s="209">
        <f>IF(LEN(Множество[[#This Row],[Критерии]])&gt;0,1,-1)</f>
        <v>1</v>
      </c>
      <c r="AM593" s="209">
        <f>IF(AND(LEN(Множество[[#This Row],[Свёртка]])&gt;0,LEN(Множество[[#This Row],[Критерии]])&gt;0,LEN(Множество[[#This Row],[Оценки]])&gt;0),1,-1)</f>
        <v>-1</v>
      </c>
      <c r="AN593" s="230"/>
      <c r="AO593" s="208"/>
      <c r="AP593" s="208"/>
      <c r="AQ593" s="208"/>
      <c r="AR593" s="226"/>
      <c r="AS593" s="225"/>
      <c r="AT593" s="226"/>
      <c r="AU593" s="225"/>
      <c r="AV593" s="225"/>
      <c r="AW593" s="225"/>
      <c r="AX593" s="225"/>
      <c r="AY593" s="225"/>
    </row>
    <row r="594" spans="33:51" x14ac:dyDescent="0.25">
      <c r="AG594" s="66" t="str">
        <f>IF(AND(Множество[[#This Row],[Y]]=1),ROW()-ROW(Множество[[#Headers],[№]]),"")</f>
        <v/>
      </c>
      <c r="AI594" s="66">
        <v>1</v>
      </c>
      <c r="AJ594" s="66">
        <f>IF(LEN(Множество[[#This Row],[Свёртка]])&gt;0,1,-1)</f>
        <v>1</v>
      </c>
      <c r="AK594" s="66" t="s">
        <v>1781</v>
      </c>
      <c r="AL594" s="209">
        <f>IF(LEN(Множество[[#This Row],[Критерии]])&gt;0,1,-1)</f>
        <v>1</v>
      </c>
      <c r="AM594" s="209">
        <f>IF(AND(LEN(Множество[[#This Row],[Свёртка]])&gt;0,LEN(Множество[[#This Row],[Критерии]])&gt;0,LEN(Множество[[#This Row],[Оценки]])&gt;0),1,-1)</f>
        <v>-1</v>
      </c>
      <c r="AN594" s="230"/>
      <c r="AO594" s="208"/>
      <c r="AP594" s="208"/>
      <c r="AQ594" s="208"/>
      <c r="AR594" s="226"/>
      <c r="AS594" s="225"/>
      <c r="AT594" s="226"/>
      <c r="AU594" s="225"/>
      <c r="AV594" s="225"/>
      <c r="AW594" s="225"/>
      <c r="AX594" s="225"/>
      <c r="AY594" s="225"/>
    </row>
    <row r="595" spans="33:51" x14ac:dyDescent="0.25">
      <c r="AG595" s="66" t="str">
        <f>IF(AND(Множество[[#This Row],[Y]]=1),ROW()-ROW(Множество[[#Headers],[№]]),"")</f>
        <v/>
      </c>
      <c r="AI595" s="66">
        <v>1</v>
      </c>
      <c r="AJ595" s="66">
        <f>IF(LEN(Множество[[#This Row],[Свёртка]])&gt;0,1,-1)</f>
        <v>1</v>
      </c>
      <c r="AK595" s="66" t="s">
        <v>1781</v>
      </c>
      <c r="AL595" s="209">
        <f>IF(LEN(Множество[[#This Row],[Критерии]])&gt;0,1,-1)</f>
        <v>1</v>
      </c>
      <c r="AM595" s="209">
        <f>IF(AND(LEN(Множество[[#This Row],[Свёртка]])&gt;0,LEN(Множество[[#This Row],[Критерии]])&gt;0,LEN(Множество[[#This Row],[Оценки]])&gt;0),1,-1)</f>
        <v>-1</v>
      </c>
      <c r="AN595" s="230"/>
      <c r="AO595" s="208"/>
      <c r="AP595" s="208"/>
      <c r="AQ595" s="208"/>
      <c r="AR595" s="226"/>
      <c r="AS595" s="225"/>
      <c r="AT595" s="226"/>
      <c r="AU595" s="225"/>
      <c r="AV595" s="225"/>
      <c r="AW595" s="225"/>
      <c r="AX595" s="225"/>
      <c r="AY595" s="225"/>
    </row>
    <row r="596" spans="33:51" x14ac:dyDescent="0.25">
      <c r="AG596" s="66" t="str">
        <f>IF(AND(Множество[[#This Row],[Y]]=1),ROW()-ROW(Множество[[#Headers],[№]]),"")</f>
        <v/>
      </c>
      <c r="AI596" s="66">
        <v>1</v>
      </c>
      <c r="AJ596" s="66">
        <f>IF(LEN(Множество[[#This Row],[Свёртка]])&gt;0,1,-1)</f>
        <v>1</v>
      </c>
      <c r="AK596" s="66" t="s">
        <v>1781</v>
      </c>
      <c r="AL596" s="209">
        <f>IF(LEN(Множество[[#This Row],[Критерии]])&gt;0,1,-1)</f>
        <v>1</v>
      </c>
      <c r="AM596" s="209">
        <f>IF(AND(LEN(Множество[[#This Row],[Свёртка]])&gt;0,LEN(Множество[[#This Row],[Критерии]])&gt;0,LEN(Множество[[#This Row],[Оценки]])&gt;0),1,-1)</f>
        <v>-1</v>
      </c>
      <c r="AN596" s="230"/>
      <c r="AO596" s="208"/>
      <c r="AP596" s="208"/>
      <c r="AQ596" s="208"/>
      <c r="AR596" s="226"/>
      <c r="AS596" s="225"/>
      <c r="AT596" s="226"/>
      <c r="AU596" s="225"/>
      <c r="AV596" s="225"/>
      <c r="AW596" s="225"/>
      <c r="AX596" s="225"/>
      <c r="AY596" s="225"/>
    </row>
    <row r="597" spans="33:51" x14ac:dyDescent="0.25">
      <c r="AG597" s="66" t="str">
        <f>IF(AND(Множество[[#This Row],[Y]]=1),ROW()-ROW(Множество[[#Headers],[№]]),"")</f>
        <v/>
      </c>
      <c r="AI597" s="66">
        <v>1</v>
      </c>
      <c r="AJ597" s="66">
        <f>IF(LEN(Множество[[#This Row],[Свёртка]])&gt;0,1,-1)</f>
        <v>1</v>
      </c>
      <c r="AK597" s="66" t="s">
        <v>1781</v>
      </c>
      <c r="AL597" s="209">
        <f>IF(LEN(Множество[[#This Row],[Критерии]])&gt;0,1,-1)</f>
        <v>1</v>
      </c>
      <c r="AM597" s="209">
        <f>IF(AND(LEN(Множество[[#This Row],[Свёртка]])&gt;0,LEN(Множество[[#This Row],[Критерии]])&gt;0,LEN(Множество[[#This Row],[Оценки]])&gt;0),1,-1)</f>
        <v>-1</v>
      </c>
      <c r="AN597" s="230"/>
      <c r="AO597" s="208"/>
      <c r="AP597" s="208"/>
      <c r="AQ597" s="208"/>
      <c r="AR597" s="226"/>
      <c r="AS597" s="225"/>
      <c r="AT597" s="226"/>
      <c r="AU597" s="225"/>
      <c r="AV597" s="225"/>
      <c r="AW597" s="225"/>
      <c r="AX597" s="225"/>
      <c r="AY597" s="225"/>
    </row>
    <row r="598" spans="33:51" x14ac:dyDescent="0.25">
      <c r="AG598" s="66" t="str">
        <f>IF(AND(Множество[[#This Row],[Y]]=1),ROW()-ROW(Множество[[#Headers],[№]]),"")</f>
        <v/>
      </c>
      <c r="AI598" s="66">
        <v>1</v>
      </c>
      <c r="AJ598" s="66">
        <f>IF(LEN(Множество[[#This Row],[Свёртка]])&gt;0,1,-1)</f>
        <v>1</v>
      </c>
      <c r="AK598" s="66" t="s">
        <v>1781</v>
      </c>
      <c r="AL598" s="209">
        <f>IF(LEN(Множество[[#This Row],[Критерии]])&gt;0,1,-1)</f>
        <v>1</v>
      </c>
      <c r="AM598" s="209">
        <f>IF(AND(LEN(Множество[[#This Row],[Свёртка]])&gt;0,LEN(Множество[[#This Row],[Критерии]])&gt;0,LEN(Множество[[#This Row],[Оценки]])&gt;0),1,-1)</f>
        <v>-1</v>
      </c>
      <c r="AN598" s="230"/>
      <c r="AO598" s="208"/>
      <c r="AP598" s="208"/>
      <c r="AQ598" s="208"/>
      <c r="AR598" s="226"/>
      <c r="AS598" s="225"/>
      <c r="AT598" s="226"/>
      <c r="AU598" s="225"/>
      <c r="AV598" s="225"/>
      <c r="AW598" s="225"/>
      <c r="AX598" s="225"/>
      <c r="AY598" s="225"/>
    </row>
    <row r="599" spans="33:51" x14ac:dyDescent="0.25">
      <c r="AG599" s="66" t="str">
        <f>IF(AND(Множество[[#This Row],[Y]]=1),ROW()-ROW(Множество[[#Headers],[№]]),"")</f>
        <v/>
      </c>
      <c r="AI599" s="66">
        <v>1</v>
      </c>
      <c r="AJ599" s="66">
        <f>IF(LEN(Множество[[#This Row],[Свёртка]])&gt;0,1,-1)</f>
        <v>1</v>
      </c>
      <c r="AK599" s="66" t="s">
        <v>1781</v>
      </c>
      <c r="AL599" s="209">
        <f>IF(LEN(Множество[[#This Row],[Критерии]])&gt;0,1,-1)</f>
        <v>1</v>
      </c>
      <c r="AM599" s="209">
        <f>IF(AND(LEN(Множество[[#This Row],[Свёртка]])&gt;0,LEN(Множество[[#This Row],[Критерии]])&gt;0,LEN(Множество[[#This Row],[Оценки]])&gt;0),1,-1)</f>
        <v>-1</v>
      </c>
      <c r="AN599" s="230"/>
      <c r="AO599" s="208"/>
      <c r="AP599" s="208"/>
      <c r="AQ599" s="208"/>
      <c r="AR599" s="226"/>
      <c r="AS599" s="225"/>
      <c r="AT599" s="226"/>
      <c r="AU599" s="225"/>
      <c r="AV599" s="225"/>
      <c r="AW599" s="225"/>
      <c r="AX599" s="225"/>
      <c r="AY599" s="225"/>
    </row>
    <row r="600" spans="33:51" x14ac:dyDescent="0.25">
      <c r="AG600" s="66" t="str">
        <f>IF(AND(Множество[[#This Row],[Y]]=1),ROW()-ROW(Множество[[#Headers],[№]]),"")</f>
        <v/>
      </c>
      <c r="AI600" s="66">
        <v>1</v>
      </c>
      <c r="AJ600" s="66">
        <f>IF(LEN(Множество[[#This Row],[Свёртка]])&gt;0,1,-1)</f>
        <v>1</v>
      </c>
      <c r="AK600" s="66" t="s">
        <v>1781</v>
      </c>
      <c r="AL600" s="209">
        <f>IF(LEN(Множество[[#This Row],[Критерии]])&gt;0,1,-1)</f>
        <v>1</v>
      </c>
      <c r="AM600" s="209">
        <f>IF(AND(LEN(Множество[[#This Row],[Свёртка]])&gt;0,LEN(Множество[[#This Row],[Критерии]])&gt;0,LEN(Множество[[#This Row],[Оценки]])&gt;0),1,-1)</f>
        <v>-1</v>
      </c>
      <c r="AN600" s="230"/>
      <c r="AO600" s="208"/>
      <c r="AP600" s="208"/>
      <c r="AQ600" s="208"/>
      <c r="AR600" s="226"/>
      <c r="AS600" s="225"/>
      <c r="AT600" s="226"/>
      <c r="AU600" s="225"/>
      <c r="AV600" s="225"/>
      <c r="AW600" s="225"/>
      <c r="AX600" s="225"/>
      <c r="AY600" s="225"/>
    </row>
    <row r="601" spans="33:51" x14ac:dyDescent="0.25">
      <c r="AG601" s="66" t="str">
        <f>IF(AND(Множество[[#This Row],[Y]]=1),ROW()-ROW(Множество[[#Headers],[№]]),"")</f>
        <v/>
      </c>
      <c r="AI601" s="66">
        <v>1</v>
      </c>
      <c r="AJ601" s="66">
        <f>IF(LEN(Множество[[#This Row],[Свёртка]])&gt;0,1,-1)</f>
        <v>1</v>
      </c>
      <c r="AK601" s="66" t="s">
        <v>1781</v>
      </c>
      <c r="AL601" s="209">
        <f>IF(LEN(Множество[[#This Row],[Критерии]])&gt;0,1,-1)</f>
        <v>1</v>
      </c>
      <c r="AM601" s="209">
        <f>IF(AND(LEN(Множество[[#This Row],[Свёртка]])&gt;0,LEN(Множество[[#This Row],[Критерии]])&gt;0,LEN(Множество[[#This Row],[Оценки]])&gt;0),1,-1)</f>
        <v>-1</v>
      </c>
      <c r="AN601" s="230"/>
      <c r="AO601" s="208"/>
      <c r="AP601" s="208"/>
      <c r="AQ601" s="208"/>
      <c r="AR601" s="226"/>
      <c r="AS601" s="225"/>
      <c r="AT601" s="226"/>
      <c r="AU601" s="225"/>
      <c r="AV601" s="225"/>
      <c r="AW601" s="225"/>
      <c r="AX601" s="225"/>
      <c r="AY601" s="225"/>
    </row>
    <row r="602" spans="33:51" x14ac:dyDescent="0.25">
      <c r="AG602" s="66" t="str">
        <f>IF(AND(Множество[[#This Row],[Y]]=1),ROW()-ROW(Множество[[#Headers],[№]]),"")</f>
        <v/>
      </c>
      <c r="AI602" s="66">
        <v>1</v>
      </c>
      <c r="AJ602" s="66">
        <f>IF(LEN(Множество[[#This Row],[Свёртка]])&gt;0,1,-1)</f>
        <v>1</v>
      </c>
      <c r="AK602" s="66" t="s">
        <v>1781</v>
      </c>
      <c r="AL602" s="209">
        <f>IF(LEN(Множество[[#This Row],[Критерии]])&gt;0,1,-1)</f>
        <v>1</v>
      </c>
      <c r="AM602" s="209">
        <f>IF(AND(LEN(Множество[[#This Row],[Свёртка]])&gt;0,LEN(Множество[[#This Row],[Критерии]])&gt;0,LEN(Множество[[#This Row],[Оценки]])&gt;0),1,-1)</f>
        <v>-1</v>
      </c>
      <c r="AN602" s="230"/>
      <c r="AO602" s="208"/>
      <c r="AP602" s="208"/>
      <c r="AQ602" s="208"/>
      <c r="AR602" s="226"/>
      <c r="AS602" s="225"/>
      <c r="AT602" s="226"/>
      <c r="AU602" s="225"/>
      <c r="AV602" s="225"/>
      <c r="AW602" s="225"/>
      <c r="AX602" s="225"/>
      <c r="AY602" s="225"/>
    </row>
    <row r="603" spans="33:51" x14ac:dyDescent="0.25">
      <c r="AG603" s="66" t="str">
        <f>IF(AND(Множество[[#This Row],[Y]]=1),ROW()-ROW(Множество[[#Headers],[№]]),"")</f>
        <v/>
      </c>
      <c r="AI603" s="66">
        <v>1</v>
      </c>
      <c r="AJ603" s="66">
        <f>IF(LEN(Множество[[#This Row],[Свёртка]])&gt;0,1,-1)</f>
        <v>1</v>
      </c>
      <c r="AK603" s="66" t="s">
        <v>1781</v>
      </c>
      <c r="AL603" s="209">
        <f>IF(LEN(Множество[[#This Row],[Критерии]])&gt;0,1,-1)</f>
        <v>1</v>
      </c>
      <c r="AM603" s="209">
        <f>IF(AND(LEN(Множество[[#This Row],[Свёртка]])&gt;0,LEN(Множество[[#This Row],[Критерии]])&gt;0,LEN(Множество[[#This Row],[Оценки]])&gt;0),1,-1)</f>
        <v>-1</v>
      </c>
      <c r="AN603" s="230"/>
      <c r="AO603" s="208"/>
      <c r="AP603" s="208"/>
      <c r="AQ603" s="208"/>
      <c r="AR603" s="226"/>
      <c r="AS603" s="225"/>
      <c r="AT603" s="226"/>
      <c r="AU603" s="225"/>
      <c r="AV603" s="225"/>
      <c r="AW603" s="225"/>
      <c r="AX603" s="225"/>
      <c r="AY603" s="225"/>
    </row>
    <row r="604" spans="33:51" x14ac:dyDescent="0.25">
      <c r="AG604" s="66" t="str">
        <f>IF(AND(Множество[[#This Row],[Y]]=1),ROW()-ROW(Множество[[#Headers],[№]]),"")</f>
        <v/>
      </c>
      <c r="AI604" s="66">
        <v>1</v>
      </c>
      <c r="AJ604" s="66">
        <f>IF(LEN(Множество[[#This Row],[Свёртка]])&gt;0,1,-1)</f>
        <v>1</v>
      </c>
      <c r="AK604" s="66" t="s">
        <v>1781</v>
      </c>
      <c r="AL604" s="209">
        <f>IF(LEN(Множество[[#This Row],[Критерии]])&gt;0,1,-1)</f>
        <v>1</v>
      </c>
      <c r="AM604" s="209">
        <f>IF(AND(LEN(Множество[[#This Row],[Свёртка]])&gt;0,LEN(Множество[[#This Row],[Критерии]])&gt;0,LEN(Множество[[#This Row],[Оценки]])&gt;0),1,-1)</f>
        <v>-1</v>
      </c>
      <c r="AN604" s="230"/>
      <c r="AO604" s="208"/>
      <c r="AP604" s="208"/>
      <c r="AQ604" s="208"/>
      <c r="AR604" s="226"/>
      <c r="AS604" s="225"/>
      <c r="AT604" s="226"/>
      <c r="AU604" s="225"/>
      <c r="AV604" s="225"/>
      <c r="AW604" s="225"/>
      <c r="AX604" s="225"/>
      <c r="AY604" s="225"/>
    </row>
    <row r="605" spans="33:51" x14ac:dyDescent="0.25">
      <c r="AG605" s="66" t="str">
        <f>IF(AND(Множество[[#This Row],[Y]]=1),ROW()-ROW(Множество[[#Headers],[№]]),"")</f>
        <v/>
      </c>
      <c r="AI605" s="66">
        <v>1</v>
      </c>
      <c r="AJ605" s="66">
        <f>IF(LEN(Множество[[#This Row],[Свёртка]])&gt;0,1,-1)</f>
        <v>1</v>
      </c>
      <c r="AK605" s="66" t="s">
        <v>1781</v>
      </c>
      <c r="AL605" s="209">
        <f>IF(LEN(Множество[[#This Row],[Критерии]])&gt;0,1,-1)</f>
        <v>1</v>
      </c>
      <c r="AM605" s="209">
        <f>IF(AND(LEN(Множество[[#This Row],[Свёртка]])&gt;0,LEN(Множество[[#This Row],[Критерии]])&gt;0,LEN(Множество[[#This Row],[Оценки]])&gt;0),1,-1)</f>
        <v>-1</v>
      </c>
      <c r="AN605" s="230"/>
      <c r="AO605" s="208"/>
      <c r="AP605" s="208"/>
      <c r="AQ605" s="208"/>
      <c r="AR605" s="226"/>
      <c r="AS605" s="225"/>
      <c r="AT605" s="226"/>
      <c r="AU605" s="225"/>
      <c r="AV605" s="225"/>
      <c r="AW605" s="225"/>
      <c r="AX605" s="225"/>
      <c r="AY605" s="225"/>
    </row>
    <row r="606" spans="33:51" x14ac:dyDescent="0.25">
      <c r="AG606" s="66" t="str">
        <f>IF(AND(Множество[[#This Row],[Y]]=1),ROW()-ROW(Множество[[#Headers],[№]]),"")</f>
        <v/>
      </c>
      <c r="AI606" s="66">
        <v>1</v>
      </c>
      <c r="AJ606" s="66">
        <f>IF(LEN(Множество[[#This Row],[Свёртка]])&gt;0,1,-1)</f>
        <v>1</v>
      </c>
      <c r="AK606" s="66" t="s">
        <v>1781</v>
      </c>
      <c r="AL606" s="209">
        <f>IF(LEN(Множество[[#This Row],[Критерии]])&gt;0,1,-1)</f>
        <v>1</v>
      </c>
      <c r="AM606" s="209">
        <f>IF(AND(LEN(Множество[[#This Row],[Свёртка]])&gt;0,LEN(Множество[[#This Row],[Критерии]])&gt;0,LEN(Множество[[#This Row],[Оценки]])&gt;0),1,-1)</f>
        <v>-1</v>
      </c>
      <c r="AN606" s="230"/>
      <c r="AO606" s="208"/>
      <c r="AP606" s="208"/>
      <c r="AQ606" s="208"/>
      <c r="AR606" s="226"/>
      <c r="AS606" s="225"/>
      <c r="AT606" s="226"/>
      <c r="AU606" s="225"/>
      <c r="AV606" s="225"/>
      <c r="AW606" s="225"/>
      <c r="AX606" s="225"/>
      <c r="AY606" s="225"/>
    </row>
    <row r="607" spans="33:51" x14ac:dyDescent="0.25">
      <c r="AG607" s="66" t="str">
        <f>IF(AND(Множество[[#This Row],[Y]]=1),ROW()-ROW(Множество[[#Headers],[№]]),"")</f>
        <v/>
      </c>
      <c r="AI607" s="66">
        <v>1</v>
      </c>
      <c r="AJ607" s="66">
        <f>IF(LEN(Множество[[#This Row],[Свёртка]])&gt;0,1,-1)</f>
        <v>1</v>
      </c>
      <c r="AK607" s="66" t="s">
        <v>1781</v>
      </c>
      <c r="AL607" s="209">
        <f>IF(LEN(Множество[[#This Row],[Критерии]])&gt;0,1,-1)</f>
        <v>1</v>
      </c>
      <c r="AM607" s="209">
        <f>IF(AND(LEN(Множество[[#This Row],[Свёртка]])&gt;0,LEN(Множество[[#This Row],[Критерии]])&gt;0,LEN(Множество[[#This Row],[Оценки]])&gt;0),1,-1)</f>
        <v>-1</v>
      </c>
      <c r="AN607" s="230"/>
      <c r="AO607" s="208"/>
      <c r="AP607" s="208"/>
      <c r="AQ607" s="208"/>
      <c r="AR607" s="226"/>
      <c r="AS607" s="225"/>
      <c r="AT607" s="226"/>
      <c r="AU607" s="225"/>
      <c r="AV607" s="225"/>
      <c r="AW607" s="225"/>
      <c r="AX607" s="225"/>
      <c r="AY607" s="225"/>
    </row>
    <row r="608" spans="33:51" x14ac:dyDescent="0.25">
      <c r="AG608" s="66" t="str">
        <f>IF(AND(Множество[[#This Row],[Y]]=1),ROW()-ROW(Множество[[#Headers],[№]]),"")</f>
        <v/>
      </c>
      <c r="AI608" s="66">
        <v>1</v>
      </c>
      <c r="AJ608" s="66">
        <f>IF(LEN(Множество[[#This Row],[Свёртка]])&gt;0,1,-1)</f>
        <v>1</v>
      </c>
      <c r="AK608" s="66" t="s">
        <v>1781</v>
      </c>
      <c r="AL608" s="209">
        <f>IF(LEN(Множество[[#This Row],[Критерии]])&gt;0,1,-1)</f>
        <v>1</v>
      </c>
      <c r="AM608" s="209">
        <f>IF(AND(LEN(Множество[[#This Row],[Свёртка]])&gt;0,LEN(Множество[[#This Row],[Критерии]])&gt;0,LEN(Множество[[#This Row],[Оценки]])&gt;0),1,-1)</f>
        <v>-1</v>
      </c>
      <c r="AN608" s="230"/>
      <c r="AO608" s="208"/>
      <c r="AP608" s="208"/>
      <c r="AQ608" s="208"/>
      <c r="AR608" s="226"/>
      <c r="AS608" s="225"/>
      <c r="AT608" s="226"/>
      <c r="AU608" s="225"/>
      <c r="AV608" s="225"/>
      <c r="AW608" s="225"/>
      <c r="AX608" s="225"/>
      <c r="AY608" s="225"/>
    </row>
    <row r="609" spans="33:51" x14ac:dyDescent="0.25">
      <c r="AG609" s="66" t="str">
        <f>IF(AND(Множество[[#This Row],[Y]]=1),ROW()-ROW(Множество[[#Headers],[№]]),"")</f>
        <v/>
      </c>
      <c r="AI609" s="66">
        <v>1</v>
      </c>
      <c r="AJ609" s="66">
        <f>IF(LEN(Множество[[#This Row],[Свёртка]])&gt;0,1,-1)</f>
        <v>1</v>
      </c>
      <c r="AK609" s="66" t="s">
        <v>1781</v>
      </c>
      <c r="AL609" s="209">
        <f>IF(LEN(Множество[[#This Row],[Критерии]])&gt;0,1,-1)</f>
        <v>1</v>
      </c>
      <c r="AM609" s="209">
        <f>IF(AND(LEN(Множество[[#This Row],[Свёртка]])&gt;0,LEN(Множество[[#This Row],[Критерии]])&gt;0,LEN(Множество[[#This Row],[Оценки]])&gt;0),1,-1)</f>
        <v>-1</v>
      </c>
      <c r="AN609" s="230"/>
      <c r="AO609" s="208"/>
      <c r="AP609" s="208"/>
      <c r="AQ609" s="208"/>
      <c r="AR609" s="226"/>
      <c r="AS609" s="225"/>
      <c r="AT609" s="226"/>
      <c r="AU609" s="225"/>
      <c r="AV609" s="225"/>
      <c r="AW609" s="225"/>
      <c r="AX609" s="225"/>
      <c r="AY609" s="225"/>
    </row>
    <row r="610" spans="33:51" x14ac:dyDescent="0.25">
      <c r="AG610" s="66" t="str">
        <f>IF(AND(Множество[[#This Row],[Y]]=1),ROW()-ROW(Множество[[#Headers],[№]]),"")</f>
        <v/>
      </c>
      <c r="AI610" s="66">
        <v>1</v>
      </c>
      <c r="AJ610" s="66">
        <f>IF(LEN(Множество[[#This Row],[Свёртка]])&gt;0,1,-1)</f>
        <v>1</v>
      </c>
      <c r="AK610" s="66" t="s">
        <v>1781</v>
      </c>
      <c r="AL610" s="209">
        <f>IF(LEN(Множество[[#This Row],[Критерии]])&gt;0,1,-1)</f>
        <v>1</v>
      </c>
      <c r="AM610" s="209">
        <f>IF(AND(LEN(Множество[[#This Row],[Свёртка]])&gt;0,LEN(Множество[[#This Row],[Критерии]])&gt;0,LEN(Множество[[#This Row],[Оценки]])&gt;0),1,-1)</f>
        <v>-1</v>
      </c>
      <c r="AN610" s="230"/>
      <c r="AO610" s="208"/>
      <c r="AP610" s="208"/>
      <c r="AQ610" s="208"/>
      <c r="AR610" s="226"/>
      <c r="AS610" s="225"/>
      <c r="AT610" s="226"/>
      <c r="AU610" s="225"/>
      <c r="AV610" s="225"/>
      <c r="AW610" s="225"/>
      <c r="AX610" s="225"/>
      <c r="AY610" s="225"/>
    </row>
    <row r="611" spans="33:51" x14ac:dyDescent="0.25">
      <c r="AG611" s="66" t="str">
        <f>IF(AND(Множество[[#This Row],[Y]]=1),ROW()-ROW(Множество[[#Headers],[№]]),"")</f>
        <v/>
      </c>
      <c r="AI611" s="66">
        <v>1</v>
      </c>
      <c r="AJ611" s="66">
        <f>IF(LEN(Множество[[#This Row],[Свёртка]])&gt;0,1,-1)</f>
        <v>1</v>
      </c>
      <c r="AK611" s="66" t="s">
        <v>1781</v>
      </c>
      <c r="AL611" s="209">
        <f>IF(LEN(Множество[[#This Row],[Критерии]])&gt;0,1,-1)</f>
        <v>1</v>
      </c>
      <c r="AM611" s="209">
        <f>IF(AND(LEN(Множество[[#This Row],[Свёртка]])&gt;0,LEN(Множество[[#This Row],[Критерии]])&gt;0,LEN(Множество[[#This Row],[Оценки]])&gt;0),1,-1)</f>
        <v>-1</v>
      </c>
      <c r="AN611" s="230"/>
      <c r="AO611" s="208"/>
      <c r="AP611" s="208"/>
      <c r="AQ611" s="208"/>
      <c r="AR611" s="226"/>
      <c r="AS611" s="225"/>
      <c r="AT611" s="226"/>
      <c r="AU611" s="225"/>
      <c r="AV611" s="225"/>
      <c r="AW611" s="225"/>
      <c r="AX611" s="225"/>
      <c r="AY611" s="225"/>
    </row>
    <row r="612" spans="33:51" x14ac:dyDescent="0.25">
      <c r="AG612" s="66" t="str">
        <f>IF(AND(Множество[[#This Row],[Y]]=1),ROW()-ROW(Множество[[#Headers],[№]]),"")</f>
        <v/>
      </c>
      <c r="AI612" s="66">
        <v>1</v>
      </c>
      <c r="AJ612" s="66">
        <f>IF(LEN(Множество[[#This Row],[Свёртка]])&gt;0,1,-1)</f>
        <v>1</v>
      </c>
      <c r="AK612" s="66" t="s">
        <v>1781</v>
      </c>
      <c r="AL612" s="209">
        <f>IF(LEN(Множество[[#This Row],[Критерии]])&gt;0,1,-1)</f>
        <v>1</v>
      </c>
      <c r="AM612" s="209">
        <f>IF(AND(LEN(Множество[[#This Row],[Свёртка]])&gt;0,LEN(Множество[[#This Row],[Критерии]])&gt;0,LEN(Множество[[#This Row],[Оценки]])&gt;0),1,-1)</f>
        <v>-1</v>
      </c>
      <c r="AN612" s="230"/>
      <c r="AO612" s="208"/>
      <c r="AP612" s="208"/>
      <c r="AQ612" s="208"/>
      <c r="AR612" s="226"/>
      <c r="AS612" s="225"/>
      <c r="AT612" s="226"/>
      <c r="AU612" s="225"/>
      <c r="AV612" s="225"/>
      <c r="AW612" s="225"/>
      <c r="AX612" s="225"/>
      <c r="AY612" s="225"/>
    </row>
    <row r="613" spans="33:51" x14ac:dyDescent="0.25">
      <c r="AG613" s="66" t="str">
        <f>IF(AND(Множество[[#This Row],[Y]]=1),ROW()-ROW(Множество[[#Headers],[№]]),"")</f>
        <v/>
      </c>
      <c r="AI613" s="66">
        <v>1</v>
      </c>
      <c r="AJ613" s="66">
        <f>IF(LEN(Множество[[#This Row],[Свёртка]])&gt;0,1,-1)</f>
        <v>1</v>
      </c>
      <c r="AK613" s="66" t="s">
        <v>1781</v>
      </c>
      <c r="AL613" s="209">
        <f>IF(LEN(Множество[[#This Row],[Критерии]])&gt;0,1,-1)</f>
        <v>1</v>
      </c>
      <c r="AM613" s="209">
        <f>IF(AND(LEN(Множество[[#This Row],[Свёртка]])&gt;0,LEN(Множество[[#This Row],[Критерии]])&gt;0,LEN(Множество[[#This Row],[Оценки]])&gt;0),1,-1)</f>
        <v>-1</v>
      </c>
      <c r="AN613" s="230"/>
      <c r="AO613" s="208"/>
      <c r="AP613" s="208"/>
      <c r="AQ613" s="208"/>
      <c r="AR613" s="226"/>
      <c r="AS613" s="225"/>
      <c r="AT613" s="226"/>
      <c r="AU613" s="225"/>
      <c r="AV613" s="225"/>
      <c r="AW613" s="225"/>
      <c r="AX613" s="225"/>
      <c r="AY613" s="225"/>
    </row>
    <row r="614" spans="33:51" x14ac:dyDescent="0.25">
      <c r="AG614" s="66" t="str">
        <f>IF(AND(Множество[[#This Row],[Y]]=1),ROW()-ROW(Множество[[#Headers],[№]]),"")</f>
        <v/>
      </c>
      <c r="AI614" s="66">
        <v>1</v>
      </c>
      <c r="AJ614" s="66">
        <f>IF(LEN(Множество[[#This Row],[Свёртка]])&gt;0,1,-1)</f>
        <v>1</v>
      </c>
      <c r="AK614" s="66" t="s">
        <v>1781</v>
      </c>
      <c r="AL614" s="209">
        <f>IF(LEN(Множество[[#This Row],[Критерии]])&gt;0,1,-1)</f>
        <v>1</v>
      </c>
      <c r="AM614" s="209">
        <f>IF(AND(LEN(Множество[[#This Row],[Свёртка]])&gt;0,LEN(Множество[[#This Row],[Критерии]])&gt;0,LEN(Множество[[#This Row],[Оценки]])&gt;0),1,-1)</f>
        <v>-1</v>
      </c>
      <c r="AN614" s="230"/>
      <c r="AO614" s="208"/>
      <c r="AP614" s="208"/>
      <c r="AQ614" s="208"/>
      <c r="AR614" s="226"/>
      <c r="AS614" s="225"/>
      <c r="AT614" s="226"/>
      <c r="AU614" s="225"/>
      <c r="AV614" s="225"/>
      <c r="AW614" s="225"/>
      <c r="AX614" s="225"/>
      <c r="AY614" s="225"/>
    </row>
    <row r="615" spans="33:51" x14ac:dyDescent="0.25">
      <c r="AG615" s="66" t="str">
        <f>IF(AND(Множество[[#This Row],[Y]]=1),ROW()-ROW(Множество[[#Headers],[№]]),"")</f>
        <v/>
      </c>
      <c r="AI615" s="66">
        <v>1</v>
      </c>
      <c r="AJ615" s="66">
        <f>IF(LEN(Множество[[#This Row],[Свёртка]])&gt;0,1,-1)</f>
        <v>1</v>
      </c>
      <c r="AK615" s="66" t="s">
        <v>1781</v>
      </c>
      <c r="AL615" s="209">
        <f>IF(LEN(Множество[[#This Row],[Критерии]])&gt;0,1,-1)</f>
        <v>1</v>
      </c>
      <c r="AM615" s="209">
        <f>IF(AND(LEN(Множество[[#This Row],[Свёртка]])&gt;0,LEN(Множество[[#This Row],[Критерии]])&gt;0,LEN(Множество[[#This Row],[Оценки]])&gt;0),1,-1)</f>
        <v>-1</v>
      </c>
      <c r="AN615" s="230"/>
      <c r="AO615" s="208"/>
      <c r="AP615" s="208"/>
      <c r="AQ615" s="208"/>
      <c r="AR615" s="226"/>
      <c r="AS615" s="225"/>
      <c r="AT615" s="226"/>
      <c r="AU615" s="225"/>
      <c r="AV615" s="225"/>
      <c r="AW615" s="225"/>
      <c r="AX615" s="225"/>
      <c r="AY615" s="225"/>
    </row>
    <row r="616" spans="33:51" x14ac:dyDescent="0.25">
      <c r="AG616" s="66" t="str">
        <f>IF(AND(Множество[[#This Row],[Y]]=1),ROW()-ROW(Множество[[#Headers],[№]]),"")</f>
        <v/>
      </c>
      <c r="AI616" s="66">
        <v>1</v>
      </c>
      <c r="AJ616" s="66">
        <f>IF(LEN(Множество[[#This Row],[Свёртка]])&gt;0,1,-1)</f>
        <v>1</v>
      </c>
      <c r="AK616" s="66" t="s">
        <v>1781</v>
      </c>
      <c r="AL616" s="209">
        <f>IF(LEN(Множество[[#This Row],[Критерии]])&gt;0,1,-1)</f>
        <v>1</v>
      </c>
      <c r="AM616" s="209">
        <f>IF(AND(LEN(Множество[[#This Row],[Свёртка]])&gt;0,LEN(Множество[[#This Row],[Критерии]])&gt;0,LEN(Множество[[#This Row],[Оценки]])&gt;0),1,-1)</f>
        <v>-1</v>
      </c>
      <c r="AN616" s="230"/>
      <c r="AO616" s="208"/>
      <c r="AP616" s="208"/>
      <c r="AQ616" s="208"/>
      <c r="AR616" s="226"/>
      <c r="AS616" s="225"/>
      <c r="AT616" s="226"/>
      <c r="AU616" s="225"/>
      <c r="AV616" s="225"/>
      <c r="AW616" s="225"/>
      <c r="AX616" s="225"/>
      <c r="AY616" s="225"/>
    </row>
    <row r="617" spans="33:51" x14ac:dyDescent="0.25">
      <c r="AG617" s="66" t="str">
        <f>IF(AND(Множество[[#This Row],[Y]]=1),ROW()-ROW(Множество[[#Headers],[№]]),"")</f>
        <v/>
      </c>
      <c r="AI617" s="66">
        <v>1</v>
      </c>
      <c r="AJ617" s="66">
        <f>IF(LEN(Множество[[#This Row],[Свёртка]])&gt;0,1,-1)</f>
        <v>1</v>
      </c>
      <c r="AK617" s="66" t="s">
        <v>1781</v>
      </c>
      <c r="AL617" s="209">
        <f>IF(LEN(Множество[[#This Row],[Критерии]])&gt;0,1,-1)</f>
        <v>1</v>
      </c>
      <c r="AM617" s="209">
        <f>IF(AND(LEN(Множество[[#This Row],[Свёртка]])&gt;0,LEN(Множество[[#This Row],[Критерии]])&gt;0,LEN(Множество[[#This Row],[Оценки]])&gt;0),1,-1)</f>
        <v>-1</v>
      </c>
      <c r="AN617" s="230"/>
      <c r="AO617" s="208"/>
      <c r="AP617" s="208"/>
      <c r="AQ617" s="208"/>
      <c r="AR617" s="226"/>
      <c r="AS617" s="225"/>
      <c r="AT617" s="226"/>
      <c r="AU617" s="225"/>
      <c r="AV617" s="225"/>
      <c r="AW617" s="225"/>
      <c r="AX617" s="225"/>
      <c r="AY617" s="225"/>
    </row>
    <row r="618" spans="33:51" x14ac:dyDescent="0.25">
      <c r="AG618" s="66" t="str">
        <f>IF(AND(Множество[[#This Row],[Y]]=1),ROW()-ROW(Множество[[#Headers],[№]]),"")</f>
        <v/>
      </c>
      <c r="AI618" s="66">
        <v>1</v>
      </c>
      <c r="AJ618" s="66">
        <f>IF(LEN(Множество[[#This Row],[Свёртка]])&gt;0,1,-1)</f>
        <v>1</v>
      </c>
      <c r="AK618" s="66" t="s">
        <v>1781</v>
      </c>
      <c r="AL618" s="209">
        <f>IF(LEN(Множество[[#This Row],[Критерии]])&gt;0,1,-1)</f>
        <v>1</v>
      </c>
      <c r="AM618" s="209">
        <f>IF(AND(LEN(Множество[[#This Row],[Свёртка]])&gt;0,LEN(Множество[[#This Row],[Критерии]])&gt;0,LEN(Множество[[#This Row],[Оценки]])&gt;0),1,-1)</f>
        <v>-1</v>
      </c>
      <c r="AN618" s="230"/>
      <c r="AO618" s="208"/>
      <c r="AP618" s="208"/>
      <c r="AQ618" s="208"/>
      <c r="AR618" s="226"/>
      <c r="AS618" s="225"/>
      <c r="AT618" s="226"/>
      <c r="AU618" s="225"/>
      <c r="AV618" s="225"/>
      <c r="AW618" s="225"/>
      <c r="AX618" s="225"/>
      <c r="AY618" s="225"/>
    </row>
    <row r="619" spans="33:51" x14ac:dyDescent="0.25">
      <c r="AG619" s="66" t="str">
        <f>IF(AND(Множество[[#This Row],[Y]]=1),ROW()-ROW(Множество[[#Headers],[№]]),"")</f>
        <v/>
      </c>
      <c r="AI619" s="66">
        <v>1</v>
      </c>
      <c r="AJ619" s="66">
        <f>IF(LEN(Множество[[#This Row],[Свёртка]])&gt;0,1,-1)</f>
        <v>1</v>
      </c>
      <c r="AK619" s="66" t="s">
        <v>1781</v>
      </c>
      <c r="AL619" s="209">
        <f>IF(LEN(Множество[[#This Row],[Критерии]])&gt;0,1,-1)</f>
        <v>1</v>
      </c>
      <c r="AM619" s="209">
        <f>IF(AND(LEN(Множество[[#This Row],[Свёртка]])&gt;0,LEN(Множество[[#This Row],[Критерии]])&gt;0,LEN(Множество[[#This Row],[Оценки]])&gt;0),1,-1)</f>
        <v>-1</v>
      </c>
      <c r="AN619" s="230"/>
      <c r="AO619" s="208"/>
      <c r="AP619" s="208"/>
      <c r="AQ619" s="208"/>
      <c r="AR619" s="226"/>
      <c r="AS619" s="225"/>
      <c r="AT619" s="226"/>
      <c r="AU619" s="225"/>
      <c r="AV619" s="225"/>
      <c r="AW619" s="225"/>
      <c r="AX619" s="225"/>
      <c r="AY619" s="225"/>
    </row>
    <row r="620" spans="33:51" x14ac:dyDescent="0.25">
      <c r="AG620" s="66" t="str">
        <f>IF(AND(Множество[[#This Row],[Y]]=1),ROW()-ROW(Множество[[#Headers],[№]]),"")</f>
        <v/>
      </c>
      <c r="AI620" s="66">
        <v>1</v>
      </c>
      <c r="AJ620" s="66">
        <f>IF(LEN(Множество[[#This Row],[Свёртка]])&gt;0,1,-1)</f>
        <v>1</v>
      </c>
      <c r="AK620" s="66" t="s">
        <v>1781</v>
      </c>
      <c r="AL620" s="209">
        <f>IF(LEN(Множество[[#This Row],[Критерии]])&gt;0,1,-1)</f>
        <v>1</v>
      </c>
      <c r="AM620" s="209">
        <f>IF(AND(LEN(Множество[[#This Row],[Свёртка]])&gt;0,LEN(Множество[[#This Row],[Критерии]])&gt;0,LEN(Множество[[#This Row],[Оценки]])&gt;0),1,-1)</f>
        <v>-1</v>
      </c>
      <c r="AN620" s="230"/>
      <c r="AO620" s="208"/>
      <c r="AP620" s="208"/>
      <c r="AQ620" s="208"/>
      <c r="AR620" s="226"/>
      <c r="AS620" s="225"/>
      <c r="AT620" s="226"/>
      <c r="AU620" s="225"/>
      <c r="AV620" s="225"/>
      <c r="AW620" s="225"/>
      <c r="AX620" s="225"/>
      <c r="AY620" s="225"/>
    </row>
    <row r="621" spans="33:51" x14ac:dyDescent="0.25">
      <c r="AG621" s="66" t="str">
        <f>IF(AND(Множество[[#This Row],[Y]]=1),ROW()-ROW(Множество[[#Headers],[№]]),"")</f>
        <v/>
      </c>
      <c r="AI621" s="66">
        <v>1</v>
      </c>
      <c r="AJ621" s="66">
        <f>IF(LEN(Множество[[#This Row],[Свёртка]])&gt;0,1,-1)</f>
        <v>1</v>
      </c>
      <c r="AK621" s="66" t="s">
        <v>1781</v>
      </c>
      <c r="AL621" s="209">
        <f>IF(LEN(Множество[[#This Row],[Критерии]])&gt;0,1,-1)</f>
        <v>1</v>
      </c>
      <c r="AM621" s="209">
        <f>IF(AND(LEN(Множество[[#This Row],[Свёртка]])&gt;0,LEN(Множество[[#This Row],[Критерии]])&gt;0,LEN(Множество[[#This Row],[Оценки]])&gt;0),1,-1)</f>
        <v>-1</v>
      </c>
      <c r="AN621" s="230"/>
      <c r="AO621" s="208"/>
      <c r="AP621" s="208"/>
      <c r="AQ621" s="208"/>
      <c r="AR621" s="226"/>
      <c r="AS621" s="225"/>
      <c r="AT621" s="226"/>
      <c r="AU621" s="225"/>
      <c r="AV621" s="225"/>
      <c r="AW621" s="225"/>
      <c r="AX621" s="225"/>
      <c r="AY621" s="225"/>
    </row>
    <row r="622" spans="33:51" x14ac:dyDescent="0.25">
      <c r="AG622" s="66" t="str">
        <f>IF(AND(Множество[[#This Row],[Y]]=1),ROW()-ROW(Множество[[#Headers],[№]]),"")</f>
        <v/>
      </c>
      <c r="AI622" s="66">
        <v>1</v>
      </c>
      <c r="AJ622" s="66">
        <f>IF(LEN(Множество[[#This Row],[Свёртка]])&gt;0,1,-1)</f>
        <v>1</v>
      </c>
      <c r="AK622" s="66" t="s">
        <v>1781</v>
      </c>
      <c r="AL622" s="209">
        <f>IF(LEN(Множество[[#This Row],[Критерии]])&gt;0,1,-1)</f>
        <v>1</v>
      </c>
      <c r="AM622" s="209">
        <f>IF(AND(LEN(Множество[[#This Row],[Свёртка]])&gt;0,LEN(Множество[[#This Row],[Критерии]])&gt;0,LEN(Множество[[#This Row],[Оценки]])&gt;0),1,-1)</f>
        <v>-1</v>
      </c>
      <c r="AN622" s="230"/>
      <c r="AO622" s="208"/>
      <c r="AP622" s="208"/>
      <c r="AQ622" s="208"/>
      <c r="AR622" s="226"/>
      <c r="AS622" s="225"/>
      <c r="AT622" s="226"/>
      <c r="AU622" s="225"/>
      <c r="AV622" s="225"/>
      <c r="AW622" s="225"/>
      <c r="AX622" s="225"/>
      <c r="AY622" s="225"/>
    </row>
    <row r="623" spans="33:51" x14ac:dyDescent="0.25">
      <c r="AG623" s="66" t="str">
        <f>IF(AND(Множество[[#This Row],[Y]]=1),ROW()-ROW(Множество[[#Headers],[№]]),"")</f>
        <v/>
      </c>
      <c r="AI623" s="66">
        <v>1</v>
      </c>
      <c r="AJ623" s="66">
        <f>IF(LEN(Множество[[#This Row],[Свёртка]])&gt;0,1,-1)</f>
        <v>1</v>
      </c>
      <c r="AK623" s="66" t="s">
        <v>1781</v>
      </c>
      <c r="AL623" s="209">
        <f>IF(LEN(Множество[[#This Row],[Критерии]])&gt;0,1,-1)</f>
        <v>1</v>
      </c>
      <c r="AM623" s="209">
        <f>IF(AND(LEN(Множество[[#This Row],[Свёртка]])&gt;0,LEN(Множество[[#This Row],[Критерии]])&gt;0,LEN(Множество[[#This Row],[Оценки]])&gt;0),1,-1)</f>
        <v>-1</v>
      </c>
      <c r="AN623" s="230"/>
      <c r="AO623" s="208"/>
      <c r="AP623" s="208"/>
      <c r="AQ623" s="208"/>
      <c r="AR623" s="226"/>
      <c r="AS623" s="225"/>
      <c r="AT623" s="226"/>
      <c r="AU623" s="225"/>
      <c r="AV623" s="225"/>
      <c r="AW623" s="225"/>
      <c r="AX623" s="225"/>
      <c r="AY623" s="225"/>
    </row>
    <row r="624" spans="33:51" x14ac:dyDescent="0.25">
      <c r="AG624" s="66" t="str">
        <f>IF(AND(Множество[[#This Row],[Y]]=1),ROW()-ROW(Множество[[#Headers],[№]]),"")</f>
        <v/>
      </c>
      <c r="AI624" s="66">
        <v>1</v>
      </c>
      <c r="AJ624" s="66">
        <f>IF(LEN(Множество[[#This Row],[Свёртка]])&gt;0,1,-1)</f>
        <v>1</v>
      </c>
      <c r="AK624" s="66" t="s">
        <v>1781</v>
      </c>
      <c r="AL624" s="209">
        <f>IF(LEN(Множество[[#This Row],[Критерии]])&gt;0,1,-1)</f>
        <v>1</v>
      </c>
      <c r="AM624" s="209">
        <f>IF(AND(LEN(Множество[[#This Row],[Свёртка]])&gt;0,LEN(Множество[[#This Row],[Критерии]])&gt;0,LEN(Множество[[#This Row],[Оценки]])&gt;0),1,-1)</f>
        <v>-1</v>
      </c>
      <c r="AN624" s="230"/>
      <c r="AO624" s="208"/>
      <c r="AP624" s="208"/>
      <c r="AQ624" s="208"/>
      <c r="AR624" s="226"/>
      <c r="AS624" s="225"/>
      <c r="AT624" s="226"/>
      <c r="AU624" s="225"/>
      <c r="AV624" s="225"/>
      <c r="AW624" s="225"/>
      <c r="AX624" s="225"/>
      <c r="AY624" s="225"/>
    </row>
    <row r="625" spans="33:51" x14ac:dyDescent="0.25">
      <c r="AG625" s="66" t="str">
        <f>IF(AND(Множество[[#This Row],[Y]]=1),ROW()-ROW(Множество[[#Headers],[№]]),"")</f>
        <v/>
      </c>
      <c r="AI625" s="66">
        <v>1</v>
      </c>
      <c r="AJ625" s="66">
        <f>IF(LEN(Множество[[#This Row],[Свёртка]])&gt;0,1,-1)</f>
        <v>1</v>
      </c>
      <c r="AK625" s="66" t="s">
        <v>1781</v>
      </c>
      <c r="AL625" s="209">
        <f>IF(LEN(Множество[[#This Row],[Критерии]])&gt;0,1,-1)</f>
        <v>1</v>
      </c>
      <c r="AM625" s="209">
        <f>IF(AND(LEN(Множество[[#This Row],[Свёртка]])&gt;0,LEN(Множество[[#This Row],[Критерии]])&gt;0,LEN(Множество[[#This Row],[Оценки]])&gt;0),1,-1)</f>
        <v>-1</v>
      </c>
      <c r="AN625" s="230"/>
      <c r="AO625" s="208"/>
      <c r="AP625" s="208"/>
      <c r="AQ625" s="208"/>
      <c r="AR625" s="226"/>
      <c r="AS625" s="225"/>
      <c r="AT625" s="226"/>
      <c r="AU625" s="225"/>
      <c r="AV625" s="225"/>
      <c r="AW625" s="225"/>
      <c r="AX625" s="225"/>
      <c r="AY625" s="225"/>
    </row>
    <row r="626" spans="33:51" x14ac:dyDescent="0.25">
      <c r="AG626" s="66" t="str">
        <f>IF(AND(Множество[[#This Row],[Y]]=1),ROW()-ROW(Множество[[#Headers],[№]]),"")</f>
        <v/>
      </c>
      <c r="AI626" s="66">
        <v>1</v>
      </c>
      <c r="AJ626" s="66">
        <f>IF(LEN(Множество[[#This Row],[Свёртка]])&gt;0,1,-1)</f>
        <v>1</v>
      </c>
      <c r="AK626" s="66" t="s">
        <v>1781</v>
      </c>
      <c r="AL626" s="209">
        <f>IF(LEN(Множество[[#This Row],[Критерии]])&gt;0,1,-1)</f>
        <v>1</v>
      </c>
      <c r="AM626" s="209">
        <f>IF(AND(LEN(Множество[[#This Row],[Свёртка]])&gt;0,LEN(Множество[[#This Row],[Критерии]])&gt;0,LEN(Множество[[#This Row],[Оценки]])&gt;0),1,-1)</f>
        <v>-1</v>
      </c>
      <c r="AN626" s="230"/>
      <c r="AO626" s="208"/>
      <c r="AP626" s="208"/>
      <c r="AQ626" s="208"/>
      <c r="AR626" s="226"/>
      <c r="AS626" s="225"/>
      <c r="AT626" s="226"/>
      <c r="AU626" s="225"/>
      <c r="AV626" s="225"/>
      <c r="AW626" s="225"/>
      <c r="AX626" s="225"/>
      <c r="AY626" s="225"/>
    </row>
    <row r="627" spans="33:51" x14ac:dyDescent="0.25">
      <c r="AG627" s="66" t="str">
        <f>IF(AND(Множество[[#This Row],[Y]]=1),ROW()-ROW(Множество[[#Headers],[№]]),"")</f>
        <v/>
      </c>
      <c r="AI627" s="66">
        <v>1</v>
      </c>
      <c r="AJ627" s="66">
        <f>IF(LEN(Множество[[#This Row],[Свёртка]])&gt;0,1,-1)</f>
        <v>1</v>
      </c>
      <c r="AK627" s="66" t="s">
        <v>1781</v>
      </c>
      <c r="AL627" s="209">
        <f>IF(LEN(Множество[[#This Row],[Критерии]])&gt;0,1,-1)</f>
        <v>1</v>
      </c>
      <c r="AM627" s="209">
        <f>IF(AND(LEN(Множество[[#This Row],[Свёртка]])&gt;0,LEN(Множество[[#This Row],[Критерии]])&gt;0,LEN(Множество[[#This Row],[Оценки]])&gt;0),1,-1)</f>
        <v>-1</v>
      </c>
      <c r="AN627" s="230"/>
      <c r="AO627" s="208"/>
      <c r="AP627" s="208"/>
      <c r="AQ627" s="208"/>
      <c r="AR627" s="226"/>
      <c r="AS627" s="225"/>
      <c r="AT627" s="226"/>
      <c r="AU627" s="225"/>
      <c r="AV627" s="225"/>
      <c r="AW627" s="225"/>
      <c r="AX627" s="225"/>
      <c r="AY627" s="225"/>
    </row>
    <row r="628" spans="33:51" x14ac:dyDescent="0.25">
      <c r="AG628" s="66" t="str">
        <f>IF(AND(Множество[[#This Row],[Y]]=1),ROW()-ROW(Множество[[#Headers],[№]]),"")</f>
        <v/>
      </c>
      <c r="AI628" s="66">
        <v>1</v>
      </c>
      <c r="AJ628" s="66">
        <f>IF(LEN(Множество[[#This Row],[Свёртка]])&gt;0,1,-1)</f>
        <v>1</v>
      </c>
      <c r="AK628" s="66" t="s">
        <v>1781</v>
      </c>
      <c r="AL628" s="209">
        <f>IF(LEN(Множество[[#This Row],[Критерии]])&gt;0,1,-1)</f>
        <v>1</v>
      </c>
      <c r="AM628" s="209">
        <f>IF(AND(LEN(Множество[[#This Row],[Свёртка]])&gt;0,LEN(Множество[[#This Row],[Критерии]])&gt;0,LEN(Множество[[#This Row],[Оценки]])&gt;0),1,-1)</f>
        <v>-1</v>
      </c>
      <c r="AN628" s="230"/>
      <c r="AO628" s="208"/>
      <c r="AP628" s="208"/>
      <c r="AQ628" s="208"/>
      <c r="AR628" s="226"/>
      <c r="AS628" s="225"/>
      <c r="AT628" s="226"/>
      <c r="AU628" s="225"/>
      <c r="AV628" s="225"/>
      <c r="AW628" s="225"/>
      <c r="AX628" s="225"/>
      <c r="AY628" s="225"/>
    </row>
    <row r="629" spans="33:51" x14ac:dyDescent="0.25">
      <c r="AG629" s="66" t="str">
        <f>IF(AND(Множество[[#This Row],[Y]]=1),ROW()-ROW(Множество[[#Headers],[№]]),"")</f>
        <v/>
      </c>
      <c r="AI629" s="66">
        <v>1</v>
      </c>
      <c r="AJ629" s="66">
        <f>IF(LEN(Множество[[#This Row],[Свёртка]])&gt;0,1,-1)</f>
        <v>1</v>
      </c>
      <c r="AK629" s="66" t="s">
        <v>1781</v>
      </c>
      <c r="AL629" s="209">
        <f>IF(LEN(Множество[[#This Row],[Критерии]])&gt;0,1,-1)</f>
        <v>1</v>
      </c>
      <c r="AM629" s="209">
        <f>IF(AND(LEN(Множество[[#This Row],[Свёртка]])&gt;0,LEN(Множество[[#This Row],[Критерии]])&gt;0,LEN(Множество[[#This Row],[Оценки]])&gt;0),1,-1)</f>
        <v>-1</v>
      </c>
      <c r="AN629" s="230"/>
      <c r="AO629" s="208"/>
      <c r="AP629" s="208"/>
      <c r="AQ629" s="208"/>
      <c r="AR629" s="226"/>
      <c r="AS629" s="225"/>
      <c r="AT629" s="226"/>
      <c r="AU629" s="225"/>
      <c r="AV629" s="225"/>
      <c r="AW629" s="225"/>
      <c r="AX629" s="225"/>
      <c r="AY629" s="225"/>
    </row>
    <row r="630" spans="33:51" x14ac:dyDescent="0.25">
      <c r="AG630" s="66" t="str">
        <f>IF(AND(Множество[[#This Row],[Y]]=1),ROW()-ROW(Множество[[#Headers],[№]]),"")</f>
        <v/>
      </c>
      <c r="AI630" s="66">
        <v>1</v>
      </c>
      <c r="AJ630" s="66">
        <f>IF(LEN(Множество[[#This Row],[Свёртка]])&gt;0,1,-1)</f>
        <v>1</v>
      </c>
      <c r="AK630" s="66" t="s">
        <v>1781</v>
      </c>
      <c r="AL630" s="209">
        <f>IF(LEN(Множество[[#This Row],[Критерии]])&gt;0,1,-1)</f>
        <v>1</v>
      </c>
      <c r="AM630" s="209">
        <f>IF(AND(LEN(Множество[[#This Row],[Свёртка]])&gt;0,LEN(Множество[[#This Row],[Критерии]])&gt;0,LEN(Множество[[#This Row],[Оценки]])&gt;0),1,-1)</f>
        <v>-1</v>
      </c>
      <c r="AN630" s="230"/>
      <c r="AO630" s="208"/>
      <c r="AP630" s="208"/>
      <c r="AQ630" s="208"/>
      <c r="AR630" s="226"/>
      <c r="AS630" s="225"/>
      <c r="AT630" s="226"/>
      <c r="AU630" s="225"/>
      <c r="AV630" s="225"/>
      <c r="AW630" s="225"/>
      <c r="AX630" s="225"/>
      <c r="AY630" s="225"/>
    </row>
    <row r="631" spans="33:51" x14ac:dyDescent="0.25">
      <c r="AG631" s="66" t="str">
        <f>IF(AND(Множество[[#This Row],[Y]]=1),ROW()-ROW(Множество[[#Headers],[№]]),"")</f>
        <v/>
      </c>
      <c r="AI631" s="66">
        <v>1</v>
      </c>
      <c r="AJ631" s="66">
        <f>IF(LEN(Множество[[#This Row],[Свёртка]])&gt;0,1,-1)</f>
        <v>1</v>
      </c>
      <c r="AK631" s="66" t="s">
        <v>1781</v>
      </c>
      <c r="AL631" s="209">
        <f>IF(LEN(Множество[[#This Row],[Критерии]])&gt;0,1,-1)</f>
        <v>1</v>
      </c>
      <c r="AM631" s="209">
        <f>IF(AND(LEN(Множество[[#This Row],[Свёртка]])&gt;0,LEN(Множество[[#This Row],[Критерии]])&gt;0,LEN(Множество[[#This Row],[Оценки]])&gt;0),1,-1)</f>
        <v>-1</v>
      </c>
      <c r="AN631" s="230"/>
      <c r="AO631" s="208"/>
      <c r="AP631" s="208"/>
      <c r="AQ631" s="208"/>
      <c r="AR631" s="226"/>
      <c r="AS631" s="225"/>
      <c r="AT631" s="226"/>
      <c r="AU631" s="225"/>
      <c r="AV631" s="225"/>
      <c r="AW631" s="225"/>
      <c r="AX631" s="225"/>
      <c r="AY631" s="225"/>
    </row>
    <row r="632" spans="33:51" x14ac:dyDescent="0.25">
      <c r="AG632" s="66" t="str">
        <f>IF(AND(Множество[[#This Row],[Y]]=1),ROW()-ROW(Множество[[#Headers],[№]]),"")</f>
        <v/>
      </c>
      <c r="AI632" s="66">
        <v>1</v>
      </c>
      <c r="AJ632" s="66">
        <f>IF(LEN(Множество[[#This Row],[Свёртка]])&gt;0,1,-1)</f>
        <v>1</v>
      </c>
      <c r="AK632" s="66" t="s">
        <v>1781</v>
      </c>
      <c r="AL632" s="209">
        <f>IF(LEN(Множество[[#This Row],[Критерии]])&gt;0,1,-1)</f>
        <v>1</v>
      </c>
      <c r="AM632" s="209">
        <f>IF(AND(LEN(Множество[[#This Row],[Свёртка]])&gt;0,LEN(Множество[[#This Row],[Критерии]])&gt;0,LEN(Множество[[#This Row],[Оценки]])&gt;0),1,-1)</f>
        <v>-1</v>
      </c>
      <c r="AN632" s="230"/>
      <c r="AO632" s="208"/>
      <c r="AP632" s="208"/>
      <c r="AQ632" s="208"/>
      <c r="AR632" s="226"/>
      <c r="AS632" s="225"/>
      <c r="AT632" s="226"/>
      <c r="AU632" s="225"/>
      <c r="AV632" s="225"/>
      <c r="AW632" s="225"/>
      <c r="AX632" s="225"/>
      <c r="AY632" s="225"/>
    </row>
    <row r="633" spans="33:51" x14ac:dyDescent="0.25">
      <c r="AG633" s="66" t="str">
        <f>IF(AND(Множество[[#This Row],[Y]]=1),ROW()-ROW(Множество[[#Headers],[№]]),"")</f>
        <v/>
      </c>
      <c r="AI633" s="66">
        <v>1</v>
      </c>
      <c r="AJ633" s="66">
        <f>IF(LEN(Множество[[#This Row],[Свёртка]])&gt;0,1,-1)</f>
        <v>1</v>
      </c>
      <c r="AK633" s="66" t="s">
        <v>1781</v>
      </c>
      <c r="AL633" s="209">
        <f>IF(LEN(Множество[[#This Row],[Критерии]])&gt;0,1,-1)</f>
        <v>1</v>
      </c>
      <c r="AM633" s="209">
        <f>IF(AND(LEN(Множество[[#This Row],[Свёртка]])&gt;0,LEN(Множество[[#This Row],[Критерии]])&gt;0,LEN(Множество[[#This Row],[Оценки]])&gt;0),1,-1)</f>
        <v>-1</v>
      </c>
      <c r="AN633" s="230"/>
      <c r="AO633" s="208"/>
      <c r="AP633" s="208"/>
      <c r="AQ633" s="208"/>
      <c r="AR633" s="226"/>
      <c r="AS633" s="225"/>
      <c r="AT633" s="226"/>
      <c r="AU633" s="225"/>
      <c r="AV633" s="225"/>
      <c r="AW633" s="225"/>
      <c r="AX633" s="225"/>
      <c r="AY633" s="225"/>
    </row>
    <row r="634" spans="33:51" x14ac:dyDescent="0.25">
      <c r="AG634" s="66" t="str">
        <f>IF(AND(Множество[[#This Row],[Y]]=1),ROW()-ROW(Множество[[#Headers],[№]]),"")</f>
        <v/>
      </c>
      <c r="AI634" s="66">
        <v>1</v>
      </c>
      <c r="AJ634" s="66">
        <f>IF(LEN(Множество[[#This Row],[Свёртка]])&gt;0,1,-1)</f>
        <v>1</v>
      </c>
      <c r="AK634" s="66" t="s">
        <v>1781</v>
      </c>
      <c r="AL634" s="209">
        <f>IF(LEN(Множество[[#This Row],[Критерии]])&gt;0,1,-1)</f>
        <v>1</v>
      </c>
      <c r="AM634" s="209">
        <f>IF(AND(LEN(Множество[[#This Row],[Свёртка]])&gt;0,LEN(Множество[[#This Row],[Критерии]])&gt;0,LEN(Множество[[#This Row],[Оценки]])&gt;0),1,-1)</f>
        <v>-1</v>
      </c>
      <c r="AN634" s="230"/>
      <c r="AO634" s="208"/>
      <c r="AP634" s="208"/>
      <c r="AQ634" s="208"/>
      <c r="AR634" s="226"/>
      <c r="AS634" s="225"/>
      <c r="AT634" s="226"/>
      <c r="AU634" s="225"/>
      <c r="AV634" s="225"/>
      <c r="AW634" s="225"/>
      <c r="AX634" s="225"/>
      <c r="AY634" s="225"/>
    </row>
    <row r="635" spans="33:51" x14ac:dyDescent="0.25">
      <c r="AG635" s="66" t="str">
        <f>IF(AND(Множество[[#This Row],[Y]]=1),ROW()-ROW(Множество[[#Headers],[№]]),"")</f>
        <v/>
      </c>
      <c r="AI635" s="66">
        <v>1</v>
      </c>
      <c r="AJ635" s="66">
        <f>IF(LEN(Множество[[#This Row],[Свёртка]])&gt;0,1,-1)</f>
        <v>1</v>
      </c>
      <c r="AK635" s="66" t="s">
        <v>1781</v>
      </c>
      <c r="AL635" s="209">
        <f>IF(LEN(Множество[[#This Row],[Критерии]])&gt;0,1,-1)</f>
        <v>1</v>
      </c>
      <c r="AM635" s="209">
        <f>IF(AND(LEN(Множество[[#This Row],[Свёртка]])&gt;0,LEN(Множество[[#This Row],[Критерии]])&gt;0,LEN(Множество[[#This Row],[Оценки]])&gt;0),1,-1)</f>
        <v>-1</v>
      </c>
      <c r="AN635" s="230"/>
      <c r="AO635" s="208"/>
      <c r="AP635" s="208"/>
      <c r="AQ635" s="208"/>
      <c r="AR635" s="226"/>
      <c r="AS635" s="225"/>
      <c r="AT635" s="226"/>
      <c r="AU635" s="225"/>
      <c r="AV635" s="225"/>
      <c r="AW635" s="225"/>
      <c r="AX635" s="225"/>
      <c r="AY635" s="225"/>
    </row>
    <row r="636" spans="33:51" x14ac:dyDescent="0.25">
      <c r="AG636" s="66" t="str">
        <f>IF(AND(Множество[[#This Row],[Y]]=1),ROW()-ROW(Множество[[#Headers],[№]]),"")</f>
        <v/>
      </c>
      <c r="AI636" s="66">
        <v>1</v>
      </c>
      <c r="AJ636" s="66">
        <f>IF(LEN(Множество[[#This Row],[Свёртка]])&gt;0,1,-1)</f>
        <v>1</v>
      </c>
      <c r="AK636" s="66" t="s">
        <v>1781</v>
      </c>
      <c r="AL636" s="209">
        <f>IF(LEN(Множество[[#This Row],[Критерии]])&gt;0,1,-1)</f>
        <v>1</v>
      </c>
      <c r="AM636" s="209">
        <f>IF(AND(LEN(Множество[[#This Row],[Свёртка]])&gt;0,LEN(Множество[[#This Row],[Критерии]])&gt;0,LEN(Множество[[#This Row],[Оценки]])&gt;0),1,-1)</f>
        <v>-1</v>
      </c>
      <c r="AN636" s="230"/>
      <c r="AO636" s="208"/>
      <c r="AP636" s="208"/>
      <c r="AQ636" s="208"/>
      <c r="AR636" s="226"/>
      <c r="AS636" s="225"/>
      <c r="AT636" s="226"/>
      <c r="AU636" s="225"/>
      <c r="AV636" s="225"/>
      <c r="AW636" s="225"/>
      <c r="AX636" s="225"/>
      <c r="AY636" s="225"/>
    </row>
    <row r="637" spans="33:51" x14ac:dyDescent="0.25">
      <c r="AG637" s="66" t="str">
        <f>IF(AND(Множество[[#This Row],[Y]]=1),ROW()-ROW(Множество[[#Headers],[№]]),"")</f>
        <v/>
      </c>
      <c r="AI637" s="66">
        <v>1</v>
      </c>
      <c r="AJ637" s="66">
        <f>IF(LEN(Множество[[#This Row],[Свёртка]])&gt;0,1,-1)</f>
        <v>1</v>
      </c>
      <c r="AK637" s="66" t="s">
        <v>1781</v>
      </c>
      <c r="AL637" s="209">
        <f>IF(LEN(Множество[[#This Row],[Критерии]])&gt;0,1,-1)</f>
        <v>1</v>
      </c>
      <c r="AM637" s="209">
        <f>IF(AND(LEN(Множество[[#This Row],[Свёртка]])&gt;0,LEN(Множество[[#This Row],[Критерии]])&gt;0,LEN(Множество[[#This Row],[Оценки]])&gt;0),1,-1)</f>
        <v>-1</v>
      </c>
      <c r="AN637" s="230"/>
      <c r="AO637" s="208"/>
      <c r="AP637" s="208"/>
      <c r="AQ637" s="208"/>
      <c r="AR637" s="226"/>
      <c r="AS637" s="225"/>
      <c r="AT637" s="226"/>
      <c r="AU637" s="225"/>
      <c r="AV637" s="225"/>
      <c r="AW637" s="225"/>
      <c r="AX637" s="225"/>
      <c r="AY637" s="225"/>
    </row>
    <row r="638" spans="33:51" x14ac:dyDescent="0.25">
      <c r="AG638" s="66" t="str">
        <f>IF(AND(Множество[[#This Row],[Y]]=1),ROW()-ROW(Множество[[#Headers],[№]]),"")</f>
        <v/>
      </c>
      <c r="AI638" s="66">
        <v>1</v>
      </c>
      <c r="AJ638" s="66">
        <f>IF(LEN(Множество[[#This Row],[Свёртка]])&gt;0,1,-1)</f>
        <v>1</v>
      </c>
      <c r="AK638" s="66" t="s">
        <v>1781</v>
      </c>
      <c r="AL638" s="209">
        <f>IF(LEN(Множество[[#This Row],[Критерии]])&gt;0,1,-1)</f>
        <v>1</v>
      </c>
      <c r="AM638" s="209">
        <f>IF(AND(LEN(Множество[[#This Row],[Свёртка]])&gt;0,LEN(Множество[[#This Row],[Критерии]])&gt;0,LEN(Множество[[#This Row],[Оценки]])&gt;0),1,-1)</f>
        <v>-1</v>
      </c>
      <c r="AN638" s="230"/>
      <c r="AO638" s="208"/>
      <c r="AP638" s="208"/>
      <c r="AQ638" s="208"/>
      <c r="AR638" s="226"/>
      <c r="AS638" s="225"/>
      <c r="AT638" s="226"/>
      <c r="AU638" s="225"/>
      <c r="AV638" s="225"/>
      <c r="AW638" s="225"/>
      <c r="AX638" s="225"/>
      <c r="AY638" s="225"/>
    </row>
    <row r="639" spans="33:51" x14ac:dyDescent="0.25">
      <c r="AG639" s="66" t="str">
        <f>IF(AND(Множество[[#This Row],[Y]]=1),ROW()-ROW(Множество[[#Headers],[№]]),"")</f>
        <v/>
      </c>
      <c r="AI639" s="66">
        <v>1</v>
      </c>
      <c r="AJ639" s="66">
        <f>IF(LEN(Множество[[#This Row],[Свёртка]])&gt;0,1,-1)</f>
        <v>1</v>
      </c>
      <c r="AK639" s="66" t="s">
        <v>1781</v>
      </c>
      <c r="AL639" s="209">
        <f>IF(LEN(Множество[[#This Row],[Критерии]])&gt;0,1,-1)</f>
        <v>1</v>
      </c>
      <c r="AM639" s="209">
        <f>IF(AND(LEN(Множество[[#This Row],[Свёртка]])&gt;0,LEN(Множество[[#This Row],[Критерии]])&gt;0,LEN(Множество[[#This Row],[Оценки]])&gt;0),1,-1)</f>
        <v>-1</v>
      </c>
      <c r="AN639" s="230"/>
      <c r="AO639" s="208"/>
      <c r="AP639" s="208"/>
      <c r="AQ639" s="208"/>
      <c r="AR639" s="226"/>
      <c r="AS639" s="225"/>
      <c r="AT639" s="226"/>
      <c r="AU639" s="225"/>
      <c r="AV639" s="225"/>
      <c r="AW639" s="225"/>
      <c r="AX639" s="225"/>
      <c r="AY639" s="225"/>
    </row>
    <row r="640" spans="33:51" x14ac:dyDescent="0.25">
      <c r="AG640" s="66" t="str">
        <f>IF(AND(Множество[[#This Row],[Y]]=1),ROW()-ROW(Множество[[#Headers],[№]]),"")</f>
        <v/>
      </c>
      <c r="AI640" s="66">
        <v>1</v>
      </c>
      <c r="AJ640" s="66">
        <f>IF(LEN(Множество[[#This Row],[Свёртка]])&gt;0,1,-1)</f>
        <v>1</v>
      </c>
      <c r="AK640" s="66" t="s">
        <v>1781</v>
      </c>
      <c r="AL640" s="209">
        <f>IF(LEN(Множество[[#This Row],[Критерии]])&gt;0,1,-1)</f>
        <v>1</v>
      </c>
      <c r="AM640" s="209">
        <f>IF(AND(LEN(Множество[[#This Row],[Свёртка]])&gt;0,LEN(Множество[[#This Row],[Критерии]])&gt;0,LEN(Множество[[#This Row],[Оценки]])&gt;0),1,-1)</f>
        <v>-1</v>
      </c>
      <c r="AN640" s="230"/>
      <c r="AO640" s="208"/>
      <c r="AP640" s="208"/>
      <c r="AQ640" s="208"/>
      <c r="AR640" s="226"/>
      <c r="AS640" s="225"/>
      <c r="AT640" s="226"/>
      <c r="AU640" s="225"/>
      <c r="AV640" s="225"/>
      <c r="AW640" s="225"/>
      <c r="AX640" s="225"/>
      <c r="AY640" s="225"/>
    </row>
    <row r="641" spans="33:51" x14ac:dyDescent="0.25">
      <c r="AG641" s="66" t="str">
        <f>IF(AND(Множество[[#This Row],[Y]]=1),ROW()-ROW(Множество[[#Headers],[№]]),"")</f>
        <v/>
      </c>
      <c r="AI641" s="66">
        <v>1</v>
      </c>
      <c r="AJ641" s="66">
        <f>IF(LEN(Множество[[#This Row],[Свёртка]])&gt;0,1,-1)</f>
        <v>1</v>
      </c>
      <c r="AK641" s="66" t="s">
        <v>1781</v>
      </c>
      <c r="AL641" s="209">
        <f>IF(LEN(Множество[[#This Row],[Критерии]])&gt;0,1,-1)</f>
        <v>1</v>
      </c>
      <c r="AM641" s="209">
        <f>IF(AND(LEN(Множество[[#This Row],[Свёртка]])&gt;0,LEN(Множество[[#This Row],[Критерии]])&gt;0,LEN(Множество[[#This Row],[Оценки]])&gt;0),1,-1)</f>
        <v>-1</v>
      </c>
      <c r="AN641" s="230"/>
      <c r="AO641" s="208"/>
      <c r="AP641" s="208"/>
      <c r="AQ641" s="208"/>
      <c r="AR641" s="226"/>
      <c r="AS641" s="225"/>
      <c r="AT641" s="226"/>
      <c r="AU641" s="225"/>
      <c r="AV641" s="225"/>
      <c r="AW641" s="225"/>
      <c r="AX641" s="225"/>
      <c r="AY641" s="225"/>
    </row>
    <row r="642" spans="33:51" x14ac:dyDescent="0.25">
      <c r="AG642" s="66" t="str">
        <f>IF(AND(Множество[[#This Row],[Y]]=1),ROW()-ROW(Множество[[#Headers],[№]]),"")</f>
        <v/>
      </c>
      <c r="AI642" s="66">
        <v>1</v>
      </c>
      <c r="AJ642" s="66">
        <f>IF(LEN(Множество[[#This Row],[Свёртка]])&gt;0,1,-1)</f>
        <v>1</v>
      </c>
      <c r="AK642" s="66" t="s">
        <v>1781</v>
      </c>
      <c r="AL642" s="209">
        <f>IF(LEN(Множество[[#This Row],[Критерии]])&gt;0,1,-1)</f>
        <v>1</v>
      </c>
      <c r="AM642" s="209">
        <f>IF(AND(LEN(Множество[[#This Row],[Свёртка]])&gt;0,LEN(Множество[[#This Row],[Критерии]])&gt;0,LEN(Множество[[#This Row],[Оценки]])&gt;0),1,-1)</f>
        <v>-1</v>
      </c>
      <c r="AN642" s="230"/>
      <c r="AO642" s="208"/>
      <c r="AP642" s="208"/>
      <c r="AQ642" s="208"/>
      <c r="AR642" s="226"/>
      <c r="AS642" s="225"/>
      <c r="AT642" s="226"/>
      <c r="AU642" s="225"/>
      <c r="AV642" s="225"/>
      <c r="AW642" s="225"/>
      <c r="AX642" s="225"/>
      <c r="AY642" s="225"/>
    </row>
    <row r="643" spans="33:51" x14ac:dyDescent="0.25">
      <c r="AG643" s="66" t="str">
        <f>IF(AND(Множество[[#This Row],[Y]]=1),ROW()-ROW(Множество[[#Headers],[№]]),"")</f>
        <v/>
      </c>
      <c r="AI643" s="66">
        <v>1</v>
      </c>
      <c r="AJ643" s="66">
        <f>IF(LEN(Множество[[#This Row],[Свёртка]])&gt;0,1,-1)</f>
        <v>1</v>
      </c>
      <c r="AK643" s="66" t="s">
        <v>1781</v>
      </c>
      <c r="AL643" s="209">
        <f>IF(LEN(Множество[[#This Row],[Критерии]])&gt;0,1,-1)</f>
        <v>1</v>
      </c>
      <c r="AM643" s="209">
        <f>IF(AND(LEN(Множество[[#This Row],[Свёртка]])&gt;0,LEN(Множество[[#This Row],[Критерии]])&gt;0,LEN(Множество[[#This Row],[Оценки]])&gt;0),1,-1)</f>
        <v>-1</v>
      </c>
      <c r="AN643" s="230"/>
      <c r="AO643" s="208"/>
      <c r="AP643" s="208"/>
      <c r="AQ643" s="208"/>
      <c r="AR643" s="226"/>
      <c r="AS643" s="225"/>
      <c r="AT643" s="226"/>
      <c r="AU643" s="225"/>
      <c r="AV643" s="225"/>
      <c r="AW643" s="225"/>
      <c r="AX643" s="225"/>
      <c r="AY643" s="225"/>
    </row>
    <row r="644" spans="33:51" x14ac:dyDescent="0.25">
      <c r="AG644" s="66" t="str">
        <f>IF(AND(Множество[[#This Row],[Y]]=1),ROW()-ROW(Множество[[#Headers],[№]]),"")</f>
        <v/>
      </c>
      <c r="AI644" s="66">
        <v>1</v>
      </c>
      <c r="AJ644" s="66">
        <f>IF(LEN(Множество[[#This Row],[Свёртка]])&gt;0,1,-1)</f>
        <v>1</v>
      </c>
      <c r="AK644" s="66" t="s">
        <v>1781</v>
      </c>
      <c r="AL644" s="209">
        <f>IF(LEN(Множество[[#This Row],[Критерии]])&gt;0,1,-1)</f>
        <v>1</v>
      </c>
      <c r="AM644" s="209">
        <f>IF(AND(LEN(Множество[[#This Row],[Свёртка]])&gt;0,LEN(Множество[[#This Row],[Критерии]])&gt;0,LEN(Множество[[#This Row],[Оценки]])&gt;0),1,-1)</f>
        <v>-1</v>
      </c>
      <c r="AN644" s="230"/>
      <c r="AO644" s="208"/>
      <c r="AP644" s="208"/>
      <c r="AQ644" s="208"/>
      <c r="AR644" s="226"/>
      <c r="AS644" s="225"/>
      <c r="AT644" s="226"/>
      <c r="AU644" s="225"/>
      <c r="AV644" s="225"/>
      <c r="AW644" s="225"/>
      <c r="AX644" s="225"/>
      <c r="AY644" s="225"/>
    </row>
    <row r="645" spans="33:51" x14ac:dyDescent="0.25">
      <c r="AG645" s="66" t="str">
        <f>IF(AND(Множество[[#This Row],[Y]]=1),ROW()-ROW(Множество[[#Headers],[№]]),"")</f>
        <v/>
      </c>
      <c r="AI645" s="66">
        <v>1</v>
      </c>
      <c r="AJ645" s="66">
        <f>IF(LEN(Множество[[#This Row],[Свёртка]])&gt;0,1,-1)</f>
        <v>1</v>
      </c>
      <c r="AK645" s="66" t="s">
        <v>1781</v>
      </c>
      <c r="AL645" s="209">
        <f>IF(LEN(Множество[[#This Row],[Критерии]])&gt;0,1,-1)</f>
        <v>1</v>
      </c>
      <c r="AM645" s="209">
        <f>IF(AND(LEN(Множество[[#This Row],[Свёртка]])&gt;0,LEN(Множество[[#This Row],[Критерии]])&gt;0,LEN(Множество[[#This Row],[Оценки]])&gt;0),1,-1)</f>
        <v>-1</v>
      </c>
      <c r="AN645" s="230"/>
      <c r="AO645" s="208"/>
      <c r="AP645" s="208"/>
      <c r="AQ645" s="208"/>
      <c r="AR645" s="226"/>
      <c r="AS645" s="225"/>
      <c r="AT645" s="226"/>
      <c r="AU645" s="225"/>
      <c r="AV645" s="225"/>
      <c r="AW645" s="225"/>
      <c r="AX645" s="225"/>
      <c r="AY645" s="225"/>
    </row>
    <row r="646" spans="33:51" x14ac:dyDescent="0.25">
      <c r="AG646" s="66" t="str">
        <f>IF(AND(Множество[[#This Row],[Y]]=1),ROW()-ROW(Множество[[#Headers],[№]]),"")</f>
        <v/>
      </c>
      <c r="AI646" s="66">
        <v>1</v>
      </c>
      <c r="AJ646" s="66">
        <f>IF(LEN(Множество[[#This Row],[Свёртка]])&gt;0,1,-1)</f>
        <v>1</v>
      </c>
      <c r="AK646" s="66" t="s">
        <v>1781</v>
      </c>
      <c r="AL646" s="209">
        <f>IF(LEN(Множество[[#This Row],[Критерии]])&gt;0,1,-1)</f>
        <v>1</v>
      </c>
      <c r="AM646" s="209">
        <f>IF(AND(LEN(Множество[[#This Row],[Свёртка]])&gt;0,LEN(Множество[[#This Row],[Критерии]])&gt;0,LEN(Множество[[#This Row],[Оценки]])&gt;0),1,-1)</f>
        <v>-1</v>
      </c>
      <c r="AN646" s="230"/>
      <c r="AO646" s="208"/>
      <c r="AP646" s="208"/>
      <c r="AQ646" s="208"/>
      <c r="AR646" s="226"/>
      <c r="AS646" s="225"/>
      <c r="AT646" s="226"/>
      <c r="AU646" s="225"/>
      <c r="AV646" s="225"/>
      <c r="AW646" s="225"/>
      <c r="AX646" s="225"/>
      <c r="AY646" s="225"/>
    </row>
    <row r="647" spans="33:51" x14ac:dyDescent="0.25">
      <c r="AG647" s="66" t="str">
        <f>IF(AND(Множество[[#This Row],[Y]]=1),ROW()-ROW(Множество[[#Headers],[№]]),"")</f>
        <v/>
      </c>
      <c r="AI647" s="66">
        <v>1</v>
      </c>
      <c r="AJ647" s="66">
        <f>IF(LEN(Множество[[#This Row],[Свёртка]])&gt;0,1,-1)</f>
        <v>1</v>
      </c>
      <c r="AK647" s="66" t="s">
        <v>1781</v>
      </c>
      <c r="AL647" s="209">
        <f>IF(LEN(Множество[[#This Row],[Критерии]])&gt;0,1,-1)</f>
        <v>1</v>
      </c>
      <c r="AM647" s="209">
        <f>IF(AND(LEN(Множество[[#This Row],[Свёртка]])&gt;0,LEN(Множество[[#This Row],[Критерии]])&gt;0,LEN(Множество[[#This Row],[Оценки]])&gt;0),1,-1)</f>
        <v>-1</v>
      </c>
      <c r="AN647" s="230"/>
      <c r="AO647" s="208"/>
      <c r="AP647" s="208"/>
      <c r="AQ647" s="208"/>
      <c r="AR647" s="226"/>
      <c r="AS647" s="225"/>
      <c r="AT647" s="226"/>
      <c r="AU647" s="225"/>
      <c r="AV647" s="225"/>
      <c r="AW647" s="225"/>
      <c r="AX647" s="225"/>
      <c r="AY647" s="225"/>
    </row>
    <row r="648" spans="33:51" x14ac:dyDescent="0.25">
      <c r="AG648" s="66" t="str">
        <f>IF(AND(Множество[[#This Row],[Y]]=1),ROW()-ROW(Множество[[#Headers],[№]]),"")</f>
        <v/>
      </c>
      <c r="AI648" s="66">
        <v>1</v>
      </c>
      <c r="AJ648" s="66">
        <f>IF(LEN(Множество[[#This Row],[Свёртка]])&gt;0,1,-1)</f>
        <v>1</v>
      </c>
      <c r="AK648" s="66" t="s">
        <v>1781</v>
      </c>
      <c r="AL648" s="209">
        <f>IF(LEN(Множество[[#This Row],[Критерии]])&gt;0,1,-1)</f>
        <v>1</v>
      </c>
      <c r="AM648" s="209">
        <f>IF(AND(LEN(Множество[[#This Row],[Свёртка]])&gt;0,LEN(Множество[[#This Row],[Критерии]])&gt;0,LEN(Множество[[#This Row],[Оценки]])&gt;0),1,-1)</f>
        <v>-1</v>
      </c>
      <c r="AN648" s="230"/>
      <c r="AO648" s="208"/>
      <c r="AP648" s="208"/>
      <c r="AQ648" s="208"/>
      <c r="AR648" s="226"/>
      <c r="AS648" s="225"/>
      <c r="AT648" s="226"/>
      <c r="AU648" s="225"/>
      <c r="AV648" s="225"/>
      <c r="AW648" s="225"/>
      <c r="AX648" s="225"/>
      <c r="AY648" s="225"/>
    </row>
    <row r="649" spans="33:51" x14ac:dyDescent="0.25">
      <c r="AG649" s="66" t="str">
        <f>IF(AND(Множество[[#This Row],[Y]]=1),ROW()-ROW(Множество[[#Headers],[№]]),"")</f>
        <v/>
      </c>
      <c r="AI649" s="66">
        <v>1</v>
      </c>
      <c r="AJ649" s="66">
        <f>IF(LEN(Множество[[#This Row],[Свёртка]])&gt;0,1,-1)</f>
        <v>1</v>
      </c>
      <c r="AK649" s="66" t="s">
        <v>1781</v>
      </c>
      <c r="AL649" s="209">
        <f>IF(LEN(Множество[[#This Row],[Критерии]])&gt;0,1,-1)</f>
        <v>1</v>
      </c>
      <c r="AM649" s="209">
        <f>IF(AND(LEN(Множество[[#This Row],[Свёртка]])&gt;0,LEN(Множество[[#This Row],[Критерии]])&gt;0,LEN(Множество[[#This Row],[Оценки]])&gt;0),1,-1)</f>
        <v>-1</v>
      </c>
      <c r="AN649" s="230"/>
      <c r="AO649" s="208"/>
      <c r="AP649" s="208"/>
      <c r="AQ649" s="208"/>
      <c r="AR649" s="226"/>
      <c r="AS649" s="225"/>
      <c r="AT649" s="226"/>
      <c r="AU649" s="225"/>
      <c r="AV649" s="225"/>
      <c r="AW649" s="225"/>
      <c r="AX649" s="225"/>
      <c r="AY649" s="225"/>
    </row>
    <row r="650" spans="33:51" x14ac:dyDescent="0.25">
      <c r="AG650" s="66" t="str">
        <f>IF(AND(Множество[[#This Row],[Y]]=1),ROW()-ROW(Множество[[#Headers],[№]]),"")</f>
        <v/>
      </c>
      <c r="AI650" s="66">
        <v>1</v>
      </c>
      <c r="AJ650" s="66">
        <f>IF(LEN(Множество[[#This Row],[Свёртка]])&gt;0,1,-1)</f>
        <v>1</v>
      </c>
      <c r="AK650" s="66" t="s">
        <v>1781</v>
      </c>
      <c r="AL650" s="209">
        <f>IF(LEN(Множество[[#This Row],[Критерии]])&gt;0,1,-1)</f>
        <v>1</v>
      </c>
      <c r="AM650" s="209">
        <f>IF(AND(LEN(Множество[[#This Row],[Свёртка]])&gt;0,LEN(Множество[[#This Row],[Критерии]])&gt;0,LEN(Множество[[#This Row],[Оценки]])&gt;0),1,-1)</f>
        <v>-1</v>
      </c>
      <c r="AN650" s="230"/>
      <c r="AO650" s="208"/>
      <c r="AP650" s="208"/>
      <c r="AQ650" s="208"/>
      <c r="AR650" s="226"/>
      <c r="AS650" s="225"/>
      <c r="AT650" s="226"/>
      <c r="AU650" s="225"/>
      <c r="AV650" s="225"/>
      <c r="AW650" s="225"/>
      <c r="AX650" s="225"/>
      <c r="AY650" s="225"/>
    </row>
    <row r="651" spans="33:51" x14ac:dyDescent="0.25">
      <c r="AG651" s="66" t="str">
        <f>IF(AND(Множество[[#This Row],[Y]]=1),ROW()-ROW(Множество[[#Headers],[№]]),"")</f>
        <v/>
      </c>
      <c r="AI651" s="66">
        <v>1</v>
      </c>
      <c r="AJ651" s="66">
        <f>IF(LEN(Множество[[#This Row],[Свёртка]])&gt;0,1,-1)</f>
        <v>1</v>
      </c>
      <c r="AK651" s="66" t="s">
        <v>1781</v>
      </c>
      <c r="AL651" s="209">
        <f>IF(LEN(Множество[[#This Row],[Критерии]])&gt;0,1,-1)</f>
        <v>1</v>
      </c>
      <c r="AM651" s="209">
        <f>IF(AND(LEN(Множество[[#This Row],[Свёртка]])&gt;0,LEN(Множество[[#This Row],[Критерии]])&gt;0,LEN(Множество[[#This Row],[Оценки]])&gt;0),1,-1)</f>
        <v>-1</v>
      </c>
      <c r="AN651" s="230"/>
      <c r="AO651" s="208"/>
      <c r="AP651" s="208"/>
      <c r="AQ651" s="208"/>
      <c r="AR651" s="226"/>
      <c r="AS651" s="225"/>
      <c r="AT651" s="226"/>
      <c r="AU651" s="225"/>
      <c r="AV651" s="225"/>
      <c r="AW651" s="225"/>
      <c r="AX651" s="225"/>
      <c r="AY651" s="225"/>
    </row>
    <row r="652" spans="33:51" x14ac:dyDescent="0.25">
      <c r="AG652" s="66" t="str">
        <f>IF(AND(Множество[[#This Row],[Y]]=1),ROW()-ROW(Множество[[#Headers],[№]]),"")</f>
        <v/>
      </c>
      <c r="AI652" s="66">
        <v>1</v>
      </c>
      <c r="AJ652" s="66">
        <f>IF(LEN(Множество[[#This Row],[Свёртка]])&gt;0,1,-1)</f>
        <v>1</v>
      </c>
      <c r="AK652" s="66" t="s">
        <v>1781</v>
      </c>
      <c r="AL652" s="209">
        <f>IF(LEN(Множество[[#This Row],[Критерии]])&gt;0,1,-1)</f>
        <v>1</v>
      </c>
      <c r="AM652" s="209">
        <f>IF(AND(LEN(Множество[[#This Row],[Свёртка]])&gt;0,LEN(Множество[[#This Row],[Критерии]])&gt;0,LEN(Множество[[#This Row],[Оценки]])&gt;0),1,-1)</f>
        <v>-1</v>
      </c>
      <c r="AN652" s="230"/>
      <c r="AO652" s="208"/>
      <c r="AP652" s="208"/>
      <c r="AQ652" s="208"/>
      <c r="AR652" s="226"/>
      <c r="AS652" s="225"/>
      <c r="AT652" s="226"/>
      <c r="AU652" s="225"/>
      <c r="AV652" s="225"/>
      <c r="AW652" s="225"/>
      <c r="AX652" s="225"/>
      <c r="AY652" s="225"/>
    </row>
    <row r="653" spans="33:51" x14ac:dyDescent="0.25">
      <c r="AG653" s="66" t="str">
        <f>IF(AND(Множество[[#This Row],[Y]]=1),ROW()-ROW(Множество[[#Headers],[№]]),"")</f>
        <v/>
      </c>
      <c r="AI653" s="66">
        <v>1</v>
      </c>
      <c r="AJ653" s="66">
        <f>IF(LEN(Множество[[#This Row],[Свёртка]])&gt;0,1,-1)</f>
        <v>1</v>
      </c>
      <c r="AK653" s="66" t="s">
        <v>1781</v>
      </c>
      <c r="AL653" s="209">
        <f>IF(LEN(Множество[[#This Row],[Критерии]])&gt;0,1,-1)</f>
        <v>1</v>
      </c>
      <c r="AM653" s="209">
        <f>IF(AND(LEN(Множество[[#This Row],[Свёртка]])&gt;0,LEN(Множество[[#This Row],[Критерии]])&gt;0,LEN(Множество[[#This Row],[Оценки]])&gt;0),1,-1)</f>
        <v>-1</v>
      </c>
      <c r="AN653" s="230"/>
      <c r="AO653" s="208"/>
      <c r="AP653" s="208"/>
      <c r="AQ653" s="208"/>
      <c r="AR653" s="226"/>
      <c r="AS653" s="225"/>
      <c r="AT653" s="226"/>
      <c r="AU653" s="225"/>
      <c r="AV653" s="225"/>
      <c r="AW653" s="225"/>
      <c r="AX653" s="225"/>
      <c r="AY653" s="225"/>
    </row>
    <row r="654" spans="33:51" x14ac:dyDescent="0.25">
      <c r="AG654" s="66" t="str">
        <f>IF(AND(Множество[[#This Row],[Y]]=1),ROW()-ROW(Множество[[#Headers],[№]]),"")</f>
        <v/>
      </c>
      <c r="AI654" s="66">
        <v>1</v>
      </c>
      <c r="AJ654" s="66">
        <f>IF(LEN(Множество[[#This Row],[Свёртка]])&gt;0,1,-1)</f>
        <v>1</v>
      </c>
      <c r="AK654" s="66" t="s">
        <v>1781</v>
      </c>
      <c r="AL654" s="209">
        <f>IF(LEN(Множество[[#This Row],[Критерии]])&gt;0,1,-1)</f>
        <v>1</v>
      </c>
      <c r="AM654" s="209">
        <f>IF(AND(LEN(Множество[[#This Row],[Свёртка]])&gt;0,LEN(Множество[[#This Row],[Критерии]])&gt;0,LEN(Множество[[#This Row],[Оценки]])&gt;0),1,-1)</f>
        <v>-1</v>
      </c>
      <c r="AN654" s="230"/>
      <c r="AO654" s="208"/>
      <c r="AP654" s="208"/>
      <c r="AQ654" s="208"/>
      <c r="AR654" s="226"/>
      <c r="AS654" s="225"/>
      <c r="AT654" s="226"/>
      <c r="AU654" s="225"/>
      <c r="AV654" s="225"/>
      <c r="AW654" s="225"/>
      <c r="AX654" s="225"/>
      <c r="AY654" s="225"/>
    </row>
    <row r="655" spans="33:51" x14ac:dyDescent="0.25">
      <c r="AG655" s="66" t="str">
        <f>IF(AND(Множество[[#This Row],[Y]]=1),ROW()-ROW(Множество[[#Headers],[№]]),"")</f>
        <v/>
      </c>
      <c r="AI655" s="66">
        <v>1</v>
      </c>
      <c r="AJ655" s="66">
        <f>IF(LEN(Множество[[#This Row],[Свёртка]])&gt;0,1,-1)</f>
        <v>1</v>
      </c>
      <c r="AK655" s="66" t="s">
        <v>1781</v>
      </c>
      <c r="AL655" s="209">
        <f>IF(LEN(Множество[[#This Row],[Критерии]])&gt;0,1,-1)</f>
        <v>1</v>
      </c>
      <c r="AM655" s="209">
        <f>IF(AND(LEN(Множество[[#This Row],[Свёртка]])&gt;0,LEN(Множество[[#This Row],[Критерии]])&gt;0,LEN(Множество[[#This Row],[Оценки]])&gt;0),1,-1)</f>
        <v>-1</v>
      </c>
      <c r="AN655" s="230"/>
      <c r="AO655" s="208"/>
      <c r="AP655" s="208"/>
      <c r="AQ655" s="208"/>
      <c r="AR655" s="226"/>
      <c r="AS655" s="225"/>
      <c r="AT655" s="226"/>
      <c r="AU655" s="225"/>
      <c r="AV655" s="225"/>
      <c r="AW655" s="225"/>
      <c r="AX655" s="225"/>
      <c r="AY655" s="225"/>
    </row>
    <row r="656" spans="33:51" x14ac:dyDescent="0.25">
      <c r="AG656" s="66" t="str">
        <f>IF(AND(Множество[[#This Row],[Y]]=1),ROW()-ROW(Множество[[#Headers],[№]]),"")</f>
        <v/>
      </c>
      <c r="AI656" s="66">
        <v>1</v>
      </c>
      <c r="AJ656" s="66">
        <f>IF(LEN(Множество[[#This Row],[Свёртка]])&gt;0,1,-1)</f>
        <v>1</v>
      </c>
      <c r="AK656" s="66" t="s">
        <v>1781</v>
      </c>
      <c r="AL656" s="209">
        <f>IF(LEN(Множество[[#This Row],[Критерии]])&gt;0,1,-1)</f>
        <v>1</v>
      </c>
      <c r="AM656" s="209">
        <f>IF(AND(LEN(Множество[[#This Row],[Свёртка]])&gt;0,LEN(Множество[[#This Row],[Критерии]])&gt;0,LEN(Множество[[#This Row],[Оценки]])&gt;0),1,-1)</f>
        <v>-1</v>
      </c>
      <c r="AN656" s="230"/>
      <c r="AO656" s="208"/>
      <c r="AP656" s="208"/>
      <c r="AQ656" s="208"/>
      <c r="AR656" s="226"/>
      <c r="AS656" s="225"/>
      <c r="AT656" s="226"/>
      <c r="AU656" s="225"/>
      <c r="AV656" s="225"/>
      <c r="AW656" s="225"/>
      <c r="AX656" s="225"/>
      <c r="AY656" s="225"/>
    </row>
    <row r="657" spans="33:51" x14ac:dyDescent="0.25">
      <c r="AG657" s="66" t="str">
        <f>IF(AND(Множество[[#This Row],[Y]]=1),ROW()-ROW(Множество[[#Headers],[№]]),"")</f>
        <v/>
      </c>
      <c r="AI657" s="66">
        <v>1</v>
      </c>
      <c r="AJ657" s="66">
        <f>IF(LEN(Множество[[#This Row],[Свёртка]])&gt;0,1,-1)</f>
        <v>1</v>
      </c>
      <c r="AK657" s="66" t="s">
        <v>1781</v>
      </c>
      <c r="AL657" s="209">
        <f>IF(LEN(Множество[[#This Row],[Критерии]])&gt;0,1,-1)</f>
        <v>1</v>
      </c>
      <c r="AM657" s="209">
        <f>IF(AND(LEN(Множество[[#This Row],[Свёртка]])&gt;0,LEN(Множество[[#This Row],[Критерии]])&gt;0,LEN(Множество[[#This Row],[Оценки]])&gt;0),1,-1)</f>
        <v>-1</v>
      </c>
      <c r="AN657" s="230"/>
      <c r="AO657" s="208"/>
      <c r="AP657" s="208"/>
      <c r="AQ657" s="208"/>
      <c r="AR657" s="226"/>
      <c r="AS657" s="225"/>
      <c r="AT657" s="226"/>
      <c r="AU657" s="225"/>
      <c r="AV657" s="225"/>
      <c r="AW657" s="225"/>
      <c r="AX657" s="225"/>
      <c r="AY657" s="225"/>
    </row>
    <row r="658" spans="33:51" x14ac:dyDescent="0.25">
      <c r="AG658" s="66" t="str">
        <f>IF(AND(Множество[[#This Row],[Y]]=1),ROW()-ROW(Множество[[#Headers],[№]]),"")</f>
        <v/>
      </c>
      <c r="AI658" s="66">
        <v>1</v>
      </c>
      <c r="AJ658" s="66">
        <f>IF(LEN(Множество[[#This Row],[Свёртка]])&gt;0,1,-1)</f>
        <v>1</v>
      </c>
      <c r="AK658" s="66" t="s">
        <v>1781</v>
      </c>
      <c r="AL658" s="209">
        <f>IF(LEN(Множество[[#This Row],[Критерии]])&gt;0,1,-1)</f>
        <v>1</v>
      </c>
      <c r="AM658" s="209">
        <f>IF(AND(LEN(Множество[[#This Row],[Свёртка]])&gt;0,LEN(Множество[[#This Row],[Критерии]])&gt;0,LEN(Множество[[#This Row],[Оценки]])&gt;0),1,-1)</f>
        <v>-1</v>
      </c>
      <c r="AN658" s="230"/>
      <c r="AO658" s="208"/>
      <c r="AP658" s="208"/>
      <c r="AQ658" s="208"/>
      <c r="AR658" s="226"/>
      <c r="AS658" s="225"/>
      <c r="AT658" s="226"/>
      <c r="AU658" s="225"/>
      <c r="AV658" s="225"/>
      <c r="AW658" s="225"/>
      <c r="AX658" s="225"/>
      <c r="AY658" s="225"/>
    </row>
    <row r="659" spans="33:51" x14ac:dyDescent="0.25">
      <c r="AG659" s="66" t="str">
        <f>IF(AND(Множество[[#This Row],[Y]]=1),ROW()-ROW(Множество[[#Headers],[№]]),"")</f>
        <v/>
      </c>
      <c r="AI659" s="66">
        <v>1</v>
      </c>
      <c r="AJ659" s="66">
        <f>IF(LEN(Множество[[#This Row],[Свёртка]])&gt;0,1,-1)</f>
        <v>1</v>
      </c>
      <c r="AK659" s="66" t="s">
        <v>1781</v>
      </c>
      <c r="AL659" s="209">
        <f>IF(LEN(Множество[[#This Row],[Критерии]])&gt;0,1,-1)</f>
        <v>1</v>
      </c>
      <c r="AM659" s="209">
        <f>IF(AND(LEN(Множество[[#This Row],[Свёртка]])&gt;0,LEN(Множество[[#This Row],[Критерии]])&gt;0,LEN(Множество[[#This Row],[Оценки]])&gt;0),1,-1)</f>
        <v>-1</v>
      </c>
      <c r="AN659" s="230"/>
      <c r="AO659" s="208"/>
      <c r="AP659" s="208"/>
      <c r="AQ659" s="208"/>
      <c r="AR659" s="226"/>
      <c r="AS659" s="225"/>
      <c r="AT659" s="226"/>
      <c r="AU659" s="225"/>
      <c r="AV659" s="225"/>
      <c r="AW659" s="225"/>
      <c r="AX659" s="225"/>
      <c r="AY659" s="225"/>
    </row>
    <row r="660" spans="33:51" x14ac:dyDescent="0.25">
      <c r="AG660" s="66" t="str">
        <f>IF(AND(Множество[[#This Row],[Y]]=1),ROW()-ROW(Множество[[#Headers],[№]]),"")</f>
        <v/>
      </c>
      <c r="AI660" s="66">
        <v>1</v>
      </c>
      <c r="AJ660" s="66">
        <f>IF(LEN(Множество[[#This Row],[Свёртка]])&gt;0,1,-1)</f>
        <v>1</v>
      </c>
      <c r="AK660" s="66" t="s">
        <v>1781</v>
      </c>
      <c r="AL660" s="209">
        <f>IF(LEN(Множество[[#This Row],[Критерии]])&gt;0,1,-1)</f>
        <v>1</v>
      </c>
      <c r="AM660" s="209">
        <f>IF(AND(LEN(Множество[[#This Row],[Свёртка]])&gt;0,LEN(Множество[[#This Row],[Критерии]])&gt;0,LEN(Множество[[#This Row],[Оценки]])&gt;0),1,-1)</f>
        <v>-1</v>
      </c>
      <c r="AN660" s="230"/>
      <c r="AO660" s="208"/>
      <c r="AP660" s="208"/>
      <c r="AQ660" s="208"/>
      <c r="AR660" s="226"/>
      <c r="AS660" s="225"/>
      <c r="AT660" s="226"/>
      <c r="AU660" s="225"/>
      <c r="AV660" s="225"/>
      <c r="AW660" s="225"/>
      <c r="AX660" s="225"/>
      <c r="AY660" s="225"/>
    </row>
    <row r="661" spans="33:51" x14ac:dyDescent="0.25">
      <c r="AG661" s="66" t="str">
        <f>IF(AND(Множество[[#This Row],[Y]]=1),ROW()-ROW(Множество[[#Headers],[№]]),"")</f>
        <v/>
      </c>
      <c r="AI661" s="66">
        <v>1</v>
      </c>
      <c r="AJ661" s="66">
        <f>IF(LEN(Множество[[#This Row],[Свёртка]])&gt;0,1,-1)</f>
        <v>1</v>
      </c>
      <c r="AK661" s="66" t="s">
        <v>1781</v>
      </c>
      <c r="AL661" s="209">
        <f>IF(LEN(Множество[[#This Row],[Критерии]])&gt;0,1,-1)</f>
        <v>1</v>
      </c>
      <c r="AM661" s="209">
        <f>IF(AND(LEN(Множество[[#This Row],[Свёртка]])&gt;0,LEN(Множество[[#This Row],[Критерии]])&gt;0,LEN(Множество[[#This Row],[Оценки]])&gt;0),1,-1)</f>
        <v>-1</v>
      </c>
      <c r="AN661" s="230"/>
      <c r="AO661" s="208"/>
      <c r="AP661" s="208"/>
      <c r="AQ661" s="208"/>
      <c r="AR661" s="226"/>
      <c r="AS661" s="225"/>
      <c r="AT661" s="226"/>
      <c r="AU661" s="225"/>
      <c r="AV661" s="225"/>
      <c r="AW661" s="225"/>
      <c r="AX661" s="225"/>
      <c r="AY661" s="225"/>
    </row>
    <row r="662" spans="33:51" x14ac:dyDescent="0.25">
      <c r="AG662" s="66" t="str">
        <f>IF(AND(Множество[[#This Row],[Y]]=1),ROW()-ROW(Множество[[#Headers],[№]]),"")</f>
        <v/>
      </c>
      <c r="AI662" s="66">
        <v>1</v>
      </c>
      <c r="AJ662" s="66">
        <f>IF(LEN(Множество[[#This Row],[Свёртка]])&gt;0,1,-1)</f>
        <v>1</v>
      </c>
      <c r="AK662" s="66" t="s">
        <v>1781</v>
      </c>
      <c r="AL662" s="209">
        <f>IF(LEN(Множество[[#This Row],[Критерии]])&gt;0,1,-1)</f>
        <v>1</v>
      </c>
      <c r="AM662" s="209">
        <f>IF(AND(LEN(Множество[[#This Row],[Свёртка]])&gt;0,LEN(Множество[[#This Row],[Критерии]])&gt;0,LEN(Множество[[#This Row],[Оценки]])&gt;0),1,-1)</f>
        <v>-1</v>
      </c>
      <c r="AN662" s="230"/>
      <c r="AO662" s="208"/>
      <c r="AP662" s="208"/>
      <c r="AQ662" s="208"/>
      <c r="AR662" s="226"/>
      <c r="AS662" s="225"/>
      <c r="AT662" s="226"/>
      <c r="AU662" s="225"/>
      <c r="AV662" s="225"/>
      <c r="AW662" s="225"/>
      <c r="AX662" s="225"/>
      <c r="AY662" s="225"/>
    </row>
    <row r="663" spans="33:51" x14ac:dyDescent="0.25">
      <c r="AG663" s="66" t="str">
        <f>IF(AND(Множество[[#This Row],[Y]]=1),ROW()-ROW(Множество[[#Headers],[№]]),"")</f>
        <v/>
      </c>
      <c r="AI663" s="66">
        <v>1</v>
      </c>
      <c r="AJ663" s="66">
        <f>IF(LEN(Множество[[#This Row],[Свёртка]])&gt;0,1,-1)</f>
        <v>1</v>
      </c>
      <c r="AK663" s="66" t="s">
        <v>1781</v>
      </c>
      <c r="AL663" s="209">
        <f>IF(LEN(Множество[[#This Row],[Критерии]])&gt;0,1,-1)</f>
        <v>1</v>
      </c>
      <c r="AM663" s="209">
        <f>IF(AND(LEN(Множество[[#This Row],[Свёртка]])&gt;0,LEN(Множество[[#This Row],[Критерии]])&gt;0,LEN(Множество[[#This Row],[Оценки]])&gt;0),1,-1)</f>
        <v>-1</v>
      </c>
      <c r="AN663" s="230"/>
      <c r="AO663" s="208"/>
      <c r="AP663" s="208"/>
      <c r="AQ663" s="208"/>
      <c r="AR663" s="226"/>
      <c r="AS663" s="225"/>
      <c r="AT663" s="226"/>
      <c r="AU663" s="225"/>
      <c r="AV663" s="225"/>
      <c r="AW663" s="225"/>
      <c r="AX663" s="225"/>
      <c r="AY663" s="225"/>
    </row>
    <row r="664" spans="33:51" x14ac:dyDescent="0.25">
      <c r="AG664" s="66" t="str">
        <f>IF(AND(Множество[[#This Row],[Y]]=1),ROW()-ROW(Множество[[#Headers],[№]]),"")</f>
        <v/>
      </c>
      <c r="AI664" s="66">
        <v>1</v>
      </c>
      <c r="AJ664" s="66">
        <f>IF(LEN(Множество[[#This Row],[Свёртка]])&gt;0,1,-1)</f>
        <v>1</v>
      </c>
      <c r="AK664" s="66" t="s">
        <v>1781</v>
      </c>
      <c r="AL664" s="209">
        <f>IF(LEN(Множество[[#This Row],[Критерии]])&gt;0,1,-1)</f>
        <v>1</v>
      </c>
      <c r="AM664" s="209">
        <f>IF(AND(LEN(Множество[[#This Row],[Свёртка]])&gt;0,LEN(Множество[[#This Row],[Критерии]])&gt;0,LEN(Множество[[#This Row],[Оценки]])&gt;0),1,-1)</f>
        <v>-1</v>
      </c>
      <c r="AN664" s="230"/>
      <c r="AO664" s="208"/>
      <c r="AP664" s="208"/>
      <c r="AQ664" s="208"/>
      <c r="AR664" s="226"/>
      <c r="AS664" s="225"/>
      <c r="AT664" s="226"/>
      <c r="AU664" s="225"/>
      <c r="AV664" s="225"/>
      <c r="AW664" s="225"/>
      <c r="AX664" s="225"/>
      <c r="AY664" s="225"/>
    </row>
    <row r="665" spans="33:51" x14ac:dyDescent="0.25">
      <c r="AG665" s="66" t="str">
        <f>IF(AND(Множество[[#This Row],[Y]]=1),ROW()-ROW(Множество[[#Headers],[№]]),"")</f>
        <v/>
      </c>
      <c r="AI665" s="66">
        <v>1</v>
      </c>
      <c r="AJ665" s="66">
        <f>IF(LEN(Множество[[#This Row],[Свёртка]])&gt;0,1,-1)</f>
        <v>1</v>
      </c>
      <c r="AK665" s="66" t="s">
        <v>1781</v>
      </c>
      <c r="AL665" s="209">
        <f>IF(LEN(Множество[[#This Row],[Критерии]])&gt;0,1,-1)</f>
        <v>1</v>
      </c>
      <c r="AM665" s="209">
        <f>IF(AND(LEN(Множество[[#This Row],[Свёртка]])&gt;0,LEN(Множество[[#This Row],[Критерии]])&gt;0,LEN(Множество[[#This Row],[Оценки]])&gt;0),1,-1)</f>
        <v>-1</v>
      </c>
      <c r="AN665" s="230"/>
      <c r="AO665" s="208"/>
      <c r="AP665" s="208"/>
      <c r="AQ665" s="208"/>
      <c r="AR665" s="226"/>
      <c r="AS665" s="225"/>
      <c r="AT665" s="226"/>
      <c r="AU665" s="225"/>
      <c r="AV665" s="225"/>
      <c r="AW665" s="225"/>
      <c r="AX665" s="225"/>
      <c r="AY665" s="225"/>
    </row>
    <row r="666" spans="33:51" x14ac:dyDescent="0.25">
      <c r="AG666" s="66" t="str">
        <f>IF(AND(Множество[[#This Row],[Y]]=1),ROW()-ROW(Множество[[#Headers],[№]]),"")</f>
        <v/>
      </c>
      <c r="AI666" s="66">
        <v>1</v>
      </c>
      <c r="AJ666" s="66">
        <f>IF(LEN(Множество[[#This Row],[Свёртка]])&gt;0,1,-1)</f>
        <v>1</v>
      </c>
      <c r="AK666" s="66" t="s">
        <v>1781</v>
      </c>
      <c r="AL666" s="209">
        <f>IF(LEN(Множество[[#This Row],[Критерии]])&gt;0,1,-1)</f>
        <v>1</v>
      </c>
      <c r="AM666" s="209">
        <f>IF(AND(LEN(Множество[[#This Row],[Свёртка]])&gt;0,LEN(Множество[[#This Row],[Критерии]])&gt;0,LEN(Множество[[#This Row],[Оценки]])&gt;0),1,-1)</f>
        <v>-1</v>
      </c>
      <c r="AN666" s="230"/>
      <c r="AO666" s="208"/>
      <c r="AP666" s="208"/>
      <c r="AQ666" s="208"/>
      <c r="AR666" s="226"/>
      <c r="AS666" s="225"/>
      <c r="AT666" s="226"/>
      <c r="AU666" s="225"/>
      <c r="AV666" s="225"/>
      <c r="AW666" s="225"/>
      <c r="AX666" s="225"/>
      <c r="AY666" s="225"/>
    </row>
    <row r="667" spans="33:51" x14ac:dyDescent="0.25">
      <c r="AG667" s="66" t="str">
        <f>IF(AND(Множество[[#This Row],[Y]]=1),ROW()-ROW(Множество[[#Headers],[№]]),"")</f>
        <v/>
      </c>
      <c r="AI667" s="66">
        <v>1</v>
      </c>
      <c r="AJ667" s="66">
        <f>IF(LEN(Множество[[#This Row],[Свёртка]])&gt;0,1,-1)</f>
        <v>1</v>
      </c>
      <c r="AK667" s="66" t="s">
        <v>1781</v>
      </c>
      <c r="AL667" s="209">
        <f>IF(LEN(Множество[[#This Row],[Критерии]])&gt;0,1,-1)</f>
        <v>1</v>
      </c>
      <c r="AM667" s="209">
        <f>IF(AND(LEN(Множество[[#This Row],[Свёртка]])&gt;0,LEN(Множество[[#This Row],[Критерии]])&gt;0,LEN(Множество[[#This Row],[Оценки]])&gt;0),1,-1)</f>
        <v>-1</v>
      </c>
      <c r="AN667" s="230"/>
      <c r="AO667" s="208"/>
      <c r="AP667" s="208"/>
      <c r="AQ667" s="208"/>
      <c r="AR667" s="226"/>
      <c r="AS667" s="225"/>
      <c r="AT667" s="226"/>
      <c r="AU667" s="225"/>
      <c r="AV667" s="225"/>
      <c r="AW667" s="225"/>
      <c r="AX667" s="225"/>
      <c r="AY667" s="225"/>
    </row>
    <row r="668" spans="33:51" x14ac:dyDescent="0.25">
      <c r="AG668" s="66" t="str">
        <f>IF(AND(Множество[[#This Row],[Y]]=1),ROW()-ROW(Множество[[#Headers],[№]]),"")</f>
        <v/>
      </c>
      <c r="AI668" s="66">
        <v>1</v>
      </c>
      <c r="AJ668" s="66">
        <f>IF(LEN(Множество[[#This Row],[Свёртка]])&gt;0,1,-1)</f>
        <v>1</v>
      </c>
      <c r="AK668" s="66" t="s">
        <v>1781</v>
      </c>
      <c r="AL668" s="209">
        <f>IF(LEN(Множество[[#This Row],[Критерии]])&gt;0,1,-1)</f>
        <v>1</v>
      </c>
      <c r="AM668" s="209">
        <f>IF(AND(LEN(Множество[[#This Row],[Свёртка]])&gt;0,LEN(Множество[[#This Row],[Критерии]])&gt;0,LEN(Множество[[#This Row],[Оценки]])&gt;0),1,-1)</f>
        <v>-1</v>
      </c>
      <c r="AN668" s="230"/>
      <c r="AO668" s="208"/>
      <c r="AP668" s="208"/>
      <c r="AQ668" s="208"/>
      <c r="AR668" s="226"/>
      <c r="AS668" s="225"/>
      <c r="AT668" s="226"/>
      <c r="AU668" s="225"/>
      <c r="AV668" s="225"/>
      <c r="AW668" s="225"/>
      <c r="AX668" s="225"/>
      <c r="AY668" s="225"/>
    </row>
    <row r="669" spans="33:51" x14ac:dyDescent="0.25">
      <c r="AG669" s="66" t="str">
        <f>IF(AND(Множество[[#This Row],[Y]]=1),ROW()-ROW(Множество[[#Headers],[№]]),"")</f>
        <v/>
      </c>
      <c r="AI669" s="66">
        <v>1</v>
      </c>
      <c r="AJ669" s="66">
        <f>IF(LEN(Множество[[#This Row],[Свёртка]])&gt;0,1,-1)</f>
        <v>1</v>
      </c>
      <c r="AK669" s="66" t="s">
        <v>1781</v>
      </c>
      <c r="AL669" s="209">
        <f>IF(LEN(Множество[[#This Row],[Критерии]])&gt;0,1,-1)</f>
        <v>1</v>
      </c>
      <c r="AM669" s="209">
        <f>IF(AND(LEN(Множество[[#This Row],[Свёртка]])&gt;0,LEN(Множество[[#This Row],[Критерии]])&gt;0,LEN(Множество[[#This Row],[Оценки]])&gt;0),1,-1)</f>
        <v>-1</v>
      </c>
      <c r="AN669" s="230"/>
      <c r="AO669" s="208"/>
      <c r="AP669" s="208"/>
      <c r="AQ669" s="208"/>
      <c r="AR669" s="226"/>
      <c r="AS669" s="225"/>
      <c r="AT669" s="226"/>
      <c r="AU669" s="225"/>
      <c r="AV669" s="225"/>
      <c r="AW669" s="225"/>
      <c r="AX669" s="225"/>
      <c r="AY669" s="225"/>
    </row>
    <row r="670" spans="33:51" x14ac:dyDescent="0.25">
      <c r="AG670" s="66" t="str">
        <f>IF(AND(Множество[[#This Row],[Y]]=1),ROW()-ROW(Множество[[#Headers],[№]]),"")</f>
        <v/>
      </c>
      <c r="AI670" s="66">
        <v>1</v>
      </c>
      <c r="AJ670" s="66">
        <f>IF(LEN(Множество[[#This Row],[Свёртка]])&gt;0,1,-1)</f>
        <v>1</v>
      </c>
      <c r="AK670" s="66" t="s">
        <v>1781</v>
      </c>
      <c r="AL670" s="209">
        <f>IF(LEN(Множество[[#This Row],[Критерии]])&gt;0,1,-1)</f>
        <v>1</v>
      </c>
      <c r="AM670" s="209">
        <f>IF(AND(LEN(Множество[[#This Row],[Свёртка]])&gt;0,LEN(Множество[[#This Row],[Критерии]])&gt;0,LEN(Множество[[#This Row],[Оценки]])&gt;0),1,-1)</f>
        <v>-1</v>
      </c>
      <c r="AN670" s="230"/>
      <c r="AO670" s="208"/>
      <c r="AP670" s="208"/>
      <c r="AQ670" s="208"/>
      <c r="AR670" s="226"/>
      <c r="AS670" s="225"/>
      <c r="AT670" s="226"/>
      <c r="AU670" s="225"/>
      <c r="AV670" s="225"/>
      <c r="AW670" s="225"/>
      <c r="AX670" s="225"/>
      <c r="AY670" s="225"/>
    </row>
    <row r="671" spans="33:51" x14ac:dyDescent="0.25">
      <c r="AG671" s="66" t="str">
        <f>IF(AND(Множество[[#This Row],[Y]]=1),ROW()-ROW(Множество[[#Headers],[№]]),"")</f>
        <v/>
      </c>
      <c r="AI671" s="66">
        <v>1</v>
      </c>
      <c r="AJ671" s="66">
        <f>IF(LEN(Множество[[#This Row],[Свёртка]])&gt;0,1,-1)</f>
        <v>1</v>
      </c>
      <c r="AK671" s="66" t="s">
        <v>1781</v>
      </c>
      <c r="AL671" s="209">
        <f>IF(LEN(Множество[[#This Row],[Критерии]])&gt;0,1,-1)</f>
        <v>1</v>
      </c>
      <c r="AM671" s="209">
        <f>IF(AND(LEN(Множество[[#This Row],[Свёртка]])&gt;0,LEN(Множество[[#This Row],[Критерии]])&gt;0,LEN(Множество[[#This Row],[Оценки]])&gt;0),1,-1)</f>
        <v>-1</v>
      </c>
      <c r="AN671" s="230"/>
      <c r="AO671" s="208"/>
      <c r="AP671" s="208"/>
      <c r="AQ671" s="208"/>
      <c r="AR671" s="226"/>
      <c r="AS671" s="225"/>
      <c r="AT671" s="226"/>
      <c r="AU671" s="225"/>
      <c r="AV671" s="225"/>
      <c r="AW671" s="225"/>
      <c r="AX671" s="225"/>
      <c r="AY671" s="225"/>
    </row>
    <row r="672" spans="33:51" x14ac:dyDescent="0.25">
      <c r="AG672" s="66" t="str">
        <f>IF(AND(Множество[[#This Row],[Y]]=1),ROW()-ROW(Множество[[#Headers],[№]]),"")</f>
        <v/>
      </c>
      <c r="AI672" s="66">
        <v>1</v>
      </c>
      <c r="AJ672" s="66">
        <f>IF(LEN(Множество[[#This Row],[Свёртка]])&gt;0,1,-1)</f>
        <v>1</v>
      </c>
      <c r="AK672" s="66" t="s">
        <v>1781</v>
      </c>
      <c r="AL672" s="209">
        <f>IF(LEN(Множество[[#This Row],[Критерии]])&gt;0,1,-1)</f>
        <v>1</v>
      </c>
      <c r="AM672" s="209">
        <f>IF(AND(LEN(Множество[[#This Row],[Свёртка]])&gt;0,LEN(Множество[[#This Row],[Критерии]])&gt;0,LEN(Множество[[#This Row],[Оценки]])&gt;0),1,-1)</f>
        <v>-1</v>
      </c>
      <c r="AN672" s="230"/>
      <c r="AO672" s="208"/>
      <c r="AP672" s="208"/>
      <c r="AQ672" s="208"/>
      <c r="AR672" s="226"/>
      <c r="AS672" s="225"/>
      <c r="AT672" s="226"/>
      <c r="AU672" s="225"/>
      <c r="AV672" s="225"/>
      <c r="AW672" s="225"/>
      <c r="AX672" s="225"/>
      <c r="AY672" s="225"/>
    </row>
    <row r="673" spans="33:51" x14ac:dyDescent="0.25">
      <c r="AG673" s="66" t="str">
        <f>IF(AND(Множество[[#This Row],[Y]]=1),ROW()-ROW(Множество[[#Headers],[№]]),"")</f>
        <v/>
      </c>
      <c r="AI673" s="66">
        <v>1</v>
      </c>
      <c r="AJ673" s="66">
        <f>IF(LEN(Множество[[#This Row],[Свёртка]])&gt;0,1,-1)</f>
        <v>1</v>
      </c>
      <c r="AK673" s="66" t="s">
        <v>1781</v>
      </c>
      <c r="AL673" s="209">
        <f>IF(LEN(Множество[[#This Row],[Критерии]])&gt;0,1,-1)</f>
        <v>1</v>
      </c>
      <c r="AM673" s="209">
        <f>IF(AND(LEN(Множество[[#This Row],[Свёртка]])&gt;0,LEN(Множество[[#This Row],[Критерии]])&gt;0,LEN(Множество[[#This Row],[Оценки]])&gt;0),1,-1)</f>
        <v>-1</v>
      </c>
      <c r="AN673" s="230"/>
      <c r="AO673" s="208"/>
      <c r="AP673" s="208"/>
      <c r="AQ673" s="208"/>
      <c r="AR673" s="226"/>
      <c r="AS673" s="225"/>
      <c r="AT673" s="226"/>
      <c r="AU673" s="225"/>
      <c r="AV673" s="225"/>
      <c r="AW673" s="225"/>
      <c r="AX673" s="225"/>
      <c r="AY673" s="225"/>
    </row>
    <row r="674" spans="33:51" x14ac:dyDescent="0.25">
      <c r="AG674" s="66" t="str">
        <f>IF(AND(Множество[[#This Row],[Y]]=1),ROW()-ROW(Множество[[#Headers],[№]]),"")</f>
        <v/>
      </c>
      <c r="AI674" s="66">
        <v>1</v>
      </c>
      <c r="AJ674" s="66">
        <f>IF(LEN(Множество[[#This Row],[Свёртка]])&gt;0,1,-1)</f>
        <v>1</v>
      </c>
      <c r="AK674" s="66" t="s">
        <v>1781</v>
      </c>
      <c r="AL674" s="209">
        <f>IF(LEN(Множество[[#This Row],[Критерии]])&gt;0,1,-1)</f>
        <v>1</v>
      </c>
      <c r="AM674" s="209">
        <f>IF(AND(LEN(Множество[[#This Row],[Свёртка]])&gt;0,LEN(Множество[[#This Row],[Критерии]])&gt;0,LEN(Множество[[#This Row],[Оценки]])&gt;0),1,-1)</f>
        <v>-1</v>
      </c>
      <c r="AN674" s="230"/>
      <c r="AO674" s="208"/>
      <c r="AP674" s="208"/>
      <c r="AQ674" s="208"/>
      <c r="AR674" s="226"/>
      <c r="AS674" s="225"/>
      <c r="AT674" s="226"/>
      <c r="AU674" s="225"/>
      <c r="AV674" s="225"/>
      <c r="AW674" s="225"/>
      <c r="AX674" s="225"/>
      <c r="AY674" s="225"/>
    </row>
    <row r="675" spans="33:51" x14ac:dyDescent="0.25">
      <c r="AG675" s="66" t="str">
        <f>IF(AND(Множество[[#This Row],[Y]]=1),ROW()-ROW(Множество[[#Headers],[№]]),"")</f>
        <v/>
      </c>
      <c r="AI675" s="66">
        <v>1</v>
      </c>
      <c r="AJ675" s="66">
        <f>IF(LEN(Множество[[#This Row],[Свёртка]])&gt;0,1,-1)</f>
        <v>1</v>
      </c>
      <c r="AK675" s="66" t="s">
        <v>1781</v>
      </c>
      <c r="AL675" s="209">
        <f>IF(LEN(Множество[[#This Row],[Критерии]])&gt;0,1,-1)</f>
        <v>1</v>
      </c>
      <c r="AM675" s="209">
        <f>IF(AND(LEN(Множество[[#This Row],[Свёртка]])&gt;0,LEN(Множество[[#This Row],[Критерии]])&gt;0,LEN(Множество[[#This Row],[Оценки]])&gt;0),1,-1)</f>
        <v>-1</v>
      </c>
      <c r="AN675" s="230"/>
      <c r="AO675" s="208"/>
      <c r="AP675" s="208"/>
      <c r="AQ675" s="208"/>
      <c r="AR675" s="226"/>
      <c r="AS675" s="225"/>
      <c r="AT675" s="226"/>
      <c r="AU675" s="225"/>
      <c r="AV675" s="225"/>
      <c r="AW675" s="225"/>
      <c r="AX675" s="225"/>
      <c r="AY675" s="225"/>
    </row>
    <row r="676" spans="33:51" x14ac:dyDescent="0.25">
      <c r="AG676" s="66" t="str">
        <f>IF(AND(Множество[[#This Row],[Y]]=1),ROW()-ROW(Множество[[#Headers],[№]]),"")</f>
        <v/>
      </c>
      <c r="AI676" s="66">
        <v>1</v>
      </c>
      <c r="AJ676" s="66">
        <f>IF(LEN(Множество[[#This Row],[Свёртка]])&gt;0,1,-1)</f>
        <v>1</v>
      </c>
      <c r="AK676" s="66" t="s">
        <v>1781</v>
      </c>
      <c r="AL676" s="209">
        <f>IF(LEN(Множество[[#This Row],[Критерии]])&gt;0,1,-1)</f>
        <v>1</v>
      </c>
      <c r="AM676" s="209">
        <f>IF(AND(LEN(Множество[[#This Row],[Свёртка]])&gt;0,LEN(Множество[[#This Row],[Критерии]])&gt;0,LEN(Множество[[#This Row],[Оценки]])&gt;0),1,-1)</f>
        <v>-1</v>
      </c>
      <c r="AN676" s="230"/>
      <c r="AO676" s="208"/>
      <c r="AP676" s="208"/>
      <c r="AQ676" s="208"/>
      <c r="AR676" s="226"/>
      <c r="AS676" s="225"/>
      <c r="AT676" s="226"/>
      <c r="AU676" s="225"/>
      <c r="AV676" s="225"/>
      <c r="AW676" s="225"/>
      <c r="AX676" s="225"/>
      <c r="AY676" s="225"/>
    </row>
    <row r="677" spans="33:51" x14ac:dyDescent="0.25">
      <c r="AG677" s="66" t="str">
        <f>IF(AND(Множество[[#This Row],[Y]]=1),ROW()-ROW(Множество[[#Headers],[№]]),"")</f>
        <v/>
      </c>
      <c r="AI677" s="66">
        <v>1</v>
      </c>
      <c r="AJ677" s="66">
        <f>IF(LEN(Множество[[#This Row],[Свёртка]])&gt;0,1,-1)</f>
        <v>1</v>
      </c>
      <c r="AK677" s="66" t="s">
        <v>1781</v>
      </c>
      <c r="AL677" s="209">
        <f>IF(LEN(Множество[[#This Row],[Критерии]])&gt;0,1,-1)</f>
        <v>1</v>
      </c>
      <c r="AM677" s="209">
        <f>IF(AND(LEN(Множество[[#This Row],[Свёртка]])&gt;0,LEN(Множество[[#This Row],[Критерии]])&gt;0,LEN(Множество[[#This Row],[Оценки]])&gt;0),1,-1)</f>
        <v>-1</v>
      </c>
      <c r="AN677" s="230"/>
      <c r="AO677" s="208"/>
      <c r="AP677" s="208"/>
      <c r="AQ677" s="208"/>
      <c r="AR677" s="226"/>
      <c r="AS677" s="225"/>
      <c r="AT677" s="226"/>
      <c r="AU677" s="225"/>
      <c r="AV677" s="225"/>
      <c r="AW677" s="225"/>
      <c r="AX677" s="225"/>
      <c r="AY677" s="225"/>
    </row>
    <row r="678" spans="33:51" x14ac:dyDescent="0.25">
      <c r="AG678" s="66" t="str">
        <f>IF(AND(Множество[[#This Row],[Y]]=1),ROW()-ROW(Множество[[#Headers],[№]]),"")</f>
        <v/>
      </c>
      <c r="AI678" s="66">
        <v>1</v>
      </c>
      <c r="AJ678" s="66">
        <f>IF(LEN(Множество[[#This Row],[Свёртка]])&gt;0,1,-1)</f>
        <v>1</v>
      </c>
      <c r="AK678" s="66" t="s">
        <v>1781</v>
      </c>
      <c r="AL678" s="209">
        <f>IF(LEN(Множество[[#This Row],[Критерии]])&gt;0,1,-1)</f>
        <v>1</v>
      </c>
      <c r="AM678" s="209">
        <f>IF(AND(LEN(Множество[[#This Row],[Свёртка]])&gt;0,LEN(Множество[[#This Row],[Критерии]])&gt;0,LEN(Множество[[#This Row],[Оценки]])&gt;0),1,-1)</f>
        <v>-1</v>
      </c>
      <c r="AN678" s="230"/>
      <c r="AO678" s="208"/>
      <c r="AP678" s="208"/>
      <c r="AQ678" s="208"/>
      <c r="AR678" s="226"/>
      <c r="AS678" s="225"/>
      <c r="AT678" s="226"/>
      <c r="AU678" s="225"/>
      <c r="AV678" s="225"/>
      <c r="AW678" s="225"/>
      <c r="AX678" s="225"/>
      <c r="AY678" s="225"/>
    </row>
    <row r="679" spans="33:51" x14ac:dyDescent="0.25">
      <c r="AG679" s="66" t="str">
        <f>IF(AND(Множество[[#This Row],[Y]]=1),ROW()-ROW(Множество[[#Headers],[№]]),"")</f>
        <v/>
      </c>
      <c r="AI679" s="66">
        <v>1</v>
      </c>
      <c r="AJ679" s="66">
        <f>IF(LEN(Множество[[#This Row],[Свёртка]])&gt;0,1,-1)</f>
        <v>1</v>
      </c>
      <c r="AK679" s="66" t="s">
        <v>1781</v>
      </c>
      <c r="AL679" s="209">
        <f>IF(LEN(Множество[[#This Row],[Критерии]])&gt;0,1,-1)</f>
        <v>1</v>
      </c>
      <c r="AM679" s="209">
        <f>IF(AND(LEN(Множество[[#This Row],[Свёртка]])&gt;0,LEN(Множество[[#This Row],[Критерии]])&gt;0,LEN(Множество[[#This Row],[Оценки]])&gt;0),1,-1)</f>
        <v>-1</v>
      </c>
      <c r="AN679" s="230"/>
      <c r="AO679" s="208"/>
      <c r="AP679" s="208"/>
      <c r="AQ679" s="208"/>
      <c r="AR679" s="226"/>
      <c r="AS679" s="225"/>
      <c r="AT679" s="226"/>
      <c r="AU679" s="225"/>
      <c r="AV679" s="225"/>
      <c r="AW679" s="225"/>
      <c r="AX679" s="225"/>
      <c r="AY679" s="225"/>
    </row>
    <row r="680" spans="33:51" x14ac:dyDescent="0.25">
      <c r="AG680" s="66" t="str">
        <f>IF(AND(Множество[[#This Row],[Y]]=1),ROW()-ROW(Множество[[#Headers],[№]]),"")</f>
        <v/>
      </c>
      <c r="AI680" s="66">
        <v>1</v>
      </c>
      <c r="AJ680" s="66">
        <f>IF(LEN(Множество[[#This Row],[Свёртка]])&gt;0,1,-1)</f>
        <v>1</v>
      </c>
      <c r="AK680" s="66" t="s">
        <v>1781</v>
      </c>
      <c r="AL680" s="209">
        <f>IF(LEN(Множество[[#This Row],[Критерии]])&gt;0,1,-1)</f>
        <v>1</v>
      </c>
      <c r="AM680" s="209">
        <f>IF(AND(LEN(Множество[[#This Row],[Свёртка]])&gt;0,LEN(Множество[[#This Row],[Критерии]])&gt;0,LEN(Множество[[#This Row],[Оценки]])&gt;0),1,-1)</f>
        <v>-1</v>
      </c>
      <c r="AN680" s="230"/>
      <c r="AO680" s="208"/>
      <c r="AP680" s="208"/>
      <c r="AQ680" s="208"/>
      <c r="AR680" s="226"/>
      <c r="AS680" s="225"/>
      <c r="AT680" s="226"/>
      <c r="AU680" s="225"/>
      <c r="AV680" s="225"/>
      <c r="AW680" s="225"/>
      <c r="AX680" s="225"/>
      <c r="AY680" s="225"/>
    </row>
    <row r="681" spans="33:51" x14ac:dyDescent="0.25">
      <c r="AG681" s="66" t="str">
        <f>IF(AND(Множество[[#This Row],[Y]]=1),ROW()-ROW(Множество[[#Headers],[№]]),"")</f>
        <v/>
      </c>
      <c r="AI681" s="66">
        <v>1</v>
      </c>
      <c r="AJ681" s="66">
        <f>IF(LEN(Множество[[#This Row],[Свёртка]])&gt;0,1,-1)</f>
        <v>1</v>
      </c>
      <c r="AK681" s="66" t="s">
        <v>1781</v>
      </c>
      <c r="AL681" s="209">
        <f>IF(LEN(Множество[[#This Row],[Критерии]])&gt;0,1,-1)</f>
        <v>1</v>
      </c>
      <c r="AM681" s="209">
        <f>IF(AND(LEN(Множество[[#This Row],[Свёртка]])&gt;0,LEN(Множество[[#This Row],[Критерии]])&gt;0,LEN(Множество[[#This Row],[Оценки]])&gt;0),1,-1)</f>
        <v>-1</v>
      </c>
      <c r="AN681" s="230"/>
      <c r="AO681" s="208"/>
      <c r="AP681" s="208"/>
      <c r="AQ681" s="208"/>
      <c r="AR681" s="226"/>
      <c r="AS681" s="225"/>
      <c r="AT681" s="226"/>
      <c r="AU681" s="225"/>
      <c r="AV681" s="225"/>
      <c r="AW681" s="225"/>
      <c r="AX681" s="225"/>
      <c r="AY681" s="225"/>
    </row>
    <row r="682" spans="33:51" x14ac:dyDescent="0.25">
      <c r="AG682" s="66" t="str">
        <f>IF(AND(Множество[[#This Row],[Y]]=1),ROW()-ROW(Множество[[#Headers],[№]]),"")</f>
        <v/>
      </c>
      <c r="AI682" s="66">
        <v>1</v>
      </c>
      <c r="AJ682" s="66">
        <f>IF(LEN(Множество[[#This Row],[Свёртка]])&gt;0,1,-1)</f>
        <v>1</v>
      </c>
      <c r="AK682" s="66" t="s">
        <v>1781</v>
      </c>
      <c r="AL682" s="209">
        <f>IF(LEN(Множество[[#This Row],[Критерии]])&gt;0,1,-1)</f>
        <v>1</v>
      </c>
      <c r="AM682" s="209">
        <f>IF(AND(LEN(Множество[[#This Row],[Свёртка]])&gt;0,LEN(Множество[[#This Row],[Критерии]])&gt;0,LEN(Множество[[#This Row],[Оценки]])&gt;0),1,-1)</f>
        <v>-1</v>
      </c>
      <c r="AN682" s="230"/>
      <c r="AO682" s="208"/>
      <c r="AP682" s="208"/>
      <c r="AQ682" s="208"/>
      <c r="AR682" s="226"/>
      <c r="AS682" s="225"/>
      <c r="AT682" s="226"/>
      <c r="AU682" s="225"/>
      <c r="AV682" s="225"/>
      <c r="AW682" s="225"/>
      <c r="AX682" s="225"/>
      <c r="AY682" s="225"/>
    </row>
    <row r="683" spans="33:51" x14ac:dyDescent="0.25">
      <c r="AG683" s="66" t="str">
        <f>IF(AND(Множество[[#This Row],[Y]]=1),ROW()-ROW(Множество[[#Headers],[№]]),"")</f>
        <v/>
      </c>
      <c r="AI683" s="66">
        <v>1</v>
      </c>
      <c r="AJ683" s="66">
        <f>IF(LEN(Множество[[#This Row],[Свёртка]])&gt;0,1,-1)</f>
        <v>1</v>
      </c>
      <c r="AK683" s="66" t="s">
        <v>1781</v>
      </c>
      <c r="AL683" s="209">
        <f>IF(LEN(Множество[[#This Row],[Критерии]])&gt;0,1,-1)</f>
        <v>1</v>
      </c>
      <c r="AM683" s="209">
        <f>IF(AND(LEN(Множество[[#This Row],[Свёртка]])&gt;0,LEN(Множество[[#This Row],[Критерии]])&gt;0,LEN(Множество[[#This Row],[Оценки]])&gt;0),1,-1)</f>
        <v>-1</v>
      </c>
      <c r="AN683" s="230"/>
      <c r="AO683" s="208"/>
      <c r="AP683" s="208"/>
      <c r="AQ683" s="208"/>
      <c r="AR683" s="226"/>
      <c r="AS683" s="225"/>
      <c r="AT683" s="226"/>
      <c r="AU683" s="225"/>
      <c r="AV683" s="225"/>
      <c r="AW683" s="225"/>
      <c r="AX683" s="225"/>
      <c r="AY683" s="225"/>
    </row>
    <row r="684" spans="33:51" x14ac:dyDescent="0.25">
      <c r="AG684" s="66" t="str">
        <f>IF(AND(Множество[[#This Row],[Y]]=1),ROW()-ROW(Множество[[#Headers],[№]]),"")</f>
        <v/>
      </c>
      <c r="AI684" s="66">
        <v>1</v>
      </c>
      <c r="AJ684" s="66">
        <f>IF(LEN(Множество[[#This Row],[Свёртка]])&gt;0,1,-1)</f>
        <v>1</v>
      </c>
      <c r="AK684" s="66" t="s">
        <v>1781</v>
      </c>
      <c r="AL684" s="209">
        <f>IF(LEN(Множество[[#This Row],[Критерии]])&gt;0,1,-1)</f>
        <v>1</v>
      </c>
      <c r="AM684" s="209">
        <f>IF(AND(LEN(Множество[[#This Row],[Свёртка]])&gt;0,LEN(Множество[[#This Row],[Критерии]])&gt;0,LEN(Множество[[#This Row],[Оценки]])&gt;0),1,-1)</f>
        <v>-1</v>
      </c>
      <c r="AN684" s="230"/>
      <c r="AO684" s="208"/>
      <c r="AP684" s="208"/>
      <c r="AQ684" s="208"/>
      <c r="AR684" s="226"/>
      <c r="AS684" s="225"/>
      <c r="AT684" s="226"/>
      <c r="AU684" s="225"/>
      <c r="AV684" s="225"/>
      <c r="AW684" s="225"/>
      <c r="AX684" s="225"/>
      <c r="AY684" s="225"/>
    </row>
    <row r="685" spans="33:51" x14ac:dyDescent="0.25">
      <c r="AG685" s="66" t="str">
        <f>IF(AND(Множество[[#This Row],[Y]]=1),ROW()-ROW(Множество[[#Headers],[№]]),"")</f>
        <v/>
      </c>
      <c r="AI685" s="66">
        <v>1</v>
      </c>
      <c r="AJ685" s="66">
        <f>IF(LEN(Множество[[#This Row],[Свёртка]])&gt;0,1,-1)</f>
        <v>1</v>
      </c>
      <c r="AK685" s="66" t="s">
        <v>1781</v>
      </c>
      <c r="AL685" s="209">
        <f>IF(LEN(Множество[[#This Row],[Критерии]])&gt;0,1,-1)</f>
        <v>1</v>
      </c>
      <c r="AM685" s="209">
        <f>IF(AND(LEN(Множество[[#This Row],[Свёртка]])&gt;0,LEN(Множество[[#This Row],[Критерии]])&gt;0,LEN(Множество[[#This Row],[Оценки]])&gt;0),1,-1)</f>
        <v>-1</v>
      </c>
      <c r="AN685" s="230"/>
      <c r="AO685" s="208"/>
      <c r="AP685" s="208"/>
      <c r="AQ685" s="208"/>
      <c r="AR685" s="226"/>
      <c r="AS685" s="225"/>
      <c r="AT685" s="226"/>
      <c r="AU685" s="225"/>
      <c r="AV685" s="225"/>
      <c r="AW685" s="225"/>
      <c r="AX685" s="225"/>
      <c r="AY685" s="225"/>
    </row>
    <row r="686" spans="33:51" x14ac:dyDescent="0.25">
      <c r="AG686" s="66" t="str">
        <f>IF(AND(Множество[[#This Row],[Y]]=1),ROW()-ROW(Множество[[#Headers],[№]]),"")</f>
        <v/>
      </c>
      <c r="AI686" s="66">
        <v>1</v>
      </c>
      <c r="AJ686" s="66">
        <f>IF(LEN(Множество[[#This Row],[Свёртка]])&gt;0,1,-1)</f>
        <v>1</v>
      </c>
      <c r="AK686" s="66" t="s">
        <v>1781</v>
      </c>
      <c r="AL686" s="209">
        <f>IF(LEN(Множество[[#This Row],[Критерии]])&gt;0,1,-1)</f>
        <v>1</v>
      </c>
      <c r="AM686" s="209">
        <f>IF(AND(LEN(Множество[[#This Row],[Свёртка]])&gt;0,LEN(Множество[[#This Row],[Критерии]])&gt;0,LEN(Множество[[#This Row],[Оценки]])&gt;0),1,-1)</f>
        <v>-1</v>
      </c>
      <c r="AN686" s="230"/>
      <c r="AO686" s="208"/>
      <c r="AP686" s="208"/>
      <c r="AQ686" s="208"/>
      <c r="AR686" s="226"/>
      <c r="AS686" s="225"/>
      <c r="AT686" s="226"/>
      <c r="AU686" s="225"/>
      <c r="AV686" s="225"/>
      <c r="AW686" s="225"/>
      <c r="AX686" s="225"/>
      <c r="AY686" s="225"/>
    </row>
    <row r="687" spans="33:51" x14ac:dyDescent="0.25">
      <c r="AG687" s="66" t="str">
        <f>IF(AND(Множество[[#This Row],[Y]]=1),ROW()-ROW(Множество[[#Headers],[№]]),"")</f>
        <v/>
      </c>
      <c r="AI687" s="66">
        <v>1</v>
      </c>
      <c r="AJ687" s="66">
        <f>IF(LEN(Множество[[#This Row],[Свёртка]])&gt;0,1,-1)</f>
        <v>1</v>
      </c>
      <c r="AK687" s="66" t="s">
        <v>1781</v>
      </c>
      <c r="AL687" s="209">
        <f>IF(LEN(Множество[[#This Row],[Критерии]])&gt;0,1,-1)</f>
        <v>1</v>
      </c>
      <c r="AM687" s="209">
        <f>IF(AND(LEN(Множество[[#This Row],[Свёртка]])&gt;0,LEN(Множество[[#This Row],[Критерии]])&gt;0,LEN(Множество[[#This Row],[Оценки]])&gt;0),1,-1)</f>
        <v>-1</v>
      </c>
      <c r="AN687" s="230"/>
      <c r="AO687" s="208"/>
      <c r="AP687" s="208"/>
      <c r="AQ687" s="208"/>
      <c r="AR687" s="226"/>
      <c r="AS687" s="225"/>
      <c r="AT687" s="226"/>
      <c r="AU687" s="225"/>
      <c r="AV687" s="225"/>
      <c r="AW687" s="225"/>
      <c r="AX687" s="225"/>
      <c r="AY687" s="225"/>
    </row>
    <row r="688" spans="33:51" x14ac:dyDescent="0.25">
      <c r="AG688" s="66" t="str">
        <f>IF(AND(Множество[[#This Row],[Y]]=1),ROW()-ROW(Множество[[#Headers],[№]]),"")</f>
        <v/>
      </c>
      <c r="AI688" s="66">
        <v>1</v>
      </c>
      <c r="AJ688" s="66">
        <f>IF(LEN(Множество[[#This Row],[Свёртка]])&gt;0,1,-1)</f>
        <v>1</v>
      </c>
      <c r="AK688" s="66" t="s">
        <v>1781</v>
      </c>
      <c r="AL688" s="209">
        <f>IF(LEN(Множество[[#This Row],[Критерии]])&gt;0,1,-1)</f>
        <v>1</v>
      </c>
      <c r="AM688" s="209">
        <f>IF(AND(LEN(Множество[[#This Row],[Свёртка]])&gt;0,LEN(Множество[[#This Row],[Критерии]])&gt;0,LEN(Множество[[#This Row],[Оценки]])&gt;0),1,-1)</f>
        <v>-1</v>
      </c>
      <c r="AN688" s="230"/>
      <c r="AO688" s="208"/>
      <c r="AP688" s="208"/>
      <c r="AQ688" s="208"/>
      <c r="AR688" s="226"/>
      <c r="AS688" s="225"/>
      <c r="AT688" s="226"/>
      <c r="AU688" s="225"/>
      <c r="AV688" s="225"/>
      <c r="AW688" s="225"/>
      <c r="AX688" s="225"/>
      <c r="AY688" s="225"/>
    </row>
    <row r="689" spans="33:51" x14ac:dyDescent="0.25">
      <c r="AG689" s="66" t="str">
        <f>IF(AND(Множество[[#This Row],[Y]]=1),ROW()-ROW(Множество[[#Headers],[№]]),"")</f>
        <v/>
      </c>
      <c r="AI689" s="66">
        <v>1</v>
      </c>
      <c r="AJ689" s="66">
        <f>IF(LEN(Множество[[#This Row],[Свёртка]])&gt;0,1,-1)</f>
        <v>1</v>
      </c>
      <c r="AK689" s="66" t="s">
        <v>1781</v>
      </c>
      <c r="AL689" s="209">
        <f>IF(LEN(Множество[[#This Row],[Критерии]])&gt;0,1,-1)</f>
        <v>1</v>
      </c>
      <c r="AM689" s="209">
        <f>IF(AND(LEN(Множество[[#This Row],[Свёртка]])&gt;0,LEN(Множество[[#This Row],[Критерии]])&gt;0,LEN(Множество[[#This Row],[Оценки]])&gt;0),1,-1)</f>
        <v>-1</v>
      </c>
      <c r="AN689" s="230"/>
      <c r="AO689" s="208"/>
      <c r="AP689" s="208"/>
      <c r="AQ689" s="208"/>
      <c r="AR689" s="226"/>
      <c r="AS689" s="225"/>
      <c r="AT689" s="226"/>
      <c r="AU689" s="225"/>
      <c r="AV689" s="225"/>
      <c r="AW689" s="225"/>
      <c r="AX689" s="225"/>
      <c r="AY689" s="225"/>
    </row>
    <row r="690" spans="33:51" x14ac:dyDescent="0.25">
      <c r="AG690" s="66" t="str">
        <f>IF(AND(Множество[[#This Row],[Y]]=1),ROW()-ROW(Множество[[#Headers],[№]]),"")</f>
        <v/>
      </c>
      <c r="AI690" s="66">
        <v>1</v>
      </c>
      <c r="AJ690" s="66">
        <f>IF(LEN(Множество[[#This Row],[Свёртка]])&gt;0,1,-1)</f>
        <v>1</v>
      </c>
      <c r="AK690" s="66" t="s">
        <v>1781</v>
      </c>
      <c r="AL690" s="209">
        <f>IF(LEN(Множество[[#This Row],[Критерии]])&gt;0,1,-1)</f>
        <v>1</v>
      </c>
      <c r="AM690" s="209">
        <f>IF(AND(LEN(Множество[[#This Row],[Свёртка]])&gt;0,LEN(Множество[[#This Row],[Критерии]])&gt;0,LEN(Множество[[#This Row],[Оценки]])&gt;0),1,-1)</f>
        <v>-1</v>
      </c>
      <c r="AN690" s="230"/>
      <c r="AO690" s="208"/>
      <c r="AP690" s="208"/>
      <c r="AQ690" s="208"/>
      <c r="AR690" s="226"/>
      <c r="AS690" s="225"/>
      <c r="AT690" s="226"/>
      <c r="AU690" s="225"/>
      <c r="AV690" s="225"/>
      <c r="AW690" s="225"/>
      <c r="AX690" s="225"/>
      <c r="AY690" s="225"/>
    </row>
    <row r="691" spans="33:51" x14ac:dyDescent="0.25">
      <c r="AG691" s="66" t="str">
        <f>IF(AND(Множество[[#This Row],[Y]]=1),ROW()-ROW(Множество[[#Headers],[№]]),"")</f>
        <v/>
      </c>
      <c r="AI691" s="66">
        <v>1</v>
      </c>
      <c r="AJ691" s="66">
        <f>IF(LEN(Множество[[#This Row],[Свёртка]])&gt;0,1,-1)</f>
        <v>1</v>
      </c>
      <c r="AK691" s="66" t="s">
        <v>1781</v>
      </c>
      <c r="AL691" s="209">
        <f>IF(LEN(Множество[[#This Row],[Критерии]])&gt;0,1,-1)</f>
        <v>1</v>
      </c>
      <c r="AM691" s="209">
        <f>IF(AND(LEN(Множество[[#This Row],[Свёртка]])&gt;0,LEN(Множество[[#This Row],[Критерии]])&gt;0,LEN(Множество[[#This Row],[Оценки]])&gt;0),1,-1)</f>
        <v>-1</v>
      </c>
      <c r="AN691" s="230"/>
      <c r="AO691" s="208"/>
      <c r="AP691" s="208"/>
      <c r="AQ691" s="208"/>
      <c r="AR691" s="226"/>
      <c r="AS691" s="225"/>
      <c r="AT691" s="226"/>
      <c r="AU691" s="225"/>
      <c r="AV691" s="225"/>
      <c r="AW691" s="225"/>
      <c r="AX691" s="225"/>
      <c r="AY691" s="225"/>
    </row>
    <row r="692" spans="33:51" x14ac:dyDescent="0.25">
      <c r="AG692" s="66" t="str">
        <f>IF(AND(Множество[[#This Row],[Y]]=1),ROW()-ROW(Множество[[#Headers],[№]]),"")</f>
        <v/>
      </c>
      <c r="AI692" s="66">
        <v>1</v>
      </c>
      <c r="AJ692" s="66">
        <f>IF(LEN(Множество[[#This Row],[Свёртка]])&gt;0,1,-1)</f>
        <v>1</v>
      </c>
      <c r="AK692" s="66" t="s">
        <v>1781</v>
      </c>
      <c r="AL692" s="209">
        <f>IF(LEN(Множество[[#This Row],[Критерии]])&gt;0,1,-1)</f>
        <v>1</v>
      </c>
      <c r="AM692" s="209">
        <f>IF(AND(LEN(Множество[[#This Row],[Свёртка]])&gt;0,LEN(Множество[[#This Row],[Критерии]])&gt;0,LEN(Множество[[#This Row],[Оценки]])&gt;0),1,-1)</f>
        <v>-1</v>
      </c>
      <c r="AN692" s="230"/>
      <c r="AO692" s="208"/>
      <c r="AP692" s="208"/>
      <c r="AQ692" s="208"/>
      <c r="AR692" s="226"/>
      <c r="AS692" s="225"/>
      <c r="AT692" s="226"/>
      <c r="AU692" s="225"/>
      <c r="AV692" s="225"/>
      <c r="AW692" s="225"/>
      <c r="AX692" s="225"/>
      <c r="AY692" s="225"/>
    </row>
    <row r="693" spans="33:51" x14ac:dyDescent="0.25">
      <c r="AG693" s="66" t="str">
        <f>IF(AND(Множество[[#This Row],[Y]]=1),ROW()-ROW(Множество[[#Headers],[№]]),"")</f>
        <v/>
      </c>
      <c r="AI693" s="66">
        <v>1</v>
      </c>
      <c r="AJ693" s="66">
        <f>IF(LEN(Множество[[#This Row],[Свёртка]])&gt;0,1,-1)</f>
        <v>1</v>
      </c>
      <c r="AK693" s="66" t="s">
        <v>1781</v>
      </c>
      <c r="AL693" s="209">
        <f>IF(LEN(Множество[[#This Row],[Критерии]])&gt;0,1,-1)</f>
        <v>1</v>
      </c>
      <c r="AM693" s="209">
        <f>IF(AND(LEN(Множество[[#This Row],[Свёртка]])&gt;0,LEN(Множество[[#This Row],[Критерии]])&gt;0,LEN(Множество[[#This Row],[Оценки]])&gt;0),1,-1)</f>
        <v>-1</v>
      </c>
      <c r="AN693" s="230"/>
      <c r="AO693" s="208"/>
      <c r="AP693" s="208"/>
      <c r="AQ693" s="208"/>
      <c r="AR693" s="226"/>
      <c r="AS693" s="225"/>
      <c r="AT693" s="226"/>
      <c r="AU693" s="225"/>
      <c r="AV693" s="225"/>
      <c r="AW693" s="225"/>
      <c r="AX693" s="225"/>
      <c r="AY693" s="225"/>
    </row>
    <row r="694" spans="33:51" x14ac:dyDescent="0.25">
      <c r="AG694" s="66" t="str">
        <f>IF(AND(Множество[[#This Row],[Y]]=1),ROW()-ROW(Множество[[#Headers],[№]]),"")</f>
        <v/>
      </c>
      <c r="AI694" s="66">
        <v>1</v>
      </c>
      <c r="AJ694" s="66">
        <f>IF(LEN(Множество[[#This Row],[Свёртка]])&gt;0,1,-1)</f>
        <v>1</v>
      </c>
      <c r="AK694" s="66" t="s">
        <v>1781</v>
      </c>
      <c r="AL694" s="209">
        <f>IF(LEN(Множество[[#This Row],[Критерии]])&gt;0,1,-1)</f>
        <v>1</v>
      </c>
      <c r="AM694" s="209">
        <f>IF(AND(LEN(Множество[[#This Row],[Свёртка]])&gt;0,LEN(Множество[[#This Row],[Критерии]])&gt;0,LEN(Множество[[#This Row],[Оценки]])&gt;0),1,-1)</f>
        <v>-1</v>
      </c>
      <c r="AN694" s="230"/>
      <c r="AO694" s="208"/>
      <c r="AP694" s="208"/>
      <c r="AQ694" s="208"/>
      <c r="AR694" s="226"/>
      <c r="AS694" s="225"/>
      <c r="AT694" s="226"/>
      <c r="AU694" s="225"/>
      <c r="AV694" s="225"/>
      <c r="AW694" s="225"/>
      <c r="AX694" s="225"/>
      <c r="AY694" s="225"/>
    </row>
    <row r="695" spans="33:51" x14ac:dyDescent="0.25">
      <c r="AG695" s="66" t="str">
        <f>IF(AND(Множество[[#This Row],[Y]]=1),ROW()-ROW(Множество[[#Headers],[№]]),"")</f>
        <v/>
      </c>
      <c r="AI695" s="66">
        <v>1</v>
      </c>
      <c r="AJ695" s="66">
        <f>IF(LEN(Множество[[#This Row],[Свёртка]])&gt;0,1,-1)</f>
        <v>1</v>
      </c>
      <c r="AK695" s="66" t="s">
        <v>1781</v>
      </c>
      <c r="AL695" s="209">
        <f>IF(LEN(Множество[[#This Row],[Критерии]])&gt;0,1,-1)</f>
        <v>1</v>
      </c>
      <c r="AM695" s="209">
        <f>IF(AND(LEN(Множество[[#This Row],[Свёртка]])&gt;0,LEN(Множество[[#This Row],[Критерии]])&gt;0,LEN(Множество[[#This Row],[Оценки]])&gt;0),1,-1)</f>
        <v>-1</v>
      </c>
      <c r="AN695" s="230"/>
      <c r="AO695" s="208"/>
      <c r="AP695" s="208"/>
      <c r="AQ695" s="208"/>
      <c r="AR695" s="226"/>
      <c r="AS695" s="225"/>
      <c r="AT695" s="226"/>
      <c r="AU695" s="225"/>
      <c r="AV695" s="225"/>
      <c r="AW695" s="225"/>
      <c r="AX695" s="225"/>
      <c r="AY695" s="225"/>
    </row>
    <row r="696" spans="33:51" x14ac:dyDescent="0.25">
      <c r="AG696" s="66" t="str">
        <f>IF(AND(Множество[[#This Row],[Y]]=1),ROW()-ROW(Множество[[#Headers],[№]]),"")</f>
        <v/>
      </c>
      <c r="AI696" s="66">
        <v>1</v>
      </c>
      <c r="AJ696" s="66">
        <f>IF(LEN(Множество[[#This Row],[Свёртка]])&gt;0,1,-1)</f>
        <v>1</v>
      </c>
      <c r="AK696" s="66" t="s">
        <v>1781</v>
      </c>
      <c r="AL696" s="209">
        <f>IF(LEN(Множество[[#This Row],[Критерии]])&gt;0,1,-1)</f>
        <v>1</v>
      </c>
      <c r="AM696" s="209">
        <f>IF(AND(LEN(Множество[[#This Row],[Свёртка]])&gt;0,LEN(Множество[[#This Row],[Критерии]])&gt;0,LEN(Множество[[#This Row],[Оценки]])&gt;0),1,-1)</f>
        <v>-1</v>
      </c>
      <c r="AN696" s="230"/>
      <c r="AO696" s="208"/>
      <c r="AP696" s="208"/>
      <c r="AQ696" s="208"/>
      <c r="AR696" s="226"/>
      <c r="AS696" s="225"/>
      <c r="AT696" s="226"/>
      <c r="AU696" s="225"/>
      <c r="AV696" s="225"/>
      <c r="AW696" s="225"/>
      <c r="AX696" s="225"/>
      <c r="AY696" s="225"/>
    </row>
    <row r="697" spans="33:51" x14ac:dyDescent="0.25">
      <c r="AG697" s="66" t="str">
        <f>IF(AND(Множество[[#This Row],[Y]]=1),ROW()-ROW(Множество[[#Headers],[№]]),"")</f>
        <v/>
      </c>
      <c r="AI697" s="66">
        <v>1</v>
      </c>
      <c r="AJ697" s="66">
        <f>IF(LEN(Множество[[#This Row],[Свёртка]])&gt;0,1,-1)</f>
        <v>1</v>
      </c>
      <c r="AK697" s="66" t="s">
        <v>1781</v>
      </c>
      <c r="AL697" s="209">
        <f>IF(LEN(Множество[[#This Row],[Критерии]])&gt;0,1,-1)</f>
        <v>1</v>
      </c>
      <c r="AM697" s="209">
        <f>IF(AND(LEN(Множество[[#This Row],[Свёртка]])&gt;0,LEN(Множество[[#This Row],[Критерии]])&gt;0,LEN(Множество[[#This Row],[Оценки]])&gt;0),1,-1)</f>
        <v>-1</v>
      </c>
      <c r="AN697" s="230"/>
      <c r="AO697" s="208"/>
      <c r="AP697" s="208"/>
      <c r="AQ697" s="208"/>
      <c r="AR697" s="226"/>
      <c r="AS697" s="225"/>
      <c r="AT697" s="226"/>
      <c r="AU697" s="225"/>
      <c r="AV697" s="225"/>
      <c r="AW697" s="225"/>
      <c r="AX697" s="225"/>
      <c r="AY697" s="225"/>
    </row>
    <row r="698" spans="33:51" x14ac:dyDescent="0.25">
      <c r="AG698" s="66" t="str">
        <f>IF(AND(Множество[[#This Row],[Y]]=1),ROW()-ROW(Множество[[#Headers],[№]]),"")</f>
        <v/>
      </c>
      <c r="AI698" s="66">
        <v>1</v>
      </c>
      <c r="AJ698" s="66">
        <f>IF(LEN(Множество[[#This Row],[Свёртка]])&gt;0,1,-1)</f>
        <v>1</v>
      </c>
      <c r="AK698" s="66" t="s">
        <v>1781</v>
      </c>
      <c r="AL698" s="209">
        <f>IF(LEN(Множество[[#This Row],[Критерии]])&gt;0,1,-1)</f>
        <v>1</v>
      </c>
      <c r="AM698" s="209">
        <f>IF(AND(LEN(Множество[[#This Row],[Свёртка]])&gt;0,LEN(Множество[[#This Row],[Критерии]])&gt;0,LEN(Множество[[#This Row],[Оценки]])&gt;0),1,-1)</f>
        <v>-1</v>
      </c>
      <c r="AN698" s="230"/>
      <c r="AO698" s="208"/>
      <c r="AP698" s="208"/>
      <c r="AQ698" s="208"/>
      <c r="AR698" s="226"/>
      <c r="AS698" s="225"/>
      <c r="AT698" s="226"/>
      <c r="AU698" s="225"/>
      <c r="AV698" s="225"/>
      <c r="AW698" s="225"/>
      <c r="AX698" s="225"/>
      <c r="AY698" s="225"/>
    </row>
    <row r="699" spans="33:51" x14ac:dyDescent="0.25">
      <c r="AG699" s="66" t="str">
        <f>IF(AND(Множество[[#This Row],[Y]]=1),ROW()-ROW(Множество[[#Headers],[№]]),"")</f>
        <v/>
      </c>
      <c r="AI699" s="66">
        <v>1</v>
      </c>
      <c r="AJ699" s="66">
        <f>IF(LEN(Множество[[#This Row],[Свёртка]])&gt;0,1,-1)</f>
        <v>1</v>
      </c>
      <c r="AK699" s="66" t="s">
        <v>1781</v>
      </c>
      <c r="AL699" s="209">
        <f>IF(LEN(Множество[[#This Row],[Критерии]])&gt;0,1,-1)</f>
        <v>1</v>
      </c>
      <c r="AM699" s="209">
        <f>IF(AND(LEN(Множество[[#This Row],[Свёртка]])&gt;0,LEN(Множество[[#This Row],[Критерии]])&gt;0,LEN(Множество[[#This Row],[Оценки]])&gt;0),1,-1)</f>
        <v>-1</v>
      </c>
      <c r="AN699" s="230"/>
      <c r="AO699" s="208"/>
      <c r="AP699" s="208"/>
      <c r="AQ699" s="208"/>
      <c r="AR699" s="226"/>
      <c r="AS699" s="225"/>
      <c r="AT699" s="226"/>
      <c r="AU699" s="225"/>
      <c r="AV699" s="225"/>
      <c r="AW699" s="225"/>
      <c r="AX699" s="225"/>
      <c r="AY699" s="225"/>
    </row>
    <row r="700" spans="33:51" x14ac:dyDescent="0.25">
      <c r="AG700" s="66" t="str">
        <f>IF(AND(Множество[[#This Row],[Y]]=1),ROW()-ROW(Множество[[#Headers],[№]]),"")</f>
        <v/>
      </c>
      <c r="AI700" s="66">
        <v>1</v>
      </c>
      <c r="AJ700" s="66">
        <f>IF(LEN(Множество[[#This Row],[Свёртка]])&gt;0,1,-1)</f>
        <v>1</v>
      </c>
      <c r="AK700" s="66" t="s">
        <v>1781</v>
      </c>
      <c r="AL700" s="209">
        <f>IF(LEN(Множество[[#This Row],[Критерии]])&gt;0,1,-1)</f>
        <v>1</v>
      </c>
      <c r="AM700" s="209">
        <f>IF(AND(LEN(Множество[[#This Row],[Свёртка]])&gt;0,LEN(Множество[[#This Row],[Критерии]])&gt;0,LEN(Множество[[#This Row],[Оценки]])&gt;0),1,-1)</f>
        <v>-1</v>
      </c>
      <c r="AN700" s="230"/>
      <c r="AO700" s="208"/>
      <c r="AP700" s="208"/>
      <c r="AQ700" s="208"/>
      <c r="AR700" s="226"/>
      <c r="AS700" s="225"/>
      <c r="AT700" s="226"/>
      <c r="AU700" s="225"/>
      <c r="AV700" s="225"/>
      <c r="AW700" s="225"/>
      <c r="AX700" s="225"/>
      <c r="AY700" s="225"/>
    </row>
    <row r="701" spans="33:51" x14ac:dyDescent="0.25">
      <c r="AG701" s="66" t="str">
        <f>IF(AND(Множество[[#This Row],[Y]]=1),ROW()-ROW(Множество[[#Headers],[№]]),"")</f>
        <v/>
      </c>
      <c r="AI701" s="66">
        <v>1</v>
      </c>
      <c r="AJ701" s="66">
        <f>IF(LEN(Множество[[#This Row],[Свёртка]])&gt;0,1,-1)</f>
        <v>1</v>
      </c>
      <c r="AK701" s="66" t="s">
        <v>1781</v>
      </c>
      <c r="AL701" s="209">
        <f>IF(LEN(Множество[[#This Row],[Критерии]])&gt;0,1,-1)</f>
        <v>1</v>
      </c>
      <c r="AM701" s="209">
        <f>IF(AND(LEN(Множество[[#This Row],[Свёртка]])&gt;0,LEN(Множество[[#This Row],[Критерии]])&gt;0,LEN(Множество[[#This Row],[Оценки]])&gt;0),1,-1)</f>
        <v>-1</v>
      </c>
      <c r="AN701" s="230"/>
      <c r="AO701" s="208"/>
      <c r="AP701" s="208"/>
      <c r="AQ701" s="208"/>
      <c r="AR701" s="226"/>
      <c r="AS701" s="225"/>
      <c r="AT701" s="226"/>
      <c r="AU701" s="225"/>
      <c r="AV701" s="225"/>
      <c r="AW701" s="225"/>
      <c r="AX701" s="225"/>
      <c r="AY701" s="225"/>
    </row>
    <row r="702" spans="33:51" x14ac:dyDescent="0.25">
      <c r="AG702" s="66" t="str">
        <f>IF(AND(Множество[[#This Row],[Y]]=1),ROW()-ROW(Множество[[#Headers],[№]]),"")</f>
        <v/>
      </c>
      <c r="AI702" s="66">
        <v>1</v>
      </c>
      <c r="AJ702" s="66">
        <f>IF(LEN(Множество[[#This Row],[Свёртка]])&gt;0,1,-1)</f>
        <v>1</v>
      </c>
      <c r="AK702" s="66" t="s">
        <v>1781</v>
      </c>
      <c r="AL702" s="209">
        <f>IF(LEN(Множество[[#This Row],[Критерии]])&gt;0,1,-1)</f>
        <v>1</v>
      </c>
      <c r="AM702" s="209">
        <f>IF(AND(LEN(Множество[[#This Row],[Свёртка]])&gt;0,LEN(Множество[[#This Row],[Критерии]])&gt;0,LEN(Множество[[#This Row],[Оценки]])&gt;0),1,-1)</f>
        <v>-1</v>
      </c>
      <c r="AN702" s="230"/>
      <c r="AO702" s="208"/>
      <c r="AP702" s="208"/>
      <c r="AQ702" s="208"/>
      <c r="AR702" s="226"/>
      <c r="AS702" s="225"/>
      <c r="AT702" s="226"/>
      <c r="AU702" s="225"/>
      <c r="AV702" s="225"/>
      <c r="AW702" s="225"/>
      <c r="AX702" s="225"/>
      <c r="AY702" s="225"/>
    </row>
    <row r="703" spans="33:51" x14ac:dyDescent="0.25">
      <c r="AG703" s="66" t="str">
        <f>IF(AND(Множество[[#This Row],[Y]]=1),ROW()-ROW(Множество[[#Headers],[№]]),"")</f>
        <v/>
      </c>
      <c r="AI703" s="66">
        <v>1</v>
      </c>
      <c r="AJ703" s="66">
        <f>IF(LEN(Множество[[#This Row],[Свёртка]])&gt;0,1,-1)</f>
        <v>1</v>
      </c>
      <c r="AK703" s="66" t="s">
        <v>1781</v>
      </c>
      <c r="AL703" s="209">
        <f>IF(LEN(Множество[[#This Row],[Критерии]])&gt;0,1,-1)</f>
        <v>1</v>
      </c>
      <c r="AM703" s="209">
        <f>IF(AND(LEN(Множество[[#This Row],[Свёртка]])&gt;0,LEN(Множество[[#This Row],[Критерии]])&gt;0,LEN(Множество[[#This Row],[Оценки]])&gt;0),1,-1)</f>
        <v>-1</v>
      </c>
      <c r="AN703" s="230"/>
      <c r="AO703" s="208"/>
      <c r="AP703" s="208"/>
      <c r="AQ703" s="208"/>
      <c r="AR703" s="226"/>
      <c r="AS703" s="225"/>
      <c r="AT703" s="226"/>
      <c r="AU703" s="225"/>
      <c r="AV703" s="225"/>
      <c r="AW703" s="225"/>
      <c r="AX703" s="225"/>
      <c r="AY703" s="225"/>
    </row>
    <row r="704" spans="33:51" x14ac:dyDescent="0.25">
      <c r="AG704" s="66" t="str">
        <f>IF(AND(Множество[[#This Row],[Y]]=1),ROW()-ROW(Множество[[#Headers],[№]]),"")</f>
        <v/>
      </c>
      <c r="AI704" s="66">
        <v>1</v>
      </c>
      <c r="AJ704" s="66">
        <f>IF(LEN(Множество[[#This Row],[Свёртка]])&gt;0,1,-1)</f>
        <v>1</v>
      </c>
      <c r="AK704" s="66" t="s">
        <v>1781</v>
      </c>
      <c r="AL704" s="209">
        <f>IF(LEN(Множество[[#This Row],[Критерии]])&gt;0,1,-1)</f>
        <v>1</v>
      </c>
      <c r="AM704" s="209">
        <f>IF(AND(LEN(Множество[[#This Row],[Свёртка]])&gt;0,LEN(Множество[[#This Row],[Критерии]])&gt;0,LEN(Множество[[#This Row],[Оценки]])&gt;0),1,-1)</f>
        <v>-1</v>
      </c>
      <c r="AN704" s="230"/>
      <c r="AO704" s="208"/>
      <c r="AP704" s="208"/>
      <c r="AQ704" s="208"/>
      <c r="AR704" s="226"/>
      <c r="AS704" s="225"/>
      <c r="AT704" s="226"/>
      <c r="AU704" s="225"/>
      <c r="AV704" s="225"/>
      <c r="AW704" s="225"/>
      <c r="AX704" s="225"/>
      <c r="AY704" s="225"/>
    </row>
    <row r="705" spans="33:51" x14ac:dyDescent="0.25">
      <c r="AG705" s="66" t="str">
        <f>IF(AND(Множество[[#This Row],[Y]]=1),ROW()-ROW(Множество[[#Headers],[№]]),"")</f>
        <v/>
      </c>
      <c r="AI705" s="66">
        <v>1</v>
      </c>
      <c r="AJ705" s="66">
        <f>IF(LEN(Множество[[#This Row],[Свёртка]])&gt;0,1,-1)</f>
        <v>1</v>
      </c>
      <c r="AK705" s="66" t="s">
        <v>1781</v>
      </c>
      <c r="AL705" s="209">
        <f>IF(LEN(Множество[[#This Row],[Критерии]])&gt;0,1,-1)</f>
        <v>1</v>
      </c>
      <c r="AM705" s="209">
        <f>IF(AND(LEN(Множество[[#This Row],[Свёртка]])&gt;0,LEN(Множество[[#This Row],[Критерии]])&gt;0,LEN(Множество[[#This Row],[Оценки]])&gt;0),1,-1)</f>
        <v>-1</v>
      </c>
      <c r="AN705" s="230"/>
      <c r="AO705" s="208"/>
      <c r="AP705" s="208"/>
      <c r="AQ705" s="208"/>
      <c r="AR705" s="226"/>
      <c r="AS705" s="225"/>
      <c r="AT705" s="226"/>
      <c r="AU705" s="225"/>
      <c r="AV705" s="225"/>
      <c r="AW705" s="225"/>
      <c r="AX705" s="225"/>
      <c r="AY705" s="225"/>
    </row>
    <row r="706" spans="33:51" x14ac:dyDescent="0.25">
      <c r="AG706" s="66" t="str">
        <f>IF(AND(Множество[[#This Row],[Y]]=1),ROW()-ROW(Множество[[#Headers],[№]]),"")</f>
        <v/>
      </c>
      <c r="AI706" s="66">
        <v>1</v>
      </c>
      <c r="AJ706" s="66">
        <f>IF(LEN(Множество[[#This Row],[Свёртка]])&gt;0,1,-1)</f>
        <v>1</v>
      </c>
      <c r="AK706" s="66" t="s">
        <v>1781</v>
      </c>
      <c r="AL706" s="209">
        <f>IF(LEN(Множество[[#This Row],[Критерии]])&gt;0,1,-1)</f>
        <v>1</v>
      </c>
      <c r="AM706" s="209">
        <f>IF(AND(LEN(Множество[[#This Row],[Свёртка]])&gt;0,LEN(Множество[[#This Row],[Критерии]])&gt;0,LEN(Множество[[#This Row],[Оценки]])&gt;0),1,-1)</f>
        <v>-1</v>
      </c>
      <c r="AN706" s="230"/>
      <c r="AO706" s="208"/>
      <c r="AP706" s="208"/>
      <c r="AQ706" s="208"/>
      <c r="AR706" s="226"/>
      <c r="AS706" s="225"/>
      <c r="AT706" s="226"/>
      <c r="AU706" s="225"/>
      <c r="AV706" s="225"/>
      <c r="AW706" s="225"/>
      <c r="AX706" s="225"/>
      <c r="AY706" s="225"/>
    </row>
    <row r="707" spans="33:51" x14ac:dyDescent="0.25">
      <c r="AG707" s="66" t="str">
        <f>IF(AND(Множество[[#This Row],[Y]]=1),ROW()-ROW(Множество[[#Headers],[№]]),"")</f>
        <v/>
      </c>
      <c r="AI707" s="66">
        <v>1</v>
      </c>
      <c r="AJ707" s="66">
        <f>IF(LEN(Множество[[#This Row],[Свёртка]])&gt;0,1,-1)</f>
        <v>1</v>
      </c>
      <c r="AK707" s="66" t="s">
        <v>1781</v>
      </c>
      <c r="AL707" s="209">
        <f>IF(LEN(Множество[[#This Row],[Критерии]])&gt;0,1,-1)</f>
        <v>1</v>
      </c>
      <c r="AM707" s="209">
        <f>IF(AND(LEN(Множество[[#This Row],[Свёртка]])&gt;0,LEN(Множество[[#This Row],[Критерии]])&gt;0,LEN(Множество[[#This Row],[Оценки]])&gt;0),1,-1)</f>
        <v>-1</v>
      </c>
      <c r="AN707" s="230"/>
      <c r="AO707" s="208"/>
      <c r="AP707" s="208"/>
      <c r="AQ707" s="208"/>
      <c r="AR707" s="226"/>
      <c r="AS707" s="225"/>
      <c r="AT707" s="226"/>
      <c r="AU707" s="225"/>
      <c r="AV707" s="225"/>
      <c r="AW707" s="225"/>
      <c r="AX707" s="225"/>
      <c r="AY707" s="225"/>
    </row>
    <row r="708" spans="33:51" x14ac:dyDescent="0.25">
      <c r="AG708" s="66" t="str">
        <f>IF(AND(Множество[[#This Row],[Y]]=1),ROW()-ROW(Множество[[#Headers],[№]]),"")</f>
        <v/>
      </c>
      <c r="AI708" s="66">
        <v>1</v>
      </c>
      <c r="AJ708" s="66">
        <f>IF(LEN(Множество[[#This Row],[Свёртка]])&gt;0,1,-1)</f>
        <v>1</v>
      </c>
      <c r="AK708" s="66" t="s">
        <v>1781</v>
      </c>
      <c r="AL708" s="209">
        <f>IF(LEN(Множество[[#This Row],[Критерии]])&gt;0,1,-1)</f>
        <v>1</v>
      </c>
      <c r="AM708" s="209">
        <f>IF(AND(LEN(Множество[[#This Row],[Свёртка]])&gt;0,LEN(Множество[[#This Row],[Критерии]])&gt;0,LEN(Множество[[#This Row],[Оценки]])&gt;0),1,-1)</f>
        <v>-1</v>
      </c>
      <c r="AN708" s="230"/>
      <c r="AO708" s="208"/>
      <c r="AP708" s="208"/>
      <c r="AQ708" s="208"/>
      <c r="AR708" s="226"/>
      <c r="AS708" s="225"/>
      <c r="AT708" s="226"/>
      <c r="AU708" s="225"/>
      <c r="AV708" s="225"/>
      <c r="AW708" s="225"/>
      <c r="AX708" s="225"/>
      <c r="AY708" s="225"/>
    </row>
    <row r="709" spans="33:51" x14ac:dyDescent="0.25">
      <c r="AG709" s="66" t="str">
        <f>IF(AND(Множество[[#This Row],[Y]]=1),ROW()-ROW(Множество[[#Headers],[№]]),"")</f>
        <v/>
      </c>
      <c r="AI709" s="66">
        <v>1</v>
      </c>
      <c r="AJ709" s="66">
        <f>IF(LEN(Множество[[#This Row],[Свёртка]])&gt;0,1,-1)</f>
        <v>1</v>
      </c>
      <c r="AK709" s="66" t="s">
        <v>1781</v>
      </c>
      <c r="AL709" s="209">
        <f>IF(LEN(Множество[[#This Row],[Критерии]])&gt;0,1,-1)</f>
        <v>1</v>
      </c>
      <c r="AM709" s="209">
        <f>IF(AND(LEN(Множество[[#This Row],[Свёртка]])&gt;0,LEN(Множество[[#This Row],[Критерии]])&gt;0,LEN(Множество[[#This Row],[Оценки]])&gt;0),1,-1)</f>
        <v>-1</v>
      </c>
      <c r="AN709" s="230"/>
      <c r="AO709" s="208"/>
      <c r="AP709" s="208"/>
      <c r="AQ709" s="208"/>
      <c r="AR709" s="226"/>
      <c r="AS709" s="225"/>
      <c r="AT709" s="226"/>
      <c r="AU709" s="225"/>
      <c r="AV709" s="225"/>
      <c r="AW709" s="225"/>
      <c r="AX709" s="225"/>
      <c r="AY709" s="225"/>
    </row>
    <row r="710" spans="33:51" x14ac:dyDescent="0.25">
      <c r="AG710" s="66" t="str">
        <f>IF(AND(Множество[[#This Row],[Y]]=1),ROW()-ROW(Множество[[#Headers],[№]]),"")</f>
        <v/>
      </c>
      <c r="AI710" s="66">
        <v>1</v>
      </c>
      <c r="AJ710" s="66">
        <f>IF(LEN(Множество[[#This Row],[Свёртка]])&gt;0,1,-1)</f>
        <v>1</v>
      </c>
      <c r="AK710" s="66" t="s">
        <v>1781</v>
      </c>
      <c r="AL710" s="209">
        <f>IF(LEN(Множество[[#This Row],[Критерии]])&gt;0,1,-1)</f>
        <v>1</v>
      </c>
      <c r="AM710" s="209">
        <f>IF(AND(LEN(Множество[[#This Row],[Свёртка]])&gt;0,LEN(Множество[[#This Row],[Критерии]])&gt;0,LEN(Множество[[#This Row],[Оценки]])&gt;0),1,-1)</f>
        <v>-1</v>
      </c>
      <c r="AN710" s="230"/>
      <c r="AO710" s="208"/>
      <c r="AP710" s="208"/>
      <c r="AQ710" s="208"/>
      <c r="AR710" s="226"/>
      <c r="AS710" s="225"/>
      <c r="AT710" s="226"/>
      <c r="AU710" s="225"/>
      <c r="AV710" s="225"/>
      <c r="AW710" s="225"/>
      <c r="AX710" s="225"/>
      <c r="AY710" s="225"/>
    </row>
    <row r="711" spans="33:51" x14ac:dyDescent="0.25">
      <c r="AG711" s="66" t="str">
        <f>IF(AND(Множество[[#This Row],[Y]]=1),ROW()-ROW(Множество[[#Headers],[№]]),"")</f>
        <v/>
      </c>
      <c r="AI711" s="66">
        <v>1</v>
      </c>
      <c r="AJ711" s="66">
        <f>IF(LEN(Множество[[#This Row],[Свёртка]])&gt;0,1,-1)</f>
        <v>1</v>
      </c>
      <c r="AK711" s="66" t="s">
        <v>1781</v>
      </c>
      <c r="AL711" s="209">
        <f>IF(LEN(Множество[[#This Row],[Критерии]])&gt;0,1,-1)</f>
        <v>1</v>
      </c>
      <c r="AM711" s="209">
        <f>IF(AND(LEN(Множество[[#This Row],[Свёртка]])&gt;0,LEN(Множество[[#This Row],[Критерии]])&gt;0,LEN(Множество[[#This Row],[Оценки]])&gt;0),1,-1)</f>
        <v>-1</v>
      </c>
      <c r="AN711" s="230"/>
      <c r="AO711" s="208"/>
      <c r="AP711" s="208"/>
      <c r="AQ711" s="208"/>
      <c r="AR711" s="226"/>
      <c r="AS711" s="225"/>
      <c r="AT711" s="226"/>
      <c r="AU711" s="225"/>
      <c r="AV711" s="225"/>
      <c r="AW711" s="225"/>
      <c r="AX711" s="225"/>
      <c r="AY711" s="225"/>
    </row>
    <row r="712" spans="33:51" x14ac:dyDescent="0.25">
      <c r="AG712" s="66" t="str">
        <f>IF(AND(Множество[[#This Row],[Y]]=1),ROW()-ROW(Множество[[#Headers],[№]]),"")</f>
        <v/>
      </c>
      <c r="AI712" s="66">
        <v>1</v>
      </c>
      <c r="AJ712" s="66">
        <f>IF(LEN(Множество[[#This Row],[Свёртка]])&gt;0,1,-1)</f>
        <v>1</v>
      </c>
      <c r="AK712" s="66" t="s">
        <v>1781</v>
      </c>
      <c r="AL712" s="209">
        <f>IF(LEN(Множество[[#This Row],[Критерии]])&gt;0,1,-1)</f>
        <v>1</v>
      </c>
      <c r="AM712" s="209">
        <f>IF(AND(LEN(Множество[[#This Row],[Свёртка]])&gt;0,LEN(Множество[[#This Row],[Критерии]])&gt;0,LEN(Множество[[#This Row],[Оценки]])&gt;0),1,-1)</f>
        <v>-1</v>
      </c>
      <c r="AN712" s="230"/>
      <c r="AO712" s="208"/>
      <c r="AP712" s="208"/>
      <c r="AQ712" s="208"/>
      <c r="AR712" s="226"/>
      <c r="AS712" s="225"/>
      <c r="AT712" s="226"/>
      <c r="AU712" s="225"/>
      <c r="AV712" s="225"/>
      <c r="AW712" s="225"/>
      <c r="AX712" s="225"/>
      <c r="AY712" s="225"/>
    </row>
    <row r="713" spans="33:51" x14ac:dyDescent="0.25">
      <c r="AG713" s="66" t="str">
        <f>IF(AND(Множество[[#This Row],[Y]]=1),ROW()-ROW(Множество[[#Headers],[№]]),"")</f>
        <v/>
      </c>
      <c r="AI713" s="66">
        <v>1</v>
      </c>
      <c r="AJ713" s="66">
        <f>IF(LEN(Множество[[#This Row],[Свёртка]])&gt;0,1,-1)</f>
        <v>1</v>
      </c>
      <c r="AK713" s="66" t="s">
        <v>1781</v>
      </c>
      <c r="AL713" s="209">
        <f>IF(LEN(Множество[[#This Row],[Критерии]])&gt;0,1,-1)</f>
        <v>1</v>
      </c>
      <c r="AM713" s="209">
        <f>IF(AND(LEN(Множество[[#This Row],[Свёртка]])&gt;0,LEN(Множество[[#This Row],[Критерии]])&gt;0,LEN(Множество[[#This Row],[Оценки]])&gt;0),1,-1)</f>
        <v>-1</v>
      </c>
      <c r="AN713" s="230"/>
      <c r="AO713" s="208"/>
      <c r="AP713" s="208"/>
      <c r="AQ713" s="208"/>
      <c r="AR713" s="226"/>
      <c r="AS713" s="225"/>
      <c r="AT713" s="226"/>
      <c r="AU713" s="225"/>
      <c r="AV713" s="225"/>
      <c r="AW713" s="225"/>
      <c r="AX713" s="225"/>
      <c r="AY713" s="225"/>
    </row>
    <row r="714" spans="33:51" x14ac:dyDescent="0.25">
      <c r="AG714" s="66" t="str">
        <f>IF(AND(Множество[[#This Row],[Y]]=1),ROW()-ROW(Множество[[#Headers],[№]]),"")</f>
        <v/>
      </c>
      <c r="AI714" s="66">
        <v>1</v>
      </c>
      <c r="AJ714" s="66">
        <f>IF(LEN(Множество[[#This Row],[Свёртка]])&gt;0,1,-1)</f>
        <v>1</v>
      </c>
      <c r="AK714" s="66" t="s">
        <v>1781</v>
      </c>
      <c r="AL714" s="209">
        <f>IF(LEN(Множество[[#This Row],[Критерии]])&gt;0,1,-1)</f>
        <v>1</v>
      </c>
      <c r="AM714" s="209">
        <f>IF(AND(LEN(Множество[[#This Row],[Свёртка]])&gt;0,LEN(Множество[[#This Row],[Критерии]])&gt;0,LEN(Множество[[#This Row],[Оценки]])&gt;0),1,-1)</f>
        <v>-1</v>
      </c>
      <c r="AN714" s="230"/>
      <c r="AO714" s="208"/>
      <c r="AP714" s="208"/>
      <c r="AQ714" s="208"/>
      <c r="AR714" s="226"/>
      <c r="AS714" s="225"/>
      <c r="AT714" s="226"/>
      <c r="AU714" s="225"/>
      <c r="AV714" s="225"/>
      <c r="AW714" s="225"/>
      <c r="AX714" s="225"/>
      <c r="AY714" s="225"/>
    </row>
    <row r="715" spans="33:51" x14ac:dyDescent="0.25">
      <c r="AG715" s="66" t="str">
        <f>IF(AND(Множество[[#This Row],[Y]]=1),ROW()-ROW(Множество[[#Headers],[№]]),"")</f>
        <v/>
      </c>
      <c r="AI715" s="66">
        <v>1</v>
      </c>
      <c r="AJ715" s="66">
        <f>IF(LEN(Множество[[#This Row],[Свёртка]])&gt;0,1,-1)</f>
        <v>1</v>
      </c>
      <c r="AK715" s="66" t="s">
        <v>1781</v>
      </c>
      <c r="AL715" s="209">
        <f>IF(LEN(Множество[[#This Row],[Критерии]])&gt;0,1,-1)</f>
        <v>1</v>
      </c>
      <c r="AM715" s="209">
        <f>IF(AND(LEN(Множество[[#This Row],[Свёртка]])&gt;0,LEN(Множество[[#This Row],[Критерии]])&gt;0,LEN(Множество[[#This Row],[Оценки]])&gt;0),1,-1)</f>
        <v>-1</v>
      </c>
      <c r="AN715" s="230"/>
      <c r="AO715" s="208"/>
      <c r="AP715" s="208"/>
      <c r="AQ715" s="208"/>
      <c r="AR715" s="226"/>
      <c r="AS715" s="225"/>
      <c r="AT715" s="226"/>
      <c r="AU715" s="225"/>
      <c r="AV715" s="225"/>
      <c r="AW715" s="225"/>
      <c r="AX715" s="225"/>
      <c r="AY715" s="225"/>
    </row>
    <row r="716" spans="33:51" x14ac:dyDescent="0.25">
      <c r="AG716" s="66" t="str">
        <f>IF(AND(Множество[[#This Row],[Y]]=1),ROW()-ROW(Множество[[#Headers],[№]]),"")</f>
        <v/>
      </c>
      <c r="AI716" s="66">
        <v>1</v>
      </c>
      <c r="AJ716" s="66">
        <f>IF(LEN(Множество[[#This Row],[Свёртка]])&gt;0,1,-1)</f>
        <v>1</v>
      </c>
      <c r="AK716" s="66" t="s">
        <v>1781</v>
      </c>
      <c r="AL716" s="209">
        <f>IF(LEN(Множество[[#This Row],[Критерии]])&gt;0,1,-1)</f>
        <v>1</v>
      </c>
      <c r="AM716" s="209">
        <f>IF(AND(LEN(Множество[[#This Row],[Свёртка]])&gt;0,LEN(Множество[[#This Row],[Критерии]])&gt;0,LEN(Множество[[#This Row],[Оценки]])&gt;0),1,-1)</f>
        <v>-1</v>
      </c>
      <c r="AN716" s="230"/>
      <c r="AO716" s="208"/>
      <c r="AP716" s="208"/>
      <c r="AQ716" s="208"/>
      <c r="AR716" s="226"/>
      <c r="AS716" s="225"/>
      <c r="AT716" s="226"/>
      <c r="AU716" s="225"/>
      <c r="AV716" s="225"/>
      <c r="AW716" s="225"/>
      <c r="AX716" s="225"/>
      <c r="AY716" s="225"/>
    </row>
    <row r="717" spans="33:51" x14ac:dyDescent="0.25">
      <c r="AG717" s="66" t="str">
        <f>IF(AND(Множество[[#This Row],[Y]]=1),ROW()-ROW(Множество[[#Headers],[№]]),"")</f>
        <v/>
      </c>
      <c r="AI717" s="66">
        <v>1</v>
      </c>
      <c r="AJ717" s="66">
        <f>IF(LEN(Множество[[#This Row],[Свёртка]])&gt;0,1,-1)</f>
        <v>1</v>
      </c>
      <c r="AK717" s="66" t="s">
        <v>1781</v>
      </c>
      <c r="AL717" s="209">
        <f>IF(LEN(Множество[[#This Row],[Критерии]])&gt;0,1,-1)</f>
        <v>1</v>
      </c>
      <c r="AM717" s="209">
        <f>IF(AND(LEN(Множество[[#This Row],[Свёртка]])&gt;0,LEN(Множество[[#This Row],[Критерии]])&gt;0,LEN(Множество[[#This Row],[Оценки]])&gt;0),1,-1)</f>
        <v>-1</v>
      </c>
      <c r="AN717" s="230"/>
      <c r="AO717" s="208"/>
      <c r="AP717" s="208"/>
      <c r="AQ717" s="208"/>
      <c r="AR717" s="226"/>
      <c r="AS717" s="225"/>
      <c r="AT717" s="226"/>
      <c r="AU717" s="225"/>
      <c r="AV717" s="225"/>
      <c r="AW717" s="225"/>
      <c r="AX717" s="225"/>
      <c r="AY717" s="225"/>
    </row>
    <row r="718" spans="33:51" x14ac:dyDescent="0.25">
      <c r="AG718" s="66" t="str">
        <f>IF(AND(Множество[[#This Row],[Y]]=1),ROW()-ROW(Множество[[#Headers],[№]]),"")</f>
        <v/>
      </c>
      <c r="AI718" s="66">
        <v>1</v>
      </c>
      <c r="AJ718" s="66">
        <f>IF(LEN(Множество[[#This Row],[Свёртка]])&gt;0,1,-1)</f>
        <v>1</v>
      </c>
      <c r="AK718" s="66" t="s">
        <v>1781</v>
      </c>
      <c r="AL718" s="209">
        <f>IF(LEN(Множество[[#This Row],[Критерии]])&gt;0,1,-1)</f>
        <v>1</v>
      </c>
      <c r="AM718" s="209">
        <f>IF(AND(LEN(Множество[[#This Row],[Свёртка]])&gt;0,LEN(Множество[[#This Row],[Критерии]])&gt;0,LEN(Множество[[#This Row],[Оценки]])&gt;0),1,-1)</f>
        <v>-1</v>
      </c>
      <c r="AN718" s="230"/>
      <c r="AO718" s="208"/>
      <c r="AP718" s="208"/>
      <c r="AQ718" s="208"/>
      <c r="AR718" s="226"/>
      <c r="AS718" s="225"/>
      <c r="AT718" s="226"/>
      <c r="AU718" s="225"/>
      <c r="AV718" s="225"/>
      <c r="AW718" s="225"/>
      <c r="AX718" s="225"/>
      <c r="AY718" s="225"/>
    </row>
    <row r="719" spans="33:51" x14ac:dyDescent="0.25">
      <c r="AG719" s="66" t="str">
        <f>IF(AND(Множество[[#This Row],[Y]]=1),ROW()-ROW(Множество[[#Headers],[№]]),"")</f>
        <v/>
      </c>
      <c r="AI719" s="66">
        <v>1</v>
      </c>
      <c r="AJ719" s="66">
        <f>IF(LEN(Множество[[#This Row],[Свёртка]])&gt;0,1,-1)</f>
        <v>1</v>
      </c>
      <c r="AK719" s="66" t="s">
        <v>1781</v>
      </c>
      <c r="AL719" s="209">
        <f>IF(LEN(Множество[[#This Row],[Критерии]])&gt;0,1,-1)</f>
        <v>1</v>
      </c>
      <c r="AM719" s="209">
        <f>IF(AND(LEN(Множество[[#This Row],[Свёртка]])&gt;0,LEN(Множество[[#This Row],[Критерии]])&gt;0,LEN(Множество[[#This Row],[Оценки]])&gt;0),1,-1)</f>
        <v>-1</v>
      </c>
      <c r="AN719" s="230"/>
      <c r="AO719" s="208"/>
      <c r="AP719" s="208"/>
      <c r="AQ719" s="208"/>
      <c r="AR719" s="226"/>
      <c r="AS719" s="225"/>
      <c r="AT719" s="226"/>
      <c r="AU719" s="225"/>
      <c r="AV719" s="225"/>
      <c r="AW719" s="225"/>
      <c r="AX719" s="225"/>
      <c r="AY719" s="225"/>
    </row>
    <row r="720" spans="33:51" x14ac:dyDescent="0.25">
      <c r="AG720" s="66" t="str">
        <f>IF(AND(Множество[[#This Row],[Y]]=1),ROW()-ROW(Множество[[#Headers],[№]]),"")</f>
        <v/>
      </c>
      <c r="AI720" s="66">
        <v>1</v>
      </c>
      <c r="AJ720" s="66">
        <f>IF(LEN(Множество[[#This Row],[Свёртка]])&gt;0,1,-1)</f>
        <v>1</v>
      </c>
      <c r="AK720" s="66" t="s">
        <v>1781</v>
      </c>
      <c r="AL720" s="209">
        <f>IF(LEN(Множество[[#This Row],[Критерии]])&gt;0,1,-1)</f>
        <v>1</v>
      </c>
      <c r="AM720" s="209">
        <f>IF(AND(LEN(Множество[[#This Row],[Свёртка]])&gt;0,LEN(Множество[[#This Row],[Критерии]])&gt;0,LEN(Множество[[#This Row],[Оценки]])&gt;0),1,-1)</f>
        <v>-1</v>
      </c>
      <c r="AN720" s="230"/>
      <c r="AO720" s="208"/>
      <c r="AP720" s="208"/>
      <c r="AQ720" s="208"/>
      <c r="AR720" s="226"/>
      <c r="AS720" s="225"/>
      <c r="AT720" s="226"/>
      <c r="AU720" s="225"/>
      <c r="AV720" s="225"/>
      <c r="AW720" s="225"/>
      <c r="AX720" s="225"/>
      <c r="AY720" s="225"/>
    </row>
    <row r="721" spans="33:51" x14ac:dyDescent="0.25">
      <c r="AG721" s="66" t="str">
        <f>IF(AND(Множество[[#This Row],[Y]]=1),ROW()-ROW(Множество[[#Headers],[№]]),"")</f>
        <v/>
      </c>
      <c r="AI721" s="66">
        <v>1</v>
      </c>
      <c r="AJ721" s="66">
        <f>IF(LEN(Множество[[#This Row],[Свёртка]])&gt;0,1,-1)</f>
        <v>1</v>
      </c>
      <c r="AK721" s="66" t="s">
        <v>1781</v>
      </c>
      <c r="AL721" s="209">
        <f>IF(LEN(Множество[[#This Row],[Критерии]])&gt;0,1,-1)</f>
        <v>1</v>
      </c>
      <c r="AM721" s="209">
        <f>IF(AND(LEN(Множество[[#This Row],[Свёртка]])&gt;0,LEN(Множество[[#This Row],[Критерии]])&gt;0,LEN(Множество[[#This Row],[Оценки]])&gt;0),1,-1)</f>
        <v>-1</v>
      </c>
      <c r="AN721" s="230"/>
      <c r="AO721" s="208"/>
      <c r="AP721" s="208"/>
      <c r="AQ721" s="208"/>
      <c r="AR721" s="226"/>
      <c r="AS721" s="225"/>
      <c r="AT721" s="226"/>
      <c r="AU721" s="225"/>
      <c r="AV721" s="225"/>
      <c r="AW721" s="225"/>
      <c r="AX721" s="225"/>
      <c r="AY721" s="225"/>
    </row>
    <row r="722" spans="33:51" x14ac:dyDescent="0.25">
      <c r="AG722" s="66" t="str">
        <f>IF(AND(Множество[[#This Row],[Y]]=1),ROW()-ROW(Множество[[#Headers],[№]]),"")</f>
        <v/>
      </c>
      <c r="AI722" s="66">
        <v>1</v>
      </c>
      <c r="AJ722" s="66">
        <f>IF(LEN(Множество[[#This Row],[Свёртка]])&gt;0,1,-1)</f>
        <v>1</v>
      </c>
      <c r="AK722" s="66" t="s">
        <v>1781</v>
      </c>
      <c r="AL722" s="209">
        <f>IF(LEN(Множество[[#This Row],[Критерии]])&gt;0,1,-1)</f>
        <v>1</v>
      </c>
      <c r="AM722" s="209">
        <f>IF(AND(LEN(Множество[[#This Row],[Свёртка]])&gt;0,LEN(Множество[[#This Row],[Критерии]])&gt;0,LEN(Множество[[#This Row],[Оценки]])&gt;0),1,-1)</f>
        <v>-1</v>
      </c>
      <c r="AN722" s="230"/>
      <c r="AO722" s="208"/>
      <c r="AP722" s="208"/>
      <c r="AQ722" s="208"/>
      <c r="AR722" s="226"/>
      <c r="AS722" s="225"/>
      <c r="AT722" s="226"/>
      <c r="AU722" s="225"/>
      <c r="AV722" s="225"/>
      <c r="AW722" s="225"/>
      <c r="AX722" s="225"/>
      <c r="AY722" s="225"/>
    </row>
    <row r="723" spans="33:51" x14ac:dyDescent="0.25">
      <c r="AG723" s="66" t="str">
        <f>IF(AND(Множество[[#This Row],[Y]]=1),ROW()-ROW(Множество[[#Headers],[№]]),"")</f>
        <v/>
      </c>
      <c r="AI723" s="66">
        <v>1</v>
      </c>
      <c r="AJ723" s="66">
        <f>IF(LEN(Множество[[#This Row],[Свёртка]])&gt;0,1,-1)</f>
        <v>1</v>
      </c>
      <c r="AK723" s="66" t="s">
        <v>1781</v>
      </c>
      <c r="AL723" s="209">
        <f>IF(LEN(Множество[[#This Row],[Критерии]])&gt;0,1,-1)</f>
        <v>1</v>
      </c>
      <c r="AM723" s="209">
        <f>IF(AND(LEN(Множество[[#This Row],[Свёртка]])&gt;0,LEN(Множество[[#This Row],[Критерии]])&gt;0,LEN(Множество[[#This Row],[Оценки]])&gt;0),1,-1)</f>
        <v>-1</v>
      </c>
      <c r="AN723" s="230"/>
      <c r="AO723" s="208"/>
      <c r="AP723" s="208"/>
      <c r="AQ723" s="208"/>
      <c r="AR723" s="226"/>
      <c r="AS723" s="225"/>
      <c r="AT723" s="226"/>
      <c r="AU723" s="225"/>
      <c r="AV723" s="225"/>
      <c r="AW723" s="225"/>
      <c r="AX723" s="225"/>
      <c r="AY723" s="225"/>
    </row>
    <row r="724" spans="33:51" x14ac:dyDescent="0.25">
      <c r="AG724" s="66" t="str">
        <f>IF(AND(Множество[[#This Row],[Y]]=1),ROW()-ROW(Множество[[#Headers],[№]]),"")</f>
        <v/>
      </c>
      <c r="AI724" s="66">
        <v>1</v>
      </c>
      <c r="AJ724" s="66">
        <f>IF(LEN(Множество[[#This Row],[Свёртка]])&gt;0,1,-1)</f>
        <v>1</v>
      </c>
      <c r="AK724" s="66" t="s">
        <v>1781</v>
      </c>
      <c r="AL724" s="209">
        <f>IF(LEN(Множество[[#This Row],[Критерии]])&gt;0,1,-1)</f>
        <v>1</v>
      </c>
      <c r="AM724" s="209">
        <f>IF(AND(LEN(Множество[[#This Row],[Свёртка]])&gt;0,LEN(Множество[[#This Row],[Критерии]])&gt;0,LEN(Множество[[#This Row],[Оценки]])&gt;0),1,-1)</f>
        <v>-1</v>
      </c>
      <c r="AN724" s="230"/>
      <c r="AO724" s="208"/>
      <c r="AP724" s="208"/>
      <c r="AQ724" s="208"/>
      <c r="AR724" s="226"/>
      <c r="AS724" s="225"/>
      <c r="AT724" s="226"/>
      <c r="AU724" s="225"/>
      <c r="AV724" s="225"/>
      <c r="AW724" s="225"/>
      <c r="AX724" s="225"/>
      <c r="AY724" s="225"/>
    </row>
    <row r="725" spans="33:51" x14ac:dyDescent="0.25">
      <c r="AG725" s="66" t="str">
        <f>IF(AND(Множество[[#This Row],[Y]]=1),ROW()-ROW(Множество[[#Headers],[№]]),"")</f>
        <v/>
      </c>
      <c r="AI725" s="66">
        <v>1</v>
      </c>
      <c r="AJ725" s="66">
        <f>IF(LEN(Множество[[#This Row],[Свёртка]])&gt;0,1,-1)</f>
        <v>1</v>
      </c>
      <c r="AK725" s="66" t="s">
        <v>1781</v>
      </c>
      <c r="AL725" s="209">
        <f>IF(LEN(Множество[[#This Row],[Критерии]])&gt;0,1,-1)</f>
        <v>1</v>
      </c>
      <c r="AM725" s="209">
        <f>IF(AND(LEN(Множество[[#This Row],[Свёртка]])&gt;0,LEN(Множество[[#This Row],[Критерии]])&gt;0,LEN(Множество[[#This Row],[Оценки]])&gt;0),1,-1)</f>
        <v>-1</v>
      </c>
      <c r="AN725" s="230"/>
      <c r="AO725" s="208"/>
      <c r="AP725" s="208"/>
      <c r="AQ725" s="208"/>
      <c r="AR725" s="226"/>
      <c r="AS725" s="225"/>
      <c r="AT725" s="226"/>
      <c r="AU725" s="225"/>
      <c r="AV725" s="225"/>
      <c r="AW725" s="225"/>
      <c r="AX725" s="225"/>
      <c r="AY725" s="225"/>
    </row>
    <row r="726" spans="33:51" x14ac:dyDescent="0.25">
      <c r="AG726" s="66" t="str">
        <f>IF(AND(Множество[[#This Row],[Y]]=1),ROW()-ROW(Множество[[#Headers],[№]]),"")</f>
        <v/>
      </c>
      <c r="AI726" s="66">
        <v>1</v>
      </c>
      <c r="AJ726" s="66">
        <f>IF(LEN(Множество[[#This Row],[Свёртка]])&gt;0,1,-1)</f>
        <v>1</v>
      </c>
      <c r="AK726" s="66" t="s">
        <v>1781</v>
      </c>
      <c r="AL726" s="209">
        <f>IF(LEN(Множество[[#This Row],[Критерии]])&gt;0,1,-1)</f>
        <v>1</v>
      </c>
      <c r="AM726" s="209">
        <f>IF(AND(LEN(Множество[[#This Row],[Свёртка]])&gt;0,LEN(Множество[[#This Row],[Критерии]])&gt;0,LEN(Множество[[#This Row],[Оценки]])&gt;0),1,-1)</f>
        <v>-1</v>
      </c>
      <c r="AN726" s="230"/>
      <c r="AO726" s="208"/>
      <c r="AP726" s="208"/>
      <c r="AQ726" s="208"/>
      <c r="AR726" s="226"/>
      <c r="AS726" s="225"/>
      <c r="AT726" s="226"/>
      <c r="AU726" s="225"/>
      <c r="AV726" s="225"/>
      <c r="AW726" s="225"/>
      <c r="AX726" s="225"/>
      <c r="AY726" s="225"/>
    </row>
    <row r="727" spans="33:51" x14ac:dyDescent="0.25">
      <c r="AG727" s="66" t="str">
        <f>IF(AND(Множество[[#This Row],[Y]]=1),ROW()-ROW(Множество[[#Headers],[№]]),"")</f>
        <v/>
      </c>
      <c r="AI727" s="66">
        <v>1</v>
      </c>
      <c r="AJ727" s="66">
        <f>IF(LEN(Множество[[#This Row],[Свёртка]])&gt;0,1,-1)</f>
        <v>1</v>
      </c>
      <c r="AK727" s="66" t="s">
        <v>1781</v>
      </c>
      <c r="AL727" s="209">
        <f>IF(LEN(Множество[[#This Row],[Критерии]])&gt;0,1,-1)</f>
        <v>1</v>
      </c>
      <c r="AM727" s="209">
        <f>IF(AND(LEN(Множество[[#This Row],[Свёртка]])&gt;0,LEN(Множество[[#This Row],[Критерии]])&gt;0,LEN(Множество[[#This Row],[Оценки]])&gt;0),1,-1)</f>
        <v>-1</v>
      </c>
      <c r="AN727" s="230"/>
      <c r="AO727" s="208"/>
      <c r="AP727" s="208"/>
      <c r="AQ727" s="208"/>
      <c r="AR727" s="226"/>
      <c r="AS727" s="225"/>
      <c r="AT727" s="226"/>
      <c r="AU727" s="225"/>
      <c r="AV727" s="225"/>
      <c r="AW727" s="225"/>
      <c r="AX727" s="225"/>
      <c r="AY727" s="225"/>
    </row>
    <row r="728" spans="33:51" x14ac:dyDescent="0.25">
      <c r="AG728" s="66" t="str">
        <f>IF(AND(Множество[[#This Row],[Y]]=1),ROW()-ROW(Множество[[#Headers],[№]]),"")</f>
        <v/>
      </c>
      <c r="AI728" s="66">
        <v>1</v>
      </c>
      <c r="AJ728" s="66">
        <f>IF(LEN(Множество[[#This Row],[Свёртка]])&gt;0,1,-1)</f>
        <v>1</v>
      </c>
      <c r="AK728" s="66" t="s">
        <v>1781</v>
      </c>
      <c r="AL728" s="209">
        <f>IF(LEN(Множество[[#This Row],[Критерии]])&gt;0,1,-1)</f>
        <v>1</v>
      </c>
      <c r="AM728" s="209">
        <f>IF(AND(LEN(Множество[[#This Row],[Свёртка]])&gt;0,LEN(Множество[[#This Row],[Критерии]])&gt;0,LEN(Множество[[#This Row],[Оценки]])&gt;0),1,-1)</f>
        <v>-1</v>
      </c>
      <c r="AN728" s="230"/>
      <c r="AO728" s="208"/>
      <c r="AP728" s="208"/>
      <c r="AQ728" s="208"/>
      <c r="AR728" s="226"/>
      <c r="AS728" s="225"/>
      <c r="AT728" s="226"/>
      <c r="AU728" s="225"/>
      <c r="AV728" s="225"/>
      <c r="AW728" s="225"/>
      <c r="AX728" s="225"/>
      <c r="AY728" s="225"/>
    </row>
    <row r="729" spans="33:51" x14ac:dyDescent="0.25">
      <c r="AG729" s="66" t="str">
        <f>IF(AND(Множество[[#This Row],[Y]]=1),ROW()-ROW(Множество[[#Headers],[№]]),"")</f>
        <v/>
      </c>
      <c r="AI729" s="66">
        <v>1</v>
      </c>
      <c r="AJ729" s="66">
        <f>IF(LEN(Множество[[#This Row],[Свёртка]])&gt;0,1,-1)</f>
        <v>1</v>
      </c>
      <c r="AK729" s="66" t="s">
        <v>1781</v>
      </c>
      <c r="AL729" s="209">
        <f>IF(LEN(Множество[[#This Row],[Критерии]])&gt;0,1,-1)</f>
        <v>1</v>
      </c>
      <c r="AM729" s="209">
        <f>IF(AND(LEN(Множество[[#This Row],[Свёртка]])&gt;0,LEN(Множество[[#This Row],[Критерии]])&gt;0,LEN(Множество[[#This Row],[Оценки]])&gt;0),1,-1)</f>
        <v>-1</v>
      </c>
      <c r="AN729" s="230"/>
      <c r="AO729" s="208"/>
      <c r="AP729" s="208"/>
      <c r="AQ729" s="208"/>
      <c r="AR729" s="226"/>
      <c r="AS729" s="225"/>
      <c r="AT729" s="226"/>
      <c r="AU729" s="225"/>
      <c r="AV729" s="225"/>
      <c r="AW729" s="225"/>
      <c r="AX729" s="225"/>
      <c r="AY729" s="225"/>
    </row>
    <row r="730" spans="33:51" x14ac:dyDescent="0.25">
      <c r="AG730" s="66" t="str">
        <f>IF(AND(Множество[[#This Row],[Y]]=1),ROW()-ROW(Множество[[#Headers],[№]]),"")</f>
        <v/>
      </c>
      <c r="AI730" s="66">
        <v>1</v>
      </c>
      <c r="AJ730" s="66">
        <f>IF(LEN(Множество[[#This Row],[Свёртка]])&gt;0,1,-1)</f>
        <v>1</v>
      </c>
      <c r="AK730" s="66" t="s">
        <v>1781</v>
      </c>
      <c r="AL730" s="209">
        <f>IF(LEN(Множество[[#This Row],[Критерии]])&gt;0,1,-1)</f>
        <v>1</v>
      </c>
      <c r="AM730" s="209">
        <f>IF(AND(LEN(Множество[[#This Row],[Свёртка]])&gt;0,LEN(Множество[[#This Row],[Критерии]])&gt;0,LEN(Множество[[#This Row],[Оценки]])&gt;0),1,-1)</f>
        <v>-1</v>
      </c>
      <c r="AN730" s="230"/>
      <c r="AO730" s="208"/>
      <c r="AP730" s="208"/>
      <c r="AQ730" s="208"/>
      <c r="AR730" s="226"/>
      <c r="AS730" s="225"/>
      <c r="AT730" s="226"/>
      <c r="AU730" s="225"/>
      <c r="AV730" s="225"/>
      <c r="AW730" s="225"/>
      <c r="AX730" s="225"/>
      <c r="AY730" s="225"/>
    </row>
    <row r="731" spans="33:51" x14ac:dyDescent="0.25">
      <c r="AG731" s="66" t="str">
        <f>IF(AND(Множество[[#This Row],[Y]]=1),ROW()-ROW(Множество[[#Headers],[№]]),"")</f>
        <v/>
      </c>
      <c r="AI731" s="66">
        <v>1</v>
      </c>
      <c r="AJ731" s="66">
        <f>IF(LEN(Множество[[#This Row],[Свёртка]])&gt;0,1,-1)</f>
        <v>1</v>
      </c>
      <c r="AK731" s="66" t="s">
        <v>1781</v>
      </c>
      <c r="AL731" s="209">
        <f>IF(LEN(Множество[[#This Row],[Критерии]])&gt;0,1,-1)</f>
        <v>1</v>
      </c>
      <c r="AM731" s="209">
        <f>IF(AND(LEN(Множество[[#This Row],[Свёртка]])&gt;0,LEN(Множество[[#This Row],[Критерии]])&gt;0,LEN(Множество[[#This Row],[Оценки]])&gt;0),1,-1)</f>
        <v>-1</v>
      </c>
      <c r="AN731" s="230"/>
      <c r="AO731" s="208"/>
      <c r="AP731" s="208"/>
      <c r="AQ731" s="208"/>
      <c r="AR731" s="226"/>
      <c r="AS731" s="225"/>
      <c r="AT731" s="226"/>
      <c r="AU731" s="225"/>
      <c r="AV731" s="225"/>
      <c r="AW731" s="225"/>
      <c r="AX731" s="225"/>
      <c r="AY731" s="225"/>
    </row>
    <row r="732" spans="33:51" x14ac:dyDescent="0.25">
      <c r="AG732" s="66" t="str">
        <f>IF(AND(Множество[[#This Row],[Y]]=1),ROW()-ROW(Множество[[#Headers],[№]]),"")</f>
        <v/>
      </c>
      <c r="AI732" s="66">
        <v>1</v>
      </c>
      <c r="AJ732" s="66">
        <f>IF(LEN(Множество[[#This Row],[Свёртка]])&gt;0,1,-1)</f>
        <v>1</v>
      </c>
      <c r="AK732" s="66" t="s">
        <v>1781</v>
      </c>
      <c r="AL732" s="209">
        <f>IF(LEN(Множество[[#This Row],[Критерии]])&gt;0,1,-1)</f>
        <v>1</v>
      </c>
      <c r="AM732" s="209">
        <f>IF(AND(LEN(Множество[[#This Row],[Свёртка]])&gt;0,LEN(Множество[[#This Row],[Критерии]])&gt;0,LEN(Множество[[#This Row],[Оценки]])&gt;0),1,-1)</f>
        <v>-1</v>
      </c>
      <c r="AN732" s="230"/>
      <c r="AO732" s="208"/>
      <c r="AP732" s="208"/>
      <c r="AQ732" s="208"/>
      <c r="AR732" s="226"/>
      <c r="AS732" s="225"/>
      <c r="AT732" s="226"/>
      <c r="AU732" s="225"/>
      <c r="AV732" s="225"/>
      <c r="AW732" s="225"/>
      <c r="AX732" s="225"/>
      <c r="AY732" s="225"/>
    </row>
    <row r="733" spans="33:51" x14ac:dyDescent="0.25">
      <c r="AG733" s="66" t="str">
        <f>IF(AND(Множество[[#This Row],[Y]]=1),ROW()-ROW(Множество[[#Headers],[№]]),"")</f>
        <v/>
      </c>
      <c r="AI733" s="66">
        <v>1</v>
      </c>
      <c r="AJ733" s="66">
        <f>IF(LEN(Множество[[#This Row],[Свёртка]])&gt;0,1,-1)</f>
        <v>1</v>
      </c>
      <c r="AK733" s="66" t="s">
        <v>1781</v>
      </c>
      <c r="AL733" s="209">
        <f>IF(LEN(Множество[[#This Row],[Критерии]])&gt;0,1,-1)</f>
        <v>1</v>
      </c>
      <c r="AM733" s="209">
        <f>IF(AND(LEN(Множество[[#This Row],[Свёртка]])&gt;0,LEN(Множество[[#This Row],[Критерии]])&gt;0,LEN(Множество[[#This Row],[Оценки]])&gt;0),1,-1)</f>
        <v>-1</v>
      </c>
      <c r="AN733" s="230"/>
      <c r="AO733" s="208"/>
      <c r="AP733" s="208"/>
      <c r="AQ733" s="208"/>
      <c r="AR733" s="226"/>
      <c r="AS733" s="225"/>
      <c r="AT733" s="226"/>
      <c r="AU733" s="225"/>
      <c r="AV733" s="225"/>
      <c r="AW733" s="225"/>
      <c r="AX733" s="225"/>
      <c r="AY733" s="225"/>
    </row>
    <row r="734" spans="33:51" x14ac:dyDescent="0.25">
      <c r="AG734" s="66" t="str">
        <f>IF(AND(Множество[[#This Row],[Y]]=1),ROW()-ROW(Множество[[#Headers],[№]]),"")</f>
        <v/>
      </c>
      <c r="AI734" s="66">
        <v>1</v>
      </c>
      <c r="AJ734" s="66">
        <f>IF(LEN(Множество[[#This Row],[Свёртка]])&gt;0,1,-1)</f>
        <v>1</v>
      </c>
      <c r="AK734" s="66" t="s">
        <v>1781</v>
      </c>
      <c r="AL734" s="209">
        <f>IF(LEN(Множество[[#This Row],[Критерии]])&gt;0,1,-1)</f>
        <v>1</v>
      </c>
      <c r="AM734" s="209">
        <f>IF(AND(LEN(Множество[[#This Row],[Свёртка]])&gt;0,LEN(Множество[[#This Row],[Критерии]])&gt;0,LEN(Множество[[#This Row],[Оценки]])&gt;0),1,-1)</f>
        <v>-1</v>
      </c>
      <c r="AN734" s="230"/>
      <c r="AO734" s="208"/>
      <c r="AP734" s="208"/>
      <c r="AQ734" s="208"/>
      <c r="AR734" s="226"/>
      <c r="AS734" s="225"/>
      <c r="AT734" s="226"/>
      <c r="AU734" s="225"/>
      <c r="AV734" s="225"/>
      <c r="AW734" s="225"/>
      <c r="AX734" s="225"/>
      <c r="AY734" s="225"/>
    </row>
    <row r="735" spans="33:51" x14ac:dyDescent="0.25">
      <c r="AG735" s="66" t="str">
        <f>IF(AND(Множество[[#This Row],[Y]]=1),ROW()-ROW(Множество[[#Headers],[№]]),"")</f>
        <v/>
      </c>
      <c r="AI735" s="66">
        <v>1</v>
      </c>
      <c r="AJ735" s="66">
        <f>IF(LEN(Множество[[#This Row],[Свёртка]])&gt;0,1,-1)</f>
        <v>1</v>
      </c>
      <c r="AK735" s="66" t="s">
        <v>1781</v>
      </c>
      <c r="AL735" s="209">
        <f>IF(LEN(Множество[[#This Row],[Критерии]])&gt;0,1,-1)</f>
        <v>1</v>
      </c>
      <c r="AM735" s="209">
        <f>IF(AND(LEN(Множество[[#This Row],[Свёртка]])&gt;0,LEN(Множество[[#This Row],[Критерии]])&gt;0,LEN(Множество[[#This Row],[Оценки]])&gt;0),1,-1)</f>
        <v>-1</v>
      </c>
      <c r="AN735" s="230"/>
      <c r="AO735" s="208"/>
      <c r="AP735" s="208"/>
      <c r="AQ735" s="208"/>
      <c r="AR735" s="226"/>
      <c r="AS735" s="225"/>
      <c r="AT735" s="226"/>
      <c r="AU735" s="225"/>
      <c r="AV735" s="225"/>
      <c r="AW735" s="225"/>
      <c r="AX735" s="225"/>
      <c r="AY735" s="225"/>
    </row>
    <row r="736" spans="33:51" x14ac:dyDescent="0.25">
      <c r="AG736" s="66" t="str">
        <f>IF(AND(Множество[[#This Row],[Y]]=1),ROW()-ROW(Множество[[#Headers],[№]]),"")</f>
        <v/>
      </c>
      <c r="AI736" s="66">
        <v>1</v>
      </c>
      <c r="AJ736" s="66">
        <f>IF(LEN(Множество[[#This Row],[Свёртка]])&gt;0,1,-1)</f>
        <v>1</v>
      </c>
      <c r="AK736" s="66" t="s">
        <v>1781</v>
      </c>
      <c r="AL736" s="209">
        <f>IF(LEN(Множество[[#This Row],[Критерии]])&gt;0,1,-1)</f>
        <v>1</v>
      </c>
      <c r="AM736" s="209">
        <f>IF(AND(LEN(Множество[[#This Row],[Свёртка]])&gt;0,LEN(Множество[[#This Row],[Критерии]])&gt;0,LEN(Множество[[#This Row],[Оценки]])&gt;0),1,-1)</f>
        <v>-1</v>
      </c>
      <c r="AN736" s="230"/>
      <c r="AO736" s="208"/>
      <c r="AP736" s="208"/>
      <c r="AQ736" s="208"/>
      <c r="AR736" s="226"/>
      <c r="AS736" s="225"/>
      <c r="AT736" s="226"/>
      <c r="AU736" s="225"/>
      <c r="AV736" s="225"/>
      <c r="AW736" s="225"/>
      <c r="AX736" s="225"/>
      <c r="AY736" s="225"/>
    </row>
    <row r="737" spans="33:51" x14ac:dyDescent="0.25">
      <c r="AG737" s="66" t="str">
        <f>IF(AND(Множество[[#This Row],[Y]]=1),ROW()-ROW(Множество[[#Headers],[№]]),"")</f>
        <v/>
      </c>
      <c r="AI737" s="66">
        <v>1</v>
      </c>
      <c r="AJ737" s="66">
        <f>IF(LEN(Множество[[#This Row],[Свёртка]])&gt;0,1,-1)</f>
        <v>1</v>
      </c>
      <c r="AK737" s="66" t="s">
        <v>1781</v>
      </c>
      <c r="AL737" s="209">
        <f>IF(LEN(Множество[[#This Row],[Критерии]])&gt;0,1,-1)</f>
        <v>1</v>
      </c>
      <c r="AM737" s="209">
        <f>IF(AND(LEN(Множество[[#This Row],[Свёртка]])&gt;0,LEN(Множество[[#This Row],[Критерии]])&gt;0,LEN(Множество[[#This Row],[Оценки]])&gt;0),1,-1)</f>
        <v>-1</v>
      </c>
      <c r="AN737" s="230"/>
      <c r="AO737" s="208"/>
      <c r="AP737" s="208"/>
      <c r="AQ737" s="208"/>
      <c r="AR737" s="226"/>
      <c r="AS737" s="225"/>
      <c r="AT737" s="226"/>
      <c r="AU737" s="225"/>
      <c r="AV737" s="225"/>
      <c r="AW737" s="225"/>
      <c r="AX737" s="225"/>
      <c r="AY737" s="225"/>
    </row>
    <row r="738" spans="33:51" x14ac:dyDescent="0.25">
      <c r="AG738" s="66" t="str">
        <f>IF(AND(Множество[[#This Row],[Y]]=1),ROW()-ROW(Множество[[#Headers],[№]]),"")</f>
        <v/>
      </c>
      <c r="AI738" s="66">
        <v>1</v>
      </c>
      <c r="AJ738" s="66">
        <f>IF(LEN(Множество[[#This Row],[Свёртка]])&gt;0,1,-1)</f>
        <v>1</v>
      </c>
      <c r="AK738" s="66" t="s">
        <v>1781</v>
      </c>
      <c r="AL738" s="209">
        <f>IF(LEN(Множество[[#This Row],[Критерии]])&gt;0,1,-1)</f>
        <v>1</v>
      </c>
      <c r="AM738" s="209">
        <f>IF(AND(LEN(Множество[[#This Row],[Свёртка]])&gt;0,LEN(Множество[[#This Row],[Критерии]])&gt;0,LEN(Множество[[#This Row],[Оценки]])&gt;0),1,-1)</f>
        <v>-1</v>
      </c>
      <c r="AN738" s="230"/>
      <c r="AO738" s="208"/>
      <c r="AP738" s="208"/>
      <c r="AQ738" s="208"/>
      <c r="AR738" s="226"/>
      <c r="AS738" s="225"/>
      <c r="AT738" s="226"/>
      <c r="AU738" s="225"/>
      <c r="AV738" s="225"/>
      <c r="AW738" s="225"/>
      <c r="AX738" s="225"/>
      <c r="AY738" s="225"/>
    </row>
    <row r="739" spans="33:51" x14ac:dyDescent="0.25">
      <c r="AG739" s="66" t="str">
        <f>IF(AND(Множество[[#This Row],[Y]]=1),ROW()-ROW(Множество[[#Headers],[№]]),"")</f>
        <v/>
      </c>
      <c r="AI739" s="66">
        <v>1</v>
      </c>
      <c r="AJ739" s="66">
        <f>IF(LEN(Множество[[#This Row],[Свёртка]])&gt;0,1,-1)</f>
        <v>1</v>
      </c>
      <c r="AK739" s="66" t="s">
        <v>1781</v>
      </c>
      <c r="AL739" s="209">
        <f>IF(LEN(Множество[[#This Row],[Критерии]])&gt;0,1,-1)</f>
        <v>1</v>
      </c>
      <c r="AM739" s="209">
        <f>IF(AND(LEN(Множество[[#This Row],[Свёртка]])&gt;0,LEN(Множество[[#This Row],[Критерии]])&gt;0,LEN(Множество[[#This Row],[Оценки]])&gt;0),1,-1)</f>
        <v>-1</v>
      </c>
      <c r="AN739" s="230"/>
      <c r="AO739" s="208"/>
      <c r="AP739" s="208"/>
      <c r="AQ739" s="208"/>
      <c r="AR739" s="226"/>
      <c r="AS739" s="225"/>
      <c r="AT739" s="226"/>
      <c r="AU739" s="225"/>
      <c r="AV739" s="225"/>
      <c r="AW739" s="225"/>
      <c r="AX739" s="225"/>
      <c r="AY739" s="225"/>
    </row>
    <row r="740" spans="33:51" x14ac:dyDescent="0.25">
      <c r="AG740" s="66" t="str">
        <f>IF(AND(Множество[[#This Row],[Y]]=1),ROW()-ROW(Множество[[#Headers],[№]]),"")</f>
        <v/>
      </c>
      <c r="AI740" s="66">
        <v>1</v>
      </c>
      <c r="AJ740" s="66">
        <f>IF(LEN(Множество[[#This Row],[Свёртка]])&gt;0,1,-1)</f>
        <v>1</v>
      </c>
      <c r="AK740" s="66" t="s">
        <v>1781</v>
      </c>
      <c r="AL740" s="209">
        <f>IF(LEN(Множество[[#This Row],[Критерии]])&gt;0,1,-1)</f>
        <v>1</v>
      </c>
      <c r="AM740" s="209">
        <f>IF(AND(LEN(Множество[[#This Row],[Свёртка]])&gt;0,LEN(Множество[[#This Row],[Критерии]])&gt;0,LEN(Множество[[#This Row],[Оценки]])&gt;0),1,-1)</f>
        <v>-1</v>
      </c>
      <c r="AN740" s="230"/>
      <c r="AO740" s="208"/>
      <c r="AP740" s="208"/>
      <c r="AQ740" s="208"/>
      <c r="AR740" s="226"/>
      <c r="AS740" s="225"/>
      <c r="AT740" s="226"/>
      <c r="AU740" s="225"/>
      <c r="AV740" s="225"/>
      <c r="AW740" s="225"/>
      <c r="AX740" s="225"/>
      <c r="AY740" s="225"/>
    </row>
    <row r="741" spans="33:51" x14ac:dyDescent="0.25">
      <c r="AG741" s="66" t="str">
        <f>IF(AND(Множество[[#This Row],[Y]]=1),ROW()-ROW(Множество[[#Headers],[№]]),"")</f>
        <v/>
      </c>
      <c r="AI741" s="66">
        <v>1</v>
      </c>
      <c r="AJ741" s="66">
        <f>IF(LEN(Множество[[#This Row],[Свёртка]])&gt;0,1,-1)</f>
        <v>1</v>
      </c>
      <c r="AK741" s="66" t="s">
        <v>1781</v>
      </c>
      <c r="AL741" s="209">
        <f>IF(LEN(Множество[[#This Row],[Критерии]])&gt;0,1,-1)</f>
        <v>1</v>
      </c>
      <c r="AM741" s="209">
        <f>IF(AND(LEN(Множество[[#This Row],[Свёртка]])&gt;0,LEN(Множество[[#This Row],[Критерии]])&gt;0,LEN(Множество[[#This Row],[Оценки]])&gt;0),1,-1)</f>
        <v>-1</v>
      </c>
      <c r="AN741" s="230"/>
      <c r="AO741" s="208"/>
      <c r="AP741" s="208"/>
      <c r="AQ741" s="208"/>
      <c r="AR741" s="226"/>
      <c r="AS741" s="225"/>
      <c r="AT741" s="226"/>
      <c r="AU741" s="225"/>
      <c r="AV741" s="225"/>
      <c r="AW741" s="225"/>
      <c r="AX741" s="225"/>
      <c r="AY741" s="225"/>
    </row>
    <row r="742" spans="33:51" x14ac:dyDescent="0.25">
      <c r="AG742" s="66" t="str">
        <f>IF(AND(Множество[[#This Row],[Y]]=1),ROW()-ROW(Множество[[#Headers],[№]]),"")</f>
        <v/>
      </c>
      <c r="AI742" s="66">
        <v>1</v>
      </c>
      <c r="AJ742" s="66">
        <f>IF(LEN(Множество[[#This Row],[Свёртка]])&gt;0,1,-1)</f>
        <v>1</v>
      </c>
      <c r="AK742" s="66" t="s">
        <v>1781</v>
      </c>
      <c r="AL742" s="209">
        <f>IF(LEN(Множество[[#This Row],[Критерии]])&gt;0,1,-1)</f>
        <v>1</v>
      </c>
      <c r="AM742" s="209">
        <f>IF(AND(LEN(Множество[[#This Row],[Свёртка]])&gt;0,LEN(Множество[[#This Row],[Критерии]])&gt;0,LEN(Множество[[#This Row],[Оценки]])&gt;0),1,-1)</f>
        <v>-1</v>
      </c>
      <c r="AN742" s="230"/>
      <c r="AO742" s="208"/>
      <c r="AP742" s="208"/>
      <c r="AQ742" s="208"/>
      <c r="AR742" s="226"/>
      <c r="AS742" s="225"/>
      <c r="AT742" s="226"/>
      <c r="AU742" s="225"/>
      <c r="AV742" s="225"/>
      <c r="AW742" s="225"/>
      <c r="AX742" s="225"/>
      <c r="AY742" s="225"/>
    </row>
    <row r="743" spans="33:51" x14ac:dyDescent="0.25">
      <c r="AG743" s="66" t="str">
        <f>IF(AND(Множество[[#This Row],[Y]]=1),ROW()-ROW(Множество[[#Headers],[№]]),"")</f>
        <v/>
      </c>
      <c r="AI743" s="66">
        <v>1</v>
      </c>
      <c r="AJ743" s="66">
        <f>IF(LEN(Множество[[#This Row],[Свёртка]])&gt;0,1,-1)</f>
        <v>1</v>
      </c>
      <c r="AK743" s="66" t="s">
        <v>1781</v>
      </c>
      <c r="AL743" s="209">
        <f>IF(LEN(Множество[[#This Row],[Критерии]])&gt;0,1,-1)</f>
        <v>1</v>
      </c>
      <c r="AM743" s="209">
        <f>IF(AND(LEN(Множество[[#This Row],[Свёртка]])&gt;0,LEN(Множество[[#This Row],[Критерии]])&gt;0,LEN(Множество[[#This Row],[Оценки]])&gt;0),1,-1)</f>
        <v>-1</v>
      </c>
      <c r="AN743" s="230"/>
      <c r="AO743" s="208"/>
      <c r="AP743" s="208"/>
      <c r="AQ743" s="208"/>
      <c r="AR743" s="226"/>
      <c r="AS743" s="225"/>
      <c r="AT743" s="226"/>
      <c r="AU743" s="225"/>
      <c r="AV743" s="225"/>
      <c r="AW743" s="225"/>
      <c r="AX743" s="225"/>
      <c r="AY743" s="225"/>
    </row>
    <row r="744" spans="33:51" x14ac:dyDescent="0.25">
      <c r="AG744" s="66" t="str">
        <f>IF(AND(Множество[[#This Row],[Y]]=1),ROW()-ROW(Множество[[#Headers],[№]]),"")</f>
        <v/>
      </c>
      <c r="AI744" s="66">
        <v>1</v>
      </c>
      <c r="AJ744" s="66">
        <f>IF(LEN(Множество[[#This Row],[Свёртка]])&gt;0,1,-1)</f>
        <v>1</v>
      </c>
      <c r="AK744" s="66" t="s">
        <v>1781</v>
      </c>
      <c r="AL744" s="209">
        <f>IF(LEN(Множество[[#This Row],[Критерии]])&gt;0,1,-1)</f>
        <v>1</v>
      </c>
      <c r="AM744" s="209">
        <f>IF(AND(LEN(Множество[[#This Row],[Свёртка]])&gt;0,LEN(Множество[[#This Row],[Критерии]])&gt;0,LEN(Множество[[#This Row],[Оценки]])&gt;0),1,-1)</f>
        <v>-1</v>
      </c>
      <c r="AN744" s="230"/>
      <c r="AO744" s="208"/>
      <c r="AP744" s="208"/>
      <c r="AQ744" s="208"/>
      <c r="AR744" s="226"/>
      <c r="AS744" s="225"/>
      <c r="AT744" s="226"/>
      <c r="AU744" s="225"/>
      <c r="AV744" s="225"/>
      <c r="AW744" s="225"/>
      <c r="AX744" s="225"/>
      <c r="AY744" s="225"/>
    </row>
    <row r="745" spans="33:51" x14ac:dyDescent="0.25">
      <c r="AG745" s="66" t="str">
        <f>IF(AND(Множество[[#This Row],[Y]]=1),ROW()-ROW(Множество[[#Headers],[№]]),"")</f>
        <v/>
      </c>
      <c r="AI745" s="66">
        <v>1</v>
      </c>
      <c r="AJ745" s="66">
        <f>IF(LEN(Множество[[#This Row],[Свёртка]])&gt;0,1,-1)</f>
        <v>1</v>
      </c>
      <c r="AK745" s="66" t="s">
        <v>1781</v>
      </c>
      <c r="AL745" s="209">
        <f>IF(LEN(Множество[[#This Row],[Критерии]])&gt;0,1,-1)</f>
        <v>1</v>
      </c>
      <c r="AM745" s="209">
        <f>IF(AND(LEN(Множество[[#This Row],[Свёртка]])&gt;0,LEN(Множество[[#This Row],[Критерии]])&gt;0,LEN(Множество[[#This Row],[Оценки]])&gt;0),1,-1)</f>
        <v>-1</v>
      </c>
      <c r="AN745" s="230"/>
      <c r="AO745" s="208"/>
      <c r="AP745" s="208"/>
      <c r="AQ745" s="208"/>
      <c r="AR745" s="226"/>
      <c r="AS745" s="225"/>
      <c r="AT745" s="226"/>
      <c r="AU745" s="225"/>
      <c r="AV745" s="225"/>
      <c r="AW745" s="225"/>
      <c r="AX745" s="225"/>
      <c r="AY745" s="225"/>
    </row>
    <row r="746" spans="33:51" x14ac:dyDescent="0.25">
      <c r="AG746" s="66" t="str">
        <f>IF(AND(Множество[[#This Row],[Y]]=1),ROW()-ROW(Множество[[#Headers],[№]]),"")</f>
        <v/>
      </c>
      <c r="AI746" s="66">
        <v>1</v>
      </c>
      <c r="AJ746" s="66">
        <f>IF(LEN(Множество[[#This Row],[Свёртка]])&gt;0,1,-1)</f>
        <v>1</v>
      </c>
      <c r="AK746" s="66" t="s">
        <v>1781</v>
      </c>
      <c r="AL746" s="209">
        <f>IF(LEN(Множество[[#This Row],[Критерии]])&gt;0,1,-1)</f>
        <v>1</v>
      </c>
      <c r="AM746" s="209">
        <f>IF(AND(LEN(Множество[[#This Row],[Свёртка]])&gt;0,LEN(Множество[[#This Row],[Критерии]])&gt;0,LEN(Множество[[#This Row],[Оценки]])&gt;0),1,-1)</f>
        <v>-1</v>
      </c>
      <c r="AN746" s="230"/>
      <c r="AO746" s="208"/>
      <c r="AP746" s="208"/>
      <c r="AQ746" s="208"/>
      <c r="AR746" s="226"/>
      <c r="AS746" s="225"/>
      <c r="AT746" s="226"/>
      <c r="AU746" s="225"/>
      <c r="AV746" s="225"/>
      <c r="AW746" s="225"/>
      <c r="AX746" s="225"/>
      <c r="AY746" s="225"/>
    </row>
    <row r="747" spans="33:51" x14ac:dyDescent="0.25">
      <c r="AG747" s="66" t="str">
        <f>IF(AND(Множество[[#This Row],[Y]]=1),ROW()-ROW(Множество[[#Headers],[№]]),"")</f>
        <v/>
      </c>
      <c r="AI747" s="66">
        <v>1</v>
      </c>
      <c r="AJ747" s="66">
        <f>IF(LEN(Множество[[#This Row],[Свёртка]])&gt;0,1,-1)</f>
        <v>1</v>
      </c>
      <c r="AK747" s="66" t="s">
        <v>1781</v>
      </c>
      <c r="AL747" s="209">
        <f>IF(LEN(Множество[[#This Row],[Критерии]])&gt;0,1,-1)</f>
        <v>1</v>
      </c>
      <c r="AM747" s="209">
        <f>IF(AND(LEN(Множество[[#This Row],[Свёртка]])&gt;0,LEN(Множество[[#This Row],[Критерии]])&gt;0,LEN(Множество[[#This Row],[Оценки]])&gt;0),1,-1)</f>
        <v>-1</v>
      </c>
      <c r="AN747" s="230"/>
      <c r="AO747" s="208"/>
      <c r="AP747" s="208"/>
      <c r="AQ747" s="208"/>
      <c r="AR747" s="226"/>
      <c r="AS747" s="225"/>
      <c r="AT747" s="226"/>
      <c r="AU747" s="225"/>
      <c r="AV747" s="225"/>
      <c r="AW747" s="225"/>
      <c r="AX747" s="225"/>
      <c r="AY747" s="225"/>
    </row>
    <row r="748" spans="33:51" x14ac:dyDescent="0.25">
      <c r="AG748" s="66" t="str">
        <f>IF(AND(Множество[[#This Row],[Y]]=1),ROW()-ROW(Множество[[#Headers],[№]]),"")</f>
        <v/>
      </c>
      <c r="AI748" s="66">
        <v>1</v>
      </c>
      <c r="AJ748" s="66">
        <f>IF(LEN(Множество[[#This Row],[Свёртка]])&gt;0,1,-1)</f>
        <v>1</v>
      </c>
      <c r="AK748" s="66" t="s">
        <v>1781</v>
      </c>
      <c r="AL748" s="209">
        <f>IF(LEN(Множество[[#This Row],[Критерии]])&gt;0,1,-1)</f>
        <v>1</v>
      </c>
      <c r="AM748" s="209">
        <f>IF(AND(LEN(Множество[[#This Row],[Свёртка]])&gt;0,LEN(Множество[[#This Row],[Критерии]])&gt;0,LEN(Множество[[#This Row],[Оценки]])&gt;0),1,-1)</f>
        <v>-1</v>
      </c>
      <c r="AN748" s="230"/>
      <c r="AO748" s="208"/>
      <c r="AP748" s="208"/>
      <c r="AQ748" s="208"/>
      <c r="AR748" s="226"/>
      <c r="AS748" s="225"/>
      <c r="AT748" s="226"/>
      <c r="AU748" s="225"/>
      <c r="AV748" s="225"/>
      <c r="AW748" s="225"/>
      <c r="AX748" s="225"/>
      <c r="AY748" s="225"/>
    </row>
    <row r="749" spans="33:51" x14ac:dyDescent="0.25">
      <c r="AG749" s="66" t="str">
        <f>IF(AND(Множество[[#This Row],[Y]]=1),ROW()-ROW(Множество[[#Headers],[№]]),"")</f>
        <v/>
      </c>
      <c r="AI749" s="66">
        <v>1</v>
      </c>
      <c r="AJ749" s="66">
        <f>IF(LEN(Множество[[#This Row],[Свёртка]])&gt;0,1,-1)</f>
        <v>1</v>
      </c>
      <c r="AK749" s="66" t="s">
        <v>1781</v>
      </c>
      <c r="AL749" s="209">
        <f>IF(LEN(Множество[[#This Row],[Критерии]])&gt;0,1,-1)</f>
        <v>1</v>
      </c>
      <c r="AM749" s="209">
        <f>IF(AND(LEN(Множество[[#This Row],[Свёртка]])&gt;0,LEN(Множество[[#This Row],[Критерии]])&gt;0,LEN(Множество[[#This Row],[Оценки]])&gt;0),1,-1)</f>
        <v>-1</v>
      </c>
      <c r="AN749" s="230"/>
      <c r="AO749" s="208"/>
      <c r="AP749" s="208"/>
      <c r="AQ749" s="208"/>
      <c r="AR749" s="226"/>
      <c r="AS749" s="225"/>
      <c r="AT749" s="226"/>
      <c r="AU749" s="225"/>
      <c r="AV749" s="225"/>
      <c r="AW749" s="225"/>
      <c r="AX749" s="225"/>
      <c r="AY749" s="225"/>
    </row>
    <row r="750" spans="33:51" x14ac:dyDescent="0.25">
      <c r="AG750" s="66" t="str">
        <f>IF(AND(Множество[[#This Row],[Y]]=1),ROW()-ROW(Множество[[#Headers],[№]]),"")</f>
        <v/>
      </c>
      <c r="AI750" s="66">
        <v>1</v>
      </c>
      <c r="AJ750" s="66">
        <f>IF(LEN(Множество[[#This Row],[Свёртка]])&gt;0,1,-1)</f>
        <v>1</v>
      </c>
      <c r="AK750" s="66" t="s">
        <v>1781</v>
      </c>
      <c r="AL750" s="209">
        <f>IF(LEN(Множество[[#This Row],[Критерии]])&gt;0,1,-1)</f>
        <v>1</v>
      </c>
      <c r="AM750" s="209">
        <f>IF(AND(LEN(Множество[[#This Row],[Свёртка]])&gt;0,LEN(Множество[[#This Row],[Критерии]])&gt;0,LEN(Множество[[#This Row],[Оценки]])&gt;0),1,-1)</f>
        <v>-1</v>
      </c>
      <c r="AN750" s="230"/>
      <c r="AO750" s="208"/>
      <c r="AP750" s="208"/>
      <c r="AQ750" s="208"/>
      <c r="AR750" s="226"/>
      <c r="AS750" s="225"/>
      <c r="AT750" s="226"/>
      <c r="AU750" s="225"/>
      <c r="AV750" s="225"/>
      <c r="AW750" s="225"/>
      <c r="AX750" s="225"/>
      <c r="AY750" s="225"/>
    </row>
    <row r="751" spans="33:51" x14ac:dyDescent="0.25">
      <c r="AG751" s="66" t="str">
        <f>IF(AND(Множество[[#This Row],[Y]]=1),ROW()-ROW(Множество[[#Headers],[№]]),"")</f>
        <v/>
      </c>
      <c r="AI751" s="66">
        <v>1</v>
      </c>
      <c r="AJ751" s="66">
        <f>IF(LEN(Множество[[#This Row],[Свёртка]])&gt;0,1,-1)</f>
        <v>1</v>
      </c>
      <c r="AK751" s="66" t="s">
        <v>1781</v>
      </c>
      <c r="AL751" s="209">
        <f>IF(LEN(Множество[[#This Row],[Критерии]])&gt;0,1,-1)</f>
        <v>1</v>
      </c>
      <c r="AM751" s="209">
        <f>IF(AND(LEN(Множество[[#This Row],[Свёртка]])&gt;0,LEN(Множество[[#This Row],[Критерии]])&gt;0,LEN(Множество[[#This Row],[Оценки]])&gt;0),1,-1)</f>
        <v>-1</v>
      </c>
      <c r="AN751" s="230"/>
      <c r="AO751" s="208"/>
      <c r="AP751" s="208"/>
      <c r="AQ751" s="208"/>
      <c r="AR751" s="226"/>
      <c r="AS751" s="225"/>
      <c r="AT751" s="226"/>
      <c r="AU751" s="225"/>
      <c r="AV751" s="225"/>
      <c r="AW751" s="225"/>
      <c r="AX751" s="225"/>
      <c r="AY751" s="225"/>
    </row>
    <row r="752" spans="33:51" x14ac:dyDescent="0.25">
      <c r="AG752" s="66" t="str">
        <f>IF(AND(Множество[[#This Row],[Y]]=1),ROW()-ROW(Множество[[#Headers],[№]]),"")</f>
        <v/>
      </c>
      <c r="AI752" s="66">
        <v>1</v>
      </c>
      <c r="AJ752" s="66">
        <f>IF(LEN(Множество[[#This Row],[Свёртка]])&gt;0,1,-1)</f>
        <v>1</v>
      </c>
      <c r="AK752" s="66" t="s">
        <v>1781</v>
      </c>
      <c r="AL752" s="209">
        <f>IF(LEN(Множество[[#This Row],[Критерии]])&gt;0,1,-1)</f>
        <v>1</v>
      </c>
      <c r="AM752" s="209">
        <f>IF(AND(LEN(Множество[[#This Row],[Свёртка]])&gt;0,LEN(Множество[[#This Row],[Критерии]])&gt;0,LEN(Множество[[#This Row],[Оценки]])&gt;0),1,-1)</f>
        <v>-1</v>
      </c>
      <c r="AN752" s="230"/>
      <c r="AO752" s="208"/>
      <c r="AP752" s="208"/>
      <c r="AQ752" s="208"/>
      <c r="AR752" s="226"/>
      <c r="AS752" s="225"/>
      <c r="AT752" s="226"/>
      <c r="AU752" s="225"/>
      <c r="AV752" s="225"/>
      <c r="AW752" s="225"/>
      <c r="AX752" s="225"/>
      <c r="AY752" s="225"/>
    </row>
    <row r="753" spans="33:51" x14ac:dyDescent="0.25">
      <c r="AG753" s="66" t="str">
        <f>IF(AND(Множество[[#This Row],[Y]]=1),ROW()-ROW(Множество[[#Headers],[№]]),"")</f>
        <v/>
      </c>
      <c r="AI753" s="66">
        <v>1</v>
      </c>
      <c r="AJ753" s="66">
        <f>IF(LEN(Множество[[#This Row],[Свёртка]])&gt;0,1,-1)</f>
        <v>1</v>
      </c>
      <c r="AK753" s="66" t="s">
        <v>1781</v>
      </c>
      <c r="AL753" s="209">
        <f>IF(LEN(Множество[[#This Row],[Критерии]])&gt;0,1,-1)</f>
        <v>1</v>
      </c>
      <c r="AM753" s="209">
        <f>IF(AND(LEN(Множество[[#This Row],[Свёртка]])&gt;0,LEN(Множество[[#This Row],[Критерии]])&gt;0,LEN(Множество[[#This Row],[Оценки]])&gt;0),1,-1)</f>
        <v>-1</v>
      </c>
      <c r="AN753" s="230"/>
      <c r="AO753" s="208"/>
      <c r="AP753" s="208"/>
      <c r="AQ753" s="208"/>
      <c r="AR753" s="226"/>
      <c r="AS753" s="225"/>
      <c r="AT753" s="226"/>
      <c r="AU753" s="225"/>
      <c r="AV753" s="225"/>
      <c r="AW753" s="225"/>
      <c r="AX753" s="225"/>
      <c r="AY753" s="225"/>
    </row>
    <row r="754" spans="33:51" x14ac:dyDescent="0.25">
      <c r="AG754" s="66" t="str">
        <f>IF(AND(Множество[[#This Row],[Y]]=1),ROW()-ROW(Множество[[#Headers],[№]]),"")</f>
        <v/>
      </c>
      <c r="AI754" s="66">
        <v>1</v>
      </c>
      <c r="AJ754" s="66">
        <f>IF(LEN(Множество[[#This Row],[Свёртка]])&gt;0,1,-1)</f>
        <v>1</v>
      </c>
      <c r="AK754" s="66" t="s">
        <v>1781</v>
      </c>
      <c r="AL754" s="209">
        <f>IF(LEN(Множество[[#This Row],[Критерии]])&gt;0,1,-1)</f>
        <v>1</v>
      </c>
      <c r="AM754" s="209">
        <f>IF(AND(LEN(Множество[[#This Row],[Свёртка]])&gt;0,LEN(Множество[[#This Row],[Критерии]])&gt;0,LEN(Множество[[#This Row],[Оценки]])&gt;0),1,-1)</f>
        <v>-1</v>
      </c>
      <c r="AN754" s="230"/>
      <c r="AO754" s="208"/>
      <c r="AP754" s="208"/>
      <c r="AQ754" s="208"/>
      <c r="AR754" s="226"/>
      <c r="AS754" s="225"/>
      <c r="AT754" s="226"/>
      <c r="AU754" s="225"/>
      <c r="AV754" s="225"/>
      <c r="AW754" s="225"/>
      <c r="AX754" s="225"/>
      <c r="AY754" s="225"/>
    </row>
    <row r="755" spans="33:51" x14ac:dyDescent="0.25">
      <c r="AG755" s="66" t="str">
        <f>IF(AND(Множество[[#This Row],[Y]]=1),ROW()-ROW(Множество[[#Headers],[№]]),"")</f>
        <v/>
      </c>
      <c r="AI755" s="66">
        <v>1</v>
      </c>
      <c r="AJ755" s="66">
        <f>IF(LEN(Множество[[#This Row],[Свёртка]])&gt;0,1,-1)</f>
        <v>1</v>
      </c>
      <c r="AK755" s="66" t="s">
        <v>1781</v>
      </c>
      <c r="AL755" s="209">
        <f>IF(LEN(Множество[[#This Row],[Критерии]])&gt;0,1,-1)</f>
        <v>1</v>
      </c>
      <c r="AM755" s="209">
        <f>IF(AND(LEN(Множество[[#This Row],[Свёртка]])&gt;0,LEN(Множество[[#This Row],[Критерии]])&gt;0,LEN(Множество[[#This Row],[Оценки]])&gt;0),1,-1)</f>
        <v>-1</v>
      </c>
      <c r="AN755" s="230"/>
      <c r="AO755" s="208"/>
      <c r="AP755" s="208"/>
      <c r="AQ755" s="208"/>
      <c r="AR755" s="226"/>
      <c r="AS755" s="225"/>
      <c r="AT755" s="226"/>
      <c r="AU755" s="225"/>
      <c r="AV755" s="225"/>
      <c r="AW755" s="225"/>
      <c r="AX755" s="225"/>
      <c r="AY755" s="225"/>
    </row>
    <row r="756" spans="33:51" x14ac:dyDescent="0.25">
      <c r="AG756" s="66" t="str">
        <f>IF(AND(Множество[[#This Row],[Y]]=1),ROW()-ROW(Множество[[#Headers],[№]]),"")</f>
        <v/>
      </c>
      <c r="AI756" s="66">
        <v>1</v>
      </c>
      <c r="AJ756" s="66">
        <f>IF(LEN(Множество[[#This Row],[Свёртка]])&gt;0,1,-1)</f>
        <v>1</v>
      </c>
      <c r="AK756" s="66" t="s">
        <v>1781</v>
      </c>
      <c r="AL756" s="209">
        <f>IF(LEN(Множество[[#This Row],[Критерии]])&gt;0,1,-1)</f>
        <v>1</v>
      </c>
      <c r="AM756" s="209">
        <f>IF(AND(LEN(Множество[[#This Row],[Свёртка]])&gt;0,LEN(Множество[[#This Row],[Критерии]])&gt;0,LEN(Множество[[#This Row],[Оценки]])&gt;0),1,-1)</f>
        <v>-1</v>
      </c>
      <c r="AN756" s="230"/>
      <c r="AO756" s="208"/>
      <c r="AP756" s="208"/>
      <c r="AQ756" s="208"/>
      <c r="AR756" s="226"/>
      <c r="AS756" s="225"/>
      <c r="AT756" s="226"/>
      <c r="AU756" s="225"/>
      <c r="AV756" s="225"/>
      <c r="AW756" s="225"/>
      <c r="AX756" s="225"/>
      <c r="AY756" s="225"/>
    </row>
    <row r="757" spans="33:51" x14ac:dyDescent="0.25">
      <c r="AG757" s="66" t="str">
        <f>IF(AND(Множество[[#This Row],[Y]]=1),ROW()-ROW(Множество[[#Headers],[№]]),"")</f>
        <v/>
      </c>
      <c r="AI757" s="66">
        <v>1</v>
      </c>
      <c r="AJ757" s="66">
        <f>IF(LEN(Множество[[#This Row],[Свёртка]])&gt;0,1,-1)</f>
        <v>1</v>
      </c>
      <c r="AK757" s="66" t="s">
        <v>1781</v>
      </c>
      <c r="AL757" s="209">
        <f>IF(LEN(Множество[[#This Row],[Критерии]])&gt;0,1,-1)</f>
        <v>1</v>
      </c>
      <c r="AM757" s="209">
        <f>IF(AND(LEN(Множество[[#This Row],[Свёртка]])&gt;0,LEN(Множество[[#This Row],[Критерии]])&gt;0,LEN(Множество[[#This Row],[Оценки]])&gt;0),1,-1)</f>
        <v>-1</v>
      </c>
      <c r="AN757" s="230"/>
      <c r="AO757" s="208"/>
      <c r="AP757" s="208"/>
      <c r="AQ757" s="208"/>
      <c r="AR757" s="226"/>
      <c r="AS757" s="225"/>
      <c r="AT757" s="226"/>
      <c r="AU757" s="225"/>
      <c r="AV757" s="225"/>
      <c r="AW757" s="225"/>
      <c r="AX757" s="225"/>
      <c r="AY757" s="225"/>
    </row>
    <row r="758" spans="33:51" x14ac:dyDescent="0.25">
      <c r="AG758" s="66" t="str">
        <f>IF(AND(Множество[[#This Row],[Y]]=1),ROW()-ROW(Множество[[#Headers],[№]]),"")</f>
        <v/>
      </c>
      <c r="AI758" s="66">
        <v>1</v>
      </c>
      <c r="AJ758" s="66">
        <f>IF(LEN(Множество[[#This Row],[Свёртка]])&gt;0,1,-1)</f>
        <v>1</v>
      </c>
      <c r="AK758" s="66" t="s">
        <v>1781</v>
      </c>
      <c r="AL758" s="209">
        <f>IF(LEN(Множество[[#This Row],[Критерии]])&gt;0,1,-1)</f>
        <v>1</v>
      </c>
      <c r="AM758" s="209">
        <f>IF(AND(LEN(Множество[[#This Row],[Свёртка]])&gt;0,LEN(Множество[[#This Row],[Критерии]])&gt;0,LEN(Множество[[#This Row],[Оценки]])&gt;0),1,-1)</f>
        <v>-1</v>
      </c>
      <c r="AN758" s="230"/>
      <c r="AO758" s="208"/>
      <c r="AP758" s="208"/>
      <c r="AQ758" s="208"/>
      <c r="AR758" s="226"/>
      <c r="AS758" s="225"/>
      <c r="AT758" s="226"/>
      <c r="AU758" s="225"/>
      <c r="AV758" s="225"/>
      <c r="AW758" s="225"/>
      <c r="AX758" s="225"/>
      <c r="AY758" s="225"/>
    </row>
    <row r="759" spans="33:51" x14ac:dyDescent="0.25">
      <c r="AG759" s="66" t="str">
        <f>IF(AND(Множество[[#This Row],[Y]]=1),ROW()-ROW(Множество[[#Headers],[№]]),"")</f>
        <v/>
      </c>
      <c r="AI759" s="66">
        <v>1</v>
      </c>
      <c r="AJ759" s="66">
        <f>IF(LEN(Множество[[#This Row],[Свёртка]])&gt;0,1,-1)</f>
        <v>1</v>
      </c>
      <c r="AK759" s="66" t="s">
        <v>1781</v>
      </c>
      <c r="AL759" s="209">
        <f>IF(LEN(Множество[[#This Row],[Критерии]])&gt;0,1,-1)</f>
        <v>1</v>
      </c>
      <c r="AM759" s="209">
        <f>IF(AND(LEN(Множество[[#This Row],[Свёртка]])&gt;0,LEN(Множество[[#This Row],[Критерии]])&gt;0,LEN(Множество[[#This Row],[Оценки]])&gt;0),1,-1)</f>
        <v>-1</v>
      </c>
      <c r="AN759" s="230"/>
      <c r="AO759" s="208"/>
      <c r="AP759" s="208"/>
      <c r="AQ759" s="208"/>
      <c r="AR759" s="226"/>
      <c r="AS759" s="225"/>
      <c r="AT759" s="226"/>
      <c r="AU759" s="225"/>
      <c r="AV759" s="225"/>
      <c r="AW759" s="225"/>
      <c r="AX759" s="225"/>
      <c r="AY759" s="225"/>
    </row>
    <row r="760" spans="33:51" x14ac:dyDescent="0.25">
      <c r="AG760" s="66" t="str">
        <f>IF(AND(Множество[[#This Row],[Y]]=1),ROW()-ROW(Множество[[#Headers],[№]]),"")</f>
        <v/>
      </c>
      <c r="AI760" s="66">
        <v>1</v>
      </c>
      <c r="AJ760" s="66">
        <f>IF(LEN(Множество[[#This Row],[Свёртка]])&gt;0,1,-1)</f>
        <v>1</v>
      </c>
      <c r="AK760" s="66" t="s">
        <v>1781</v>
      </c>
      <c r="AL760" s="209">
        <f>IF(LEN(Множество[[#This Row],[Критерии]])&gt;0,1,-1)</f>
        <v>1</v>
      </c>
      <c r="AM760" s="209">
        <f>IF(AND(LEN(Множество[[#This Row],[Свёртка]])&gt;0,LEN(Множество[[#This Row],[Критерии]])&gt;0,LEN(Множество[[#This Row],[Оценки]])&gt;0),1,-1)</f>
        <v>-1</v>
      </c>
      <c r="AN760" s="230"/>
      <c r="AO760" s="208"/>
      <c r="AP760" s="208"/>
      <c r="AQ760" s="208"/>
      <c r="AR760" s="226"/>
      <c r="AS760" s="225"/>
      <c r="AT760" s="226"/>
      <c r="AU760" s="225"/>
      <c r="AV760" s="225"/>
      <c r="AW760" s="225"/>
      <c r="AX760" s="225"/>
      <c r="AY760" s="225"/>
    </row>
    <row r="761" spans="33:51" x14ac:dyDescent="0.25">
      <c r="AG761" s="66" t="str">
        <f>IF(AND(Множество[[#This Row],[Y]]=1),ROW()-ROW(Множество[[#Headers],[№]]),"")</f>
        <v/>
      </c>
      <c r="AI761" s="66">
        <v>1</v>
      </c>
      <c r="AJ761" s="66">
        <f>IF(LEN(Множество[[#This Row],[Свёртка]])&gt;0,1,-1)</f>
        <v>1</v>
      </c>
      <c r="AK761" s="66" t="s">
        <v>1781</v>
      </c>
      <c r="AL761" s="209">
        <f>IF(LEN(Множество[[#This Row],[Критерии]])&gt;0,1,-1)</f>
        <v>1</v>
      </c>
      <c r="AM761" s="209">
        <f>IF(AND(LEN(Множество[[#This Row],[Свёртка]])&gt;0,LEN(Множество[[#This Row],[Критерии]])&gt;0,LEN(Множество[[#This Row],[Оценки]])&gt;0),1,-1)</f>
        <v>-1</v>
      </c>
      <c r="AN761" s="230"/>
      <c r="AO761" s="208"/>
      <c r="AP761" s="208"/>
      <c r="AQ761" s="208"/>
      <c r="AR761" s="226"/>
      <c r="AS761" s="225"/>
      <c r="AT761" s="226"/>
      <c r="AU761" s="225"/>
      <c r="AV761" s="225"/>
      <c r="AW761" s="225"/>
      <c r="AX761" s="225"/>
      <c r="AY761" s="225"/>
    </row>
    <row r="762" spans="33:51" x14ac:dyDescent="0.25">
      <c r="AG762" s="66" t="str">
        <f>IF(AND(Множество[[#This Row],[Y]]=1),ROW()-ROW(Множество[[#Headers],[№]]),"")</f>
        <v/>
      </c>
      <c r="AI762" s="66">
        <v>1</v>
      </c>
      <c r="AJ762" s="66">
        <f>IF(LEN(Множество[[#This Row],[Свёртка]])&gt;0,1,-1)</f>
        <v>1</v>
      </c>
      <c r="AK762" s="66" t="s">
        <v>1781</v>
      </c>
      <c r="AL762" s="209">
        <f>IF(LEN(Множество[[#This Row],[Критерии]])&gt;0,1,-1)</f>
        <v>1</v>
      </c>
      <c r="AM762" s="209">
        <f>IF(AND(LEN(Множество[[#This Row],[Свёртка]])&gt;0,LEN(Множество[[#This Row],[Критерии]])&gt;0,LEN(Множество[[#This Row],[Оценки]])&gt;0),1,-1)</f>
        <v>-1</v>
      </c>
      <c r="AN762" s="230"/>
      <c r="AO762" s="208"/>
      <c r="AP762" s="208"/>
      <c r="AQ762" s="208"/>
      <c r="AR762" s="226"/>
      <c r="AS762" s="225"/>
      <c r="AT762" s="226"/>
      <c r="AU762" s="225"/>
      <c r="AV762" s="225"/>
      <c r="AW762" s="225"/>
      <c r="AX762" s="225"/>
      <c r="AY762" s="225"/>
    </row>
    <row r="763" spans="33:51" x14ac:dyDescent="0.25">
      <c r="AG763" s="66" t="str">
        <f>IF(AND(Множество[[#This Row],[Y]]=1),ROW()-ROW(Множество[[#Headers],[№]]),"")</f>
        <v/>
      </c>
      <c r="AI763" s="66">
        <v>1</v>
      </c>
      <c r="AJ763" s="66">
        <f>IF(LEN(Множество[[#This Row],[Свёртка]])&gt;0,1,-1)</f>
        <v>1</v>
      </c>
      <c r="AK763" s="66" t="s">
        <v>1781</v>
      </c>
      <c r="AL763" s="209">
        <f>IF(LEN(Множество[[#This Row],[Критерии]])&gt;0,1,-1)</f>
        <v>1</v>
      </c>
      <c r="AM763" s="209">
        <f>IF(AND(LEN(Множество[[#This Row],[Свёртка]])&gt;0,LEN(Множество[[#This Row],[Критерии]])&gt;0,LEN(Множество[[#This Row],[Оценки]])&gt;0),1,-1)</f>
        <v>-1</v>
      </c>
      <c r="AN763" s="230"/>
      <c r="AO763" s="208"/>
      <c r="AP763" s="208"/>
      <c r="AQ763" s="208"/>
      <c r="AR763" s="226"/>
      <c r="AS763" s="225"/>
      <c r="AT763" s="226"/>
      <c r="AU763" s="225"/>
      <c r="AV763" s="225"/>
      <c r="AW763" s="225"/>
      <c r="AX763" s="225"/>
      <c r="AY763" s="225"/>
    </row>
    <row r="764" spans="33:51" x14ac:dyDescent="0.25">
      <c r="AG764" s="66" t="str">
        <f>IF(AND(Множество[[#This Row],[Y]]=1),ROW()-ROW(Множество[[#Headers],[№]]),"")</f>
        <v/>
      </c>
      <c r="AI764" s="66">
        <v>1</v>
      </c>
      <c r="AJ764" s="66">
        <f>IF(LEN(Множество[[#This Row],[Свёртка]])&gt;0,1,-1)</f>
        <v>1</v>
      </c>
      <c r="AK764" s="66" t="s">
        <v>1781</v>
      </c>
      <c r="AL764" s="209">
        <f>IF(LEN(Множество[[#This Row],[Критерии]])&gt;0,1,-1)</f>
        <v>1</v>
      </c>
      <c r="AM764" s="209">
        <f>IF(AND(LEN(Множество[[#This Row],[Свёртка]])&gt;0,LEN(Множество[[#This Row],[Критерии]])&gt;0,LEN(Множество[[#This Row],[Оценки]])&gt;0),1,-1)</f>
        <v>-1</v>
      </c>
      <c r="AN764" s="230"/>
      <c r="AO764" s="208"/>
      <c r="AP764" s="208"/>
      <c r="AQ764" s="208"/>
      <c r="AR764" s="226"/>
      <c r="AS764" s="225"/>
      <c r="AT764" s="226"/>
      <c r="AU764" s="225"/>
      <c r="AV764" s="225"/>
      <c r="AW764" s="225"/>
      <c r="AX764" s="225"/>
      <c r="AY764" s="225"/>
    </row>
    <row r="765" spans="33:51" x14ac:dyDescent="0.25">
      <c r="AG765" s="66" t="str">
        <f>IF(AND(Множество[[#This Row],[Y]]=1),ROW()-ROW(Множество[[#Headers],[№]]),"")</f>
        <v/>
      </c>
      <c r="AI765" s="66">
        <v>1</v>
      </c>
      <c r="AJ765" s="66">
        <f>IF(LEN(Множество[[#This Row],[Свёртка]])&gt;0,1,-1)</f>
        <v>1</v>
      </c>
      <c r="AK765" s="66" t="s">
        <v>1781</v>
      </c>
      <c r="AL765" s="209">
        <f>IF(LEN(Множество[[#This Row],[Критерии]])&gt;0,1,-1)</f>
        <v>1</v>
      </c>
      <c r="AM765" s="209">
        <f>IF(AND(LEN(Множество[[#This Row],[Свёртка]])&gt;0,LEN(Множество[[#This Row],[Критерии]])&gt;0,LEN(Множество[[#This Row],[Оценки]])&gt;0),1,-1)</f>
        <v>-1</v>
      </c>
      <c r="AN765" s="230"/>
      <c r="AO765" s="208"/>
      <c r="AP765" s="208"/>
      <c r="AQ765" s="208"/>
      <c r="AR765" s="226"/>
      <c r="AS765" s="225"/>
      <c r="AT765" s="226"/>
      <c r="AU765" s="225"/>
      <c r="AV765" s="225"/>
      <c r="AW765" s="225"/>
      <c r="AX765" s="225"/>
      <c r="AY765" s="225"/>
    </row>
    <row r="766" spans="33:51" x14ac:dyDescent="0.25">
      <c r="AG766" s="66" t="str">
        <f>IF(AND(Множество[[#This Row],[Y]]=1),ROW()-ROW(Множество[[#Headers],[№]]),"")</f>
        <v/>
      </c>
      <c r="AI766" s="66">
        <v>1</v>
      </c>
      <c r="AJ766" s="66">
        <f>IF(LEN(Множество[[#This Row],[Свёртка]])&gt;0,1,-1)</f>
        <v>1</v>
      </c>
      <c r="AK766" s="66" t="s">
        <v>1781</v>
      </c>
      <c r="AL766" s="209">
        <f>IF(LEN(Множество[[#This Row],[Критерии]])&gt;0,1,-1)</f>
        <v>1</v>
      </c>
      <c r="AM766" s="209">
        <f>IF(AND(LEN(Множество[[#This Row],[Свёртка]])&gt;0,LEN(Множество[[#This Row],[Критерии]])&gt;0,LEN(Множество[[#This Row],[Оценки]])&gt;0),1,-1)</f>
        <v>-1</v>
      </c>
      <c r="AN766" s="230"/>
      <c r="AO766" s="208"/>
      <c r="AP766" s="208"/>
      <c r="AQ766" s="208"/>
      <c r="AR766" s="226"/>
      <c r="AS766" s="225"/>
      <c r="AT766" s="226"/>
      <c r="AU766" s="225"/>
      <c r="AV766" s="225"/>
      <c r="AW766" s="225"/>
      <c r="AX766" s="225"/>
      <c r="AY766" s="225"/>
    </row>
    <row r="767" spans="33:51" x14ac:dyDescent="0.25">
      <c r="AG767" s="66" t="str">
        <f>IF(AND(Множество[[#This Row],[Y]]=1),ROW()-ROW(Множество[[#Headers],[№]]),"")</f>
        <v/>
      </c>
      <c r="AI767" s="66">
        <v>1</v>
      </c>
      <c r="AJ767" s="66">
        <f>IF(LEN(Множество[[#This Row],[Свёртка]])&gt;0,1,-1)</f>
        <v>1</v>
      </c>
      <c r="AK767" s="66" t="s">
        <v>1781</v>
      </c>
      <c r="AL767" s="209">
        <f>IF(LEN(Множество[[#This Row],[Критерии]])&gt;0,1,-1)</f>
        <v>1</v>
      </c>
      <c r="AM767" s="209">
        <f>IF(AND(LEN(Множество[[#This Row],[Свёртка]])&gt;0,LEN(Множество[[#This Row],[Критерии]])&gt;0,LEN(Множество[[#This Row],[Оценки]])&gt;0),1,-1)</f>
        <v>-1</v>
      </c>
      <c r="AN767" s="230"/>
      <c r="AO767" s="208"/>
      <c r="AP767" s="208"/>
      <c r="AQ767" s="208"/>
      <c r="AR767" s="226"/>
      <c r="AS767" s="225"/>
      <c r="AT767" s="226"/>
      <c r="AU767" s="225"/>
      <c r="AV767" s="225"/>
      <c r="AW767" s="225"/>
      <c r="AX767" s="225"/>
      <c r="AY767" s="225"/>
    </row>
    <row r="768" spans="33:51" x14ac:dyDescent="0.25">
      <c r="AG768" s="66" t="str">
        <f>IF(AND(Множество[[#This Row],[Y]]=1),ROW()-ROW(Множество[[#Headers],[№]]),"")</f>
        <v/>
      </c>
      <c r="AI768" s="66">
        <v>1</v>
      </c>
      <c r="AJ768" s="66">
        <f>IF(LEN(Множество[[#This Row],[Свёртка]])&gt;0,1,-1)</f>
        <v>1</v>
      </c>
      <c r="AK768" s="66" t="s">
        <v>1781</v>
      </c>
      <c r="AL768" s="209">
        <f>IF(LEN(Множество[[#This Row],[Критерии]])&gt;0,1,-1)</f>
        <v>1</v>
      </c>
      <c r="AM768" s="209">
        <f>IF(AND(LEN(Множество[[#This Row],[Свёртка]])&gt;0,LEN(Множество[[#This Row],[Критерии]])&gt;0,LEN(Множество[[#This Row],[Оценки]])&gt;0),1,-1)</f>
        <v>-1</v>
      </c>
      <c r="AN768" s="230"/>
      <c r="AO768" s="208"/>
      <c r="AP768" s="208"/>
      <c r="AQ768" s="208"/>
      <c r="AR768" s="226"/>
      <c r="AS768" s="225"/>
      <c r="AT768" s="226"/>
      <c r="AU768" s="225"/>
      <c r="AV768" s="225"/>
      <c r="AW768" s="225"/>
      <c r="AX768" s="225"/>
      <c r="AY768" s="225"/>
    </row>
    <row r="769" spans="33:51" x14ac:dyDescent="0.25">
      <c r="AG769" s="66" t="str">
        <f>IF(AND(Множество[[#This Row],[Y]]=1),ROW()-ROW(Множество[[#Headers],[№]]),"")</f>
        <v/>
      </c>
      <c r="AI769" s="66">
        <v>1</v>
      </c>
      <c r="AJ769" s="66">
        <f>IF(LEN(Множество[[#This Row],[Свёртка]])&gt;0,1,-1)</f>
        <v>1</v>
      </c>
      <c r="AK769" s="66" t="s">
        <v>1781</v>
      </c>
      <c r="AL769" s="209">
        <f>IF(LEN(Множество[[#This Row],[Критерии]])&gt;0,1,-1)</f>
        <v>1</v>
      </c>
      <c r="AM769" s="209">
        <f>IF(AND(LEN(Множество[[#This Row],[Свёртка]])&gt;0,LEN(Множество[[#This Row],[Критерии]])&gt;0,LEN(Множество[[#This Row],[Оценки]])&gt;0),1,-1)</f>
        <v>-1</v>
      </c>
      <c r="AN769" s="230"/>
      <c r="AO769" s="208"/>
      <c r="AP769" s="208"/>
      <c r="AQ769" s="208"/>
      <c r="AR769" s="226"/>
      <c r="AS769" s="225"/>
      <c r="AT769" s="226"/>
      <c r="AU769" s="225"/>
      <c r="AV769" s="225"/>
      <c r="AW769" s="225"/>
      <c r="AX769" s="225"/>
      <c r="AY769" s="225"/>
    </row>
    <row r="770" spans="33:51" x14ac:dyDescent="0.25">
      <c r="AG770" s="66" t="str">
        <f>IF(AND(Множество[[#This Row],[Y]]=1),ROW()-ROW(Множество[[#Headers],[№]]),"")</f>
        <v/>
      </c>
      <c r="AI770" s="66">
        <v>1</v>
      </c>
      <c r="AJ770" s="66">
        <f>IF(LEN(Множество[[#This Row],[Свёртка]])&gt;0,1,-1)</f>
        <v>1</v>
      </c>
      <c r="AK770" s="66" t="s">
        <v>1781</v>
      </c>
      <c r="AL770" s="209">
        <f>IF(LEN(Множество[[#This Row],[Критерии]])&gt;0,1,-1)</f>
        <v>1</v>
      </c>
      <c r="AM770" s="209">
        <f>IF(AND(LEN(Множество[[#This Row],[Свёртка]])&gt;0,LEN(Множество[[#This Row],[Критерии]])&gt;0,LEN(Множество[[#This Row],[Оценки]])&gt;0),1,-1)</f>
        <v>-1</v>
      </c>
      <c r="AN770" s="230"/>
      <c r="AO770" s="208"/>
      <c r="AP770" s="208"/>
      <c r="AQ770" s="208"/>
      <c r="AR770" s="226"/>
      <c r="AS770" s="225"/>
      <c r="AT770" s="226"/>
      <c r="AU770" s="225"/>
      <c r="AV770" s="225"/>
      <c r="AW770" s="225"/>
      <c r="AX770" s="225"/>
      <c r="AY770" s="225"/>
    </row>
    <row r="771" spans="33:51" x14ac:dyDescent="0.25">
      <c r="AG771" s="66" t="str">
        <f>IF(AND(Множество[[#This Row],[Y]]=1),ROW()-ROW(Множество[[#Headers],[№]]),"")</f>
        <v/>
      </c>
      <c r="AI771" s="66">
        <v>1</v>
      </c>
      <c r="AJ771" s="66">
        <f>IF(LEN(Множество[[#This Row],[Свёртка]])&gt;0,1,-1)</f>
        <v>1</v>
      </c>
      <c r="AK771" s="66" t="s">
        <v>1781</v>
      </c>
      <c r="AL771" s="209">
        <f>IF(LEN(Множество[[#This Row],[Критерии]])&gt;0,1,-1)</f>
        <v>1</v>
      </c>
      <c r="AM771" s="209">
        <f>IF(AND(LEN(Множество[[#This Row],[Свёртка]])&gt;0,LEN(Множество[[#This Row],[Критерии]])&gt;0,LEN(Множество[[#This Row],[Оценки]])&gt;0),1,-1)</f>
        <v>-1</v>
      </c>
      <c r="AN771" s="230"/>
      <c r="AO771" s="208"/>
      <c r="AP771" s="208"/>
      <c r="AQ771" s="208"/>
      <c r="AR771" s="226"/>
      <c r="AS771" s="225"/>
      <c r="AT771" s="226"/>
      <c r="AU771" s="225"/>
      <c r="AV771" s="225"/>
      <c r="AW771" s="225"/>
      <c r="AX771" s="225"/>
      <c r="AY771" s="225"/>
    </row>
    <row r="772" spans="33:51" x14ac:dyDescent="0.25">
      <c r="AG772" s="66" t="str">
        <f>IF(AND(Множество[[#This Row],[Y]]=1),ROW()-ROW(Множество[[#Headers],[№]]),"")</f>
        <v/>
      </c>
      <c r="AI772" s="66">
        <v>1</v>
      </c>
      <c r="AJ772" s="66">
        <f>IF(LEN(Множество[[#This Row],[Свёртка]])&gt;0,1,-1)</f>
        <v>1</v>
      </c>
      <c r="AK772" s="66" t="s">
        <v>1781</v>
      </c>
      <c r="AL772" s="209">
        <f>IF(LEN(Множество[[#This Row],[Критерии]])&gt;0,1,-1)</f>
        <v>1</v>
      </c>
      <c r="AM772" s="209">
        <f>IF(AND(LEN(Множество[[#This Row],[Свёртка]])&gt;0,LEN(Множество[[#This Row],[Критерии]])&gt;0,LEN(Множество[[#This Row],[Оценки]])&gt;0),1,-1)</f>
        <v>-1</v>
      </c>
      <c r="AN772" s="230"/>
      <c r="AO772" s="208"/>
      <c r="AP772" s="208"/>
      <c r="AQ772" s="208"/>
      <c r="AR772" s="226"/>
      <c r="AS772" s="225"/>
      <c r="AT772" s="226"/>
      <c r="AU772" s="225"/>
      <c r="AV772" s="225"/>
      <c r="AW772" s="225"/>
      <c r="AX772" s="225"/>
      <c r="AY772" s="225"/>
    </row>
    <row r="773" spans="33:51" x14ac:dyDescent="0.25">
      <c r="AG773" s="66" t="str">
        <f>IF(AND(Множество[[#This Row],[Y]]=1),ROW()-ROW(Множество[[#Headers],[№]]),"")</f>
        <v/>
      </c>
      <c r="AI773" s="66">
        <v>1</v>
      </c>
      <c r="AJ773" s="66">
        <f>IF(LEN(Множество[[#This Row],[Свёртка]])&gt;0,1,-1)</f>
        <v>1</v>
      </c>
      <c r="AK773" s="66" t="s">
        <v>1781</v>
      </c>
      <c r="AL773" s="209">
        <f>IF(LEN(Множество[[#This Row],[Критерии]])&gt;0,1,-1)</f>
        <v>1</v>
      </c>
      <c r="AM773" s="209">
        <f>IF(AND(LEN(Множество[[#This Row],[Свёртка]])&gt;0,LEN(Множество[[#This Row],[Критерии]])&gt;0,LEN(Множество[[#This Row],[Оценки]])&gt;0),1,-1)</f>
        <v>-1</v>
      </c>
      <c r="AN773" s="230"/>
      <c r="AO773" s="208"/>
      <c r="AP773" s="208"/>
      <c r="AQ773" s="208"/>
      <c r="AR773" s="226"/>
      <c r="AS773" s="225"/>
      <c r="AT773" s="226"/>
      <c r="AU773" s="225"/>
      <c r="AV773" s="225"/>
      <c r="AW773" s="225"/>
      <c r="AX773" s="225"/>
      <c r="AY773" s="225"/>
    </row>
    <row r="774" spans="33:51" x14ac:dyDescent="0.25">
      <c r="AG774" s="66" t="str">
        <f>IF(AND(Множество[[#This Row],[Y]]=1),ROW()-ROW(Множество[[#Headers],[№]]),"")</f>
        <v/>
      </c>
      <c r="AI774" s="66">
        <v>1</v>
      </c>
      <c r="AJ774" s="66">
        <f>IF(LEN(Множество[[#This Row],[Свёртка]])&gt;0,1,-1)</f>
        <v>1</v>
      </c>
      <c r="AK774" s="66" t="s">
        <v>1781</v>
      </c>
      <c r="AL774" s="209">
        <f>IF(LEN(Множество[[#This Row],[Критерии]])&gt;0,1,-1)</f>
        <v>1</v>
      </c>
      <c r="AM774" s="209">
        <f>IF(AND(LEN(Множество[[#This Row],[Свёртка]])&gt;0,LEN(Множество[[#This Row],[Критерии]])&gt;0,LEN(Множество[[#This Row],[Оценки]])&gt;0),1,-1)</f>
        <v>-1</v>
      </c>
      <c r="AN774" s="230"/>
      <c r="AO774" s="208"/>
      <c r="AP774" s="208"/>
      <c r="AQ774" s="208"/>
      <c r="AR774" s="226"/>
      <c r="AS774" s="225"/>
      <c r="AT774" s="226"/>
      <c r="AU774" s="225"/>
      <c r="AV774" s="225"/>
      <c r="AW774" s="225"/>
      <c r="AX774" s="225"/>
      <c r="AY774" s="225"/>
    </row>
    <row r="775" spans="33:51" x14ac:dyDescent="0.25">
      <c r="AG775" s="66" t="str">
        <f>IF(AND(Множество[[#This Row],[Y]]=1),ROW()-ROW(Множество[[#Headers],[№]]),"")</f>
        <v/>
      </c>
      <c r="AI775" s="66">
        <v>1</v>
      </c>
      <c r="AJ775" s="66">
        <f>IF(LEN(Множество[[#This Row],[Свёртка]])&gt;0,1,-1)</f>
        <v>1</v>
      </c>
      <c r="AK775" s="66" t="s">
        <v>1781</v>
      </c>
      <c r="AL775" s="209">
        <f>IF(LEN(Множество[[#This Row],[Критерии]])&gt;0,1,-1)</f>
        <v>1</v>
      </c>
      <c r="AM775" s="209">
        <f>IF(AND(LEN(Множество[[#This Row],[Свёртка]])&gt;0,LEN(Множество[[#This Row],[Критерии]])&gt;0,LEN(Множество[[#This Row],[Оценки]])&gt;0),1,-1)</f>
        <v>-1</v>
      </c>
      <c r="AN775" s="230"/>
      <c r="AO775" s="208"/>
      <c r="AP775" s="208"/>
      <c r="AQ775" s="208"/>
      <c r="AR775" s="226"/>
      <c r="AS775" s="225"/>
      <c r="AT775" s="226"/>
      <c r="AU775" s="225"/>
      <c r="AV775" s="225"/>
      <c r="AW775" s="225"/>
      <c r="AX775" s="225"/>
      <c r="AY775" s="225"/>
    </row>
    <row r="776" spans="33:51" x14ac:dyDescent="0.25">
      <c r="AG776" s="66" t="str">
        <f>IF(AND(Множество[[#This Row],[Y]]=1),ROW()-ROW(Множество[[#Headers],[№]]),"")</f>
        <v/>
      </c>
      <c r="AI776" s="66">
        <v>1</v>
      </c>
      <c r="AJ776" s="66">
        <f>IF(LEN(Множество[[#This Row],[Свёртка]])&gt;0,1,-1)</f>
        <v>1</v>
      </c>
      <c r="AK776" s="66" t="s">
        <v>1781</v>
      </c>
      <c r="AL776" s="209">
        <f>IF(LEN(Множество[[#This Row],[Критерии]])&gt;0,1,-1)</f>
        <v>1</v>
      </c>
      <c r="AM776" s="209">
        <f>IF(AND(LEN(Множество[[#This Row],[Свёртка]])&gt;0,LEN(Множество[[#This Row],[Критерии]])&gt;0,LEN(Множество[[#This Row],[Оценки]])&gt;0),1,-1)</f>
        <v>-1</v>
      </c>
      <c r="AN776" s="230"/>
      <c r="AO776" s="208"/>
      <c r="AP776" s="208"/>
      <c r="AQ776" s="208"/>
      <c r="AR776" s="226"/>
      <c r="AS776" s="225"/>
      <c r="AT776" s="226"/>
      <c r="AU776" s="225"/>
      <c r="AV776" s="225"/>
      <c r="AW776" s="225"/>
      <c r="AX776" s="225"/>
      <c r="AY776" s="225"/>
    </row>
    <row r="777" spans="33:51" x14ac:dyDescent="0.25">
      <c r="AG777" s="66" t="str">
        <f>IF(AND(Множество[[#This Row],[Y]]=1),ROW()-ROW(Множество[[#Headers],[№]]),"")</f>
        <v/>
      </c>
      <c r="AI777" s="66">
        <v>1</v>
      </c>
      <c r="AJ777" s="66">
        <f>IF(LEN(Множество[[#This Row],[Свёртка]])&gt;0,1,-1)</f>
        <v>1</v>
      </c>
      <c r="AK777" s="66" t="s">
        <v>1781</v>
      </c>
      <c r="AL777" s="209">
        <f>IF(LEN(Множество[[#This Row],[Критерии]])&gt;0,1,-1)</f>
        <v>1</v>
      </c>
      <c r="AM777" s="209">
        <f>IF(AND(LEN(Множество[[#This Row],[Свёртка]])&gt;0,LEN(Множество[[#This Row],[Критерии]])&gt;0,LEN(Множество[[#This Row],[Оценки]])&gt;0),1,-1)</f>
        <v>-1</v>
      </c>
      <c r="AN777" s="230"/>
      <c r="AO777" s="208"/>
      <c r="AP777" s="208"/>
      <c r="AQ777" s="208"/>
      <c r="AR777" s="226"/>
      <c r="AS777" s="225"/>
      <c r="AT777" s="226"/>
      <c r="AU777" s="225"/>
      <c r="AV777" s="225"/>
      <c r="AW777" s="225"/>
      <c r="AX777" s="225"/>
      <c r="AY777" s="225"/>
    </row>
    <row r="778" spans="33:51" x14ac:dyDescent="0.25">
      <c r="AG778" s="66" t="str">
        <f>IF(AND(Множество[[#This Row],[Y]]=1),ROW()-ROW(Множество[[#Headers],[№]]),"")</f>
        <v/>
      </c>
      <c r="AI778" s="66">
        <v>1</v>
      </c>
      <c r="AJ778" s="66">
        <f>IF(LEN(Множество[[#This Row],[Свёртка]])&gt;0,1,-1)</f>
        <v>1</v>
      </c>
      <c r="AK778" s="66" t="s">
        <v>1781</v>
      </c>
      <c r="AL778" s="209">
        <f>IF(LEN(Множество[[#This Row],[Критерии]])&gt;0,1,-1)</f>
        <v>1</v>
      </c>
      <c r="AM778" s="209">
        <f>IF(AND(LEN(Множество[[#This Row],[Свёртка]])&gt;0,LEN(Множество[[#This Row],[Критерии]])&gt;0,LEN(Множество[[#This Row],[Оценки]])&gt;0),1,-1)</f>
        <v>-1</v>
      </c>
      <c r="AN778" s="230"/>
      <c r="AO778" s="208"/>
      <c r="AP778" s="208"/>
      <c r="AQ778" s="208"/>
      <c r="AR778" s="226"/>
      <c r="AS778" s="225"/>
      <c r="AT778" s="226"/>
      <c r="AU778" s="225"/>
      <c r="AV778" s="225"/>
      <c r="AW778" s="225"/>
      <c r="AX778" s="225"/>
      <c r="AY778" s="225"/>
    </row>
    <row r="779" spans="33:51" x14ac:dyDescent="0.25">
      <c r="AG779" s="66" t="str">
        <f>IF(AND(Множество[[#This Row],[Y]]=1),ROW()-ROW(Множество[[#Headers],[№]]),"")</f>
        <v/>
      </c>
      <c r="AI779" s="66">
        <v>1</v>
      </c>
      <c r="AJ779" s="66">
        <f>IF(LEN(Множество[[#This Row],[Свёртка]])&gt;0,1,-1)</f>
        <v>1</v>
      </c>
      <c r="AK779" s="66" t="s">
        <v>1781</v>
      </c>
      <c r="AL779" s="209">
        <f>IF(LEN(Множество[[#This Row],[Критерии]])&gt;0,1,-1)</f>
        <v>1</v>
      </c>
      <c r="AM779" s="209">
        <f>IF(AND(LEN(Множество[[#This Row],[Свёртка]])&gt;0,LEN(Множество[[#This Row],[Критерии]])&gt;0,LEN(Множество[[#This Row],[Оценки]])&gt;0),1,-1)</f>
        <v>-1</v>
      </c>
      <c r="AN779" s="230"/>
      <c r="AO779" s="208"/>
      <c r="AP779" s="208"/>
      <c r="AQ779" s="208"/>
      <c r="AR779" s="226"/>
      <c r="AS779" s="225"/>
      <c r="AT779" s="226"/>
      <c r="AU779" s="225"/>
      <c r="AV779" s="225"/>
      <c r="AW779" s="225"/>
      <c r="AX779" s="225"/>
      <c r="AY779" s="225"/>
    </row>
    <row r="780" spans="33:51" x14ac:dyDescent="0.25">
      <c r="AG780" s="66" t="str">
        <f>IF(AND(Множество[[#This Row],[Y]]=1),ROW()-ROW(Множество[[#Headers],[№]]),"")</f>
        <v/>
      </c>
      <c r="AI780" s="66">
        <v>1</v>
      </c>
      <c r="AJ780" s="66">
        <f>IF(LEN(Множество[[#This Row],[Свёртка]])&gt;0,1,-1)</f>
        <v>1</v>
      </c>
      <c r="AK780" s="66" t="s">
        <v>1781</v>
      </c>
      <c r="AL780" s="209">
        <f>IF(LEN(Множество[[#This Row],[Критерии]])&gt;0,1,-1)</f>
        <v>1</v>
      </c>
      <c r="AM780" s="209">
        <f>IF(AND(LEN(Множество[[#This Row],[Свёртка]])&gt;0,LEN(Множество[[#This Row],[Критерии]])&gt;0,LEN(Множество[[#This Row],[Оценки]])&gt;0),1,-1)</f>
        <v>-1</v>
      </c>
      <c r="AN780" s="230"/>
      <c r="AO780" s="208"/>
      <c r="AP780" s="208"/>
      <c r="AQ780" s="208"/>
      <c r="AR780" s="226"/>
      <c r="AS780" s="225"/>
      <c r="AT780" s="226"/>
      <c r="AU780" s="225"/>
      <c r="AV780" s="225"/>
      <c r="AW780" s="225"/>
      <c r="AX780" s="225"/>
      <c r="AY780" s="225"/>
    </row>
    <row r="781" spans="33:51" x14ac:dyDescent="0.25">
      <c r="AG781" s="66" t="str">
        <f>IF(AND(Множество[[#This Row],[Y]]=1),ROW()-ROW(Множество[[#Headers],[№]]),"")</f>
        <v/>
      </c>
      <c r="AI781" s="66">
        <v>1</v>
      </c>
      <c r="AJ781" s="66">
        <f>IF(LEN(Множество[[#This Row],[Свёртка]])&gt;0,1,-1)</f>
        <v>1</v>
      </c>
      <c r="AK781" s="66" t="s">
        <v>1781</v>
      </c>
      <c r="AL781" s="209">
        <f>IF(LEN(Множество[[#This Row],[Критерии]])&gt;0,1,-1)</f>
        <v>1</v>
      </c>
      <c r="AM781" s="209">
        <f>IF(AND(LEN(Множество[[#This Row],[Свёртка]])&gt;0,LEN(Множество[[#This Row],[Критерии]])&gt;0,LEN(Множество[[#This Row],[Оценки]])&gt;0),1,-1)</f>
        <v>-1</v>
      </c>
      <c r="AN781" s="230"/>
      <c r="AO781" s="208"/>
      <c r="AP781" s="208"/>
      <c r="AQ781" s="208"/>
      <c r="AR781" s="226"/>
      <c r="AS781" s="225"/>
      <c r="AT781" s="226"/>
      <c r="AU781" s="225"/>
      <c r="AV781" s="225"/>
      <c r="AW781" s="225"/>
      <c r="AX781" s="225"/>
      <c r="AY781" s="225"/>
    </row>
    <row r="782" spans="33:51" x14ac:dyDescent="0.25">
      <c r="AG782" s="66" t="str">
        <f>IF(AND(Множество[[#This Row],[Y]]=1),ROW()-ROW(Множество[[#Headers],[№]]),"")</f>
        <v/>
      </c>
      <c r="AI782" s="66">
        <v>1</v>
      </c>
      <c r="AJ782" s="66">
        <f>IF(LEN(Множество[[#This Row],[Свёртка]])&gt;0,1,-1)</f>
        <v>1</v>
      </c>
      <c r="AK782" s="66" t="s">
        <v>1781</v>
      </c>
      <c r="AL782" s="209">
        <f>IF(LEN(Множество[[#This Row],[Критерии]])&gt;0,1,-1)</f>
        <v>1</v>
      </c>
      <c r="AM782" s="209">
        <f>IF(AND(LEN(Множество[[#This Row],[Свёртка]])&gt;0,LEN(Множество[[#This Row],[Критерии]])&gt;0,LEN(Множество[[#This Row],[Оценки]])&gt;0),1,-1)</f>
        <v>-1</v>
      </c>
      <c r="AN782" s="230"/>
      <c r="AO782" s="208"/>
      <c r="AP782" s="208"/>
      <c r="AQ782" s="208"/>
      <c r="AR782" s="226"/>
      <c r="AS782" s="225"/>
      <c r="AT782" s="226"/>
      <c r="AU782" s="225"/>
      <c r="AV782" s="225"/>
      <c r="AW782" s="225"/>
      <c r="AX782" s="225"/>
      <c r="AY782" s="225"/>
    </row>
    <row r="783" spans="33:51" x14ac:dyDescent="0.25">
      <c r="AG783" s="66" t="str">
        <f>IF(AND(Множество[[#This Row],[Y]]=1),ROW()-ROW(Множество[[#Headers],[№]]),"")</f>
        <v/>
      </c>
      <c r="AI783" s="66">
        <v>1</v>
      </c>
      <c r="AJ783" s="66">
        <f>IF(LEN(Множество[[#This Row],[Свёртка]])&gt;0,1,-1)</f>
        <v>1</v>
      </c>
      <c r="AK783" s="66" t="s">
        <v>1781</v>
      </c>
      <c r="AL783" s="209">
        <f>IF(LEN(Множество[[#This Row],[Критерии]])&gt;0,1,-1)</f>
        <v>1</v>
      </c>
      <c r="AM783" s="209">
        <f>IF(AND(LEN(Множество[[#This Row],[Свёртка]])&gt;0,LEN(Множество[[#This Row],[Критерии]])&gt;0,LEN(Множество[[#This Row],[Оценки]])&gt;0),1,-1)</f>
        <v>-1</v>
      </c>
      <c r="AN783" s="230"/>
      <c r="AO783" s="208"/>
      <c r="AP783" s="208"/>
      <c r="AQ783" s="208"/>
      <c r="AR783" s="226"/>
      <c r="AS783" s="225"/>
      <c r="AT783" s="226"/>
      <c r="AU783" s="225"/>
      <c r="AV783" s="225"/>
      <c r="AW783" s="225"/>
      <c r="AX783" s="225"/>
      <c r="AY783" s="225"/>
    </row>
    <row r="784" spans="33:51" x14ac:dyDescent="0.25">
      <c r="AG784" s="66" t="str">
        <f>IF(AND(Множество[[#This Row],[Y]]=1),ROW()-ROW(Множество[[#Headers],[№]]),"")</f>
        <v/>
      </c>
      <c r="AI784" s="66">
        <v>1</v>
      </c>
      <c r="AJ784" s="66">
        <f>IF(LEN(Множество[[#This Row],[Свёртка]])&gt;0,1,-1)</f>
        <v>1</v>
      </c>
      <c r="AK784" s="66" t="s">
        <v>1781</v>
      </c>
      <c r="AL784" s="209">
        <f>IF(LEN(Множество[[#This Row],[Критерии]])&gt;0,1,-1)</f>
        <v>1</v>
      </c>
      <c r="AM784" s="209">
        <f>IF(AND(LEN(Множество[[#This Row],[Свёртка]])&gt;0,LEN(Множество[[#This Row],[Критерии]])&gt;0,LEN(Множество[[#This Row],[Оценки]])&gt;0),1,-1)</f>
        <v>-1</v>
      </c>
      <c r="AN784" s="230"/>
      <c r="AO784" s="208"/>
      <c r="AP784" s="208"/>
      <c r="AQ784" s="208"/>
      <c r="AR784" s="226"/>
      <c r="AS784" s="225"/>
      <c r="AT784" s="226"/>
      <c r="AU784" s="225"/>
      <c r="AV784" s="225"/>
      <c r="AW784" s="225"/>
      <c r="AX784" s="225"/>
      <c r="AY784" s="225"/>
    </row>
    <row r="785" spans="33:51" x14ac:dyDescent="0.25">
      <c r="AG785" s="66" t="str">
        <f>IF(AND(Множество[[#This Row],[Y]]=1),ROW()-ROW(Множество[[#Headers],[№]]),"")</f>
        <v/>
      </c>
      <c r="AI785" s="66">
        <v>1</v>
      </c>
      <c r="AJ785" s="66">
        <f>IF(LEN(Множество[[#This Row],[Свёртка]])&gt;0,1,-1)</f>
        <v>1</v>
      </c>
      <c r="AK785" s="66" t="s">
        <v>1781</v>
      </c>
      <c r="AL785" s="209">
        <f>IF(LEN(Множество[[#This Row],[Критерии]])&gt;0,1,-1)</f>
        <v>1</v>
      </c>
      <c r="AM785" s="209">
        <f>IF(AND(LEN(Множество[[#This Row],[Свёртка]])&gt;0,LEN(Множество[[#This Row],[Критерии]])&gt;0,LEN(Множество[[#This Row],[Оценки]])&gt;0),1,-1)</f>
        <v>-1</v>
      </c>
      <c r="AN785" s="230"/>
      <c r="AO785" s="208"/>
      <c r="AP785" s="208"/>
      <c r="AQ785" s="208"/>
      <c r="AR785" s="226"/>
      <c r="AS785" s="225"/>
      <c r="AT785" s="226"/>
      <c r="AU785" s="225"/>
      <c r="AV785" s="225"/>
      <c r="AW785" s="225"/>
      <c r="AX785" s="225"/>
      <c r="AY785" s="225"/>
    </row>
    <row r="786" spans="33:51" x14ac:dyDescent="0.25">
      <c r="AG786" s="66" t="str">
        <f>IF(AND(Множество[[#This Row],[Y]]=1),ROW()-ROW(Множество[[#Headers],[№]]),"")</f>
        <v/>
      </c>
      <c r="AI786" s="66">
        <v>1</v>
      </c>
      <c r="AJ786" s="66">
        <f>IF(LEN(Множество[[#This Row],[Свёртка]])&gt;0,1,-1)</f>
        <v>1</v>
      </c>
      <c r="AK786" s="66" t="s">
        <v>1781</v>
      </c>
      <c r="AL786" s="209">
        <f>IF(LEN(Множество[[#This Row],[Критерии]])&gt;0,1,-1)</f>
        <v>1</v>
      </c>
      <c r="AM786" s="209">
        <f>IF(AND(LEN(Множество[[#This Row],[Свёртка]])&gt;0,LEN(Множество[[#This Row],[Критерии]])&gt;0,LEN(Множество[[#This Row],[Оценки]])&gt;0),1,-1)</f>
        <v>-1</v>
      </c>
      <c r="AN786" s="230"/>
      <c r="AO786" s="208"/>
      <c r="AP786" s="208"/>
      <c r="AQ786" s="208"/>
      <c r="AR786" s="226"/>
      <c r="AS786" s="225"/>
      <c r="AT786" s="226"/>
      <c r="AU786" s="225"/>
      <c r="AV786" s="225"/>
      <c r="AW786" s="225"/>
      <c r="AX786" s="225"/>
      <c r="AY786" s="225"/>
    </row>
    <row r="787" spans="33:51" x14ac:dyDescent="0.25">
      <c r="AG787" s="66" t="str">
        <f>IF(AND(Множество[[#This Row],[Y]]=1),ROW()-ROW(Множество[[#Headers],[№]]),"")</f>
        <v/>
      </c>
      <c r="AI787" s="66">
        <v>1</v>
      </c>
      <c r="AJ787" s="66">
        <f>IF(LEN(Множество[[#This Row],[Свёртка]])&gt;0,1,-1)</f>
        <v>1</v>
      </c>
      <c r="AK787" s="66" t="s">
        <v>1781</v>
      </c>
      <c r="AL787" s="209">
        <f>IF(LEN(Множество[[#This Row],[Критерии]])&gt;0,1,-1)</f>
        <v>1</v>
      </c>
      <c r="AM787" s="209">
        <f>IF(AND(LEN(Множество[[#This Row],[Свёртка]])&gt;0,LEN(Множество[[#This Row],[Критерии]])&gt;0,LEN(Множество[[#This Row],[Оценки]])&gt;0),1,-1)</f>
        <v>-1</v>
      </c>
      <c r="AN787" s="230"/>
      <c r="AO787" s="208"/>
      <c r="AP787" s="208"/>
      <c r="AQ787" s="208"/>
      <c r="AR787" s="226"/>
      <c r="AS787" s="225"/>
      <c r="AT787" s="226"/>
      <c r="AU787" s="225"/>
      <c r="AV787" s="225"/>
      <c r="AW787" s="225"/>
      <c r="AX787" s="225"/>
      <c r="AY787" s="225"/>
    </row>
    <row r="788" spans="33:51" x14ac:dyDescent="0.25">
      <c r="AG788" s="66" t="str">
        <f>IF(AND(Множество[[#This Row],[Y]]=1),ROW()-ROW(Множество[[#Headers],[№]]),"")</f>
        <v/>
      </c>
      <c r="AI788" s="66">
        <v>1</v>
      </c>
      <c r="AJ788" s="66">
        <f>IF(LEN(Множество[[#This Row],[Свёртка]])&gt;0,1,-1)</f>
        <v>1</v>
      </c>
      <c r="AK788" s="66" t="s">
        <v>1781</v>
      </c>
      <c r="AL788" s="209">
        <f>IF(LEN(Множество[[#This Row],[Критерии]])&gt;0,1,-1)</f>
        <v>1</v>
      </c>
      <c r="AM788" s="209">
        <f>IF(AND(LEN(Множество[[#This Row],[Свёртка]])&gt;0,LEN(Множество[[#This Row],[Критерии]])&gt;0,LEN(Множество[[#This Row],[Оценки]])&gt;0),1,-1)</f>
        <v>-1</v>
      </c>
      <c r="AN788" s="230"/>
      <c r="AO788" s="208"/>
      <c r="AP788" s="208"/>
      <c r="AQ788" s="208"/>
      <c r="AR788" s="226"/>
      <c r="AS788" s="225"/>
      <c r="AT788" s="226"/>
      <c r="AU788" s="225"/>
      <c r="AV788" s="225"/>
      <c r="AW788" s="225"/>
      <c r="AX788" s="225"/>
      <c r="AY788" s="225"/>
    </row>
    <row r="789" spans="33:51" x14ac:dyDescent="0.25">
      <c r="AG789" s="66" t="str">
        <f>IF(AND(Множество[[#This Row],[Y]]=1),ROW()-ROW(Множество[[#Headers],[№]]),"")</f>
        <v/>
      </c>
      <c r="AI789" s="66">
        <v>1</v>
      </c>
      <c r="AJ789" s="66">
        <f>IF(LEN(Множество[[#This Row],[Свёртка]])&gt;0,1,-1)</f>
        <v>1</v>
      </c>
      <c r="AK789" s="66" t="s">
        <v>1781</v>
      </c>
      <c r="AL789" s="209">
        <f>IF(LEN(Множество[[#This Row],[Критерии]])&gt;0,1,-1)</f>
        <v>1</v>
      </c>
      <c r="AM789" s="209">
        <f>IF(AND(LEN(Множество[[#This Row],[Свёртка]])&gt;0,LEN(Множество[[#This Row],[Критерии]])&gt;0,LEN(Множество[[#This Row],[Оценки]])&gt;0),1,-1)</f>
        <v>-1</v>
      </c>
      <c r="AN789" s="230"/>
      <c r="AO789" s="208"/>
      <c r="AP789" s="208"/>
      <c r="AQ789" s="208"/>
      <c r="AR789" s="226"/>
      <c r="AS789" s="225"/>
      <c r="AT789" s="226"/>
      <c r="AU789" s="225"/>
      <c r="AV789" s="225"/>
      <c r="AW789" s="225"/>
      <c r="AX789" s="225"/>
      <c r="AY789" s="225"/>
    </row>
    <row r="790" spans="33:51" x14ac:dyDescent="0.25">
      <c r="AG790" s="66" t="str">
        <f>IF(AND(Множество[[#This Row],[Y]]=1),ROW()-ROW(Множество[[#Headers],[№]]),"")</f>
        <v/>
      </c>
      <c r="AI790" s="66">
        <v>1</v>
      </c>
      <c r="AJ790" s="66">
        <f>IF(LEN(Множество[[#This Row],[Свёртка]])&gt;0,1,-1)</f>
        <v>1</v>
      </c>
      <c r="AK790" s="66" t="s">
        <v>1781</v>
      </c>
      <c r="AL790" s="209">
        <f>IF(LEN(Множество[[#This Row],[Критерии]])&gt;0,1,-1)</f>
        <v>1</v>
      </c>
      <c r="AM790" s="209">
        <f>IF(AND(LEN(Множество[[#This Row],[Свёртка]])&gt;0,LEN(Множество[[#This Row],[Критерии]])&gt;0,LEN(Множество[[#This Row],[Оценки]])&gt;0),1,-1)</f>
        <v>-1</v>
      </c>
      <c r="AN790" s="230"/>
      <c r="AO790" s="208"/>
      <c r="AP790" s="208"/>
      <c r="AQ790" s="208"/>
      <c r="AR790" s="226"/>
      <c r="AS790" s="225"/>
      <c r="AT790" s="226"/>
      <c r="AU790" s="225"/>
      <c r="AV790" s="225"/>
      <c r="AW790" s="225"/>
      <c r="AX790" s="225"/>
      <c r="AY790" s="225"/>
    </row>
    <row r="791" spans="33:51" x14ac:dyDescent="0.25">
      <c r="AG791" s="66" t="str">
        <f>IF(AND(Множество[[#This Row],[Y]]=1),ROW()-ROW(Множество[[#Headers],[№]]),"")</f>
        <v/>
      </c>
      <c r="AI791" s="66">
        <v>1</v>
      </c>
      <c r="AJ791" s="66">
        <f>IF(LEN(Множество[[#This Row],[Свёртка]])&gt;0,1,-1)</f>
        <v>1</v>
      </c>
      <c r="AK791" s="66" t="s">
        <v>1781</v>
      </c>
      <c r="AL791" s="209">
        <f>IF(LEN(Множество[[#This Row],[Критерии]])&gt;0,1,-1)</f>
        <v>1</v>
      </c>
      <c r="AM791" s="209">
        <f>IF(AND(LEN(Множество[[#This Row],[Свёртка]])&gt;0,LEN(Множество[[#This Row],[Критерии]])&gt;0,LEN(Множество[[#This Row],[Оценки]])&gt;0),1,-1)</f>
        <v>-1</v>
      </c>
      <c r="AN791" s="230"/>
      <c r="AO791" s="208"/>
      <c r="AP791" s="208"/>
      <c r="AQ791" s="208"/>
      <c r="AR791" s="226"/>
      <c r="AS791" s="225"/>
      <c r="AT791" s="226"/>
      <c r="AU791" s="225"/>
      <c r="AV791" s="225"/>
      <c r="AW791" s="225"/>
      <c r="AX791" s="225"/>
      <c r="AY791" s="225"/>
    </row>
    <row r="792" spans="33:51" x14ac:dyDescent="0.25">
      <c r="AG792" s="66" t="str">
        <f>IF(AND(Множество[[#This Row],[Y]]=1),ROW()-ROW(Множество[[#Headers],[№]]),"")</f>
        <v/>
      </c>
      <c r="AI792" s="66">
        <v>1</v>
      </c>
      <c r="AJ792" s="66">
        <f>IF(LEN(Множество[[#This Row],[Свёртка]])&gt;0,1,-1)</f>
        <v>1</v>
      </c>
      <c r="AK792" s="66" t="s">
        <v>1781</v>
      </c>
      <c r="AL792" s="209">
        <f>IF(LEN(Множество[[#This Row],[Критерии]])&gt;0,1,-1)</f>
        <v>1</v>
      </c>
      <c r="AM792" s="209">
        <f>IF(AND(LEN(Множество[[#This Row],[Свёртка]])&gt;0,LEN(Множество[[#This Row],[Критерии]])&gt;0,LEN(Множество[[#This Row],[Оценки]])&gt;0),1,-1)</f>
        <v>-1</v>
      </c>
      <c r="AN792" s="230"/>
      <c r="AO792" s="208"/>
      <c r="AP792" s="208"/>
      <c r="AQ792" s="208"/>
      <c r="AR792" s="226"/>
      <c r="AS792" s="225"/>
      <c r="AT792" s="226"/>
      <c r="AU792" s="225"/>
      <c r="AV792" s="225"/>
      <c r="AW792" s="225"/>
      <c r="AX792" s="225"/>
      <c r="AY792" s="225"/>
    </row>
    <row r="793" spans="33:51" x14ac:dyDescent="0.25">
      <c r="AG793" s="66" t="str">
        <f>IF(AND(Множество[[#This Row],[Y]]=1),ROW()-ROW(Множество[[#Headers],[№]]),"")</f>
        <v/>
      </c>
      <c r="AI793" s="66">
        <v>1</v>
      </c>
      <c r="AJ793" s="66">
        <f>IF(LEN(Множество[[#This Row],[Свёртка]])&gt;0,1,-1)</f>
        <v>1</v>
      </c>
      <c r="AK793" s="66" t="s">
        <v>1781</v>
      </c>
      <c r="AL793" s="209">
        <f>IF(LEN(Множество[[#This Row],[Критерии]])&gt;0,1,-1)</f>
        <v>1</v>
      </c>
      <c r="AM793" s="209">
        <f>IF(AND(LEN(Множество[[#This Row],[Свёртка]])&gt;0,LEN(Множество[[#This Row],[Критерии]])&gt;0,LEN(Множество[[#This Row],[Оценки]])&gt;0),1,-1)</f>
        <v>-1</v>
      </c>
      <c r="AN793" s="230"/>
      <c r="AO793" s="208"/>
      <c r="AP793" s="208"/>
      <c r="AQ793" s="208"/>
      <c r="AR793" s="226"/>
      <c r="AS793" s="225"/>
      <c r="AT793" s="226"/>
      <c r="AU793" s="225"/>
      <c r="AV793" s="225"/>
      <c r="AW793" s="225"/>
      <c r="AX793" s="225"/>
      <c r="AY793" s="225"/>
    </row>
    <row r="794" spans="33:51" x14ac:dyDescent="0.25">
      <c r="AG794" s="66" t="str">
        <f>IF(AND(Множество[[#This Row],[Y]]=1),ROW()-ROW(Множество[[#Headers],[№]]),"")</f>
        <v/>
      </c>
      <c r="AI794" s="66">
        <v>1</v>
      </c>
      <c r="AJ794" s="66">
        <f>IF(LEN(Множество[[#This Row],[Свёртка]])&gt;0,1,-1)</f>
        <v>1</v>
      </c>
      <c r="AK794" s="66" t="s">
        <v>1781</v>
      </c>
      <c r="AL794" s="209">
        <f>IF(LEN(Множество[[#This Row],[Критерии]])&gt;0,1,-1)</f>
        <v>1</v>
      </c>
      <c r="AM794" s="209">
        <f>IF(AND(LEN(Множество[[#This Row],[Свёртка]])&gt;0,LEN(Множество[[#This Row],[Критерии]])&gt;0,LEN(Множество[[#This Row],[Оценки]])&gt;0),1,-1)</f>
        <v>-1</v>
      </c>
      <c r="AN794" s="230"/>
      <c r="AO794" s="208"/>
      <c r="AP794" s="208"/>
      <c r="AQ794" s="208"/>
      <c r="AR794" s="226"/>
      <c r="AS794" s="225"/>
      <c r="AT794" s="226"/>
      <c r="AU794" s="225"/>
      <c r="AV794" s="225"/>
      <c r="AW794" s="225"/>
      <c r="AX794" s="225"/>
      <c r="AY794" s="225"/>
    </row>
    <row r="795" spans="33:51" x14ac:dyDescent="0.25">
      <c r="AG795" s="66" t="str">
        <f>IF(AND(Множество[[#This Row],[Y]]=1),ROW()-ROW(Множество[[#Headers],[№]]),"")</f>
        <v/>
      </c>
      <c r="AI795" s="66">
        <v>1</v>
      </c>
      <c r="AJ795" s="66">
        <f>IF(LEN(Множество[[#This Row],[Свёртка]])&gt;0,1,-1)</f>
        <v>1</v>
      </c>
      <c r="AK795" s="66" t="s">
        <v>1781</v>
      </c>
      <c r="AL795" s="209">
        <f>IF(LEN(Множество[[#This Row],[Критерии]])&gt;0,1,-1)</f>
        <v>1</v>
      </c>
      <c r="AM795" s="209">
        <f>IF(AND(LEN(Множество[[#This Row],[Свёртка]])&gt;0,LEN(Множество[[#This Row],[Критерии]])&gt;0,LEN(Множество[[#This Row],[Оценки]])&gt;0),1,-1)</f>
        <v>-1</v>
      </c>
      <c r="AN795" s="230"/>
      <c r="AO795" s="208"/>
      <c r="AP795" s="208"/>
      <c r="AQ795" s="208"/>
      <c r="AR795" s="226"/>
      <c r="AS795" s="225"/>
      <c r="AT795" s="226"/>
      <c r="AU795" s="225"/>
      <c r="AV795" s="225"/>
      <c r="AW795" s="225"/>
      <c r="AX795" s="225"/>
      <c r="AY795" s="225"/>
    </row>
    <row r="796" spans="33:51" x14ac:dyDescent="0.25">
      <c r="AG796" s="66" t="str">
        <f>IF(AND(Множество[[#This Row],[Y]]=1),ROW()-ROW(Множество[[#Headers],[№]]),"")</f>
        <v/>
      </c>
      <c r="AI796" s="66">
        <v>1</v>
      </c>
      <c r="AJ796" s="66">
        <f>IF(LEN(Множество[[#This Row],[Свёртка]])&gt;0,1,-1)</f>
        <v>1</v>
      </c>
      <c r="AK796" s="66" t="s">
        <v>1781</v>
      </c>
      <c r="AL796" s="209">
        <f>IF(LEN(Множество[[#This Row],[Критерии]])&gt;0,1,-1)</f>
        <v>1</v>
      </c>
      <c r="AM796" s="209">
        <f>IF(AND(LEN(Множество[[#This Row],[Свёртка]])&gt;0,LEN(Множество[[#This Row],[Критерии]])&gt;0,LEN(Множество[[#This Row],[Оценки]])&gt;0),1,-1)</f>
        <v>-1</v>
      </c>
      <c r="AN796" s="230"/>
      <c r="AO796" s="208"/>
      <c r="AP796" s="208"/>
      <c r="AQ796" s="208"/>
      <c r="AR796" s="226"/>
      <c r="AS796" s="225"/>
      <c r="AT796" s="226"/>
      <c r="AU796" s="225"/>
      <c r="AV796" s="225"/>
      <c r="AW796" s="225"/>
      <c r="AX796" s="225"/>
      <c r="AY796" s="225"/>
    </row>
    <row r="797" spans="33:51" x14ac:dyDescent="0.25">
      <c r="AG797" s="66" t="str">
        <f>IF(AND(Множество[[#This Row],[Y]]=1),ROW()-ROW(Множество[[#Headers],[№]]),"")</f>
        <v/>
      </c>
      <c r="AI797" s="66">
        <v>1</v>
      </c>
      <c r="AJ797" s="66">
        <f>IF(LEN(Множество[[#This Row],[Свёртка]])&gt;0,1,-1)</f>
        <v>1</v>
      </c>
      <c r="AK797" s="66" t="s">
        <v>1781</v>
      </c>
      <c r="AL797" s="209">
        <f>IF(LEN(Множество[[#This Row],[Критерии]])&gt;0,1,-1)</f>
        <v>1</v>
      </c>
      <c r="AM797" s="209">
        <f>IF(AND(LEN(Множество[[#This Row],[Свёртка]])&gt;0,LEN(Множество[[#This Row],[Критерии]])&gt;0,LEN(Множество[[#This Row],[Оценки]])&gt;0),1,-1)</f>
        <v>-1</v>
      </c>
      <c r="AN797" s="230"/>
      <c r="AO797" s="208"/>
      <c r="AP797" s="208"/>
      <c r="AQ797" s="208"/>
      <c r="AR797" s="226"/>
      <c r="AS797" s="225"/>
      <c r="AT797" s="226"/>
      <c r="AU797" s="225"/>
      <c r="AV797" s="225"/>
      <c r="AW797" s="225"/>
      <c r="AX797" s="225"/>
      <c r="AY797" s="225"/>
    </row>
    <row r="798" spans="33:51" x14ac:dyDescent="0.25">
      <c r="AG798" s="66" t="str">
        <f>IF(AND(Множество[[#This Row],[Y]]=1),ROW()-ROW(Множество[[#Headers],[№]]),"")</f>
        <v/>
      </c>
      <c r="AI798" s="66">
        <v>1</v>
      </c>
      <c r="AJ798" s="66">
        <f>IF(LEN(Множество[[#This Row],[Свёртка]])&gt;0,1,-1)</f>
        <v>1</v>
      </c>
      <c r="AK798" s="66" t="s">
        <v>1781</v>
      </c>
      <c r="AL798" s="209">
        <f>IF(LEN(Множество[[#This Row],[Критерии]])&gt;0,1,-1)</f>
        <v>1</v>
      </c>
      <c r="AM798" s="209">
        <f>IF(AND(LEN(Множество[[#This Row],[Свёртка]])&gt;0,LEN(Множество[[#This Row],[Критерии]])&gt;0,LEN(Множество[[#This Row],[Оценки]])&gt;0),1,-1)</f>
        <v>-1</v>
      </c>
      <c r="AN798" s="230"/>
      <c r="AO798" s="208"/>
      <c r="AP798" s="208"/>
      <c r="AQ798" s="208"/>
      <c r="AR798" s="226"/>
      <c r="AS798" s="225"/>
      <c r="AT798" s="226"/>
      <c r="AU798" s="225"/>
      <c r="AV798" s="225"/>
      <c r="AW798" s="225"/>
      <c r="AX798" s="225"/>
      <c r="AY798" s="225"/>
    </row>
    <row r="799" spans="33:51" x14ac:dyDescent="0.25">
      <c r="AG799" s="66" t="str">
        <f>IF(AND(Множество[[#This Row],[Y]]=1),ROW()-ROW(Множество[[#Headers],[№]]),"")</f>
        <v/>
      </c>
      <c r="AI799" s="66">
        <v>1</v>
      </c>
      <c r="AJ799" s="66">
        <f>IF(LEN(Множество[[#This Row],[Свёртка]])&gt;0,1,-1)</f>
        <v>1</v>
      </c>
      <c r="AK799" s="66" t="s">
        <v>1781</v>
      </c>
      <c r="AL799" s="209">
        <f>IF(LEN(Множество[[#This Row],[Критерии]])&gt;0,1,-1)</f>
        <v>1</v>
      </c>
      <c r="AM799" s="209">
        <f>IF(AND(LEN(Множество[[#This Row],[Свёртка]])&gt;0,LEN(Множество[[#This Row],[Критерии]])&gt;0,LEN(Множество[[#This Row],[Оценки]])&gt;0),1,-1)</f>
        <v>-1</v>
      </c>
      <c r="AN799" s="230"/>
      <c r="AO799" s="208"/>
      <c r="AP799" s="208"/>
      <c r="AQ799" s="208"/>
      <c r="AR799" s="226"/>
      <c r="AS799" s="225"/>
      <c r="AT799" s="226"/>
      <c r="AU799" s="225"/>
      <c r="AV799" s="225"/>
      <c r="AW799" s="225"/>
      <c r="AX799" s="225"/>
      <c r="AY799" s="225"/>
    </row>
    <row r="800" spans="33:51" x14ac:dyDescent="0.25">
      <c r="AG800" s="66" t="str">
        <f>IF(AND(Множество[[#This Row],[Y]]=1),ROW()-ROW(Множество[[#Headers],[№]]),"")</f>
        <v/>
      </c>
      <c r="AI800" s="66">
        <v>1</v>
      </c>
      <c r="AJ800" s="66">
        <f>IF(LEN(Множество[[#This Row],[Свёртка]])&gt;0,1,-1)</f>
        <v>1</v>
      </c>
      <c r="AK800" s="66" t="s">
        <v>1781</v>
      </c>
      <c r="AL800" s="209">
        <f>IF(LEN(Множество[[#This Row],[Критерии]])&gt;0,1,-1)</f>
        <v>1</v>
      </c>
      <c r="AM800" s="209">
        <f>IF(AND(LEN(Множество[[#This Row],[Свёртка]])&gt;0,LEN(Множество[[#This Row],[Критерии]])&gt;0,LEN(Множество[[#This Row],[Оценки]])&gt;0),1,-1)</f>
        <v>-1</v>
      </c>
      <c r="AN800" s="230"/>
      <c r="AO800" s="208"/>
      <c r="AP800" s="208"/>
      <c r="AQ800" s="208"/>
      <c r="AR800" s="226"/>
      <c r="AS800" s="225"/>
      <c r="AT800" s="226"/>
      <c r="AU800" s="225"/>
      <c r="AV800" s="225"/>
      <c r="AW800" s="225"/>
      <c r="AX800" s="225"/>
      <c r="AY800" s="225"/>
    </row>
    <row r="801" spans="33:51" x14ac:dyDescent="0.25">
      <c r="AG801" s="66" t="str">
        <f>IF(AND(Множество[[#This Row],[Y]]=1),ROW()-ROW(Множество[[#Headers],[№]]),"")</f>
        <v/>
      </c>
      <c r="AI801" s="66">
        <v>1</v>
      </c>
      <c r="AJ801" s="66">
        <f>IF(LEN(Множество[[#This Row],[Свёртка]])&gt;0,1,-1)</f>
        <v>1</v>
      </c>
      <c r="AK801" s="66" t="s">
        <v>1781</v>
      </c>
      <c r="AL801" s="209">
        <f>IF(LEN(Множество[[#This Row],[Критерии]])&gt;0,1,-1)</f>
        <v>1</v>
      </c>
      <c r="AM801" s="209">
        <f>IF(AND(LEN(Множество[[#This Row],[Свёртка]])&gt;0,LEN(Множество[[#This Row],[Критерии]])&gt;0,LEN(Множество[[#This Row],[Оценки]])&gt;0),1,-1)</f>
        <v>-1</v>
      </c>
      <c r="AN801" s="230"/>
      <c r="AO801" s="208"/>
      <c r="AP801" s="208"/>
      <c r="AQ801" s="208"/>
      <c r="AR801" s="226"/>
      <c r="AS801" s="225"/>
      <c r="AT801" s="226"/>
      <c r="AU801" s="225"/>
      <c r="AV801" s="225"/>
      <c r="AW801" s="225"/>
      <c r="AX801" s="225"/>
      <c r="AY801" s="225"/>
    </row>
    <row r="802" spans="33:51" x14ac:dyDescent="0.25">
      <c r="AG802" s="66" t="str">
        <f>IF(AND(Множество[[#This Row],[Y]]=1),ROW()-ROW(Множество[[#Headers],[№]]),"")</f>
        <v/>
      </c>
      <c r="AI802" s="66">
        <v>1</v>
      </c>
      <c r="AJ802" s="66">
        <f>IF(LEN(Множество[[#This Row],[Свёртка]])&gt;0,1,-1)</f>
        <v>1</v>
      </c>
      <c r="AK802" s="66" t="s">
        <v>1781</v>
      </c>
      <c r="AL802" s="209">
        <f>IF(LEN(Множество[[#This Row],[Критерии]])&gt;0,1,-1)</f>
        <v>1</v>
      </c>
      <c r="AM802" s="209">
        <f>IF(AND(LEN(Множество[[#This Row],[Свёртка]])&gt;0,LEN(Множество[[#This Row],[Критерии]])&gt;0,LEN(Множество[[#This Row],[Оценки]])&gt;0),1,-1)</f>
        <v>-1</v>
      </c>
      <c r="AN802" s="230"/>
      <c r="AO802" s="208"/>
      <c r="AP802" s="208"/>
      <c r="AQ802" s="208"/>
      <c r="AR802" s="226"/>
      <c r="AS802" s="225"/>
      <c r="AT802" s="226"/>
      <c r="AU802" s="225"/>
      <c r="AV802" s="225"/>
      <c r="AW802" s="225"/>
      <c r="AX802" s="225"/>
      <c r="AY802" s="225"/>
    </row>
    <row r="803" spans="33:51" x14ac:dyDescent="0.25">
      <c r="AG803" s="66" t="str">
        <f>IF(AND(Множество[[#This Row],[Y]]=1),ROW()-ROW(Множество[[#Headers],[№]]),"")</f>
        <v/>
      </c>
      <c r="AI803" s="66">
        <v>1</v>
      </c>
      <c r="AJ803" s="66">
        <f>IF(LEN(Множество[[#This Row],[Свёртка]])&gt;0,1,-1)</f>
        <v>1</v>
      </c>
      <c r="AK803" s="66" t="s">
        <v>1781</v>
      </c>
      <c r="AL803" s="209">
        <f>IF(LEN(Множество[[#This Row],[Критерии]])&gt;0,1,-1)</f>
        <v>1</v>
      </c>
      <c r="AM803" s="209">
        <f>IF(AND(LEN(Множество[[#This Row],[Свёртка]])&gt;0,LEN(Множество[[#This Row],[Критерии]])&gt;0,LEN(Множество[[#This Row],[Оценки]])&gt;0),1,-1)</f>
        <v>-1</v>
      </c>
      <c r="AN803" s="230"/>
      <c r="AO803" s="208"/>
      <c r="AP803" s="208"/>
      <c r="AQ803" s="208"/>
      <c r="AR803" s="226"/>
      <c r="AS803" s="225"/>
      <c r="AT803" s="226"/>
      <c r="AU803" s="225"/>
      <c r="AV803" s="225"/>
      <c r="AW803" s="225"/>
      <c r="AX803" s="225"/>
      <c r="AY803" s="225"/>
    </row>
    <row r="804" spans="33:51" x14ac:dyDescent="0.25">
      <c r="AG804" s="66" t="str">
        <f>IF(AND(Множество[[#This Row],[Y]]=1),ROW()-ROW(Множество[[#Headers],[№]]),"")</f>
        <v/>
      </c>
      <c r="AI804" s="66">
        <v>1</v>
      </c>
      <c r="AJ804" s="66">
        <f>IF(LEN(Множество[[#This Row],[Свёртка]])&gt;0,1,-1)</f>
        <v>1</v>
      </c>
      <c r="AK804" s="66" t="s">
        <v>1781</v>
      </c>
      <c r="AL804" s="209">
        <f>IF(LEN(Множество[[#This Row],[Критерии]])&gt;0,1,-1)</f>
        <v>1</v>
      </c>
      <c r="AM804" s="209">
        <f>IF(AND(LEN(Множество[[#This Row],[Свёртка]])&gt;0,LEN(Множество[[#This Row],[Критерии]])&gt;0,LEN(Множество[[#This Row],[Оценки]])&gt;0),1,-1)</f>
        <v>-1</v>
      </c>
      <c r="AN804" s="230"/>
      <c r="AO804" s="208"/>
      <c r="AP804" s="208"/>
      <c r="AQ804" s="208"/>
      <c r="AR804" s="226"/>
      <c r="AS804" s="225"/>
      <c r="AT804" s="226"/>
      <c r="AU804" s="225"/>
      <c r="AV804" s="225"/>
      <c r="AW804" s="225"/>
      <c r="AX804" s="225"/>
      <c r="AY804" s="225"/>
    </row>
    <row r="805" spans="33:51" x14ac:dyDescent="0.25">
      <c r="AG805" s="66" t="str">
        <f>IF(AND(Множество[[#This Row],[Y]]=1),ROW()-ROW(Множество[[#Headers],[№]]),"")</f>
        <v/>
      </c>
      <c r="AI805" s="66">
        <v>1</v>
      </c>
      <c r="AJ805" s="66">
        <f>IF(LEN(Множество[[#This Row],[Свёртка]])&gt;0,1,-1)</f>
        <v>1</v>
      </c>
      <c r="AK805" s="66" t="s">
        <v>1781</v>
      </c>
      <c r="AL805" s="209">
        <f>IF(LEN(Множество[[#This Row],[Критерии]])&gt;0,1,-1)</f>
        <v>1</v>
      </c>
      <c r="AM805" s="209">
        <f>IF(AND(LEN(Множество[[#This Row],[Свёртка]])&gt;0,LEN(Множество[[#This Row],[Критерии]])&gt;0,LEN(Множество[[#This Row],[Оценки]])&gt;0),1,-1)</f>
        <v>-1</v>
      </c>
      <c r="AN805" s="230"/>
      <c r="AO805" s="208"/>
      <c r="AP805" s="208"/>
      <c r="AQ805" s="208"/>
      <c r="AR805" s="226"/>
      <c r="AS805" s="225"/>
      <c r="AT805" s="226"/>
      <c r="AU805" s="225"/>
      <c r="AV805" s="225"/>
      <c r="AW805" s="225"/>
      <c r="AX805" s="225"/>
      <c r="AY805" s="225"/>
    </row>
    <row r="806" spans="33:51" x14ac:dyDescent="0.25">
      <c r="AG806" s="66" t="str">
        <f>IF(AND(Множество[[#This Row],[Y]]=1),ROW()-ROW(Множество[[#Headers],[№]]),"")</f>
        <v/>
      </c>
      <c r="AI806" s="66">
        <v>1</v>
      </c>
      <c r="AJ806" s="66">
        <f>IF(LEN(Множество[[#This Row],[Свёртка]])&gt;0,1,-1)</f>
        <v>1</v>
      </c>
      <c r="AK806" s="66" t="s">
        <v>1781</v>
      </c>
      <c r="AL806" s="209">
        <f>IF(LEN(Множество[[#This Row],[Критерии]])&gt;0,1,-1)</f>
        <v>1</v>
      </c>
      <c r="AM806" s="209">
        <f>IF(AND(LEN(Множество[[#This Row],[Свёртка]])&gt;0,LEN(Множество[[#This Row],[Критерии]])&gt;0,LEN(Множество[[#This Row],[Оценки]])&gt;0),1,-1)</f>
        <v>-1</v>
      </c>
      <c r="AN806" s="230"/>
      <c r="AO806" s="208"/>
      <c r="AP806" s="208"/>
      <c r="AQ806" s="208"/>
      <c r="AR806" s="226"/>
      <c r="AS806" s="225"/>
      <c r="AT806" s="226"/>
      <c r="AU806" s="225"/>
      <c r="AV806" s="225"/>
      <c r="AW806" s="225"/>
      <c r="AX806" s="225"/>
      <c r="AY806" s="225"/>
    </row>
    <row r="807" spans="33:51" x14ac:dyDescent="0.25">
      <c r="AG807" s="66" t="str">
        <f>IF(AND(Множество[[#This Row],[Y]]=1),ROW()-ROW(Множество[[#Headers],[№]]),"")</f>
        <v/>
      </c>
      <c r="AI807" s="66">
        <v>1</v>
      </c>
      <c r="AJ807" s="66">
        <f>IF(LEN(Множество[[#This Row],[Свёртка]])&gt;0,1,-1)</f>
        <v>1</v>
      </c>
      <c r="AK807" s="66" t="s">
        <v>1781</v>
      </c>
      <c r="AL807" s="209">
        <f>IF(LEN(Множество[[#This Row],[Критерии]])&gt;0,1,-1)</f>
        <v>1</v>
      </c>
      <c r="AM807" s="209">
        <f>IF(AND(LEN(Множество[[#This Row],[Свёртка]])&gt;0,LEN(Множество[[#This Row],[Критерии]])&gt;0,LEN(Множество[[#This Row],[Оценки]])&gt;0),1,-1)</f>
        <v>-1</v>
      </c>
      <c r="AN807" s="230"/>
      <c r="AO807" s="208"/>
      <c r="AP807" s="208"/>
      <c r="AQ807" s="208"/>
      <c r="AR807" s="226"/>
      <c r="AS807" s="225"/>
      <c r="AT807" s="226"/>
      <c r="AU807" s="225"/>
      <c r="AV807" s="225"/>
      <c r="AW807" s="225"/>
      <c r="AX807" s="225"/>
      <c r="AY807" s="225"/>
    </row>
    <row r="808" spans="33:51" x14ac:dyDescent="0.25">
      <c r="AG808" s="66" t="str">
        <f>IF(AND(Множество[[#This Row],[Y]]=1),ROW()-ROW(Множество[[#Headers],[№]]),"")</f>
        <v/>
      </c>
      <c r="AI808" s="66">
        <v>1</v>
      </c>
      <c r="AJ808" s="66">
        <f>IF(LEN(Множество[[#This Row],[Свёртка]])&gt;0,1,-1)</f>
        <v>1</v>
      </c>
      <c r="AK808" s="66" t="s">
        <v>1781</v>
      </c>
      <c r="AL808" s="209">
        <f>IF(LEN(Множество[[#This Row],[Критерии]])&gt;0,1,-1)</f>
        <v>1</v>
      </c>
      <c r="AM808" s="209">
        <f>IF(AND(LEN(Множество[[#This Row],[Свёртка]])&gt;0,LEN(Множество[[#This Row],[Критерии]])&gt;0,LEN(Множество[[#This Row],[Оценки]])&gt;0),1,-1)</f>
        <v>-1</v>
      </c>
      <c r="AN808" s="230"/>
      <c r="AO808" s="208"/>
      <c r="AP808" s="208"/>
      <c r="AQ808" s="208"/>
      <c r="AR808" s="226"/>
      <c r="AS808" s="225"/>
      <c r="AT808" s="226"/>
      <c r="AU808" s="225"/>
      <c r="AV808" s="225"/>
      <c r="AW808" s="225"/>
      <c r="AX808" s="225"/>
      <c r="AY808" s="225"/>
    </row>
    <row r="809" spans="33:51" x14ac:dyDescent="0.25">
      <c r="AG809" s="66" t="str">
        <f>IF(AND(Множество[[#This Row],[Y]]=1),ROW()-ROW(Множество[[#Headers],[№]]),"")</f>
        <v/>
      </c>
      <c r="AI809" s="66">
        <v>1</v>
      </c>
      <c r="AJ809" s="66">
        <f>IF(LEN(Множество[[#This Row],[Свёртка]])&gt;0,1,-1)</f>
        <v>1</v>
      </c>
      <c r="AK809" s="66" t="s">
        <v>1781</v>
      </c>
      <c r="AL809" s="209">
        <f>IF(LEN(Множество[[#This Row],[Критерии]])&gt;0,1,-1)</f>
        <v>1</v>
      </c>
      <c r="AM809" s="209">
        <f>IF(AND(LEN(Множество[[#This Row],[Свёртка]])&gt;0,LEN(Множество[[#This Row],[Критерии]])&gt;0,LEN(Множество[[#This Row],[Оценки]])&gt;0),1,-1)</f>
        <v>-1</v>
      </c>
      <c r="AN809" s="230"/>
      <c r="AO809" s="208"/>
      <c r="AP809" s="208"/>
      <c r="AQ809" s="208"/>
      <c r="AR809" s="226"/>
      <c r="AS809" s="225"/>
      <c r="AT809" s="226"/>
      <c r="AU809" s="225"/>
      <c r="AV809" s="225"/>
      <c r="AW809" s="225"/>
      <c r="AX809" s="225"/>
      <c r="AY809" s="225"/>
    </row>
    <row r="810" spans="33:51" x14ac:dyDescent="0.25">
      <c r="AG810" s="66" t="str">
        <f>IF(AND(Множество[[#This Row],[Y]]=1),ROW()-ROW(Множество[[#Headers],[№]]),"")</f>
        <v/>
      </c>
      <c r="AI810" s="66">
        <v>1</v>
      </c>
      <c r="AJ810" s="66">
        <f>IF(LEN(Множество[[#This Row],[Свёртка]])&gt;0,1,-1)</f>
        <v>1</v>
      </c>
      <c r="AK810" s="66" t="s">
        <v>1781</v>
      </c>
      <c r="AL810" s="209">
        <f>IF(LEN(Множество[[#This Row],[Критерии]])&gt;0,1,-1)</f>
        <v>1</v>
      </c>
      <c r="AM810" s="209">
        <f>IF(AND(LEN(Множество[[#This Row],[Свёртка]])&gt;0,LEN(Множество[[#This Row],[Критерии]])&gt;0,LEN(Множество[[#This Row],[Оценки]])&gt;0),1,-1)</f>
        <v>-1</v>
      </c>
      <c r="AN810" s="230"/>
      <c r="AO810" s="208"/>
      <c r="AP810" s="208"/>
      <c r="AQ810" s="208"/>
      <c r="AR810" s="226"/>
      <c r="AS810" s="225"/>
      <c r="AT810" s="226"/>
      <c r="AU810" s="225"/>
      <c r="AV810" s="225"/>
      <c r="AW810" s="225"/>
      <c r="AX810" s="225"/>
      <c r="AY810" s="225"/>
    </row>
    <row r="811" spans="33:51" x14ac:dyDescent="0.25">
      <c r="AG811" s="66" t="str">
        <f>IF(AND(Множество[[#This Row],[Y]]=1),ROW()-ROW(Множество[[#Headers],[№]]),"")</f>
        <v/>
      </c>
      <c r="AI811" s="66">
        <v>1</v>
      </c>
      <c r="AJ811" s="66">
        <f>IF(LEN(Множество[[#This Row],[Свёртка]])&gt;0,1,-1)</f>
        <v>1</v>
      </c>
      <c r="AK811" s="66" t="s">
        <v>1781</v>
      </c>
      <c r="AL811" s="209">
        <f>IF(LEN(Множество[[#This Row],[Критерии]])&gt;0,1,-1)</f>
        <v>1</v>
      </c>
      <c r="AM811" s="209">
        <f>IF(AND(LEN(Множество[[#This Row],[Свёртка]])&gt;0,LEN(Множество[[#This Row],[Критерии]])&gt;0,LEN(Множество[[#This Row],[Оценки]])&gt;0),1,-1)</f>
        <v>-1</v>
      </c>
      <c r="AN811" s="230"/>
      <c r="AO811" s="208"/>
      <c r="AP811" s="208"/>
      <c r="AQ811" s="208"/>
      <c r="AR811" s="226"/>
      <c r="AS811" s="225"/>
      <c r="AT811" s="226"/>
      <c r="AU811" s="225"/>
      <c r="AV811" s="225"/>
      <c r="AW811" s="225"/>
      <c r="AX811" s="225"/>
      <c r="AY811" s="225"/>
    </row>
    <row r="812" spans="33:51" x14ac:dyDescent="0.25">
      <c r="AG812" s="66" t="str">
        <f>IF(AND(Множество[[#This Row],[Y]]=1),ROW()-ROW(Множество[[#Headers],[№]]),"")</f>
        <v/>
      </c>
      <c r="AI812" s="66">
        <v>1</v>
      </c>
      <c r="AJ812" s="66">
        <f>IF(LEN(Множество[[#This Row],[Свёртка]])&gt;0,1,-1)</f>
        <v>1</v>
      </c>
      <c r="AK812" s="66" t="s">
        <v>1781</v>
      </c>
      <c r="AL812" s="209">
        <f>IF(LEN(Множество[[#This Row],[Критерии]])&gt;0,1,-1)</f>
        <v>1</v>
      </c>
      <c r="AM812" s="209">
        <f>IF(AND(LEN(Множество[[#This Row],[Свёртка]])&gt;0,LEN(Множество[[#This Row],[Критерии]])&gt;0,LEN(Множество[[#This Row],[Оценки]])&gt;0),1,-1)</f>
        <v>-1</v>
      </c>
      <c r="AN812" s="230"/>
      <c r="AO812" s="208"/>
      <c r="AP812" s="208"/>
      <c r="AQ812" s="208"/>
      <c r="AR812" s="226"/>
      <c r="AS812" s="225"/>
      <c r="AT812" s="226"/>
      <c r="AU812" s="225"/>
      <c r="AV812" s="225"/>
      <c r="AW812" s="225"/>
      <c r="AX812" s="225"/>
      <c r="AY812" s="225"/>
    </row>
    <row r="813" spans="33:51" x14ac:dyDescent="0.25">
      <c r="AG813" s="66" t="str">
        <f>IF(AND(Множество[[#This Row],[Y]]=1),ROW()-ROW(Множество[[#Headers],[№]]),"")</f>
        <v/>
      </c>
      <c r="AI813" s="66">
        <v>1</v>
      </c>
      <c r="AJ813" s="66">
        <f>IF(LEN(Множество[[#This Row],[Свёртка]])&gt;0,1,-1)</f>
        <v>1</v>
      </c>
      <c r="AK813" s="66" t="s">
        <v>1781</v>
      </c>
      <c r="AL813" s="209">
        <f>IF(LEN(Множество[[#This Row],[Критерии]])&gt;0,1,-1)</f>
        <v>1</v>
      </c>
      <c r="AM813" s="209">
        <f>IF(AND(LEN(Множество[[#This Row],[Свёртка]])&gt;0,LEN(Множество[[#This Row],[Критерии]])&gt;0,LEN(Множество[[#This Row],[Оценки]])&gt;0),1,-1)</f>
        <v>-1</v>
      </c>
      <c r="AN813" s="230"/>
      <c r="AO813" s="208"/>
      <c r="AP813" s="208"/>
      <c r="AQ813" s="208"/>
      <c r="AR813" s="226"/>
      <c r="AS813" s="225"/>
      <c r="AT813" s="226"/>
      <c r="AU813" s="225"/>
      <c r="AV813" s="225"/>
      <c r="AW813" s="225"/>
      <c r="AX813" s="225"/>
      <c r="AY813" s="225"/>
    </row>
    <row r="814" spans="33:51" x14ac:dyDescent="0.25">
      <c r="AG814" s="66" t="str">
        <f>IF(AND(Множество[[#This Row],[Y]]=1),ROW()-ROW(Множество[[#Headers],[№]]),"")</f>
        <v/>
      </c>
      <c r="AI814" s="66">
        <v>1</v>
      </c>
      <c r="AJ814" s="66">
        <f>IF(LEN(Множество[[#This Row],[Свёртка]])&gt;0,1,-1)</f>
        <v>1</v>
      </c>
      <c r="AK814" s="66" t="s">
        <v>1781</v>
      </c>
      <c r="AL814" s="209">
        <f>IF(LEN(Множество[[#This Row],[Критерии]])&gt;0,1,-1)</f>
        <v>1</v>
      </c>
      <c r="AM814" s="209">
        <f>IF(AND(LEN(Множество[[#This Row],[Свёртка]])&gt;0,LEN(Множество[[#This Row],[Критерии]])&gt;0,LEN(Множество[[#This Row],[Оценки]])&gt;0),1,-1)</f>
        <v>-1</v>
      </c>
      <c r="AN814" s="230"/>
      <c r="AO814" s="208"/>
      <c r="AP814" s="208"/>
      <c r="AQ814" s="208"/>
      <c r="AR814" s="226"/>
      <c r="AS814" s="225"/>
      <c r="AT814" s="226"/>
      <c r="AU814" s="225"/>
      <c r="AV814" s="225"/>
      <c r="AW814" s="225"/>
      <c r="AX814" s="225"/>
      <c r="AY814" s="225"/>
    </row>
    <row r="815" spans="33:51" x14ac:dyDescent="0.25">
      <c r="AG815" s="66" t="str">
        <f>IF(AND(Множество[[#This Row],[Y]]=1),ROW()-ROW(Множество[[#Headers],[№]]),"")</f>
        <v/>
      </c>
      <c r="AI815" s="66">
        <v>1</v>
      </c>
      <c r="AJ815" s="66">
        <f>IF(LEN(Множество[[#This Row],[Свёртка]])&gt;0,1,-1)</f>
        <v>1</v>
      </c>
      <c r="AK815" s="66" t="s">
        <v>1781</v>
      </c>
      <c r="AL815" s="209">
        <f>IF(LEN(Множество[[#This Row],[Критерии]])&gt;0,1,-1)</f>
        <v>1</v>
      </c>
      <c r="AM815" s="209">
        <f>IF(AND(LEN(Множество[[#This Row],[Свёртка]])&gt;0,LEN(Множество[[#This Row],[Критерии]])&gt;0,LEN(Множество[[#This Row],[Оценки]])&gt;0),1,-1)</f>
        <v>-1</v>
      </c>
      <c r="AN815" s="230"/>
      <c r="AO815" s="208"/>
      <c r="AP815" s="208"/>
      <c r="AQ815" s="208"/>
      <c r="AR815" s="226"/>
      <c r="AS815" s="225"/>
      <c r="AT815" s="226"/>
      <c r="AU815" s="225"/>
      <c r="AV815" s="225"/>
      <c r="AW815" s="225"/>
      <c r="AX815" s="225"/>
      <c r="AY815" s="225"/>
    </row>
    <row r="816" spans="33:51" x14ac:dyDescent="0.25">
      <c r="AG816" s="66" t="str">
        <f>IF(AND(Множество[[#This Row],[Y]]=1),ROW()-ROW(Множество[[#Headers],[№]]),"")</f>
        <v/>
      </c>
      <c r="AI816" s="66">
        <v>1</v>
      </c>
      <c r="AJ816" s="66">
        <f>IF(LEN(Множество[[#This Row],[Свёртка]])&gt;0,1,-1)</f>
        <v>1</v>
      </c>
      <c r="AK816" s="66" t="s">
        <v>1781</v>
      </c>
      <c r="AL816" s="209">
        <f>IF(LEN(Множество[[#This Row],[Критерии]])&gt;0,1,-1)</f>
        <v>1</v>
      </c>
      <c r="AM816" s="209">
        <f>IF(AND(LEN(Множество[[#This Row],[Свёртка]])&gt;0,LEN(Множество[[#This Row],[Критерии]])&gt;0,LEN(Множество[[#This Row],[Оценки]])&gt;0),1,-1)</f>
        <v>-1</v>
      </c>
      <c r="AN816" s="230"/>
      <c r="AO816" s="208"/>
      <c r="AP816" s="208"/>
      <c r="AQ816" s="208"/>
      <c r="AR816" s="226"/>
      <c r="AS816" s="225"/>
      <c r="AT816" s="226"/>
      <c r="AU816" s="225"/>
      <c r="AV816" s="225"/>
      <c r="AW816" s="225"/>
      <c r="AX816" s="225"/>
      <c r="AY816" s="225"/>
    </row>
    <row r="817" spans="33:51" x14ac:dyDescent="0.25">
      <c r="AG817" s="66" t="str">
        <f>IF(AND(Множество[[#This Row],[Y]]=1),ROW()-ROW(Множество[[#Headers],[№]]),"")</f>
        <v/>
      </c>
      <c r="AI817" s="66">
        <v>1</v>
      </c>
      <c r="AJ817" s="66">
        <f>IF(LEN(Множество[[#This Row],[Свёртка]])&gt;0,1,-1)</f>
        <v>1</v>
      </c>
      <c r="AK817" s="66" t="s">
        <v>1781</v>
      </c>
      <c r="AL817" s="209">
        <f>IF(LEN(Множество[[#This Row],[Критерии]])&gt;0,1,-1)</f>
        <v>1</v>
      </c>
      <c r="AM817" s="209">
        <f>IF(AND(LEN(Множество[[#This Row],[Свёртка]])&gt;0,LEN(Множество[[#This Row],[Критерии]])&gt;0,LEN(Множество[[#This Row],[Оценки]])&gt;0),1,-1)</f>
        <v>-1</v>
      </c>
      <c r="AN817" s="230"/>
      <c r="AO817" s="208"/>
      <c r="AP817" s="208"/>
      <c r="AQ817" s="208"/>
      <c r="AR817" s="226"/>
      <c r="AS817" s="225"/>
      <c r="AT817" s="226"/>
      <c r="AU817" s="225"/>
      <c r="AV817" s="225"/>
      <c r="AW817" s="225"/>
      <c r="AX817" s="225"/>
      <c r="AY817" s="225"/>
    </row>
    <row r="818" spans="33:51" x14ac:dyDescent="0.25">
      <c r="AG818" s="66" t="str">
        <f>IF(AND(Множество[[#This Row],[Y]]=1),ROW()-ROW(Множество[[#Headers],[№]]),"")</f>
        <v/>
      </c>
      <c r="AI818" s="66">
        <v>1</v>
      </c>
      <c r="AJ818" s="66">
        <f>IF(LEN(Множество[[#This Row],[Свёртка]])&gt;0,1,-1)</f>
        <v>1</v>
      </c>
      <c r="AK818" s="66" t="s">
        <v>1781</v>
      </c>
      <c r="AL818" s="209">
        <f>IF(LEN(Множество[[#This Row],[Критерии]])&gt;0,1,-1)</f>
        <v>1</v>
      </c>
      <c r="AM818" s="209">
        <f>IF(AND(LEN(Множество[[#This Row],[Свёртка]])&gt;0,LEN(Множество[[#This Row],[Критерии]])&gt;0,LEN(Множество[[#This Row],[Оценки]])&gt;0),1,-1)</f>
        <v>-1</v>
      </c>
      <c r="AN818" s="230"/>
      <c r="AO818" s="208"/>
      <c r="AP818" s="208"/>
      <c r="AQ818" s="208"/>
      <c r="AR818" s="226"/>
      <c r="AS818" s="225"/>
      <c r="AT818" s="226"/>
      <c r="AU818" s="225"/>
      <c r="AV818" s="225"/>
      <c r="AW818" s="225"/>
      <c r="AX818" s="225"/>
      <c r="AY818" s="225"/>
    </row>
    <row r="819" spans="33:51" x14ac:dyDescent="0.25">
      <c r="AG819" s="66" t="str">
        <f>IF(AND(Множество[[#This Row],[Y]]=1),ROW()-ROW(Множество[[#Headers],[№]]),"")</f>
        <v/>
      </c>
      <c r="AI819" s="66">
        <v>1</v>
      </c>
      <c r="AJ819" s="66">
        <f>IF(LEN(Множество[[#This Row],[Свёртка]])&gt;0,1,-1)</f>
        <v>1</v>
      </c>
      <c r="AK819" s="66" t="s">
        <v>1781</v>
      </c>
      <c r="AL819" s="209">
        <f>IF(LEN(Множество[[#This Row],[Критерии]])&gt;0,1,-1)</f>
        <v>1</v>
      </c>
      <c r="AM819" s="209">
        <f>IF(AND(LEN(Множество[[#This Row],[Свёртка]])&gt;0,LEN(Множество[[#This Row],[Критерии]])&gt;0,LEN(Множество[[#This Row],[Оценки]])&gt;0),1,-1)</f>
        <v>-1</v>
      </c>
      <c r="AN819" s="230"/>
      <c r="AO819" s="208"/>
      <c r="AP819" s="208"/>
      <c r="AQ819" s="208"/>
      <c r="AR819" s="226"/>
      <c r="AS819" s="225"/>
      <c r="AT819" s="226"/>
      <c r="AU819" s="225"/>
      <c r="AV819" s="225"/>
      <c r="AW819" s="225"/>
      <c r="AX819" s="225"/>
      <c r="AY819" s="225"/>
    </row>
    <row r="820" spans="33:51" x14ac:dyDescent="0.25">
      <c r="AG820" s="66" t="str">
        <f>IF(AND(Множество[[#This Row],[Y]]=1),ROW()-ROW(Множество[[#Headers],[№]]),"")</f>
        <v/>
      </c>
      <c r="AI820" s="66">
        <v>1</v>
      </c>
      <c r="AJ820" s="66">
        <f>IF(LEN(Множество[[#This Row],[Свёртка]])&gt;0,1,-1)</f>
        <v>1</v>
      </c>
      <c r="AK820" s="66" t="s">
        <v>1781</v>
      </c>
      <c r="AL820" s="209">
        <f>IF(LEN(Множество[[#This Row],[Критерии]])&gt;0,1,-1)</f>
        <v>1</v>
      </c>
      <c r="AM820" s="209">
        <f>IF(AND(LEN(Множество[[#This Row],[Свёртка]])&gt;0,LEN(Множество[[#This Row],[Критерии]])&gt;0,LEN(Множество[[#This Row],[Оценки]])&gt;0),1,-1)</f>
        <v>-1</v>
      </c>
      <c r="AN820" s="230"/>
      <c r="AO820" s="208"/>
      <c r="AP820" s="208"/>
      <c r="AQ820" s="208"/>
      <c r="AR820" s="226"/>
      <c r="AS820" s="225"/>
      <c r="AT820" s="226"/>
      <c r="AU820" s="225"/>
      <c r="AV820" s="225"/>
      <c r="AW820" s="225"/>
      <c r="AX820" s="225"/>
      <c r="AY820" s="225"/>
    </row>
    <row r="821" spans="33:51" x14ac:dyDescent="0.25">
      <c r="AG821" s="66" t="str">
        <f>IF(AND(Множество[[#This Row],[Y]]=1),ROW()-ROW(Множество[[#Headers],[№]]),"")</f>
        <v/>
      </c>
      <c r="AI821" s="66">
        <v>1</v>
      </c>
      <c r="AJ821" s="66">
        <f>IF(LEN(Множество[[#This Row],[Свёртка]])&gt;0,1,-1)</f>
        <v>1</v>
      </c>
      <c r="AK821" s="66" t="s">
        <v>1781</v>
      </c>
      <c r="AL821" s="209">
        <f>IF(LEN(Множество[[#This Row],[Критерии]])&gt;0,1,-1)</f>
        <v>1</v>
      </c>
      <c r="AM821" s="209">
        <f>IF(AND(LEN(Множество[[#This Row],[Свёртка]])&gt;0,LEN(Множество[[#This Row],[Критерии]])&gt;0,LEN(Множество[[#This Row],[Оценки]])&gt;0),1,-1)</f>
        <v>-1</v>
      </c>
      <c r="AN821" s="230"/>
      <c r="AO821" s="208"/>
      <c r="AP821" s="208"/>
      <c r="AQ821" s="208"/>
      <c r="AR821" s="226"/>
      <c r="AS821" s="225"/>
      <c r="AT821" s="226"/>
      <c r="AU821" s="225"/>
      <c r="AV821" s="225"/>
      <c r="AW821" s="225"/>
      <c r="AX821" s="225"/>
      <c r="AY821" s="225"/>
    </row>
    <row r="822" spans="33:51" x14ac:dyDescent="0.25">
      <c r="AG822" s="66" t="str">
        <f>IF(AND(Множество[[#This Row],[Y]]=1),ROW()-ROW(Множество[[#Headers],[№]]),"")</f>
        <v/>
      </c>
      <c r="AI822" s="66">
        <v>1</v>
      </c>
      <c r="AJ822" s="66">
        <f>IF(LEN(Множество[[#This Row],[Свёртка]])&gt;0,1,-1)</f>
        <v>1</v>
      </c>
      <c r="AK822" s="66" t="s">
        <v>1781</v>
      </c>
      <c r="AL822" s="209">
        <f>IF(LEN(Множество[[#This Row],[Критерии]])&gt;0,1,-1)</f>
        <v>1</v>
      </c>
      <c r="AM822" s="209">
        <f>IF(AND(LEN(Множество[[#This Row],[Свёртка]])&gt;0,LEN(Множество[[#This Row],[Критерии]])&gt;0,LEN(Множество[[#This Row],[Оценки]])&gt;0),1,-1)</f>
        <v>-1</v>
      </c>
      <c r="AN822" s="230"/>
      <c r="AO822" s="208"/>
      <c r="AP822" s="208"/>
      <c r="AQ822" s="208"/>
      <c r="AR822" s="226"/>
      <c r="AS822" s="225"/>
      <c r="AT822" s="226"/>
      <c r="AU822" s="225"/>
      <c r="AV822" s="225"/>
      <c r="AW822" s="225"/>
      <c r="AX822" s="225"/>
      <c r="AY822" s="225"/>
    </row>
    <row r="823" spans="33:51" x14ac:dyDescent="0.25">
      <c r="AG823" s="66" t="str">
        <f>IF(AND(Множество[[#This Row],[Y]]=1),ROW()-ROW(Множество[[#Headers],[№]]),"")</f>
        <v/>
      </c>
      <c r="AI823" s="66">
        <v>1</v>
      </c>
      <c r="AJ823" s="66">
        <f>IF(LEN(Множество[[#This Row],[Свёртка]])&gt;0,1,-1)</f>
        <v>1</v>
      </c>
      <c r="AK823" s="66" t="s">
        <v>1781</v>
      </c>
      <c r="AL823" s="209">
        <f>IF(LEN(Множество[[#This Row],[Критерии]])&gt;0,1,-1)</f>
        <v>1</v>
      </c>
      <c r="AM823" s="209">
        <f>IF(AND(LEN(Множество[[#This Row],[Свёртка]])&gt;0,LEN(Множество[[#This Row],[Критерии]])&gt;0,LEN(Множество[[#This Row],[Оценки]])&gt;0),1,-1)</f>
        <v>-1</v>
      </c>
      <c r="AN823" s="230"/>
      <c r="AO823" s="208"/>
      <c r="AP823" s="208"/>
      <c r="AQ823" s="208"/>
      <c r="AR823" s="226"/>
      <c r="AS823" s="225"/>
      <c r="AT823" s="226"/>
      <c r="AU823" s="225"/>
      <c r="AV823" s="225"/>
      <c r="AW823" s="225"/>
      <c r="AX823" s="225"/>
      <c r="AY823" s="225"/>
    </row>
    <row r="824" spans="33:51" x14ac:dyDescent="0.25">
      <c r="AG824" s="66" t="str">
        <f>IF(AND(Множество[[#This Row],[Y]]=1),ROW()-ROW(Множество[[#Headers],[№]]),"")</f>
        <v/>
      </c>
      <c r="AI824" s="66">
        <v>1</v>
      </c>
      <c r="AJ824" s="66">
        <f>IF(LEN(Множество[[#This Row],[Свёртка]])&gt;0,1,-1)</f>
        <v>1</v>
      </c>
      <c r="AK824" s="66" t="s">
        <v>1781</v>
      </c>
      <c r="AL824" s="209">
        <f>IF(LEN(Множество[[#This Row],[Критерии]])&gt;0,1,-1)</f>
        <v>1</v>
      </c>
      <c r="AM824" s="209">
        <f>IF(AND(LEN(Множество[[#This Row],[Свёртка]])&gt;0,LEN(Множество[[#This Row],[Критерии]])&gt;0,LEN(Множество[[#This Row],[Оценки]])&gt;0),1,-1)</f>
        <v>-1</v>
      </c>
      <c r="AN824" s="230"/>
      <c r="AO824" s="208"/>
      <c r="AP824" s="208"/>
      <c r="AQ824" s="208"/>
      <c r="AR824" s="226"/>
      <c r="AS824" s="225"/>
      <c r="AT824" s="226"/>
      <c r="AU824" s="225"/>
      <c r="AV824" s="225"/>
      <c r="AW824" s="225"/>
      <c r="AX824" s="225"/>
      <c r="AY824" s="225"/>
    </row>
    <row r="825" spans="33:51" x14ac:dyDescent="0.25">
      <c r="AG825" s="66" t="str">
        <f>IF(AND(Множество[[#This Row],[Y]]=1),ROW()-ROW(Множество[[#Headers],[№]]),"")</f>
        <v/>
      </c>
      <c r="AI825" s="66">
        <v>1</v>
      </c>
      <c r="AJ825" s="66">
        <f>IF(LEN(Множество[[#This Row],[Свёртка]])&gt;0,1,-1)</f>
        <v>1</v>
      </c>
      <c r="AK825" s="66" t="s">
        <v>1781</v>
      </c>
      <c r="AL825" s="209">
        <f>IF(LEN(Множество[[#This Row],[Критерии]])&gt;0,1,-1)</f>
        <v>1</v>
      </c>
      <c r="AM825" s="209">
        <f>IF(AND(LEN(Множество[[#This Row],[Свёртка]])&gt;0,LEN(Множество[[#This Row],[Критерии]])&gt;0,LEN(Множество[[#This Row],[Оценки]])&gt;0),1,-1)</f>
        <v>-1</v>
      </c>
      <c r="AN825" s="230"/>
      <c r="AO825" s="208"/>
      <c r="AP825" s="208"/>
      <c r="AQ825" s="208"/>
      <c r="AR825" s="226"/>
      <c r="AS825" s="225"/>
      <c r="AT825" s="226"/>
      <c r="AU825" s="225"/>
      <c r="AV825" s="225"/>
      <c r="AW825" s="225"/>
      <c r="AX825" s="225"/>
      <c r="AY825" s="225"/>
    </row>
    <row r="826" spans="33:51" x14ac:dyDescent="0.25">
      <c r="AG826" s="66" t="str">
        <f>IF(AND(Множество[[#This Row],[Y]]=1),ROW()-ROW(Множество[[#Headers],[№]]),"")</f>
        <v/>
      </c>
      <c r="AI826" s="66">
        <v>1</v>
      </c>
      <c r="AJ826" s="66">
        <f>IF(LEN(Множество[[#This Row],[Свёртка]])&gt;0,1,-1)</f>
        <v>1</v>
      </c>
      <c r="AK826" s="66" t="s">
        <v>1781</v>
      </c>
      <c r="AL826" s="209">
        <f>IF(LEN(Множество[[#This Row],[Критерии]])&gt;0,1,-1)</f>
        <v>1</v>
      </c>
      <c r="AM826" s="209">
        <f>IF(AND(LEN(Множество[[#This Row],[Свёртка]])&gt;0,LEN(Множество[[#This Row],[Критерии]])&gt;0,LEN(Множество[[#This Row],[Оценки]])&gt;0),1,-1)</f>
        <v>-1</v>
      </c>
      <c r="AN826" s="230"/>
      <c r="AO826" s="208"/>
      <c r="AP826" s="208"/>
      <c r="AQ826" s="208"/>
      <c r="AR826" s="226"/>
      <c r="AS826" s="225"/>
      <c r="AT826" s="226"/>
      <c r="AU826" s="225"/>
      <c r="AV826" s="225"/>
      <c r="AW826" s="225"/>
      <c r="AX826" s="225"/>
      <c r="AY826" s="225"/>
    </row>
    <row r="827" spans="33:51" x14ac:dyDescent="0.25">
      <c r="AG827" s="66" t="str">
        <f>IF(AND(Множество[[#This Row],[Y]]=1),ROW()-ROW(Множество[[#Headers],[№]]),"")</f>
        <v/>
      </c>
      <c r="AI827" s="66">
        <v>1</v>
      </c>
      <c r="AJ827" s="66">
        <f>IF(LEN(Множество[[#This Row],[Свёртка]])&gt;0,1,-1)</f>
        <v>1</v>
      </c>
      <c r="AK827" s="66" t="s">
        <v>1781</v>
      </c>
      <c r="AL827" s="209">
        <f>IF(LEN(Множество[[#This Row],[Критерии]])&gt;0,1,-1)</f>
        <v>1</v>
      </c>
      <c r="AM827" s="209">
        <f>IF(AND(LEN(Множество[[#This Row],[Свёртка]])&gt;0,LEN(Множество[[#This Row],[Критерии]])&gt;0,LEN(Множество[[#This Row],[Оценки]])&gt;0),1,-1)</f>
        <v>-1</v>
      </c>
      <c r="AN827" s="230"/>
      <c r="AO827" s="208"/>
      <c r="AP827" s="208"/>
      <c r="AQ827" s="208"/>
      <c r="AR827" s="226"/>
      <c r="AS827" s="225"/>
      <c r="AT827" s="226"/>
      <c r="AU827" s="225"/>
      <c r="AV827" s="225"/>
      <c r="AW827" s="225"/>
      <c r="AX827" s="225"/>
      <c r="AY827" s="225"/>
    </row>
    <row r="828" spans="33:51" x14ac:dyDescent="0.25">
      <c r="AG828" s="66" t="str">
        <f>IF(AND(Множество[[#This Row],[Y]]=1),ROW()-ROW(Множество[[#Headers],[№]]),"")</f>
        <v/>
      </c>
      <c r="AI828" s="66">
        <v>1</v>
      </c>
      <c r="AJ828" s="66">
        <f>IF(LEN(Множество[[#This Row],[Свёртка]])&gt;0,1,-1)</f>
        <v>1</v>
      </c>
      <c r="AK828" s="66" t="s">
        <v>1781</v>
      </c>
      <c r="AL828" s="209">
        <f>IF(LEN(Множество[[#This Row],[Критерии]])&gt;0,1,-1)</f>
        <v>1</v>
      </c>
      <c r="AM828" s="209">
        <f>IF(AND(LEN(Множество[[#This Row],[Свёртка]])&gt;0,LEN(Множество[[#This Row],[Критерии]])&gt;0,LEN(Множество[[#This Row],[Оценки]])&gt;0),1,-1)</f>
        <v>-1</v>
      </c>
      <c r="AN828" s="230"/>
      <c r="AO828" s="208"/>
      <c r="AP828" s="208"/>
      <c r="AQ828" s="208"/>
      <c r="AR828" s="226"/>
      <c r="AS828" s="225"/>
      <c r="AT828" s="226"/>
      <c r="AU828" s="225"/>
      <c r="AV828" s="225"/>
      <c r="AW828" s="225"/>
      <c r="AX828" s="225"/>
      <c r="AY828" s="225"/>
    </row>
    <row r="829" spans="33:51" x14ac:dyDescent="0.25">
      <c r="AG829" s="66" t="str">
        <f>IF(AND(Множество[[#This Row],[Y]]=1),ROW()-ROW(Множество[[#Headers],[№]]),"")</f>
        <v/>
      </c>
      <c r="AI829" s="66">
        <v>1</v>
      </c>
      <c r="AJ829" s="66">
        <f>IF(LEN(Множество[[#This Row],[Свёртка]])&gt;0,1,-1)</f>
        <v>1</v>
      </c>
      <c r="AK829" s="66" t="s">
        <v>1781</v>
      </c>
      <c r="AL829" s="209">
        <f>IF(LEN(Множество[[#This Row],[Критерии]])&gt;0,1,-1)</f>
        <v>1</v>
      </c>
      <c r="AM829" s="209">
        <f>IF(AND(LEN(Множество[[#This Row],[Свёртка]])&gt;0,LEN(Множество[[#This Row],[Критерии]])&gt;0,LEN(Множество[[#This Row],[Оценки]])&gt;0),1,-1)</f>
        <v>-1</v>
      </c>
      <c r="AN829" s="230"/>
      <c r="AO829" s="208"/>
      <c r="AP829" s="208"/>
      <c r="AQ829" s="208"/>
      <c r="AR829" s="226"/>
      <c r="AS829" s="225"/>
      <c r="AT829" s="226"/>
      <c r="AU829" s="225"/>
      <c r="AV829" s="225"/>
      <c r="AW829" s="225"/>
      <c r="AX829" s="225"/>
      <c r="AY829" s="225"/>
    </row>
    <row r="830" spans="33:51" x14ac:dyDescent="0.25">
      <c r="AG830" s="66" t="str">
        <f>IF(AND(Множество[[#This Row],[Y]]=1),ROW()-ROW(Множество[[#Headers],[№]]),"")</f>
        <v/>
      </c>
      <c r="AI830" s="66">
        <v>1</v>
      </c>
      <c r="AJ830" s="66">
        <f>IF(LEN(Множество[[#This Row],[Свёртка]])&gt;0,1,-1)</f>
        <v>1</v>
      </c>
      <c r="AK830" s="66" t="s">
        <v>1781</v>
      </c>
      <c r="AL830" s="209">
        <f>IF(LEN(Множество[[#This Row],[Критерии]])&gt;0,1,-1)</f>
        <v>1</v>
      </c>
      <c r="AM830" s="209">
        <f>IF(AND(LEN(Множество[[#This Row],[Свёртка]])&gt;0,LEN(Множество[[#This Row],[Критерии]])&gt;0,LEN(Множество[[#This Row],[Оценки]])&gt;0),1,-1)</f>
        <v>-1</v>
      </c>
      <c r="AN830" s="230"/>
      <c r="AO830" s="208"/>
      <c r="AP830" s="208"/>
      <c r="AQ830" s="208"/>
      <c r="AR830" s="226"/>
      <c r="AS830" s="225"/>
      <c r="AT830" s="226"/>
      <c r="AU830" s="225"/>
      <c r="AV830" s="225"/>
      <c r="AW830" s="225"/>
      <c r="AX830" s="225"/>
      <c r="AY830" s="225"/>
    </row>
    <row r="831" spans="33:51" x14ac:dyDescent="0.25">
      <c r="AG831" s="66" t="str">
        <f>IF(AND(Множество[[#This Row],[Y]]=1),ROW()-ROW(Множество[[#Headers],[№]]),"")</f>
        <v/>
      </c>
      <c r="AI831" s="66">
        <v>1</v>
      </c>
      <c r="AJ831" s="66">
        <f>IF(LEN(Множество[[#This Row],[Свёртка]])&gt;0,1,-1)</f>
        <v>1</v>
      </c>
      <c r="AK831" s="66" t="s">
        <v>1781</v>
      </c>
      <c r="AL831" s="209">
        <f>IF(LEN(Множество[[#This Row],[Критерии]])&gt;0,1,-1)</f>
        <v>1</v>
      </c>
      <c r="AM831" s="209">
        <f>IF(AND(LEN(Множество[[#This Row],[Свёртка]])&gt;0,LEN(Множество[[#This Row],[Критерии]])&gt;0,LEN(Множество[[#This Row],[Оценки]])&gt;0),1,-1)</f>
        <v>-1</v>
      </c>
      <c r="AN831" s="230"/>
      <c r="AO831" s="208"/>
      <c r="AP831" s="208"/>
      <c r="AQ831" s="208"/>
      <c r="AR831" s="226"/>
      <c r="AS831" s="225"/>
      <c r="AT831" s="226"/>
      <c r="AU831" s="225"/>
      <c r="AV831" s="225"/>
      <c r="AW831" s="225"/>
      <c r="AX831" s="225"/>
      <c r="AY831" s="225"/>
    </row>
    <row r="832" spans="33:51" x14ac:dyDescent="0.25">
      <c r="AG832" s="66" t="str">
        <f>IF(AND(Множество[[#This Row],[Y]]=1),ROW()-ROW(Множество[[#Headers],[№]]),"")</f>
        <v/>
      </c>
      <c r="AI832" s="66">
        <v>1</v>
      </c>
      <c r="AJ832" s="66">
        <f>IF(LEN(Множество[[#This Row],[Свёртка]])&gt;0,1,-1)</f>
        <v>1</v>
      </c>
      <c r="AK832" s="66" t="s">
        <v>1781</v>
      </c>
      <c r="AL832" s="209">
        <f>IF(LEN(Множество[[#This Row],[Критерии]])&gt;0,1,-1)</f>
        <v>1</v>
      </c>
      <c r="AM832" s="209">
        <f>IF(AND(LEN(Множество[[#This Row],[Свёртка]])&gt;0,LEN(Множество[[#This Row],[Критерии]])&gt;0,LEN(Множество[[#This Row],[Оценки]])&gt;0),1,-1)</f>
        <v>-1</v>
      </c>
      <c r="AN832" s="230"/>
      <c r="AO832" s="208"/>
      <c r="AP832" s="208"/>
      <c r="AQ832" s="208"/>
      <c r="AR832" s="226"/>
      <c r="AS832" s="225"/>
      <c r="AT832" s="226"/>
      <c r="AU832" s="225"/>
      <c r="AV832" s="225"/>
      <c r="AW832" s="225"/>
      <c r="AX832" s="225"/>
      <c r="AY832" s="225"/>
    </row>
    <row r="833" spans="33:51" x14ac:dyDescent="0.25">
      <c r="AG833" s="66" t="str">
        <f>IF(AND(Множество[[#This Row],[Y]]=1),ROW()-ROW(Множество[[#Headers],[№]]),"")</f>
        <v/>
      </c>
      <c r="AI833" s="66">
        <v>1</v>
      </c>
      <c r="AJ833" s="66">
        <f>IF(LEN(Множество[[#This Row],[Свёртка]])&gt;0,1,-1)</f>
        <v>1</v>
      </c>
      <c r="AK833" s="66" t="s">
        <v>1781</v>
      </c>
      <c r="AL833" s="209">
        <f>IF(LEN(Множество[[#This Row],[Критерии]])&gt;0,1,-1)</f>
        <v>1</v>
      </c>
      <c r="AM833" s="209">
        <f>IF(AND(LEN(Множество[[#This Row],[Свёртка]])&gt;0,LEN(Множество[[#This Row],[Критерии]])&gt;0,LEN(Множество[[#This Row],[Оценки]])&gt;0),1,-1)</f>
        <v>-1</v>
      </c>
      <c r="AN833" s="230"/>
      <c r="AO833" s="208"/>
      <c r="AP833" s="208"/>
      <c r="AQ833" s="208"/>
      <c r="AR833" s="226"/>
      <c r="AS833" s="225"/>
      <c r="AT833" s="226"/>
      <c r="AU833" s="225"/>
      <c r="AV833" s="225"/>
      <c r="AW833" s="225"/>
      <c r="AX833" s="225"/>
      <c r="AY833" s="225"/>
    </row>
    <row r="834" spans="33:51" x14ac:dyDescent="0.25">
      <c r="AG834" s="66" t="str">
        <f>IF(AND(Множество[[#This Row],[Y]]=1),ROW()-ROW(Множество[[#Headers],[№]]),"")</f>
        <v/>
      </c>
      <c r="AI834" s="66">
        <v>1</v>
      </c>
      <c r="AJ834" s="66">
        <f>IF(LEN(Множество[[#This Row],[Свёртка]])&gt;0,1,-1)</f>
        <v>1</v>
      </c>
      <c r="AK834" s="66" t="s">
        <v>1781</v>
      </c>
      <c r="AL834" s="209">
        <f>IF(LEN(Множество[[#This Row],[Критерии]])&gt;0,1,-1)</f>
        <v>1</v>
      </c>
      <c r="AM834" s="209">
        <f>IF(AND(LEN(Множество[[#This Row],[Свёртка]])&gt;0,LEN(Множество[[#This Row],[Критерии]])&gt;0,LEN(Множество[[#This Row],[Оценки]])&gt;0),1,-1)</f>
        <v>-1</v>
      </c>
      <c r="AN834" s="230"/>
      <c r="AO834" s="208"/>
      <c r="AP834" s="208"/>
      <c r="AQ834" s="208"/>
      <c r="AR834" s="226"/>
      <c r="AS834" s="225"/>
      <c r="AT834" s="226"/>
      <c r="AU834" s="225"/>
      <c r="AV834" s="225"/>
      <c r="AW834" s="225"/>
      <c r="AX834" s="225"/>
      <c r="AY834" s="225"/>
    </row>
    <row r="835" spans="33:51" x14ac:dyDescent="0.25">
      <c r="AG835" s="66" t="str">
        <f>IF(AND(Множество[[#This Row],[Y]]=1),ROW()-ROW(Множество[[#Headers],[№]]),"")</f>
        <v/>
      </c>
      <c r="AI835" s="66">
        <v>1</v>
      </c>
      <c r="AJ835" s="66">
        <f>IF(LEN(Множество[[#This Row],[Свёртка]])&gt;0,1,-1)</f>
        <v>1</v>
      </c>
      <c r="AK835" s="66" t="s">
        <v>1781</v>
      </c>
      <c r="AL835" s="209">
        <f>IF(LEN(Множество[[#This Row],[Критерии]])&gt;0,1,-1)</f>
        <v>1</v>
      </c>
      <c r="AM835" s="209">
        <f>IF(AND(LEN(Множество[[#This Row],[Свёртка]])&gt;0,LEN(Множество[[#This Row],[Критерии]])&gt;0,LEN(Множество[[#This Row],[Оценки]])&gt;0),1,-1)</f>
        <v>-1</v>
      </c>
      <c r="AN835" s="230"/>
      <c r="AO835" s="208"/>
      <c r="AP835" s="208"/>
      <c r="AQ835" s="208"/>
      <c r="AR835" s="226"/>
      <c r="AS835" s="225"/>
      <c r="AT835" s="226"/>
      <c r="AU835" s="225"/>
      <c r="AV835" s="225"/>
      <c r="AW835" s="225"/>
      <c r="AX835" s="225"/>
      <c r="AY835" s="225"/>
    </row>
    <row r="836" spans="33:51" x14ac:dyDescent="0.25">
      <c r="AG836" s="66" t="str">
        <f>IF(AND(Множество[[#This Row],[Y]]=1),ROW()-ROW(Множество[[#Headers],[№]]),"")</f>
        <v/>
      </c>
      <c r="AI836" s="66">
        <v>1</v>
      </c>
      <c r="AJ836" s="66">
        <f>IF(LEN(Множество[[#This Row],[Свёртка]])&gt;0,1,-1)</f>
        <v>1</v>
      </c>
      <c r="AK836" s="66" t="s">
        <v>1781</v>
      </c>
      <c r="AL836" s="209">
        <f>IF(LEN(Множество[[#This Row],[Критерии]])&gt;0,1,-1)</f>
        <v>1</v>
      </c>
      <c r="AM836" s="209">
        <f>IF(AND(LEN(Множество[[#This Row],[Свёртка]])&gt;0,LEN(Множество[[#This Row],[Критерии]])&gt;0,LEN(Множество[[#This Row],[Оценки]])&gt;0),1,-1)</f>
        <v>-1</v>
      </c>
      <c r="AN836" s="230"/>
      <c r="AO836" s="208"/>
      <c r="AP836" s="208"/>
      <c r="AQ836" s="208"/>
      <c r="AR836" s="226"/>
      <c r="AS836" s="225"/>
      <c r="AT836" s="226"/>
      <c r="AU836" s="225"/>
      <c r="AV836" s="225"/>
      <c r="AW836" s="225"/>
      <c r="AX836" s="225"/>
      <c r="AY836" s="225"/>
    </row>
    <row r="837" spans="33:51" x14ac:dyDescent="0.25">
      <c r="AG837" s="66" t="str">
        <f>IF(AND(Множество[[#This Row],[Y]]=1),ROW()-ROW(Множество[[#Headers],[№]]),"")</f>
        <v/>
      </c>
      <c r="AI837" s="66">
        <v>1</v>
      </c>
      <c r="AJ837" s="66">
        <f>IF(LEN(Множество[[#This Row],[Свёртка]])&gt;0,1,-1)</f>
        <v>1</v>
      </c>
      <c r="AK837" s="66" t="s">
        <v>1781</v>
      </c>
      <c r="AL837" s="209">
        <f>IF(LEN(Множество[[#This Row],[Критерии]])&gt;0,1,-1)</f>
        <v>1</v>
      </c>
      <c r="AM837" s="209">
        <f>IF(AND(LEN(Множество[[#This Row],[Свёртка]])&gt;0,LEN(Множество[[#This Row],[Критерии]])&gt;0,LEN(Множество[[#This Row],[Оценки]])&gt;0),1,-1)</f>
        <v>-1</v>
      </c>
      <c r="AN837" s="230"/>
      <c r="AO837" s="208"/>
      <c r="AP837" s="208"/>
      <c r="AQ837" s="208"/>
      <c r="AR837" s="226"/>
      <c r="AS837" s="225"/>
      <c r="AT837" s="226"/>
      <c r="AU837" s="225"/>
      <c r="AV837" s="225"/>
      <c r="AW837" s="225"/>
      <c r="AX837" s="225"/>
      <c r="AY837" s="225"/>
    </row>
    <row r="838" spans="33:51" x14ac:dyDescent="0.25">
      <c r="AG838" s="66" t="str">
        <f>IF(AND(Множество[[#This Row],[Y]]=1),ROW()-ROW(Множество[[#Headers],[№]]),"")</f>
        <v/>
      </c>
      <c r="AI838" s="66">
        <v>1</v>
      </c>
      <c r="AJ838" s="66">
        <f>IF(LEN(Множество[[#This Row],[Свёртка]])&gt;0,1,-1)</f>
        <v>1</v>
      </c>
      <c r="AK838" s="66" t="s">
        <v>1781</v>
      </c>
      <c r="AL838" s="209">
        <f>IF(LEN(Множество[[#This Row],[Критерии]])&gt;0,1,-1)</f>
        <v>1</v>
      </c>
      <c r="AM838" s="209">
        <f>IF(AND(LEN(Множество[[#This Row],[Свёртка]])&gt;0,LEN(Множество[[#This Row],[Критерии]])&gt;0,LEN(Множество[[#This Row],[Оценки]])&gt;0),1,-1)</f>
        <v>-1</v>
      </c>
      <c r="AN838" s="230"/>
      <c r="AO838" s="208"/>
      <c r="AP838" s="208"/>
      <c r="AQ838" s="208"/>
      <c r="AR838" s="226"/>
      <c r="AS838" s="225"/>
      <c r="AT838" s="226"/>
      <c r="AU838" s="225"/>
      <c r="AV838" s="225"/>
      <c r="AW838" s="225"/>
      <c r="AX838" s="225"/>
      <c r="AY838" s="225"/>
    </row>
    <row r="839" spans="33:51" x14ac:dyDescent="0.25">
      <c r="AG839" s="66" t="str">
        <f>IF(AND(Множество[[#This Row],[Y]]=1),ROW()-ROW(Множество[[#Headers],[№]]),"")</f>
        <v/>
      </c>
      <c r="AI839" s="66">
        <v>1</v>
      </c>
      <c r="AJ839" s="66">
        <f>IF(LEN(Множество[[#This Row],[Свёртка]])&gt;0,1,-1)</f>
        <v>1</v>
      </c>
      <c r="AK839" s="66" t="s">
        <v>1781</v>
      </c>
      <c r="AL839" s="209">
        <f>IF(LEN(Множество[[#This Row],[Критерии]])&gt;0,1,-1)</f>
        <v>1</v>
      </c>
      <c r="AM839" s="209">
        <f>IF(AND(LEN(Множество[[#This Row],[Свёртка]])&gt;0,LEN(Множество[[#This Row],[Критерии]])&gt;0,LEN(Множество[[#This Row],[Оценки]])&gt;0),1,-1)</f>
        <v>-1</v>
      </c>
      <c r="AN839" s="230"/>
      <c r="AO839" s="208"/>
      <c r="AP839" s="208"/>
      <c r="AQ839" s="208"/>
      <c r="AR839" s="226"/>
      <c r="AS839" s="225"/>
      <c r="AT839" s="226"/>
      <c r="AU839" s="225"/>
      <c r="AV839" s="225"/>
      <c r="AW839" s="225"/>
      <c r="AX839" s="225"/>
      <c r="AY839" s="225"/>
    </row>
    <row r="840" spans="33:51" x14ac:dyDescent="0.25">
      <c r="AG840" s="66" t="str">
        <f>IF(AND(Множество[[#This Row],[Y]]=1),ROW()-ROW(Множество[[#Headers],[№]]),"")</f>
        <v/>
      </c>
      <c r="AI840" s="66">
        <v>1</v>
      </c>
      <c r="AJ840" s="66">
        <f>IF(LEN(Множество[[#This Row],[Свёртка]])&gt;0,1,-1)</f>
        <v>1</v>
      </c>
      <c r="AK840" s="66" t="s">
        <v>1781</v>
      </c>
      <c r="AL840" s="209">
        <f>IF(LEN(Множество[[#This Row],[Критерии]])&gt;0,1,-1)</f>
        <v>1</v>
      </c>
      <c r="AM840" s="209">
        <f>IF(AND(LEN(Множество[[#This Row],[Свёртка]])&gt;0,LEN(Множество[[#This Row],[Критерии]])&gt;0,LEN(Множество[[#This Row],[Оценки]])&gt;0),1,-1)</f>
        <v>-1</v>
      </c>
      <c r="AN840" s="230"/>
      <c r="AO840" s="208"/>
      <c r="AP840" s="208"/>
      <c r="AQ840" s="208"/>
      <c r="AR840" s="226"/>
      <c r="AS840" s="225"/>
      <c r="AT840" s="226"/>
      <c r="AU840" s="225"/>
      <c r="AV840" s="225"/>
      <c r="AW840" s="225"/>
      <c r="AX840" s="225"/>
      <c r="AY840" s="225"/>
    </row>
    <row r="841" spans="33:51" x14ac:dyDescent="0.25">
      <c r="AG841" s="66" t="str">
        <f>IF(AND(Множество[[#This Row],[Y]]=1),ROW()-ROW(Множество[[#Headers],[№]]),"")</f>
        <v/>
      </c>
      <c r="AI841" s="66">
        <v>1</v>
      </c>
      <c r="AJ841" s="66">
        <f>IF(LEN(Множество[[#This Row],[Свёртка]])&gt;0,1,-1)</f>
        <v>1</v>
      </c>
      <c r="AK841" s="66" t="s">
        <v>1781</v>
      </c>
      <c r="AL841" s="209">
        <f>IF(LEN(Множество[[#This Row],[Критерии]])&gt;0,1,-1)</f>
        <v>1</v>
      </c>
      <c r="AM841" s="209">
        <f>IF(AND(LEN(Множество[[#This Row],[Свёртка]])&gt;0,LEN(Множество[[#This Row],[Критерии]])&gt;0,LEN(Множество[[#This Row],[Оценки]])&gt;0),1,-1)</f>
        <v>-1</v>
      </c>
      <c r="AN841" s="230"/>
      <c r="AO841" s="208"/>
      <c r="AP841" s="208"/>
      <c r="AQ841" s="208"/>
      <c r="AR841" s="226"/>
      <c r="AS841" s="225"/>
      <c r="AT841" s="226"/>
      <c r="AU841" s="225"/>
      <c r="AV841" s="225"/>
      <c r="AW841" s="225"/>
      <c r="AX841" s="225"/>
      <c r="AY841" s="225"/>
    </row>
    <row r="842" spans="33:51" x14ac:dyDescent="0.25">
      <c r="AG842" s="66" t="str">
        <f>IF(AND(Множество[[#This Row],[Y]]=1),ROW()-ROW(Множество[[#Headers],[№]]),"")</f>
        <v/>
      </c>
      <c r="AI842" s="66">
        <v>1</v>
      </c>
      <c r="AJ842" s="66">
        <f>IF(LEN(Множество[[#This Row],[Свёртка]])&gt;0,1,-1)</f>
        <v>1</v>
      </c>
      <c r="AK842" s="66" t="s">
        <v>1781</v>
      </c>
      <c r="AL842" s="209">
        <f>IF(LEN(Множество[[#This Row],[Критерии]])&gt;0,1,-1)</f>
        <v>1</v>
      </c>
      <c r="AM842" s="209">
        <f>IF(AND(LEN(Множество[[#This Row],[Свёртка]])&gt;0,LEN(Множество[[#This Row],[Критерии]])&gt;0,LEN(Множество[[#This Row],[Оценки]])&gt;0),1,-1)</f>
        <v>-1</v>
      </c>
      <c r="AN842" s="230"/>
      <c r="AO842" s="208"/>
      <c r="AP842" s="208"/>
      <c r="AQ842" s="208"/>
      <c r="AR842" s="226"/>
      <c r="AS842" s="225"/>
      <c r="AT842" s="226"/>
      <c r="AU842" s="225"/>
      <c r="AV842" s="225"/>
      <c r="AW842" s="225"/>
      <c r="AX842" s="225"/>
      <c r="AY842" s="225"/>
    </row>
    <row r="843" spans="33:51" x14ac:dyDescent="0.25">
      <c r="AG843" s="66" t="str">
        <f>IF(AND(Множество[[#This Row],[Y]]=1),ROW()-ROW(Множество[[#Headers],[№]]),"")</f>
        <v/>
      </c>
      <c r="AI843" s="66">
        <v>1</v>
      </c>
      <c r="AJ843" s="66">
        <f>IF(LEN(Множество[[#This Row],[Свёртка]])&gt;0,1,-1)</f>
        <v>1</v>
      </c>
      <c r="AK843" s="66" t="s">
        <v>1781</v>
      </c>
      <c r="AL843" s="209">
        <f>IF(LEN(Множество[[#This Row],[Критерии]])&gt;0,1,-1)</f>
        <v>1</v>
      </c>
      <c r="AM843" s="209">
        <f>IF(AND(LEN(Множество[[#This Row],[Свёртка]])&gt;0,LEN(Множество[[#This Row],[Критерии]])&gt;0,LEN(Множество[[#This Row],[Оценки]])&gt;0),1,-1)</f>
        <v>-1</v>
      </c>
      <c r="AN843" s="230"/>
      <c r="AO843" s="208"/>
      <c r="AP843" s="208"/>
      <c r="AQ843" s="208"/>
      <c r="AR843" s="226"/>
      <c r="AS843" s="225"/>
      <c r="AT843" s="226"/>
      <c r="AU843" s="225"/>
      <c r="AV843" s="225"/>
      <c r="AW843" s="225"/>
      <c r="AX843" s="225"/>
      <c r="AY843" s="225"/>
    </row>
    <row r="844" spans="33:51" x14ac:dyDescent="0.25">
      <c r="AG844" s="66" t="str">
        <f>IF(AND(Множество[[#This Row],[Y]]=1),ROW()-ROW(Множество[[#Headers],[№]]),"")</f>
        <v/>
      </c>
      <c r="AI844" s="66">
        <v>1</v>
      </c>
      <c r="AJ844" s="66">
        <f>IF(LEN(Множество[[#This Row],[Свёртка]])&gt;0,1,-1)</f>
        <v>1</v>
      </c>
      <c r="AK844" s="66" t="s">
        <v>1781</v>
      </c>
      <c r="AL844" s="209">
        <f>IF(LEN(Множество[[#This Row],[Критерии]])&gt;0,1,-1)</f>
        <v>1</v>
      </c>
      <c r="AM844" s="209">
        <f>IF(AND(LEN(Множество[[#This Row],[Свёртка]])&gt;0,LEN(Множество[[#This Row],[Критерии]])&gt;0,LEN(Множество[[#This Row],[Оценки]])&gt;0),1,-1)</f>
        <v>-1</v>
      </c>
      <c r="AN844" s="230"/>
      <c r="AO844" s="208"/>
      <c r="AP844" s="208"/>
      <c r="AQ844" s="208"/>
      <c r="AR844" s="226"/>
      <c r="AS844" s="225"/>
      <c r="AT844" s="226"/>
      <c r="AU844" s="225"/>
      <c r="AV844" s="225"/>
      <c r="AW844" s="225"/>
      <c r="AX844" s="225"/>
      <c r="AY844" s="225"/>
    </row>
    <row r="845" spans="33:51" x14ac:dyDescent="0.25">
      <c r="AG845" s="66" t="str">
        <f>IF(AND(Множество[[#This Row],[Y]]=1),ROW()-ROW(Множество[[#Headers],[№]]),"")</f>
        <v/>
      </c>
      <c r="AI845" s="66">
        <v>1</v>
      </c>
      <c r="AJ845" s="66">
        <f>IF(LEN(Множество[[#This Row],[Свёртка]])&gt;0,1,-1)</f>
        <v>1</v>
      </c>
      <c r="AK845" s="66" t="s">
        <v>1781</v>
      </c>
      <c r="AL845" s="209">
        <f>IF(LEN(Множество[[#This Row],[Критерии]])&gt;0,1,-1)</f>
        <v>1</v>
      </c>
      <c r="AM845" s="209">
        <f>IF(AND(LEN(Множество[[#This Row],[Свёртка]])&gt;0,LEN(Множество[[#This Row],[Критерии]])&gt;0,LEN(Множество[[#This Row],[Оценки]])&gt;0),1,-1)</f>
        <v>-1</v>
      </c>
      <c r="AN845" s="230"/>
      <c r="AO845" s="208"/>
      <c r="AP845" s="208"/>
      <c r="AQ845" s="208"/>
      <c r="AR845" s="226"/>
      <c r="AS845" s="225"/>
      <c r="AT845" s="226"/>
      <c r="AU845" s="225"/>
      <c r="AV845" s="225"/>
      <c r="AW845" s="225"/>
      <c r="AX845" s="225"/>
      <c r="AY845" s="225"/>
    </row>
    <row r="846" spans="33:51" x14ac:dyDescent="0.25">
      <c r="AG846" s="66" t="str">
        <f>IF(AND(Множество[[#This Row],[Y]]=1),ROW()-ROW(Множество[[#Headers],[№]]),"")</f>
        <v/>
      </c>
      <c r="AI846" s="66">
        <v>1</v>
      </c>
      <c r="AJ846" s="66">
        <f>IF(LEN(Множество[[#This Row],[Свёртка]])&gt;0,1,-1)</f>
        <v>1</v>
      </c>
      <c r="AK846" s="66" t="s">
        <v>1781</v>
      </c>
      <c r="AL846" s="209">
        <f>IF(LEN(Множество[[#This Row],[Критерии]])&gt;0,1,-1)</f>
        <v>1</v>
      </c>
      <c r="AM846" s="209">
        <f>IF(AND(LEN(Множество[[#This Row],[Свёртка]])&gt;0,LEN(Множество[[#This Row],[Критерии]])&gt;0,LEN(Множество[[#This Row],[Оценки]])&gt;0),1,-1)</f>
        <v>-1</v>
      </c>
      <c r="AN846" s="230"/>
      <c r="AO846" s="208"/>
      <c r="AP846" s="208"/>
      <c r="AQ846" s="208"/>
      <c r="AR846" s="226"/>
      <c r="AS846" s="225"/>
      <c r="AT846" s="226"/>
      <c r="AU846" s="225"/>
      <c r="AV846" s="225"/>
      <c r="AW846" s="225"/>
      <c r="AX846" s="225"/>
      <c r="AY846" s="225"/>
    </row>
    <row r="847" spans="33:51" x14ac:dyDescent="0.25">
      <c r="AG847" s="66" t="str">
        <f>IF(AND(Множество[[#This Row],[Y]]=1),ROW()-ROW(Множество[[#Headers],[№]]),"")</f>
        <v/>
      </c>
      <c r="AI847" s="66">
        <v>1</v>
      </c>
      <c r="AJ847" s="66">
        <f>IF(LEN(Множество[[#This Row],[Свёртка]])&gt;0,1,-1)</f>
        <v>1</v>
      </c>
      <c r="AK847" s="66" t="s">
        <v>1781</v>
      </c>
      <c r="AL847" s="209">
        <f>IF(LEN(Множество[[#This Row],[Критерии]])&gt;0,1,-1)</f>
        <v>1</v>
      </c>
      <c r="AM847" s="209">
        <f>IF(AND(LEN(Множество[[#This Row],[Свёртка]])&gt;0,LEN(Множество[[#This Row],[Критерии]])&gt;0,LEN(Множество[[#This Row],[Оценки]])&gt;0),1,-1)</f>
        <v>-1</v>
      </c>
      <c r="AN847" s="230"/>
      <c r="AO847" s="208"/>
      <c r="AP847" s="208"/>
      <c r="AQ847" s="208"/>
      <c r="AR847" s="226"/>
      <c r="AS847" s="225"/>
      <c r="AT847" s="226"/>
      <c r="AU847" s="225"/>
      <c r="AV847" s="225"/>
      <c r="AW847" s="225"/>
      <c r="AX847" s="225"/>
      <c r="AY847" s="225"/>
    </row>
    <row r="848" spans="33:51" x14ac:dyDescent="0.25">
      <c r="AG848" s="66" t="str">
        <f>IF(AND(Множество[[#This Row],[Y]]=1),ROW()-ROW(Множество[[#Headers],[№]]),"")</f>
        <v/>
      </c>
      <c r="AI848" s="66">
        <v>1</v>
      </c>
      <c r="AJ848" s="66">
        <f>IF(LEN(Множество[[#This Row],[Свёртка]])&gt;0,1,-1)</f>
        <v>1</v>
      </c>
      <c r="AK848" s="66" t="s">
        <v>1781</v>
      </c>
      <c r="AL848" s="209">
        <f>IF(LEN(Множество[[#This Row],[Критерии]])&gt;0,1,-1)</f>
        <v>1</v>
      </c>
      <c r="AM848" s="209">
        <f>IF(AND(LEN(Множество[[#This Row],[Свёртка]])&gt;0,LEN(Множество[[#This Row],[Критерии]])&gt;0,LEN(Множество[[#This Row],[Оценки]])&gt;0),1,-1)</f>
        <v>-1</v>
      </c>
      <c r="AN848" s="230"/>
      <c r="AO848" s="208"/>
      <c r="AP848" s="208"/>
      <c r="AQ848" s="208"/>
      <c r="AR848" s="226"/>
      <c r="AS848" s="225"/>
      <c r="AT848" s="226"/>
      <c r="AU848" s="225"/>
      <c r="AV848" s="225"/>
      <c r="AW848" s="225"/>
      <c r="AX848" s="225"/>
      <c r="AY848" s="225"/>
    </row>
    <row r="849" spans="33:51" x14ac:dyDescent="0.25">
      <c r="AG849" s="66" t="str">
        <f>IF(AND(Множество[[#This Row],[Y]]=1),ROW()-ROW(Множество[[#Headers],[№]]),"")</f>
        <v/>
      </c>
      <c r="AI849" s="66">
        <v>1</v>
      </c>
      <c r="AJ849" s="66">
        <f>IF(LEN(Множество[[#This Row],[Свёртка]])&gt;0,1,-1)</f>
        <v>1</v>
      </c>
      <c r="AK849" s="66" t="s">
        <v>1781</v>
      </c>
      <c r="AL849" s="209">
        <f>IF(LEN(Множество[[#This Row],[Критерии]])&gt;0,1,-1)</f>
        <v>1</v>
      </c>
      <c r="AM849" s="209">
        <f>IF(AND(LEN(Множество[[#This Row],[Свёртка]])&gt;0,LEN(Множество[[#This Row],[Критерии]])&gt;0,LEN(Множество[[#This Row],[Оценки]])&gt;0),1,-1)</f>
        <v>-1</v>
      </c>
      <c r="AN849" s="230"/>
      <c r="AO849" s="208"/>
      <c r="AP849" s="208"/>
      <c r="AQ849" s="208"/>
      <c r="AR849" s="226"/>
      <c r="AS849" s="225"/>
      <c r="AT849" s="226"/>
      <c r="AU849" s="225"/>
      <c r="AV849" s="225"/>
      <c r="AW849" s="225"/>
      <c r="AX849" s="225"/>
      <c r="AY849" s="225"/>
    </row>
    <row r="850" spans="33:51" x14ac:dyDescent="0.25">
      <c r="AG850" s="66" t="str">
        <f>IF(AND(Множество[[#This Row],[Y]]=1),ROW()-ROW(Множество[[#Headers],[№]]),"")</f>
        <v/>
      </c>
      <c r="AI850" s="66">
        <v>1</v>
      </c>
      <c r="AJ850" s="66">
        <f>IF(LEN(Множество[[#This Row],[Свёртка]])&gt;0,1,-1)</f>
        <v>1</v>
      </c>
      <c r="AK850" s="66" t="s">
        <v>1781</v>
      </c>
      <c r="AL850" s="209">
        <f>IF(LEN(Множество[[#This Row],[Критерии]])&gt;0,1,-1)</f>
        <v>1</v>
      </c>
      <c r="AM850" s="209">
        <f>IF(AND(LEN(Множество[[#This Row],[Свёртка]])&gt;0,LEN(Множество[[#This Row],[Критерии]])&gt;0,LEN(Множество[[#This Row],[Оценки]])&gt;0),1,-1)</f>
        <v>-1</v>
      </c>
      <c r="AN850" s="230"/>
      <c r="AO850" s="208"/>
      <c r="AP850" s="208"/>
      <c r="AQ850" s="208"/>
      <c r="AR850" s="226"/>
      <c r="AS850" s="225"/>
      <c r="AT850" s="226"/>
      <c r="AU850" s="225"/>
      <c r="AV850" s="225"/>
      <c r="AW850" s="225"/>
      <c r="AX850" s="225"/>
      <c r="AY850" s="225"/>
    </row>
    <row r="851" spans="33:51" x14ac:dyDescent="0.25">
      <c r="AG851" s="66" t="str">
        <f>IF(AND(Множество[[#This Row],[Y]]=1),ROW()-ROW(Множество[[#Headers],[№]]),"")</f>
        <v/>
      </c>
      <c r="AI851" s="66">
        <v>1</v>
      </c>
      <c r="AJ851" s="66">
        <f>IF(LEN(Множество[[#This Row],[Свёртка]])&gt;0,1,-1)</f>
        <v>1</v>
      </c>
      <c r="AK851" s="66" t="s">
        <v>1781</v>
      </c>
      <c r="AL851" s="209">
        <f>IF(LEN(Множество[[#This Row],[Критерии]])&gt;0,1,-1)</f>
        <v>1</v>
      </c>
      <c r="AM851" s="209">
        <f>IF(AND(LEN(Множество[[#This Row],[Свёртка]])&gt;0,LEN(Множество[[#This Row],[Критерии]])&gt;0,LEN(Множество[[#This Row],[Оценки]])&gt;0),1,-1)</f>
        <v>-1</v>
      </c>
      <c r="AN851" s="230"/>
      <c r="AO851" s="208"/>
      <c r="AP851" s="208"/>
      <c r="AQ851" s="208"/>
      <c r="AR851" s="226"/>
      <c r="AS851" s="225"/>
      <c r="AT851" s="226"/>
      <c r="AU851" s="225"/>
      <c r="AV851" s="225"/>
      <c r="AW851" s="225"/>
      <c r="AX851" s="225"/>
      <c r="AY851" s="225"/>
    </row>
    <row r="852" spans="33:51" x14ac:dyDescent="0.25">
      <c r="AG852" s="66" t="str">
        <f>IF(AND(Множество[[#This Row],[Y]]=1),ROW()-ROW(Множество[[#Headers],[№]]),"")</f>
        <v/>
      </c>
      <c r="AI852" s="66">
        <v>1</v>
      </c>
      <c r="AJ852" s="66">
        <f>IF(LEN(Множество[[#This Row],[Свёртка]])&gt;0,1,-1)</f>
        <v>1</v>
      </c>
      <c r="AK852" s="66" t="s">
        <v>1781</v>
      </c>
      <c r="AL852" s="209">
        <f>IF(LEN(Множество[[#This Row],[Критерии]])&gt;0,1,-1)</f>
        <v>1</v>
      </c>
      <c r="AM852" s="209">
        <f>IF(AND(LEN(Множество[[#This Row],[Свёртка]])&gt;0,LEN(Множество[[#This Row],[Критерии]])&gt;0,LEN(Множество[[#This Row],[Оценки]])&gt;0),1,-1)</f>
        <v>-1</v>
      </c>
      <c r="AN852" s="230"/>
      <c r="AO852" s="208"/>
      <c r="AP852" s="208"/>
      <c r="AQ852" s="208"/>
      <c r="AR852" s="226"/>
      <c r="AS852" s="225"/>
      <c r="AT852" s="226"/>
      <c r="AU852" s="225"/>
      <c r="AV852" s="225"/>
      <c r="AW852" s="225"/>
      <c r="AX852" s="225"/>
      <c r="AY852" s="225"/>
    </row>
    <row r="853" spans="33:51" x14ac:dyDescent="0.25">
      <c r="AG853" s="66" t="str">
        <f>IF(AND(Множество[[#This Row],[Y]]=1),ROW()-ROW(Множество[[#Headers],[№]]),"")</f>
        <v/>
      </c>
      <c r="AI853" s="66">
        <v>1</v>
      </c>
      <c r="AJ853" s="66">
        <f>IF(LEN(Множество[[#This Row],[Свёртка]])&gt;0,1,-1)</f>
        <v>1</v>
      </c>
      <c r="AK853" s="66" t="s">
        <v>1781</v>
      </c>
      <c r="AL853" s="209">
        <f>IF(LEN(Множество[[#This Row],[Критерии]])&gt;0,1,-1)</f>
        <v>1</v>
      </c>
      <c r="AM853" s="209">
        <f>IF(AND(LEN(Множество[[#This Row],[Свёртка]])&gt;0,LEN(Множество[[#This Row],[Критерии]])&gt;0,LEN(Множество[[#This Row],[Оценки]])&gt;0),1,-1)</f>
        <v>-1</v>
      </c>
      <c r="AN853" s="230"/>
      <c r="AO853" s="208"/>
      <c r="AP853" s="208"/>
      <c r="AQ853" s="208"/>
      <c r="AR853" s="226"/>
      <c r="AS853" s="225"/>
      <c r="AT853" s="226"/>
      <c r="AU853" s="225"/>
      <c r="AV853" s="225"/>
      <c r="AW853" s="225"/>
      <c r="AX853" s="225"/>
      <c r="AY853" s="225"/>
    </row>
    <row r="854" spans="33:51" x14ac:dyDescent="0.25">
      <c r="AG854" s="66" t="str">
        <f>IF(AND(Множество[[#This Row],[Y]]=1),ROW()-ROW(Множество[[#Headers],[№]]),"")</f>
        <v/>
      </c>
      <c r="AI854" s="66">
        <v>1</v>
      </c>
      <c r="AJ854" s="66">
        <f>IF(LEN(Множество[[#This Row],[Свёртка]])&gt;0,1,-1)</f>
        <v>1</v>
      </c>
      <c r="AK854" s="66" t="s">
        <v>1781</v>
      </c>
      <c r="AL854" s="209">
        <f>IF(LEN(Множество[[#This Row],[Критерии]])&gt;0,1,-1)</f>
        <v>1</v>
      </c>
      <c r="AM854" s="209">
        <f>IF(AND(LEN(Множество[[#This Row],[Свёртка]])&gt;0,LEN(Множество[[#This Row],[Критерии]])&gt;0,LEN(Множество[[#This Row],[Оценки]])&gt;0),1,-1)</f>
        <v>-1</v>
      </c>
      <c r="AN854" s="230"/>
      <c r="AO854" s="208"/>
      <c r="AP854" s="208"/>
      <c r="AQ854" s="208"/>
      <c r="AR854" s="226"/>
      <c r="AS854" s="225"/>
      <c r="AT854" s="226"/>
      <c r="AU854" s="225"/>
      <c r="AV854" s="225"/>
      <c r="AW854" s="225"/>
      <c r="AX854" s="225"/>
      <c r="AY854" s="225"/>
    </row>
    <row r="855" spans="33:51" x14ac:dyDescent="0.25">
      <c r="AG855" s="66" t="str">
        <f>IF(AND(Множество[[#This Row],[Y]]=1),ROW()-ROW(Множество[[#Headers],[№]]),"")</f>
        <v/>
      </c>
      <c r="AI855" s="66">
        <v>1</v>
      </c>
      <c r="AJ855" s="66">
        <f>IF(LEN(Множество[[#This Row],[Свёртка]])&gt;0,1,-1)</f>
        <v>1</v>
      </c>
      <c r="AK855" s="66" t="s">
        <v>1781</v>
      </c>
      <c r="AL855" s="209">
        <f>IF(LEN(Множество[[#This Row],[Критерии]])&gt;0,1,-1)</f>
        <v>1</v>
      </c>
      <c r="AM855" s="209">
        <f>IF(AND(LEN(Множество[[#This Row],[Свёртка]])&gt;0,LEN(Множество[[#This Row],[Критерии]])&gt;0,LEN(Множество[[#This Row],[Оценки]])&gt;0),1,-1)</f>
        <v>-1</v>
      </c>
      <c r="AN855" s="230"/>
      <c r="AO855" s="208"/>
      <c r="AP855" s="208"/>
      <c r="AQ855" s="208"/>
      <c r="AR855" s="226"/>
      <c r="AS855" s="225"/>
      <c r="AT855" s="226"/>
      <c r="AU855" s="225"/>
      <c r="AV855" s="225"/>
      <c r="AW855" s="225"/>
      <c r="AX855" s="225"/>
      <c r="AY855" s="225"/>
    </row>
    <row r="856" spans="33:51" x14ac:dyDescent="0.25">
      <c r="AG856" s="66" t="str">
        <f>IF(AND(Множество[[#This Row],[Y]]=1),ROW()-ROW(Множество[[#Headers],[№]]),"")</f>
        <v/>
      </c>
      <c r="AI856" s="66">
        <v>1</v>
      </c>
      <c r="AJ856" s="66">
        <f>IF(LEN(Множество[[#This Row],[Свёртка]])&gt;0,1,-1)</f>
        <v>1</v>
      </c>
      <c r="AK856" s="66" t="s">
        <v>1781</v>
      </c>
      <c r="AL856" s="209">
        <f>IF(LEN(Множество[[#This Row],[Критерии]])&gt;0,1,-1)</f>
        <v>1</v>
      </c>
      <c r="AM856" s="209">
        <f>IF(AND(LEN(Множество[[#This Row],[Свёртка]])&gt;0,LEN(Множество[[#This Row],[Критерии]])&gt;0,LEN(Множество[[#This Row],[Оценки]])&gt;0),1,-1)</f>
        <v>-1</v>
      </c>
      <c r="AN856" s="230"/>
      <c r="AO856" s="208"/>
      <c r="AP856" s="208"/>
      <c r="AQ856" s="208"/>
      <c r="AR856" s="226"/>
      <c r="AS856" s="225"/>
      <c r="AT856" s="226"/>
      <c r="AU856" s="225"/>
      <c r="AV856" s="225"/>
      <c r="AW856" s="225"/>
      <c r="AX856" s="225"/>
      <c r="AY856" s="225"/>
    </row>
    <row r="857" spans="33:51" x14ac:dyDescent="0.25">
      <c r="AG857" s="66" t="str">
        <f>IF(AND(Множество[[#This Row],[Y]]=1),ROW()-ROW(Множество[[#Headers],[№]]),"")</f>
        <v/>
      </c>
      <c r="AI857" s="66">
        <v>1</v>
      </c>
      <c r="AJ857" s="66">
        <f>IF(LEN(Множество[[#This Row],[Свёртка]])&gt;0,1,-1)</f>
        <v>1</v>
      </c>
      <c r="AK857" s="66" t="s">
        <v>1781</v>
      </c>
      <c r="AL857" s="209">
        <f>IF(LEN(Множество[[#This Row],[Критерии]])&gt;0,1,-1)</f>
        <v>1</v>
      </c>
      <c r="AM857" s="209">
        <f>IF(AND(LEN(Множество[[#This Row],[Свёртка]])&gt;0,LEN(Множество[[#This Row],[Критерии]])&gt;0,LEN(Множество[[#This Row],[Оценки]])&gt;0),1,-1)</f>
        <v>-1</v>
      </c>
      <c r="AN857" s="230"/>
      <c r="AO857" s="208"/>
      <c r="AP857" s="208"/>
      <c r="AQ857" s="208"/>
      <c r="AR857" s="226"/>
      <c r="AS857" s="225"/>
      <c r="AT857" s="226"/>
      <c r="AU857" s="225"/>
      <c r="AV857" s="225"/>
      <c r="AW857" s="225"/>
      <c r="AX857" s="225"/>
      <c r="AY857" s="225"/>
    </row>
    <row r="858" spans="33:51" x14ac:dyDescent="0.25">
      <c r="AG858" s="66" t="str">
        <f>IF(AND(Множество[[#This Row],[Y]]=1),ROW()-ROW(Множество[[#Headers],[№]]),"")</f>
        <v/>
      </c>
      <c r="AI858" s="66">
        <v>1</v>
      </c>
      <c r="AJ858" s="66">
        <f>IF(LEN(Множество[[#This Row],[Свёртка]])&gt;0,1,-1)</f>
        <v>1</v>
      </c>
      <c r="AK858" s="66" t="s">
        <v>1781</v>
      </c>
      <c r="AL858" s="209">
        <f>IF(LEN(Множество[[#This Row],[Критерии]])&gt;0,1,-1)</f>
        <v>1</v>
      </c>
      <c r="AM858" s="209">
        <f>IF(AND(LEN(Множество[[#This Row],[Свёртка]])&gt;0,LEN(Множество[[#This Row],[Критерии]])&gt;0,LEN(Множество[[#This Row],[Оценки]])&gt;0),1,-1)</f>
        <v>-1</v>
      </c>
      <c r="AN858" s="230"/>
      <c r="AO858" s="208"/>
      <c r="AP858" s="208"/>
      <c r="AQ858" s="208"/>
      <c r="AR858" s="226"/>
      <c r="AS858" s="225"/>
      <c r="AT858" s="226"/>
      <c r="AU858" s="225"/>
      <c r="AV858" s="225"/>
      <c r="AW858" s="225"/>
      <c r="AX858" s="225"/>
      <c r="AY858" s="225"/>
    </row>
    <row r="859" spans="33:51" x14ac:dyDescent="0.25">
      <c r="AG859" s="66" t="str">
        <f>IF(AND(Множество[[#This Row],[Y]]=1),ROW()-ROW(Множество[[#Headers],[№]]),"")</f>
        <v/>
      </c>
      <c r="AI859" s="66">
        <v>1</v>
      </c>
      <c r="AJ859" s="66">
        <f>IF(LEN(Множество[[#This Row],[Свёртка]])&gt;0,1,-1)</f>
        <v>1</v>
      </c>
      <c r="AK859" s="66" t="s">
        <v>1781</v>
      </c>
      <c r="AL859" s="209">
        <f>IF(LEN(Множество[[#This Row],[Критерии]])&gt;0,1,-1)</f>
        <v>1</v>
      </c>
      <c r="AM859" s="209">
        <f>IF(AND(LEN(Множество[[#This Row],[Свёртка]])&gt;0,LEN(Множество[[#This Row],[Критерии]])&gt;0,LEN(Множество[[#This Row],[Оценки]])&gt;0),1,-1)</f>
        <v>-1</v>
      </c>
      <c r="AN859" s="230"/>
      <c r="AO859" s="208"/>
      <c r="AP859" s="208"/>
      <c r="AQ859" s="208"/>
      <c r="AR859" s="226"/>
      <c r="AS859" s="225"/>
      <c r="AT859" s="226"/>
      <c r="AU859" s="225"/>
      <c r="AV859" s="225"/>
      <c r="AW859" s="225"/>
      <c r="AX859" s="225"/>
      <c r="AY859" s="225"/>
    </row>
    <row r="860" spans="33:51" x14ac:dyDescent="0.25">
      <c r="AG860" s="66" t="str">
        <f>IF(AND(Множество[[#This Row],[Y]]=1),ROW()-ROW(Множество[[#Headers],[№]]),"")</f>
        <v/>
      </c>
      <c r="AI860" s="66">
        <v>1</v>
      </c>
      <c r="AJ860" s="66">
        <f>IF(LEN(Множество[[#This Row],[Свёртка]])&gt;0,1,-1)</f>
        <v>1</v>
      </c>
      <c r="AK860" s="66" t="s">
        <v>1781</v>
      </c>
      <c r="AL860" s="209">
        <f>IF(LEN(Множество[[#This Row],[Критерии]])&gt;0,1,-1)</f>
        <v>1</v>
      </c>
      <c r="AM860" s="209">
        <f>IF(AND(LEN(Множество[[#This Row],[Свёртка]])&gt;0,LEN(Множество[[#This Row],[Критерии]])&gt;0,LEN(Множество[[#This Row],[Оценки]])&gt;0),1,-1)</f>
        <v>-1</v>
      </c>
      <c r="AN860" s="230"/>
      <c r="AO860" s="208"/>
      <c r="AP860" s="208"/>
      <c r="AQ860" s="208"/>
      <c r="AR860" s="226"/>
      <c r="AS860" s="225"/>
      <c r="AT860" s="226"/>
      <c r="AU860" s="225"/>
      <c r="AV860" s="225"/>
      <c r="AW860" s="225"/>
      <c r="AX860" s="225"/>
      <c r="AY860" s="225"/>
    </row>
    <row r="861" spans="33:51" x14ac:dyDescent="0.25">
      <c r="AG861" s="66" t="str">
        <f>IF(AND(Множество[[#This Row],[Y]]=1),ROW()-ROW(Множество[[#Headers],[№]]),"")</f>
        <v/>
      </c>
      <c r="AI861" s="66">
        <v>1</v>
      </c>
      <c r="AJ861" s="66">
        <f>IF(LEN(Множество[[#This Row],[Свёртка]])&gt;0,1,-1)</f>
        <v>1</v>
      </c>
      <c r="AK861" s="66" t="s">
        <v>1781</v>
      </c>
      <c r="AL861" s="209">
        <f>IF(LEN(Множество[[#This Row],[Критерии]])&gt;0,1,-1)</f>
        <v>1</v>
      </c>
      <c r="AM861" s="209">
        <f>IF(AND(LEN(Множество[[#This Row],[Свёртка]])&gt;0,LEN(Множество[[#This Row],[Критерии]])&gt;0,LEN(Множество[[#This Row],[Оценки]])&gt;0),1,-1)</f>
        <v>-1</v>
      </c>
      <c r="AN861" s="230"/>
      <c r="AO861" s="208"/>
      <c r="AP861" s="208"/>
      <c r="AQ861" s="208"/>
      <c r="AR861" s="226"/>
      <c r="AS861" s="225"/>
      <c r="AT861" s="226"/>
      <c r="AU861" s="225"/>
      <c r="AV861" s="225"/>
      <c r="AW861" s="225"/>
      <c r="AX861" s="225"/>
      <c r="AY861" s="225"/>
    </row>
    <row r="862" spans="33:51" x14ac:dyDescent="0.25">
      <c r="AG862" s="66" t="str">
        <f>IF(AND(Множество[[#This Row],[Y]]=1),ROW()-ROW(Множество[[#Headers],[№]]),"")</f>
        <v/>
      </c>
      <c r="AI862" s="66">
        <v>1</v>
      </c>
      <c r="AJ862" s="66">
        <f>IF(LEN(Множество[[#This Row],[Свёртка]])&gt;0,1,-1)</f>
        <v>1</v>
      </c>
      <c r="AK862" s="66" t="s">
        <v>1781</v>
      </c>
      <c r="AL862" s="209">
        <f>IF(LEN(Множество[[#This Row],[Критерии]])&gt;0,1,-1)</f>
        <v>1</v>
      </c>
      <c r="AM862" s="209">
        <f>IF(AND(LEN(Множество[[#This Row],[Свёртка]])&gt;0,LEN(Множество[[#This Row],[Критерии]])&gt;0,LEN(Множество[[#This Row],[Оценки]])&gt;0),1,-1)</f>
        <v>-1</v>
      </c>
      <c r="AN862" s="230"/>
      <c r="AO862" s="208"/>
      <c r="AP862" s="208"/>
      <c r="AQ862" s="208"/>
      <c r="AR862" s="226"/>
      <c r="AS862" s="225"/>
      <c r="AT862" s="226"/>
      <c r="AU862" s="225"/>
      <c r="AV862" s="225"/>
      <c r="AW862" s="225"/>
      <c r="AX862" s="225"/>
      <c r="AY862" s="225"/>
    </row>
    <row r="863" spans="33:51" x14ac:dyDescent="0.25">
      <c r="AG863" s="66" t="str">
        <f>IF(AND(Множество[[#This Row],[Y]]=1),ROW()-ROW(Множество[[#Headers],[№]]),"")</f>
        <v/>
      </c>
      <c r="AI863" s="66">
        <v>1</v>
      </c>
      <c r="AJ863" s="66">
        <f>IF(LEN(Множество[[#This Row],[Свёртка]])&gt;0,1,-1)</f>
        <v>1</v>
      </c>
      <c r="AK863" s="66" t="s">
        <v>1781</v>
      </c>
      <c r="AL863" s="209">
        <f>IF(LEN(Множество[[#This Row],[Критерии]])&gt;0,1,-1)</f>
        <v>1</v>
      </c>
      <c r="AM863" s="209">
        <f>IF(AND(LEN(Множество[[#This Row],[Свёртка]])&gt;0,LEN(Множество[[#This Row],[Критерии]])&gt;0,LEN(Множество[[#This Row],[Оценки]])&gt;0),1,-1)</f>
        <v>-1</v>
      </c>
      <c r="AN863" s="230"/>
      <c r="AO863" s="208"/>
      <c r="AP863" s="208"/>
      <c r="AQ863" s="208"/>
      <c r="AR863" s="226"/>
      <c r="AS863" s="225"/>
      <c r="AT863" s="226"/>
      <c r="AU863" s="225"/>
      <c r="AV863" s="225"/>
      <c r="AW863" s="225"/>
      <c r="AX863" s="225"/>
      <c r="AY863" s="225"/>
    </row>
    <row r="864" spans="33:51" x14ac:dyDescent="0.25">
      <c r="AG864" s="66" t="str">
        <f>IF(AND(Множество[[#This Row],[Y]]=1),ROW()-ROW(Множество[[#Headers],[№]]),"")</f>
        <v/>
      </c>
      <c r="AI864" s="66">
        <v>1</v>
      </c>
      <c r="AJ864" s="66">
        <f>IF(LEN(Множество[[#This Row],[Свёртка]])&gt;0,1,-1)</f>
        <v>1</v>
      </c>
      <c r="AK864" s="66" t="s">
        <v>1781</v>
      </c>
      <c r="AL864" s="209">
        <f>IF(LEN(Множество[[#This Row],[Критерии]])&gt;0,1,-1)</f>
        <v>1</v>
      </c>
      <c r="AM864" s="209">
        <f>IF(AND(LEN(Множество[[#This Row],[Свёртка]])&gt;0,LEN(Множество[[#This Row],[Критерии]])&gt;0,LEN(Множество[[#This Row],[Оценки]])&gt;0),1,-1)</f>
        <v>-1</v>
      </c>
      <c r="AN864" s="230"/>
      <c r="AO864" s="208"/>
      <c r="AP864" s="208"/>
      <c r="AQ864" s="208"/>
      <c r="AR864" s="226"/>
      <c r="AS864" s="225"/>
      <c r="AT864" s="226"/>
      <c r="AU864" s="225"/>
      <c r="AV864" s="225"/>
      <c r="AW864" s="225"/>
      <c r="AX864" s="225"/>
      <c r="AY864" s="225"/>
    </row>
    <row r="865" spans="33:51" x14ac:dyDescent="0.25">
      <c r="AG865" s="66" t="str">
        <f>IF(AND(Множество[[#This Row],[Y]]=1),ROW()-ROW(Множество[[#Headers],[№]]),"")</f>
        <v/>
      </c>
      <c r="AI865" s="66">
        <v>1</v>
      </c>
      <c r="AJ865" s="66">
        <f>IF(LEN(Множество[[#This Row],[Свёртка]])&gt;0,1,-1)</f>
        <v>1</v>
      </c>
      <c r="AK865" s="66" t="s">
        <v>1781</v>
      </c>
      <c r="AL865" s="209">
        <f>IF(LEN(Множество[[#This Row],[Критерии]])&gt;0,1,-1)</f>
        <v>1</v>
      </c>
      <c r="AM865" s="209">
        <f>IF(AND(LEN(Множество[[#This Row],[Свёртка]])&gt;0,LEN(Множество[[#This Row],[Критерии]])&gt;0,LEN(Множество[[#This Row],[Оценки]])&gt;0),1,-1)</f>
        <v>-1</v>
      </c>
      <c r="AN865" s="230"/>
      <c r="AO865" s="208"/>
      <c r="AP865" s="208"/>
      <c r="AQ865" s="208"/>
      <c r="AR865" s="226"/>
      <c r="AS865" s="225"/>
      <c r="AT865" s="226"/>
      <c r="AU865" s="225"/>
      <c r="AV865" s="225"/>
      <c r="AW865" s="225"/>
      <c r="AX865" s="225"/>
      <c r="AY865" s="225"/>
    </row>
    <row r="866" spans="33:51" x14ac:dyDescent="0.25">
      <c r="AG866" s="66" t="str">
        <f>IF(AND(Множество[[#This Row],[Y]]=1),ROW()-ROW(Множество[[#Headers],[№]]),"")</f>
        <v/>
      </c>
      <c r="AI866" s="66">
        <v>1</v>
      </c>
      <c r="AJ866" s="66">
        <f>IF(LEN(Множество[[#This Row],[Свёртка]])&gt;0,1,-1)</f>
        <v>1</v>
      </c>
      <c r="AK866" s="66" t="s">
        <v>1781</v>
      </c>
      <c r="AL866" s="209">
        <f>IF(LEN(Множество[[#This Row],[Критерии]])&gt;0,1,-1)</f>
        <v>1</v>
      </c>
      <c r="AM866" s="209">
        <f>IF(AND(LEN(Множество[[#This Row],[Свёртка]])&gt;0,LEN(Множество[[#This Row],[Критерии]])&gt;0,LEN(Множество[[#This Row],[Оценки]])&gt;0),1,-1)</f>
        <v>-1</v>
      </c>
      <c r="AN866" s="230"/>
      <c r="AO866" s="208"/>
      <c r="AP866" s="208"/>
      <c r="AQ866" s="208"/>
      <c r="AR866" s="226"/>
      <c r="AS866" s="225"/>
      <c r="AT866" s="226"/>
      <c r="AU866" s="225"/>
      <c r="AV866" s="225"/>
      <c r="AW866" s="225"/>
      <c r="AX866" s="225"/>
      <c r="AY866" s="225"/>
    </row>
    <row r="867" spans="33:51" x14ac:dyDescent="0.25">
      <c r="AG867" s="66" t="str">
        <f>IF(AND(Множество[[#This Row],[Y]]=1),ROW()-ROW(Множество[[#Headers],[№]]),"")</f>
        <v/>
      </c>
      <c r="AI867" s="66">
        <v>1</v>
      </c>
      <c r="AJ867" s="66">
        <f>IF(LEN(Множество[[#This Row],[Свёртка]])&gt;0,1,-1)</f>
        <v>1</v>
      </c>
      <c r="AK867" s="66" t="s">
        <v>1781</v>
      </c>
      <c r="AL867" s="209">
        <f>IF(LEN(Множество[[#This Row],[Критерии]])&gt;0,1,-1)</f>
        <v>1</v>
      </c>
      <c r="AM867" s="209">
        <f>IF(AND(LEN(Множество[[#This Row],[Свёртка]])&gt;0,LEN(Множество[[#This Row],[Критерии]])&gt;0,LEN(Множество[[#This Row],[Оценки]])&gt;0),1,-1)</f>
        <v>-1</v>
      </c>
      <c r="AN867" s="230"/>
      <c r="AO867" s="208"/>
      <c r="AP867" s="208"/>
      <c r="AQ867" s="208"/>
      <c r="AR867" s="226"/>
      <c r="AS867" s="225"/>
      <c r="AT867" s="226"/>
      <c r="AU867" s="225"/>
      <c r="AV867" s="225"/>
      <c r="AW867" s="225"/>
      <c r="AX867" s="225"/>
      <c r="AY867" s="225"/>
    </row>
    <row r="868" spans="33:51" x14ac:dyDescent="0.25">
      <c r="AG868" s="66" t="str">
        <f>IF(AND(Множество[[#This Row],[Y]]=1),ROW()-ROW(Множество[[#Headers],[№]]),"")</f>
        <v/>
      </c>
      <c r="AI868" s="66">
        <v>1</v>
      </c>
      <c r="AJ868" s="66">
        <f>IF(LEN(Множество[[#This Row],[Свёртка]])&gt;0,1,-1)</f>
        <v>1</v>
      </c>
      <c r="AK868" s="66" t="s">
        <v>1781</v>
      </c>
      <c r="AL868" s="209">
        <f>IF(LEN(Множество[[#This Row],[Критерии]])&gt;0,1,-1)</f>
        <v>1</v>
      </c>
      <c r="AM868" s="209">
        <f>IF(AND(LEN(Множество[[#This Row],[Свёртка]])&gt;0,LEN(Множество[[#This Row],[Критерии]])&gt;0,LEN(Множество[[#This Row],[Оценки]])&gt;0),1,-1)</f>
        <v>-1</v>
      </c>
      <c r="AN868" s="230"/>
      <c r="AO868" s="208"/>
      <c r="AP868" s="208"/>
      <c r="AQ868" s="208"/>
      <c r="AR868" s="226"/>
      <c r="AS868" s="225"/>
      <c r="AT868" s="226"/>
      <c r="AU868" s="225"/>
      <c r="AV868" s="225"/>
      <c r="AW868" s="225"/>
      <c r="AX868" s="225"/>
      <c r="AY868" s="225"/>
    </row>
    <row r="869" spans="33:51" x14ac:dyDescent="0.25">
      <c r="AG869" s="66" t="str">
        <f>IF(AND(Множество[[#This Row],[Y]]=1),ROW()-ROW(Множество[[#Headers],[№]]),"")</f>
        <v/>
      </c>
      <c r="AI869" s="66">
        <v>1</v>
      </c>
      <c r="AJ869" s="66">
        <f>IF(LEN(Множество[[#This Row],[Свёртка]])&gt;0,1,-1)</f>
        <v>1</v>
      </c>
      <c r="AK869" s="66" t="s">
        <v>1781</v>
      </c>
      <c r="AL869" s="209">
        <f>IF(LEN(Множество[[#This Row],[Критерии]])&gt;0,1,-1)</f>
        <v>1</v>
      </c>
      <c r="AM869" s="209">
        <f>IF(AND(LEN(Множество[[#This Row],[Свёртка]])&gt;0,LEN(Множество[[#This Row],[Критерии]])&gt;0,LEN(Множество[[#This Row],[Оценки]])&gt;0),1,-1)</f>
        <v>-1</v>
      </c>
      <c r="AN869" s="230"/>
      <c r="AO869" s="208"/>
      <c r="AP869" s="208"/>
      <c r="AQ869" s="208"/>
      <c r="AR869" s="226"/>
      <c r="AS869" s="225"/>
      <c r="AT869" s="226"/>
      <c r="AU869" s="225"/>
      <c r="AV869" s="225"/>
      <c r="AW869" s="225"/>
      <c r="AX869" s="225"/>
      <c r="AY869" s="225"/>
    </row>
    <row r="870" spans="33:51" x14ac:dyDescent="0.25">
      <c r="AG870" s="66" t="str">
        <f>IF(AND(Множество[[#This Row],[Y]]=1),ROW()-ROW(Множество[[#Headers],[№]]),"")</f>
        <v/>
      </c>
      <c r="AI870" s="66">
        <v>1</v>
      </c>
      <c r="AJ870" s="66">
        <f>IF(LEN(Множество[[#This Row],[Свёртка]])&gt;0,1,-1)</f>
        <v>1</v>
      </c>
      <c r="AK870" s="66" t="s">
        <v>1781</v>
      </c>
      <c r="AL870" s="209">
        <f>IF(LEN(Множество[[#This Row],[Критерии]])&gt;0,1,-1)</f>
        <v>1</v>
      </c>
      <c r="AM870" s="209">
        <f>IF(AND(LEN(Множество[[#This Row],[Свёртка]])&gt;0,LEN(Множество[[#This Row],[Критерии]])&gt;0,LEN(Множество[[#This Row],[Оценки]])&gt;0),1,-1)</f>
        <v>-1</v>
      </c>
      <c r="AN870" s="230"/>
      <c r="AO870" s="208"/>
      <c r="AP870" s="208"/>
      <c r="AQ870" s="208"/>
      <c r="AR870" s="226"/>
      <c r="AS870" s="225"/>
      <c r="AT870" s="226"/>
      <c r="AU870" s="225"/>
      <c r="AV870" s="225"/>
      <c r="AW870" s="225"/>
      <c r="AX870" s="225"/>
      <c r="AY870" s="225"/>
    </row>
    <row r="871" spans="33:51" x14ac:dyDescent="0.25">
      <c r="AG871" s="66" t="str">
        <f>IF(AND(Множество[[#This Row],[Y]]=1),ROW()-ROW(Множество[[#Headers],[№]]),"")</f>
        <v/>
      </c>
      <c r="AI871" s="66">
        <v>1</v>
      </c>
      <c r="AJ871" s="66">
        <f>IF(LEN(Множество[[#This Row],[Свёртка]])&gt;0,1,-1)</f>
        <v>1</v>
      </c>
      <c r="AK871" s="66" t="s">
        <v>1781</v>
      </c>
      <c r="AL871" s="209">
        <f>IF(LEN(Множество[[#This Row],[Критерии]])&gt;0,1,-1)</f>
        <v>1</v>
      </c>
      <c r="AM871" s="209">
        <f>IF(AND(LEN(Множество[[#This Row],[Свёртка]])&gt;0,LEN(Множество[[#This Row],[Критерии]])&gt;0,LEN(Множество[[#This Row],[Оценки]])&gt;0),1,-1)</f>
        <v>-1</v>
      </c>
      <c r="AN871" s="230"/>
      <c r="AO871" s="208"/>
      <c r="AP871" s="208"/>
      <c r="AQ871" s="208"/>
      <c r="AR871" s="226"/>
      <c r="AS871" s="225"/>
      <c r="AT871" s="226"/>
      <c r="AU871" s="225"/>
      <c r="AV871" s="225"/>
      <c r="AW871" s="225"/>
      <c r="AX871" s="225"/>
      <c r="AY871" s="225"/>
    </row>
    <row r="872" spans="33:51" x14ac:dyDescent="0.25">
      <c r="AG872" s="66" t="str">
        <f>IF(AND(Множество[[#This Row],[Y]]=1),ROW()-ROW(Множество[[#Headers],[№]]),"")</f>
        <v/>
      </c>
      <c r="AI872" s="66">
        <v>1</v>
      </c>
      <c r="AJ872" s="66">
        <f>IF(LEN(Множество[[#This Row],[Свёртка]])&gt;0,1,-1)</f>
        <v>1</v>
      </c>
      <c r="AK872" s="66" t="s">
        <v>1781</v>
      </c>
      <c r="AL872" s="209">
        <f>IF(LEN(Множество[[#This Row],[Критерии]])&gt;0,1,-1)</f>
        <v>1</v>
      </c>
      <c r="AM872" s="209">
        <f>IF(AND(LEN(Множество[[#This Row],[Свёртка]])&gt;0,LEN(Множество[[#This Row],[Критерии]])&gt;0,LEN(Множество[[#This Row],[Оценки]])&gt;0),1,-1)</f>
        <v>-1</v>
      </c>
      <c r="AN872" s="230"/>
      <c r="AO872" s="208"/>
      <c r="AP872" s="208"/>
      <c r="AQ872" s="208"/>
      <c r="AR872" s="226"/>
      <c r="AS872" s="225"/>
      <c r="AT872" s="226"/>
      <c r="AU872" s="225"/>
      <c r="AV872" s="225"/>
      <c r="AW872" s="225"/>
      <c r="AX872" s="225"/>
      <c r="AY872" s="225"/>
    </row>
    <row r="873" spans="33:51" x14ac:dyDescent="0.25">
      <c r="AG873" s="66" t="str">
        <f>IF(AND(Множество[[#This Row],[Y]]=1),ROW()-ROW(Множество[[#Headers],[№]]),"")</f>
        <v/>
      </c>
      <c r="AI873" s="66">
        <v>1</v>
      </c>
      <c r="AJ873" s="66">
        <f>IF(LEN(Множество[[#This Row],[Свёртка]])&gt;0,1,-1)</f>
        <v>1</v>
      </c>
      <c r="AK873" s="66" t="s">
        <v>1781</v>
      </c>
      <c r="AL873" s="209">
        <f>IF(LEN(Множество[[#This Row],[Критерии]])&gt;0,1,-1)</f>
        <v>1</v>
      </c>
      <c r="AM873" s="209">
        <f>IF(AND(LEN(Множество[[#This Row],[Свёртка]])&gt;0,LEN(Множество[[#This Row],[Критерии]])&gt;0,LEN(Множество[[#This Row],[Оценки]])&gt;0),1,-1)</f>
        <v>-1</v>
      </c>
      <c r="AN873" s="230"/>
      <c r="AO873" s="208"/>
      <c r="AP873" s="208"/>
      <c r="AQ873" s="208"/>
      <c r="AR873" s="226"/>
      <c r="AS873" s="225"/>
      <c r="AT873" s="226"/>
      <c r="AU873" s="225"/>
      <c r="AV873" s="225"/>
      <c r="AW873" s="225"/>
      <c r="AX873" s="225"/>
      <c r="AY873" s="225"/>
    </row>
    <row r="874" spans="33:51" x14ac:dyDescent="0.25">
      <c r="AG874" s="66" t="str">
        <f>IF(AND(Множество[[#This Row],[Y]]=1),ROW()-ROW(Множество[[#Headers],[№]]),"")</f>
        <v/>
      </c>
      <c r="AI874" s="66">
        <v>1</v>
      </c>
      <c r="AJ874" s="66">
        <f>IF(LEN(Множество[[#This Row],[Свёртка]])&gt;0,1,-1)</f>
        <v>1</v>
      </c>
      <c r="AK874" s="66" t="s">
        <v>1781</v>
      </c>
      <c r="AL874" s="209">
        <f>IF(LEN(Множество[[#This Row],[Критерии]])&gt;0,1,-1)</f>
        <v>1</v>
      </c>
      <c r="AM874" s="209">
        <f>IF(AND(LEN(Множество[[#This Row],[Свёртка]])&gt;0,LEN(Множество[[#This Row],[Критерии]])&gt;0,LEN(Множество[[#This Row],[Оценки]])&gt;0),1,-1)</f>
        <v>-1</v>
      </c>
      <c r="AN874" s="230"/>
      <c r="AO874" s="208"/>
      <c r="AP874" s="208"/>
      <c r="AQ874" s="208"/>
      <c r="AR874" s="226"/>
      <c r="AS874" s="225"/>
      <c r="AT874" s="226"/>
      <c r="AU874" s="225"/>
      <c r="AV874" s="225"/>
      <c r="AW874" s="225"/>
      <c r="AX874" s="225"/>
      <c r="AY874" s="225"/>
    </row>
    <row r="875" spans="33:51" x14ac:dyDescent="0.25">
      <c r="AG875" s="66" t="str">
        <f>IF(AND(Множество[[#This Row],[Y]]=1),ROW()-ROW(Множество[[#Headers],[№]]),"")</f>
        <v/>
      </c>
      <c r="AI875" s="66">
        <v>1</v>
      </c>
      <c r="AJ875" s="66">
        <f>IF(LEN(Множество[[#This Row],[Свёртка]])&gt;0,1,-1)</f>
        <v>1</v>
      </c>
      <c r="AK875" s="66" t="s">
        <v>1781</v>
      </c>
      <c r="AL875" s="209">
        <f>IF(LEN(Множество[[#This Row],[Критерии]])&gt;0,1,-1)</f>
        <v>1</v>
      </c>
      <c r="AM875" s="209">
        <f>IF(AND(LEN(Множество[[#This Row],[Свёртка]])&gt;0,LEN(Множество[[#This Row],[Критерии]])&gt;0,LEN(Множество[[#This Row],[Оценки]])&gt;0),1,-1)</f>
        <v>-1</v>
      </c>
      <c r="AN875" s="230"/>
      <c r="AO875" s="208"/>
      <c r="AP875" s="208"/>
      <c r="AQ875" s="208"/>
      <c r="AR875" s="226"/>
      <c r="AS875" s="225"/>
      <c r="AT875" s="226"/>
      <c r="AU875" s="225"/>
      <c r="AV875" s="225"/>
      <c r="AW875" s="225"/>
      <c r="AX875" s="225"/>
      <c r="AY875" s="225"/>
    </row>
    <row r="876" spans="33:51" x14ac:dyDescent="0.25">
      <c r="AG876" s="66" t="str">
        <f>IF(AND(Множество[[#This Row],[Y]]=1),ROW()-ROW(Множество[[#Headers],[№]]),"")</f>
        <v/>
      </c>
      <c r="AI876" s="66">
        <v>1</v>
      </c>
      <c r="AJ876" s="66">
        <f>IF(LEN(Множество[[#This Row],[Свёртка]])&gt;0,1,-1)</f>
        <v>1</v>
      </c>
      <c r="AK876" s="66" t="s">
        <v>1781</v>
      </c>
      <c r="AL876" s="209">
        <f>IF(LEN(Множество[[#This Row],[Критерии]])&gt;0,1,-1)</f>
        <v>1</v>
      </c>
      <c r="AM876" s="209">
        <f>IF(AND(LEN(Множество[[#This Row],[Свёртка]])&gt;0,LEN(Множество[[#This Row],[Критерии]])&gt;0,LEN(Множество[[#This Row],[Оценки]])&gt;0),1,-1)</f>
        <v>-1</v>
      </c>
      <c r="AN876" s="230"/>
      <c r="AO876" s="208"/>
      <c r="AP876" s="208"/>
      <c r="AQ876" s="208"/>
      <c r="AR876" s="226"/>
      <c r="AS876" s="225"/>
      <c r="AT876" s="226"/>
      <c r="AU876" s="225"/>
      <c r="AV876" s="225"/>
      <c r="AW876" s="225"/>
      <c r="AX876" s="225"/>
      <c r="AY876" s="225"/>
    </row>
    <row r="877" spans="33:51" x14ac:dyDescent="0.25">
      <c r="AG877" s="66" t="str">
        <f>IF(AND(Множество[[#This Row],[Y]]=1),ROW()-ROW(Множество[[#Headers],[№]]),"")</f>
        <v/>
      </c>
      <c r="AI877" s="66">
        <v>1</v>
      </c>
      <c r="AJ877" s="66">
        <f>IF(LEN(Множество[[#This Row],[Свёртка]])&gt;0,1,-1)</f>
        <v>1</v>
      </c>
      <c r="AK877" s="66" t="s">
        <v>1781</v>
      </c>
      <c r="AL877" s="209">
        <f>IF(LEN(Множество[[#This Row],[Критерии]])&gt;0,1,-1)</f>
        <v>1</v>
      </c>
      <c r="AM877" s="209">
        <f>IF(AND(LEN(Множество[[#This Row],[Свёртка]])&gt;0,LEN(Множество[[#This Row],[Критерии]])&gt;0,LEN(Множество[[#This Row],[Оценки]])&gt;0),1,-1)</f>
        <v>-1</v>
      </c>
      <c r="AN877" s="230"/>
      <c r="AO877" s="208"/>
      <c r="AP877" s="208"/>
      <c r="AQ877" s="208"/>
      <c r="AR877" s="226"/>
      <c r="AS877" s="225"/>
      <c r="AT877" s="226"/>
      <c r="AU877" s="225"/>
      <c r="AV877" s="225"/>
      <c r="AW877" s="225"/>
      <c r="AX877" s="225"/>
      <c r="AY877" s="225"/>
    </row>
    <row r="878" spans="33:51" x14ac:dyDescent="0.25">
      <c r="AG878" s="66" t="str">
        <f>IF(AND(Множество[[#This Row],[Y]]=1),ROW()-ROW(Множество[[#Headers],[№]]),"")</f>
        <v/>
      </c>
      <c r="AI878" s="66">
        <v>1</v>
      </c>
      <c r="AJ878" s="66">
        <f>IF(LEN(Множество[[#This Row],[Свёртка]])&gt;0,1,-1)</f>
        <v>1</v>
      </c>
      <c r="AK878" s="66" t="s">
        <v>1781</v>
      </c>
      <c r="AL878" s="209">
        <f>IF(LEN(Множество[[#This Row],[Критерии]])&gt;0,1,-1)</f>
        <v>1</v>
      </c>
      <c r="AM878" s="209">
        <f>IF(AND(LEN(Множество[[#This Row],[Свёртка]])&gt;0,LEN(Множество[[#This Row],[Критерии]])&gt;0,LEN(Множество[[#This Row],[Оценки]])&gt;0),1,-1)</f>
        <v>-1</v>
      </c>
      <c r="AN878" s="230"/>
      <c r="AO878" s="208"/>
      <c r="AP878" s="208"/>
      <c r="AQ878" s="208"/>
      <c r="AR878" s="226"/>
      <c r="AS878" s="225"/>
      <c r="AT878" s="226"/>
      <c r="AU878" s="225"/>
      <c r="AV878" s="225"/>
      <c r="AW878" s="225"/>
      <c r="AX878" s="225"/>
      <c r="AY878" s="225"/>
    </row>
    <row r="879" spans="33:51" x14ac:dyDescent="0.25">
      <c r="AG879" s="66" t="str">
        <f>IF(AND(Множество[[#This Row],[Y]]=1),ROW()-ROW(Множество[[#Headers],[№]]),"")</f>
        <v/>
      </c>
      <c r="AI879" s="66">
        <v>1</v>
      </c>
      <c r="AJ879" s="66">
        <f>IF(LEN(Множество[[#This Row],[Свёртка]])&gt;0,1,-1)</f>
        <v>1</v>
      </c>
      <c r="AK879" s="66" t="s">
        <v>1781</v>
      </c>
      <c r="AL879" s="209">
        <f>IF(LEN(Множество[[#This Row],[Критерии]])&gt;0,1,-1)</f>
        <v>1</v>
      </c>
      <c r="AM879" s="209">
        <f>IF(AND(LEN(Множество[[#This Row],[Свёртка]])&gt;0,LEN(Множество[[#This Row],[Критерии]])&gt;0,LEN(Множество[[#This Row],[Оценки]])&gt;0),1,-1)</f>
        <v>-1</v>
      </c>
      <c r="AN879" s="230"/>
      <c r="AO879" s="208"/>
      <c r="AP879" s="208"/>
      <c r="AQ879" s="208"/>
      <c r="AR879" s="226"/>
      <c r="AS879" s="225"/>
      <c r="AT879" s="226"/>
      <c r="AU879" s="225"/>
      <c r="AV879" s="225"/>
      <c r="AW879" s="225"/>
      <c r="AX879" s="225"/>
      <c r="AY879" s="225"/>
    </row>
    <row r="880" spans="33:51" x14ac:dyDescent="0.25">
      <c r="AG880" s="66" t="str">
        <f>IF(AND(Множество[[#This Row],[Y]]=1),ROW()-ROW(Множество[[#Headers],[№]]),"")</f>
        <v/>
      </c>
      <c r="AI880" s="66">
        <v>1</v>
      </c>
      <c r="AJ880" s="66">
        <f>IF(LEN(Множество[[#This Row],[Свёртка]])&gt;0,1,-1)</f>
        <v>1</v>
      </c>
      <c r="AK880" s="66" t="s">
        <v>1781</v>
      </c>
      <c r="AL880" s="209">
        <f>IF(LEN(Множество[[#This Row],[Критерии]])&gt;0,1,-1)</f>
        <v>1</v>
      </c>
      <c r="AM880" s="209">
        <f>IF(AND(LEN(Множество[[#This Row],[Свёртка]])&gt;0,LEN(Множество[[#This Row],[Критерии]])&gt;0,LEN(Множество[[#This Row],[Оценки]])&gt;0),1,-1)</f>
        <v>-1</v>
      </c>
      <c r="AN880" s="230"/>
      <c r="AO880" s="208"/>
      <c r="AP880" s="208"/>
      <c r="AQ880" s="208"/>
      <c r="AR880" s="226"/>
      <c r="AS880" s="225"/>
      <c r="AT880" s="226"/>
      <c r="AU880" s="225"/>
      <c r="AV880" s="225"/>
      <c r="AW880" s="225"/>
      <c r="AX880" s="225"/>
      <c r="AY880" s="225"/>
    </row>
    <row r="881" spans="33:51" x14ac:dyDescent="0.25">
      <c r="AG881" s="66" t="str">
        <f>IF(AND(Множество[[#This Row],[Y]]=1),ROW()-ROW(Множество[[#Headers],[№]]),"")</f>
        <v/>
      </c>
      <c r="AI881" s="66">
        <v>1</v>
      </c>
      <c r="AJ881" s="66">
        <f>IF(LEN(Множество[[#This Row],[Свёртка]])&gt;0,1,-1)</f>
        <v>1</v>
      </c>
      <c r="AK881" s="66" t="s">
        <v>1781</v>
      </c>
      <c r="AL881" s="209">
        <f>IF(LEN(Множество[[#This Row],[Критерии]])&gt;0,1,-1)</f>
        <v>1</v>
      </c>
      <c r="AM881" s="209">
        <f>IF(AND(LEN(Множество[[#This Row],[Свёртка]])&gt;0,LEN(Множество[[#This Row],[Критерии]])&gt;0,LEN(Множество[[#This Row],[Оценки]])&gt;0),1,-1)</f>
        <v>-1</v>
      </c>
      <c r="AN881" s="230"/>
      <c r="AO881" s="208"/>
      <c r="AP881" s="208"/>
      <c r="AQ881" s="208"/>
      <c r="AR881" s="226"/>
      <c r="AS881" s="225"/>
      <c r="AT881" s="226"/>
      <c r="AU881" s="225"/>
      <c r="AV881" s="225"/>
      <c r="AW881" s="225"/>
      <c r="AX881" s="225"/>
      <c r="AY881" s="225"/>
    </row>
    <row r="882" spans="33:51" x14ac:dyDescent="0.25">
      <c r="AG882" s="66" t="str">
        <f>IF(AND(Множество[[#This Row],[Y]]=1),ROW()-ROW(Множество[[#Headers],[№]]),"")</f>
        <v/>
      </c>
      <c r="AI882" s="66">
        <v>1</v>
      </c>
      <c r="AJ882" s="66">
        <f>IF(LEN(Множество[[#This Row],[Свёртка]])&gt;0,1,-1)</f>
        <v>1</v>
      </c>
      <c r="AK882" s="66" t="s">
        <v>1781</v>
      </c>
      <c r="AL882" s="209">
        <f>IF(LEN(Множество[[#This Row],[Критерии]])&gt;0,1,-1)</f>
        <v>1</v>
      </c>
      <c r="AM882" s="209">
        <f>IF(AND(LEN(Множество[[#This Row],[Свёртка]])&gt;0,LEN(Множество[[#This Row],[Критерии]])&gt;0,LEN(Множество[[#This Row],[Оценки]])&gt;0),1,-1)</f>
        <v>-1</v>
      </c>
      <c r="AN882" s="230"/>
      <c r="AO882" s="208"/>
      <c r="AP882" s="208"/>
      <c r="AQ882" s="208"/>
      <c r="AR882" s="226"/>
      <c r="AS882" s="225"/>
      <c r="AT882" s="226"/>
      <c r="AU882" s="225"/>
      <c r="AV882" s="225"/>
      <c r="AW882" s="225"/>
      <c r="AX882" s="225"/>
      <c r="AY882" s="225"/>
    </row>
    <row r="883" spans="33:51" x14ac:dyDescent="0.25">
      <c r="AG883" s="66" t="str">
        <f>IF(AND(Множество[[#This Row],[Y]]=1),ROW()-ROW(Множество[[#Headers],[№]]),"")</f>
        <v/>
      </c>
      <c r="AI883" s="66">
        <v>1</v>
      </c>
      <c r="AJ883" s="66">
        <f>IF(LEN(Множество[[#This Row],[Свёртка]])&gt;0,1,-1)</f>
        <v>1</v>
      </c>
      <c r="AK883" s="66" t="s">
        <v>1781</v>
      </c>
      <c r="AL883" s="209">
        <f>IF(LEN(Множество[[#This Row],[Критерии]])&gt;0,1,-1)</f>
        <v>1</v>
      </c>
      <c r="AM883" s="209">
        <f>IF(AND(LEN(Множество[[#This Row],[Свёртка]])&gt;0,LEN(Множество[[#This Row],[Критерии]])&gt;0,LEN(Множество[[#This Row],[Оценки]])&gt;0),1,-1)</f>
        <v>-1</v>
      </c>
      <c r="AN883" s="230"/>
      <c r="AO883" s="208"/>
      <c r="AP883" s="208"/>
      <c r="AQ883" s="208"/>
      <c r="AR883" s="226"/>
      <c r="AS883" s="225"/>
      <c r="AT883" s="226"/>
      <c r="AU883" s="225"/>
      <c r="AV883" s="225"/>
      <c r="AW883" s="225"/>
      <c r="AX883" s="225"/>
      <c r="AY883" s="225"/>
    </row>
    <row r="884" spans="33:51" x14ac:dyDescent="0.25">
      <c r="AG884" s="66" t="str">
        <f>IF(AND(Множество[[#This Row],[Y]]=1),ROW()-ROW(Множество[[#Headers],[№]]),"")</f>
        <v/>
      </c>
      <c r="AI884" s="66">
        <v>1</v>
      </c>
      <c r="AJ884" s="66">
        <f>IF(LEN(Множество[[#This Row],[Свёртка]])&gt;0,1,-1)</f>
        <v>1</v>
      </c>
      <c r="AK884" s="66" t="s">
        <v>1781</v>
      </c>
      <c r="AL884" s="209">
        <f>IF(LEN(Множество[[#This Row],[Критерии]])&gt;0,1,-1)</f>
        <v>1</v>
      </c>
      <c r="AM884" s="209">
        <f>IF(AND(LEN(Множество[[#This Row],[Свёртка]])&gt;0,LEN(Множество[[#This Row],[Критерии]])&gt;0,LEN(Множество[[#This Row],[Оценки]])&gt;0),1,-1)</f>
        <v>-1</v>
      </c>
      <c r="AN884" s="230"/>
      <c r="AO884" s="208"/>
      <c r="AP884" s="208"/>
      <c r="AQ884" s="208"/>
      <c r="AR884" s="226"/>
      <c r="AS884" s="225"/>
      <c r="AT884" s="226"/>
      <c r="AU884" s="225"/>
      <c r="AV884" s="225"/>
      <c r="AW884" s="225"/>
      <c r="AX884" s="225"/>
      <c r="AY884" s="225"/>
    </row>
    <row r="885" spans="33:51" x14ac:dyDescent="0.25">
      <c r="AG885" s="66" t="str">
        <f>IF(AND(Множество[[#This Row],[Y]]=1),ROW()-ROW(Множество[[#Headers],[№]]),"")</f>
        <v/>
      </c>
      <c r="AI885" s="66">
        <v>1</v>
      </c>
      <c r="AJ885" s="66">
        <f>IF(LEN(Множество[[#This Row],[Свёртка]])&gt;0,1,-1)</f>
        <v>1</v>
      </c>
      <c r="AK885" s="66" t="s">
        <v>1781</v>
      </c>
      <c r="AL885" s="209">
        <f>IF(LEN(Множество[[#This Row],[Критерии]])&gt;0,1,-1)</f>
        <v>1</v>
      </c>
      <c r="AM885" s="209">
        <f>IF(AND(LEN(Множество[[#This Row],[Свёртка]])&gt;0,LEN(Множество[[#This Row],[Критерии]])&gt;0,LEN(Множество[[#This Row],[Оценки]])&gt;0),1,-1)</f>
        <v>-1</v>
      </c>
      <c r="AN885" s="230"/>
      <c r="AO885" s="208"/>
      <c r="AP885" s="208"/>
      <c r="AQ885" s="208"/>
      <c r="AR885" s="226"/>
      <c r="AS885" s="225"/>
      <c r="AT885" s="226"/>
      <c r="AU885" s="225"/>
      <c r="AV885" s="225"/>
      <c r="AW885" s="225"/>
      <c r="AX885" s="225"/>
      <c r="AY885" s="225"/>
    </row>
    <row r="886" spans="33:51" x14ac:dyDescent="0.25">
      <c r="AG886" s="66" t="str">
        <f>IF(AND(Множество[[#This Row],[Y]]=1),ROW()-ROW(Множество[[#Headers],[№]]),"")</f>
        <v/>
      </c>
      <c r="AI886" s="66">
        <v>1</v>
      </c>
      <c r="AJ886" s="66">
        <f>IF(LEN(Множество[[#This Row],[Свёртка]])&gt;0,1,-1)</f>
        <v>1</v>
      </c>
      <c r="AK886" s="66" t="s">
        <v>1781</v>
      </c>
      <c r="AL886" s="209">
        <f>IF(LEN(Множество[[#This Row],[Критерии]])&gt;0,1,-1)</f>
        <v>1</v>
      </c>
      <c r="AM886" s="209">
        <f>IF(AND(LEN(Множество[[#This Row],[Свёртка]])&gt;0,LEN(Множество[[#This Row],[Критерии]])&gt;0,LEN(Множество[[#This Row],[Оценки]])&gt;0),1,-1)</f>
        <v>-1</v>
      </c>
      <c r="AN886" s="230"/>
      <c r="AO886" s="208"/>
      <c r="AP886" s="208"/>
      <c r="AQ886" s="208"/>
      <c r="AR886" s="226"/>
      <c r="AS886" s="225"/>
      <c r="AT886" s="226"/>
      <c r="AU886" s="225"/>
      <c r="AV886" s="225"/>
      <c r="AW886" s="225"/>
      <c r="AX886" s="225"/>
      <c r="AY886" s="225"/>
    </row>
    <row r="887" spans="33:51" x14ac:dyDescent="0.25">
      <c r="AG887" s="66" t="str">
        <f>IF(AND(Множество[[#This Row],[Y]]=1),ROW()-ROW(Множество[[#Headers],[№]]),"")</f>
        <v/>
      </c>
      <c r="AI887" s="66">
        <v>1</v>
      </c>
      <c r="AJ887" s="66">
        <f>IF(LEN(Множество[[#This Row],[Свёртка]])&gt;0,1,-1)</f>
        <v>1</v>
      </c>
      <c r="AK887" s="66" t="s">
        <v>1781</v>
      </c>
      <c r="AL887" s="209">
        <f>IF(LEN(Множество[[#This Row],[Критерии]])&gt;0,1,-1)</f>
        <v>1</v>
      </c>
      <c r="AM887" s="209">
        <f>IF(AND(LEN(Множество[[#This Row],[Свёртка]])&gt;0,LEN(Множество[[#This Row],[Критерии]])&gt;0,LEN(Множество[[#This Row],[Оценки]])&gt;0),1,-1)</f>
        <v>-1</v>
      </c>
      <c r="AN887" s="230"/>
      <c r="AO887" s="208"/>
      <c r="AP887" s="208"/>
      <c r="AQ887" s="208"/>
      <c r="AR887" s="226"/>
      <c r="AS887" s="225"/>
      <c r="AT887" s="226"/>
      <c r="AU887" s="225"/>
      <c r="AV887" s="225"/>
      <c r="AW887" s="225"/>
      <c r="AX887" s="225"/>
      <c r="AY887" s="225"/>
    </row>
    <row r="888" spans="33:51" x14ac:dyDescent="0.25">
      <c r="AG888" s="66" t="str">
        <f>IF(AND(Множество[[#This Row],[Y]]=1),ROW()-ROW(Множество[[#Headers],[№]]),"")</f>
        <v/>
      </c>
      <c r="AI888" s="66">
        <v>1</v>
      </c>
      <c r="AJ888" s="66">
        <f>IF(LEN(Множество[[#This Row],[Свёртка]])&gt;0,1,-1)</f>
        <v>1</v>
      </c>
      <c r="AK888" s="66" t="s">
        <v>1781</v>
      </c>
      <c r="AL888" s="209">
        <f>IF(LEN(Множество[[#This Row],[Критерии]])&gt;0,1,-1)</f>
        <v>1</v>
      </c>
      <c r="AM888" s="209">
        <f>IF(AND(LEN(Множество[[#This Row],[Свёртка]])&gt;0,LEN(Множество[[#This Row],[Критерии]])&gt;0,LEN(Множество[[#This Row],[Оценки]])&gt;0),1,-1)</f>
        <v>-1</v>
      </c>
      <c r="AN888" s="230"/>
      <c r="AO888" s="208"/>
      <c r="AP888" s="208"/>
      <c r="AQ888" s="208"/>
      <c r="AR888" s="226"/>
      <c r="AS888" s="225"/>
      <c r="AT888" s="226"/>
      <c r="AU888" s="225"/>
      <c r="AV888" s="225"/>
      <c r="AW888" s="225"/>
      <c r="AX888" s="225"/>
      <c r="AY888" s="225"/>
    </row>
    <row r="889" spans="33:51" x14ac:dyDescent="0.25">
      <c r="AG889" s="66" t="str">
        <f>IF(AND(Множество[[#This Row],[Y]]=1),ROW()-ROW(Множество[[#Headers],[№]]),"")</f>
        <v/>
      </c>
      <c r="AI889" s="66">
        <v>1</v>
      </c>
      <c r="AJ889" s="66">
        <f>IF(LEN(Множество[[#This Row],[Свёртка]])&gt;0,1,-1)</f>
        <v>1</v>
      </c>
      <c r="AK889" s="66" t="s">
        <v>1781</v>
      </c>
      <c r="AL889" s="209">
        <f>IF(LEN(Множество[[#This Row],[Критерии]])&gt;0,1,-1)</f>
        <v>1</v>
      </c>
      <c r="AM889" s="209">
        <f>IF(AND(LEN(Множество[[#This Row],[Свёртка]])&gt;0,LEN(Множество[[#This Row],[Критерии]])&gt;0,LEN(Множество[[#This Row],[Оценки]])&gt;0),1,-1)</f>
        <v>-1</v>
      </c>
      <c r="AN889" s="230"/>
      <c r="AO889" s="208"/>
      <c r="AP889" s="208"/>
      <c r="AQ889" s="208"/>
      <c r="AR889" s="226"/>
      <c r="AS889" s="225"/>
      <c r="AT889" s="226"/>
      <c r="AU889" s="225"/>
      <c r="AV889" s="225"/>
      <c r="AW889" s="225"/>
      <c r="AX889" s="225"/>
      <c r="AY889" s="225"/>
    </row>
    <row r="890" spans="33:51" x14ac:dyDescent="0.25">
      <c r="AG890" s="66" t="str">
        <f>IF(AND(Множество[[#This Row],[Y]]=1),ROW()-ROW(Множество[[#Headers],[№]]),"")</f>
        <v/>
      </c>
      <c r="AI890" s="66">
        <v>1</v>
      </c>
      <c r="AJ890" s="66">
        <f>IF(LEN(Множество[[#This Row],[Свёртка]])&gt;0,1,-1)</f>
        <v>1</v>
      </c>
      <c r="AK890" s="66" t="s">
        <v>1781</v>
      </c>
      <c r="AL890" s="209">
        <f>IF(LEN(Множество[[#This Row],[Критерии]])&gt;0,1,-1)</f>
        <v>1</v>
      </c>
      <c r="AM890" s="209">
        <f>IF(AND(LEN(Множество[[#This Row],[Свёртка]])&gt;0,LEN(Множество[[#This Row],[Критерии]])&gt;0,LEN(Множество[[#This Row],[Оценки]])&gt;0),1,-1)</f>
        <v>-1</v>
      </c>
      <c r="AN890" s="230"/>
      <c r="AO890" s="208"/>
      <c r="AP890" s="208"/>
      <c r="AQ890" s="208"/>
      <c r="AR890" s="226"/>
      <c r="AS890" s="225"/>
      <c r="AT890" s="226"/>
      <c r="AU890" s="225"/>
      <c r="AV890" s="225"/>
      <c r="AW890" s="225"/>
      <c r="AX890" s="225"/>
      <c r="AY890" s="225"/>
    </row>
    <row r="891" spans="33:51" x14ac:dyDescent="0.25">
      <c r="AG891" s="66" t="str">
        <f>IF(AND(Множество[[#This Row],[Y]]=1),ROW()-ROW(Множество[[#Headers],[№]]),"")</f>
        <v/>
      </c>
      <c r="AI891" s="66">
        <v>1</v>
      </c>
      <c r="AJ891" s="66">
        <f>IF(LEN(Множество[[#This Row],[Свёртка]])&gt;0,1,-1)</f>
        <v>1</v>
      </c>
      <c r="AK891" s="66" t="s">
        <v>1781</v>
      </c>
      <c r="AL891" s="209">
        <f>IF(LEN(Множество[[#This Row],[Критерии]])&gt;0,1,-1)</f>
        <v>1</v>
      </c>
      <c r="AM891" s="209">
        <f>IF(AND(LEN(Множество[[#This Row],[Свёртка]])&gt;0,LEN(Множество[[#This Row],[Критерии]])&gt;0,LEN(Множество[[#This Row],[Оценки]])&gt;0),1,-1)</f>
        <v>-1</v>
      </c>
      <c r="AN891" s="230"/>
      <c r="AO891" s="208"/>
      <c r="AP891" s="208"/>
      <c r="AQ891" s="208"/>
      <c r="AR891" s="226"/>
      <c r="AS891" s="225"/>
      <c r="AT891" s="226"/>
      <c r="AU891" s="225"/>
      <c r="AV891" s="225"/>
      <c r="AW891" s="225"/>
      <c r="AX891" s="225"/>
      <c r="AY891" s="225"/>
    </row>
    <row r="892" spans="33:51" x14ac:dyDescent="0.25">
      <c r="AG892" s="66" t="str">
        <f>IF(AND(Множество[[#This Row],[Y]]=1),ROW()-ROW(Множество[[#Headers],[№]]),"")</f>
        <v/>
      </c>
      <c r="AI892" s="66">
        <v>1</v>
      </c>
      <c r="AJ892" s="66">
        <f>IF(LEN(Множество[[#This Row],[Свёртка]])&gt;0,1,-1)</f>
        <v>1</v>
      </c>
      <c r="AK892" s="66" t="s">
        <v>1781</v>
      </c>
      <c r="AL892" s="209">
        <f>IF(LEN(Множество[[#This Row],[Критерии]])&gt;0,1,-1)</f>
        <v>1</v>
      </c>
      <c r="AM892" s="209">
        <f>IF(AND(LEN(Множество[[#This Row],[Свёртка]])&gt;0,LEN(Множество[[#This Row],[Критерии]])&gt;0,LEN(Множество[[#This Row],[Оценки]])&gt;0),1,-1)</f>
        <v>-1</v>
      </c>
      <c r="AN892" s="230"/>
      <c r="AO892" s="208"/>
      <c r="AP892" s="208"/>
      <c r="AQ892" s="208"/>
      <c r="AR892" s="226"/>
      <c r="AS892" s="225"/>
      <c r="AT892" s="226"/>
      <c r="AU892" s="225"/>
      <c r="AV892" s="225"/>
      <c r="AW892" s="225"/>
      <c r="AX892" s="225"/>
      <c r="AY892" s="225"/>
    </row>
    <row r="893" spans="33:51" x14ac:dyDescent="0.25">
      <c r="AG893" s="66" t="str">
        <f>IF(AND(Множество[[#This Row],[Y]]=1),ROW()-ROW(Множество[[#Headers],[№]]),"")</f>
        <v/>
      </c>
      <c r="AI893" s="66">
        <v>1</v>
      </c>
      <c r="AJ893" s="66">
        <f>IF(LEN(Множество[[#This Row],[Свёртка]])&gt;0,1,-1)</f>
        <v>1</v>
      </c>
      <c r="AK893" s="66" t="s">
        <v>1781</v>
      </c>
      <c r="AL893" s="209">
        <f>IF(LEN(Множество[[#This Row],[Критерии]])&gt;0,1,-1)</f>
        <v>1</v>
      </c>
      <c r="AM893" s="209">
        <f>IF(AND(LEN(Множество[[#This Row],[Свёртка]])&gt;0,LEN(Множество[[#This Row],[Критерии]])&gt;0,LEN(Множество[[#This Row],[Оценки]])&gt;0),1,-1)</f>
        <v>-1</v>
      </c>
      <c r="AN893" s="230"/>
      <c r="AO893" s="208"/>
      <c r="AP893" s="208"/>
      <c r="AQ893" s="208"/>
      <c r="AR893" s="226"/>
      <c r="AS893" s="225"/>
      <c r="AT893" s="226"/>
      <c r="AU893" s="225"/>
      <c r="AV893" s="225"/>
      <c r="AW893" s="225"/>
      <c r="AX893" s="225"/>
      <c r="AY893" s="225"/>
    </row>
    <row r="894" spans="33:51" x14ac:dyDescent="0.25">
      <c r="AG894" s="66" t="str">
        <f>IF(AND(Множество[[#This Row],[Y]]=1),ROW()-ROW(Множество[[#Headers],[№]]),"")</f>
        <v/>
      </c>
      <c r="AI894" s="66">
        <v>1</v>
      </c>
      <c r="AJ894" s="66">
        <f>IF(LEN(Множество[[#This Row],[Свёртка]])&gt;0,1,-1)</f>
        <v>1</v>
      </c>
      <c r="AK894" s="66" t="s">
        <v>1781</v>
      </c>
      <c r="AL894" s="209">
        <f>IF(LEN(Множество[[#This Row],[Критерии]])&gt;0,1,-1)</f>
        <v>1</v>
      </c>
      <c r="AM894" s="209">
        <f>IF(AND(LEN(Множество[[#This Row],[Свёртка]])&gt;0,LEN(Множество[[#This Row],[Критерии]])&gt;0,LEN(Множество[[#This Row],[Оценки]])&gt;0),1,-1)</f>
        <v>-1</v>
      </c>
      <c r="AN894" s="230"/>
      <c r="AO894" s="208"/>
      <c r="AP894" s="208"/>
      <c r="AQ894" s="208"/>
      <c r="AR894" s="226"/>
      <c r="AS894" s="225"/>
      <c r="AT894" s="226"/>
      <c r="AU894" s="225"/>
      <c r="AV894" s="225"/>
      <c r="AW894" s="225"/>
      <c r="AX894" s="225"/>
      <c r="AY894" s="225"/>
    </row>
    <row r="895" spans="33:51" x14ac:dyDescent="0.25">
      <c r="AG895" s="66" t="str">
        <f>IF(AND(Множество[[#This Row],[Y]]=1),ROW()-ROW(Множество[[#Headers],[№]]),"")</f>
        <v/>
      </c>
      <c r="AI895" s="66">
        <v>1</v>
      </c>
      <c r="AJ895" s="66">
        <f>IF(LEN(Множество[[#This Row],[Свёртка]])&gt;0,1,-1)</f>
        <v>1</v>
      </c>
      <c r="AK895" s="66" t="s">
        <v>1781</v>
      </c>
      <c r="AL895" s="209">
        <f>IF(LEN(Множество[[#This Row],[Критерии]])&gt;0,1,-1)</f>
        <v>1</v>
      </c>
      <c r="AM895" s="209">
        <f>IF(AND(LEN(Множество[[#This Row],[Свёртка]])&gt;0,LEN(Множество[[#This Row],[Критерии]])&gt;0,LEN(Множество[[#This Row],[Оценки]])&gt;0),1,-1)</f>
        <v>-1</v>
      </c>
      <c r="AN895" s="230"/>
      <c r="AO895" s="208"/>
      <c r="AP895" s="208"/>
      <c r="AQ895" s="208"/>
      <c r="AR895" s="226"/>
      <c r="AS895" s="225"/>
      <c r="AT895" s="226"/>
      <c r="AU895" s="225"/>
      <c r="AV895" s="225"/>
      <c r="AW895" s="225"/>
      <c r="AX895" s="225"/>
      <c r="AY895" s="225"/>
    </row>
    <row r="896" spans="33:51" x14ac:dyDescent="0.25">
      <c r="AG896" s="66" t="str">
        <f>IF(AND(Множество[[#This Row],[Y]]=1),ROW()-ROW(Множество[[#Headers],[№]]),"")</f>
        <v/>
      </c>
      <c r="AI896" s="66">
        <v>1</v>
      </c>
      <c r="AJ896" s="66">
        <f>IF(LEN(Множество[[#This Row],[Свёртка]])&gt;0,1,-1)</f>
        <v>1</v>
      </c>
      <c r="AK896" s="66" t="s">
        <v>1781</v>
      </c>
      <c r="AL896" s="209">
        <f>IF(LEN(Множество[[#This Row],[Критерии]])&gt;0,1,-1)</f>
        <v>1</v>
      </c>
      <c r="AM896" s="209">
        <f>IF(AND(LEN(Множество[[#This Row],[Свёртка]])&gt;0,LEN(Множество[[#This Row],[Критерии]])&gt;0,LEN(Множество[[#This Row],[Оценки]])&gt;0),1,-1)</f>
        <v>-1</v>
      </c>
      <c r="AN896" s="230"/>
      <c r="AO896" s="208"/>
      <c r="AP896" s="208"/>
      <c r="AQ896" s="208"/>
      <c r="AR896" s="226"/>
      <c r="AS896" s="225"/>
      <c r="AT896" s="226"/>
      <c r="AU896" s="225"/>
      <c r="AV896" s="225"/>
      <c r="AW896" s="225"/>
      <c r="AX896" s="225"/>
      <c r="AY896" s="225"/>
    </row>
    <row r="897" spans="33:51" x14ac:dyDescent="0.25">
      <c r="AG897" s="66" t="str">
        <f>IF(AND(Множество[[#This Row],[Y]]=1),ROW()-ROW(Множество[[#Headers],[№]]),"")</f>
        <v/>
      </c>
      <c r="AI897" s="66">
        <v>1</v>
      </c>
      <c r="AJ897" s="66">
        <f>IF(LEN(Множество[[#This Row],[Свёртка]])&gt;0,1,-1)</f>
        <v>1</v>
      </c>
      <c r="AK897" s="66" t="s">
        <v>1781</v>
      </c>
      <c r="AL897" s="209">
        <f>IF(LEN(Множество[[#This Row],[Критерии]])&gt;0,1,-1)</f>
        <v>1</v>
      </c>
      <c r="AM897" s="209">
        <f>IF(AND(LEN(Множество[[#This Row],[Свёртка]])&gt;0,LEN(Множество[[#This Row],[Критерии]])&gt;0,LEN(Множество[[#This Row],[Оценки]])&gt;0),1,-1)</f>
        <v>-1</v>
      </c>
      <c r="AN897" s="230"/>
      <c r="AO897" s="208"/>
      <c r="AP897" s="208"/>
      <c r="AQ897" s="208"/>
      <c r="AR897" s="226"/>
      <c r="AS897" s="225"/>
      <c r="AT897" s="226"/>
      <c r="AU897" s="225"/>
      <c r="AV897" s="225"/>
      <c r="AW897" s="225"/>
      <c r="AX897" s="225"/>
      <c r="AY897" s="225"/>
    </row>
    <row r="898" spans="33:51" x14ac:dyDescent="0.25">
      <c r="AG898" s="66" t="str">
        <f>IF(AND(Множество[[#This Row],[Y]]=1),ROW()-ROW(Множество[[#Headers],[№]]),"")</f>
        <v/>
      </c>
      <c r="AI898" s="66">
        <v>1</v>
      </c>
      <c r="AJ898" s="66">
        <f>IF(LEN(Множество[[#This Row],[Свёртка]])&gt;0,1,-1)</f>
        <v>1</v>
      </c>
      <c r="AK898" s="66" t="s">
        <v>1781</v>
      </c>
      <c r="AL898" s="209">
        <f>IF(LEN(Множество[[#This Row],[Критерии]])&gt;0,1,-1)</f>
        <v>1</v>
      </c>
      <c r="AM898" s="209">
        <f>IF(AND(LEN(Множество[[#This Row],[Свёртка]])&gt;0,LEN(Множество[[#This Row],[Критерии]])&gt;0,LEN(Множество[[#This Row],[Оценки]])&gt;0),1,-1)</f>
        <v>-1</v>
      </c>
      <c r="AN898" s="230"/>
      <c r="AO898" s="208"/>
      <c r="AP898" s="208"/>
      <c r="AQ898" s="208"/>
      <c r="AR898" s="226"/>
      <c r="AS898" s="225"/>
      <c r="AT898" s="226"/>
      <c r="AU898" s="225"/>
      <c r="AV898" s="225"/>
      <c r="AW898" s="225"/>
      <c r="AX898" s="225"/>
      <c r="AY898" s="225"/>
    </row>
    <row r="899" spans="33:51" x14ac:dyDescent="0.25">
      <c r="AG899" s="66" t="str">
        <f>IF(AND(Множество[[#This Row],[Y]]=1),ROW()-ROW(Множество[[#Headers],[№]]),"")</f>
        <v/>
      </c>
      <c r="AI899" s="66">
        <v>1</v>
      </c>
      <c r="AJ899" s="66">
        <f>IF(LEN(Множество[[#This Row],[Свёртка]])&gt;0,1,-1)</f>
        <v>1</v>
      </c>
      <c r="AK899" s="66" t="s">
        <v>1781</v>
      </c>
      <c r="AL899" s="209">
        <f>IF(LEN(Множество[[#This Row],[Критерии]])&gt;0,1,-1)</f>
        <v>1</v>
      </c>
      <c r="AM899" s="209">
        <f>IF(AND(LEN(Множество[[#This Row],[Свёртка]])&gt;0,LEN(Множество[[#This Row],[Критерии]])&gt;0,LEN(Множество[[#This Row],[Оценки]])&gt;0),1,-1)</f>
        <v>-1</v>
      </c>
      <c r="AN899" s="230"/>
      <c r="AO899" s="208"/>
      <c r="AP899" s="208"/>
      <c r="AQ899" s="208"/>
      <c r="AR899" s="226"/>
      <c r="AS899" s="225"/>
      <c r="AT899" s="226"/>
      <c r="AU899" s="225"/>
      <c r="AV899" s="225"/>
      <c r="AW899" s="225"/>
      <c r="AX899" s="225"/>
      <c r="AY899" s="225"/>
    </row>
    <row r="900" spans="33:51" x14ac:dyDescent="0.25">
      <c r="AG900" s="66" t="str">
        <f>IF(AND(Множество[[#This Row],[Y]]=1),ROW()-ROW(Множество[[#Headers],[№]]),"")</f>
        <v/>
      </c>
      <c r="AI900" s="66">
        <v>1</v>
      </c>
      <c r="AJ900" s="66">
        <f>IF(LEN(Множество[[#This Row],[Свёртка]])&gt;0,1,-1)</f>
        <v>1</v>
      </c>
      <c r="AK900" s="66" t="s">
        <v>1781</v>
      </c>
      <c r="AL900" s="209">
        <f>IF(LEN(Множество[[#This Row],[Критерии]])&gt;0,1,-1)</f>
        <v>1</v>
      </c>
      <c r="AM900" s="209">
        <f>IF(AND(LEN(Множество[[#This Row],[Свёртка]])&gt;0,LEN(Множество[[#This Row],[Критерии]])&gt;0,LEN(Множество[[#This Row],[Оценки]])&gt;0),1,-1)</f>
        <v>-1</v>
      </c>
      <c r="AN900" s="230"/>
      <c r="AO900" s="208"/>
      <c r="AP900" s="208"/>
      <c r="AQ900" s="208"/>
      <c r="AR900" s="226"/>
      <c r="AS900" s="225"/>
      <c r="AT900" s="226"/>
      <c r="AU900" s="225"/>
      <c r="AV900" s="225"/>
      <c r="AW900" s="225"/>
      <c r="AX900" s="225"/>
      <c r="AY900" s="225"/>
    </row>
    <row r="901" spans="33:51" x14ac:dyDescent="0.25">
      <c r="AG901" s="66" t="str">
        <f>IF(AND(Множество[[#This Row],[Y]]=1),ROW()-ROW(Множество[[#Headers],[№]]),"")</f>
        <v/>
      </c>
      <c r="AI901" s="66">
        <v>1</v>
      </c>
      <c r="AJ901" s="66">
        <f>IF(LEN(Множество[[#This Row],[Свёртка]])&gt;0,1,-1)</f>
        <v>1</v>
      </c>
      <c r="AK901" s="66" t="s">
        <v>1781</v>
      </c>
      <c r="AL901" s="209">
        <f>IF(LEN(Множество[[#This Row],[Критерии]])&gt;0,1,-1)</f>
        <v>1</v>
      </c>
      <c r="AM901" s="209">
        <f>IF(AND(LEN(Множество[[#This Row],[Свёртка]])&gt;0,LEN(Множество[[#This Row],[Критерии]])&gt;0,LEN(Множество[[#This Row],[Оценки]])&gt;0),1,-1)</f>
        <v>-1</v>
      </c>
      <c r="AN901" s="230"/>
      <c r="AO901" s="208"/>
      <c r="AP901" s="208"/>
      <c r="AQ901" s="208"/>
      <c r="AR901" s="226"/>
      <c r="AS901" s="225"/>
      <c r="AT901" s="226"/>
      <c r="AU901" s="225"/>
      <c r="AV901" s="225"/>
      <c r="AW901" s="225"/>
      <c r="AX901" s="225"/>
      <c r="AY901" s="225"/>
    </row>
    <row r="902" spans="33:51" x14ac:dyDescent="0.25">
      <c r="AG902" s="66" t="str">
        <f>IF(AND(Множество[[#This Row],[Y]]=1),ROW()-ROW(Множество[[#Headers],[№]]),"")</f>
        <v/>
      </c>
      <c r="AI902" s="66">
        <v>1</v>
      </c>
      <c r="AJ902" s="66">
        <f>IF(LEN(Множество[[#This Row],[Свёртка]])&gt;0,1,-1)</f>
        <v>1</v>
      </c>
      <c r="AK902" s="66" t="s">
        <v>1781</v>
      </c>
      <c r="AL902" s="209">
        <f>IF(LEN(Множество[[#This Row],[Критерии]])&gt;0,1,-1)</f>
        <v>1</v>
      </c>
      <c r="AM902" s="209">
        <f>IF(AND(LEN(Множество[[#This Row],[Свёртка]])&gt;0,LEN(Множество[[#This Row],[Критерии]])&gt;0,LEN(Множество[[#This Row],[Оценки]])&gt;0),1,-1)</f>
        <v>-1</v>
      </c>
      <c r="AN902" s="230"/>
      <c r="AO902" s="208"/>
      <c r="AP902" s="208"/>
      <c r="AQ902" s="208"/>
      <c r="AR902" s="226"/>
      <c r="AS902" s="225"/>
      <c r="AT902" s="226"/>
      <c r="AU902" s="225"/>
      <c r="AV902" s="225"/>
      <c r="AW902" s="225"/>
      <c r="AX902" s="225"/>
      <c r="AY902" s="225"/>
    </row>
    <row r="903" spans="33:51" x14ac:dyDescent="0.25">
      <c r="AG903" s="66" t="str">
        <f>IF(AND(Множество[[#This Row],[Y]]=1),ROW()-ROW(Множество[[#Headers],[№]]),"")</f>
        <v/>
      </c>
      <c r="AI903" s="66">
        <v>1</v>
      </c>
      <c r="AJ903" s="66">
        <f>IF(LEN(Множество[[#This Row],[Свёртка]])&gt;0,1,-1)</f>
        <v>1</v>
      </c>
      <c r="AK903" s="66" t="s">
        <v>1781</v>
      </c>
      <c r="AL903" s="209">
        <f>IF(LEN(Множество[[#This Row],[Критерии]])&gt;0,1,-1)</f>
        <v>1</v>
      </c>
      <c r="AM903" s="209">
        <f>IF(AND(LEN(Множество[[#This Row],[Свёртка]])&gt;0,LEN(Множество[[#This Row],[Критерии]])&gt;0,LEN(Множество[[#This Row],[Оценки]])&gt;0),1,-1)</f>
        <v>-1</v>
      </c>
      <c r="AN903" s="230"/>
      <c r="AO903" s="208"/>
      <c r="AP903" s="208"/>
      <c r="AQ903" s="208"/>
      <c r="AR903" s="226"/>
      <c r="AS903" s="225"/>
      <c r="AT903" s="226"/>
      <c r="AU903" s="225"/>
      <c r="AV903" s="225"/>
      <c r="AW903" s="225"/>
      <c r="AX903" s="225"/>
      <c r="AY903" s="225"/>
    </row>
    <row r="904" spans="33:51" x14ac:dyDescent="0.25">
      <c r="AG904" s="66" t="str">
        <f>IF(AND(Множество[[#This Row],[Y]]=1),ROW()-ROW(Множество[[#Headers],[№]]),"")</f>
        <v/>
      </c>
      <c r="AI904" s="66">
        <v>1</v>
      </c>
      <c r="AJ904" s="66">
        <f>IF(LEN(Множество[[#This Row],[Свёртка]])&gt;0,1,-1)</f>
        <v>1</v>
      </c>
      <c r="AK904" s="66" t="s">
        <v>1781</v>
      </c>
      <c r="AL904" s="209">
        <f>IF(LEN(Множество[[#This Row],[Критерии]])&gt;0,1,-1)</f>
        <v>1</v>
      </c>
      <c r="AM904" s="209">
        <f>IF(AND(LEN(Множество[[#This Row],[Свёртка]])&gt;0,LEN(Множество[[#This Row],[Критерии]])&gt;0,LEN(Множество[[#This Row],[Оценки]])&gt;0),1,-1)</f>
        <v>-1</v>
      </c>
      <c r="AN904" s="230"/>
      <c r="AO904" s="208"/>
      <c r="AP904" s="208"/>
      <c r="AQ904" s="208"/>
      <c r="AR904" s="226"/>
      <c r="AS904" s="225"/>
      <c r="AT904" s="226"/>
      <c r="AU904" s="225"/>
      <c r="AV904" s="225"/>
      <c r="AW904" s="225"/>
      <c r="AX904" s="225"/>
      <c r="AY904" s="225"/>
    </row>
    <row r="905" spans="33:51" x14ac:dyDescent="0.25">
      <c r="AG905" s="66" t="str">
        <f>IF(AND(Множество[[#This Row],[Y]]=1),ROW()-ROW(Множество[[#Headers],[№]]),"")</f>
        <v/>
      </c>
      <c r="AI905" s="66">
        <v>1</v>
      </c>
      <c r="AJ905" s="66">
        <f>IF(LEN(Множество[[#This Row],[Свёртка]])&gt;0,1,-1)</f>
        <v>1</v>
      </c>
      <c r="AK905" s="66" t="s">
        <v>1781</v>
      </c>
      <c r="AL905" s="209">
        <f>IF(LEN(Множество[[#This Row],[Критерии]])&gt;0,1,-1)</f>
        <v>1</v>
      </c>
      <c r="AM905" s="209">
        <f>IF(AND(LEN(Множество[[#This Row],[Свёртка]])&gt;0,LEN(Множество[[#This Row],[Критерии]])&gt;0,LEN(Множество[[#This Row],[Оценки]])&gt;0),1,-1)</f>
        <v>-1</v>
      </c>
      <c r="AN905" s="230"/>
      <c r="AO905" s="208"/>
      <c r="AP905" s="208"/>
      <c r="AQ905" s="208"/>
      <c r="AR905" s="226"/>
      <c r="AS905" s="225"/>
      <c r="AT905" s="226"/>
      <c r="AU905" s="225"/>
      <c r="AV905" s="225"/>
      <c r="AW905" s="225"/>
      <c r="AX905" s="225"/>
      <c r="AY905" s="225"/>
    </row>
    <row r="906" spans="33:51" x14ac:dyDescent="0.25">
      <c r="AG906" s="66" t="str">
        <f>IF(AND(Множество[[#This Row],[Y]]=1),ROW()-ROW(Множество[[#Headers],[№]]),"")</f>
        <v/>
      </c>
      <c r="AI906" s="66">
        <v>1</v>
      </c>
      <c r="AJ906" s="66">
        <f>IF(LEN(Множество[[#This Row],[Свёртка]])&gt;0,1,-1)</f>
        <v>1</v>
      </c>
      <c r="AK906" s="66" t="s">
        <v>1781</v>
      </c>
      <c r="AL906" s="209">
        <f>IF(LEN(Множество[[#This Row],[Критерии]])&gt;0,1,-1)</f>
        <v>1</v>
      </c>
      <c r="AM906" s="209">
        <f>IF(AND(LEN(Множество[[#This Row],[Свёртка]])&gt;0,LEN(Множество[[#This Row],[Критерии]])&gt;0,LEN(Множество[[#This Row],[Оценки]])&gt;0),1,-1)</f>
        <v>-1</v>
      </c>
      <c r="AN906" s="230"/>
      <c r="AO906" s="208"/>
      <c r="AP906" s="208"/>
      <c r="AQ906" s="208"/>
      <c r="AR906" s="226"/>
      <c r="AS906" s="225"/>
      <c r="AT906" s="226"/>
      <c r="AU906" s="225"/>
      <c r="AV906" s="225"/>
      <c r="AW906" s="225"/>
      <c r="AX906" s="225"/>
      <c r="AY906" s="225"/>
    </row>
    <row r="907" spans="33:51" x14ac:dyDescent="0.25">
      <c r="AG907" s="66" t="str">
        <f>IF(AND(Множество[[#This Row],[Y]]=1),ROW()-ROW(Множество[[#Headers],[№]]),"")</f>
        <v/>
      </c>
      <c r="AI907" s="66">
        <v>1</v>
      </c>
      <c r="AJ907" s="66">
        <f>IF(LEN(Множество[[#This Row],[Свёртка]])&gt;0,1,-1)</f>
        <v>1</v>
      </c>
      <c r="AK907" s="66" t="s">
        <v>1781</v>
      </c>
      <c r="AL907" s="209">
        <f>IF(LEN(Множество[[#This Row],[Критерии]])&gt;0,1,-1)</f>
        <v>1</v>
      </c>
      <c r="AM907" s="209">
        <f>IF(AND(LEN(Множество[[#This Row],[Свёртка]])&gt;0,LEN(Множество[[#This Row],[Критерии]])&gt;0,LEN(Множество[[#This Row],[Оценки]])&gt;0),1,-1)</f>
        <v>-1</v>
      </c>
      <c r="AN907" s="230"/>
      <c r="AO907" s="208"/>
      <c r="AP907" s="208"/>
      <c r="AQ907" s="208"/>
      <c r="AR907" s="226"/>
      <c r="AS907" s="225"/>
      <c r="AT907" s="226"/>
      <c r="AU907" s="225"/>
      <c r="AV907" s="225"/>
      <c r="AW907" s="225"/>
      <c r="AX907" s="225"/>
      <c r="AY907" s="225"/>
    </row>
    <row r="908" spans="33:51" x14ac:dyDescent="0.25">
      <c r="AG908" s="66" t="str">
        <f>IF(AND(Множество[[#This Row],[Y]]=1),ROW()-ROW(Множество[[#Headers],[№]]),"")</f>
        <v/>
      </c>
      <c r="AI908" s="66">
        <v>1</v>
      </c>
      <c r="AJ908" s="66">
        <f>IF(LEN(Множество[[#This Row],[Свёртка]])&gt;0,1,-1)</f>
        <v>1</v>
      </c>
      <c r="AK908" s="66" t="s">
        <v>1781</v>
      </c>
      <c r="AL908" s="209">
        <f>IF(LEN(Множество[[#This Row],[Критерии]])&gt;0,1,-1)</f>
        <v>1</v>
      </c>
      <c r="AM908" s="209">
        <f>IF(AND(LEN(Множество[[#This Row],[Свёртка]])&gt;0,LEN(Множество[[#This Row],[Критерии]])&gt;0,LEN(Множество[[#This Row],[Оценки]])&gt;0),1,-1)</f>
        <v>-1</v>
      </c>
      <c r="AN908" s="230"/>
      <c r="AO908" s="208"/>
      <c r="AP908" s="208"/>
      <c r="AQ908" s="208"/>
      <c r="AR908" s="226"/>
      <c r="AS908" s="225"/>
      <c r="AT908" s="226"/>
      <c r="AU908" s="225"/>
      <c r="AV908" s="225"/>
      <c r="AW908" s="225"/>
      <c r="AX908" s="225"/>
      <c r="AY908" s="225"/>
    </row>
    <row r="909" spans="33:51" x14ac:dyDescent="0.25">
      <c r="AG909" s="66" t="str">
        <f>IF(AND(Множество[[#This Row],[Y]]=1),ROW()-ROW(Множество[[#Headers],[№]]),"")</f>
        <v/>
      </c>
      <c r="AI909" s="66">
        <v>1</v>
      </c>
      <c r="AJ909" s="66">
        <f>IF(LEN(Множество[[#This Row],[Свёртка]])&gt;0,1,-1)</f>
        <v>1</v>
      </c>
      <c r="AK909" s="66" t="s">
        <v>1781</v>
      </c>
      <c r="AL909" s="209">
        <f>IF(LEN(Множество[[#This Row],[Критерии]])&gt;0,1,-1)</f>
        <v>1</v>
      </c>
      <c r="AM909" s="209">
        <f>IF(AND(LEN(Множество[[#This Row],[Свёртка]])&gt;0,LEN(Множество[[#This Row],[Критерии]])&gt;0,LEN(Множество[[#This Row],[Оценки]])&gt;0),1,-1)</f>
        <v>-1</v>
      </c>
      <c r="AN909" s="230"/>
      <c r="AO909" s="208"/>
      <c r="AP909" s="208"/>
      <c r="AQ909" s="208"/>
      <c r="AR909" s="226"/>
      <c r="AS909" s="225"/>
      <c r="AT909" s="226"/>
      <c r="AU909" s="225"/>
      <c r="AV909" s="225"/>
      <c r="AW909" s="225"/>
      <c r="AX909" s="225"/>
      <c r="AY909" s="225"/>
    </row>
    <row r="910" spans="33:51" x14ac:dyDescent="0.25">
      <c r="AG910" s="66" t="str">
        <f>IF(AND(Множество[[#This Row],[Y]]=1),ROW()-ROW(Множество[[#Headers],[№]]),"")</f>
        <v/>
      </c>
      <c r="AI910" s="66">
        <v>1</v>
      </c>
      <c r="AJ910" s="66">
        <f>IF(LEN(Множество[[#This Row],[Свёртка]])&gt;0,1,-1)</f>
        <v>1</v>
      </c>
      <c r="AK910" s="66" t="s">
        <v>1781</v>
      </c>
      <c r="AL910" s="209">
        <f>IF(LEN(Множество[[#This Row],[Критерии]])&gt;0,1,-1)</f>
        <v>1</v>
      </c>
      <c r="AM910" s="209">
        <f>IF(AND(LEN(Множество[[#This Row],[Свёртка]])&gt;0,LEN(Множество[[#This Row],[Критерии]])&gt;0,LEN(Множество[[#This Row],[Оценки]])&gt;0),1,-1)</f>
        <v>-1</v>
      </c>
      <c r="AN910" s="230"/>
      <c r="AO910" s="208"/>
      <c r="AP910" s="208"/>
      <c r="AQ910" s="208"/>
      <c r="AR910" s="226"/>
      <c r="AS910" s="225"/>
      <c r="AT910" s="226"/>
      <c r="AU910" s="225"/>
      <c r="AV910" s="225"/>
      <c r="AW910" s="225"/>
      <c r="AX910" s="225"/>
      <c r="AY910" s="225"/>
    </row>
    <row r="911" spans="33:51" x14ac:dyDescent="0.25">
      <c r="AG911" s="66" t="str">
        <f>IF(AND(Множество[[#This Row],[Y]]=1),ROW()-ROW(Множество[[#Headers],[№]]),"")</f>
        <v/>
      </c>
      <c r="AI911" s="66">
        <v>1</v>
      </c>
      <c r="AJ911" s="66">
        <f>IF(LEN(Множество[[#This Row],[Свёртка]])&gt;0,1,-1)</f>
        <v>1</v>
      </c>
      <c r="AK911" s="66" t="s">
        <v>1781</v>
      </c>
      <c r="AL911" s="209">
        <f>IF(LEN(Множество[[#This Row],[Критерии]])&gt;0,1,-1)</f>
        <v>1</v>
      </c>
      <c r="AM911" s="209">
        <f>IF(AND(LEN(Множество[[#This Row],[Свёртка]])&gt;0,LEN(Множество[[#This Row],[Критерии]])&gt;0,LEN(Множество[[#This Row],[Оценки]])&gt;0),1,-1)</f>
        <v>-1</v>
      </c>
      <c r="AN911" s="230"/>
      <c r="AO911" s="208"/>
      <c r="AP911" s="208"/>
      <c r="AQ911" s="208"/>
      <c r="AR911" s="226"/>
      <c r="AS911" s="225"/>
      <c r="AT911" s="226"/>
      <c r="AU911" s="225"/>
      <c r="AV911" s="225"/>
      <c r="AW911" s="225"/>
      <c r="AX911" s="225"/>
      <c r="AY911" s="225"/>
    </row>
    <row r="912" spans="33:51" x14ac:dyDescent="0.25">
      <c r="AG912" s="66" t="str">
        <f>IF(AND(Множество[[#This Row],[Y]]=1),ROW()-ROW(Множество[[#Headers],[№]]),"")</f>
        <v/>
      </c>
      <c r="AI912" s="66">
        <v>1</v>
      </c>
      <c r="AJ912" s="66">
        <f>IF(LEN(Множество[[#This Row],[Свёртка]])&gt;0,1,-1)</f>
        <v>1</v>
      </c>
      <c r="AK912" s="66" t="s">
        <v>1781</v>
      </c>
      <c r="AL912" s="209">
        <f>IF(LEN(Множество[[#This Row],[Критерии]])&gt;0,1,-1)</f>
        <v>1</v>
      </c>
      <c r="AM912" s="209">
        <f>IF(AND(LEN(Множество[[#This Row],[Свёртка]])&gt;0,LEN(Множество[[#This Row],[Критерии]])&gt;0,LEN(Множество[[#This Row],[Оценки]])&gt;0),1,-1)</f>
        <v>-1</v>
      </c>
      <c r="AN912" s="230"/>
      <c r="AO912" s="208"/>
      <c r="AP912" s="208"/>
      <c r="AQ912" s="208"/>
      <c r="AR912" s="226"/>
      <c r="AS912" s="225"/>
      <c r="AT912" s="226"/>
      <c r="AU912" s="225"/>
      <c r="AV912" s="225"/>
      <c r="AW912" s="225"/>
      <c r="AX912" s="225"/>
      <c r="AY912" s="225"/>
    </row>
    <row r="913" spans="33:51" x14ac:dyDescent="0.25">
      <c r="AG913" s="66" t="str">
        <f>IF(AND(Множество[[#This Row],[Y]]=1),ROW()-ROW(Множество[[#Headers],[№]]),"")</f>
        <v/>
      </c>
      <c r="AI913" s="66">
        <v>1</v>
      </c>
      <c r="AJ913" s="66">
        <f>IF(LEN(Множество[[#This Row],[Свёртка]])&gt;0,1,-1)</f>
        <v>1</v>
      </c>
      <c r="AK913" s="66" t="s">
        <v>1781</v>
      </c>
      <c r="AL913" s="209">
        <f>IF(LEN(Множество[[#This Row],[Критерии]])&gt;0,1,-1)</f>
        <v>1</v>
      </c>
      <c r="AM913" s="209">
        <f>IF(AND(LEN(Множество[[#This Row],[Свёртка]])&gt;0,LEN(Множество[[#This Row],[Критерии]])&gt;0,LEN(Множество[[#This Row],[Оценки]])&gt;0),1,-1)</f>
        <v>-1</v>
      </c>
      <c r="AN913" s="230"/>
      <c r="AO913" s="208"/>
      <c r="AP913" s="208"/>
      <c r="AQ913" s="208"/>
      <c r="AR913" s="226"/>
      <c r="AS913" s="225"/>
      <c r="AT913" s="226"/>
      <c r="AU913" s="225"/>
      <c r="AV913" s="225"/>
      <c r="AW913" s="225"/>
      <c r="AX913" s="225"/>
      <c r="AY913" s="225"/>
    </row>
    <row r="914" spans="33:51" x14ac:dyDescent="0.25">
      <c r="AG914" s="66" t="str">
        <f>IF(AND(Множество[[#This Row],[Y]]=1),ROW()-ROW(Множество[[#Headers],[№]]),"")</f>
        <v/>
      </c>
      <c r="AI914" s="66">
        <v>1</v>
      </c>
      <c r="AJ914" s="66">
        <f>IF(LEN(Множество[[#This Row],[Свёртка]])&gt;0,1,-1)</f>
        <v>1</v>
      </c>
      <c r="AK914" s="66" t="s">
        <v>1781</v>
      </c>
      <c r="AL914" s="209">
        <f>IF(LEN(Множество[[#This Row],[Критерии]])&gt;0,1,-1)</f>
        <v>1</v>
      </c>
      <c r="AM914" s="209">
        <f>IF(AND(LEN(Множество[[#This Row],[Свёртка]])&gt;0,LEN(Множество[[#This Row],[Критерии]])&gt;0,LEN(Множество[[#This Row],[Оценки]])&gt;0),1,-1)</f>
        <v>-1</v>
      </c>
      <c r="AN914" s="230"/>
      <c r="AO914" s="208"/>
      <c r="AP914" s="208"/>
      <c r="AQ914" s="208"/>
      <c r="AR914" s="226"/>
      <c r="AS914" s="225"/>
      <c r="AT914" s="226"/>
      <c r="AU914" s="225"/>
      <c r="AV914" s="225"/>
      <c r="AW914" s="225"/>
      <c r="AX914" s="225"/>
      <c r="AY914" s="225"/>
    </row>
    <row r="915" spans="33:51" x14ac:dyDescent="0.25">
      <c r="AG915" s="66" t="str">
        <f>IF(AND(Множество[[#This Row],[Y]]=1),ROW()-ROW(Множество[[#Headers],[№]]),"")</f>
        <v/>
      </c>
      <c r="AI915" s="66">
        <v>1</v>
      </c>
      <c r="AJ915" s="66">
        <f>IF(LEN(Множество[[#This Row],[Свёртка]])&gt;0,1,-1)</f>
        <v>1</v>
      </c>
      <c r="AK915" s="66" t="s">
        <v>1781</v>
      </c>
      <c r="AL915" s="209">
        <f>IF(LEN(Множество[[#This Row],[Критерии]])&gt;0,1,-1)</f>
        <v>1</v>
      </c>
      <c r="AM915" s="209">
        <f>IF(AND(LEN(Множество[[#This Row],[Свёртка]])&gt;0,LEN(Множество[[#This Row],[Критерии]])&gt;0,LEN(Множество[[#This Row],[Оценки]])&gt;0),1,-1)</f>
        <v>-1</v>
      </c>
      <c r="AN915" s="230"/>
      <c r="AO915" s="208"/>
      <c r="AP915" s="208"/>
      <c r="AQ915" s="208"/>
      <c r="AR915" s="226"/>
      <c r="AS915" s="225"/>
      <c r="AT915" s="226"/>
      <c r="AU915" s="225"/>
      <c r="AV915" s="225"/>
      <c r="AW915" s="225"/>
      <c r="AX915" s="225"/>
      <c r="AY915" s="225"/>
    </row>
    <row r="916" spans="33:51" x14ac:dyDescent="0.25">
      <c r="AG916" s="66" t="str">
        <f>IF(AND(Множество[[#This Row],[Y]]=1),ROW()-ROW(Множество[[#Headers],[№]]),"")</f>
        <v/>
      </c>
      <c r="AI916" s="66">
        <v>1</v>
      </c>
      <c r="AJ916" s="66">
        <f>IF(LEN(Множество[[#This Row],[Свёртка]])&gt;0,1,-1)</f>
        <v>1</v>
      </c>
      <c r="AK916" s="66" t="s">
        <v>1781</v>
      </c>
      <c r="AL916" s="209">
        <f>IF(LEN(Множество[[#This Row],[Критерии]])&gt;0,1,-1)</f>
        <v>1</v>
      </c>
      <c r="AM916" s="209">
        <f>IF(AND(LEN(Множество[[#This Row],[Свёртка]])&gt;0,LEN(Множество[[#This Row],[Критерии]])&gt;0,LEN(Множество[[#This Row],[Оценки]])&gt;0),1,-1)</f>
        <v>-1</v>
      </c>
      <c r="AN916" s="230"/>
      <c r="AO916" s="208"/>
      <c r="AP916" s="208"/>
      <c r="AQ916" s="208"/>
      <c r="AR916" s="226"/>
      <c r="AS916" s="225"/>
      <c r="AT916" s="226"/>
      <c r="AU916" s="225"/>
      <c r="AV916" s="225"/>
      <c r="AW916" s="225"/>
      <c r="AX916" s="225"/>
      <c r="AY916" s="225"/>
    </row>
    <row r="917" spans="33:51" x14ac:dyDescent="0.25">
      <c r="AG917" s="66" t="str">
        <f>IF(AND(Множество[[#This Row],[Y]]=1),ROW()-ROW(Множество[[#Headers],[№]]),"")</f>
        <v/>
      </c>
      <c r="AI917" s="66">
        <v>1</v>
      </c>
      <c r="AJ917" s="66">
        <f>IF(LEN(Множество[[#This Row],[Свёртка]])&gt;0,1,-1)</f>
        <v>1</v>
      </c>
      <c r="AK917" s="66" t="s">
        <v>1781</v>
      </c>
      <c r="AL917" s="209">
        <f>IF(LEN(Множество[[#This Row],[Критерии]])&gt;0,1,-1)</f>
        <v>1</v>
      </c>
      <c r="AM917" s="209">
        <f>IF(AND(LEN(Множество[[#This Row],[Свёртка]])&gt;0,LEN(Множество[[#This Row],[Критерии]])&gt;0,LEN(Множество[[#This Row],[Оценки]])&gt;0),1,-1)</f>
        <v>-1</v>
      </c>
      <c r="AN917" s="230"/>
      <c r="AO917" s="208"/>
      <c r="AP917" s="208"/>
      <c r="AQ917" s="208"/>
      <c r="AR917" s="226"/>
      <c r="AS917" s="225"/>
      <c r="AT917" s="226"/>
      <c r="AU917" s="225"/>
      <c r="AV917" s="225"/>
      <c r="AW917" s="225"/>
      <c r="AX917" s="225"/>
      <c r="AY917" s="225"/>
    </row>
    <row r="918" spans="33:51" x14ac:dyDescent="0.25">
      <c r="AG918" s="66" t="str">
        <f>IF(AND(Множество[[#This Row],[Y]]=1),ROW()-ROW(Множество[[#Headers],[№]]),"")</f>
        <v/>
      </c>
      <c r="AI918" s="66">
        <v>1</v>
      </c>
      <c r="AJ918" s="66">
        <f>IF(LEN(Множество[[#This Row],[Свёртка]])&gt;0,1,-1)</f>
        <v>1</v>
      </c>
      <c r="AK918" s="66" t="s">
        <v>1781</v>
      </c>
      <c r="AL918" s="209">
        <f>IF(LEN(Множество[[#This Row],[Критерии]])&gt;0,1,-1)</f>
        <v>1</v>
      </c>
      <c r="AM918" s="209">
        <f>IF(AND(LEN(Множество[[#This Row],[Свёртка]])&gt;0,LEN(Множество[[#This Row],[Критерии]])&gt;0,LEN(Множество[[#This Row],[Оценки]])&gt;0),1,-1)</f>
        <v>-1</v>
      </c>
      <c r="AN918" s="230"/>
      <c r="AO918" s="208"/>
      <c r="AP918" s="208"/>
      <c r="AQ918" s="208"/>
      <c r="AR918" s="226"/>
      <c r="AS918" s="225"/>
      <c r="AT918" s="226"/>
      <c r="AU918" s="225"/>
      <c r="AV918" s="225"/>
      <c r="AW918" s="225"/>
      <c r="AX918" s="225"/>
      <c r="AY918" s="225"/>
    </row>
    <row r="919" spans="33:51" x14ac:dyDescent="0.25">
      <c r="AG919" s="66" t="str">
        <f>IF(AND(Множество[[#This Row],[Y]]=1),ROW()-ROW(Множество[[#Headers],[№]]),"")</f>
        <v/>
      </c>
      <c r="AI919" s="66">
        <v>1</v>
      </c>
      <c r="AJ919" s="66">
        <f>IF(LEN(Множество[[#This Row],[Свёртка]])&gt;0,1,-1)</f>
        <v>1</v>
      </c>
      <c r="AK919" s="66" t="s">
        <v>1781</v>
      </c>
      <c r="AL919" s="209">
        <f>IF(LEN(Множество[[#This Row],[Критерии]])&gt;0,1,-1)</f>
        <v>1</v>
      </c>
      <c r="AM919" s="209">
        <f>IF(AND(LEN(Множество[[#This Row],[Свёртка]])&gt;0,LEN(Множество[[#This Row],[Критерии]])&gt;0,LEN(Множество[[#This Row],[Оценки]])&gt;0),1,-1)</f>
        <v>-1</v>
      </c>
      <c r="AN919" s="230"/>
      <c r="AO919" s="208"/>
      <c r="AP919" s="208"/>
      <c r="AQ919" s="208"/>
      <c r="AR919" s="226"/>
      <c r="AS919" s="225"/>
      <c r="AT919" s="226"/>
      <c r="AU919" s="225"/>
      <c r="AV919" s="225"/>
      <c r="AW919" s="225"/>
      <c r="AX919" s="225"/>
      <c r="AY919" s="225"/>
    </row>
    <row r="920" spans="33:51" x14ac:dyDescent="0.25">
      <c r="AG920" s="66" t="str">
        <f>IF(AND(Множество[[#This Row],[Y]]=1),ROW()-ROW(Множество[[#Headers],[№]]),"")</f>
        <v/>
      </c>
      <c r="AI920" s="66">
        <v>1</v>
      </c>
      <c r="AJ920" s="66">
        <f>IF(LEN(Множество[[#This Row],[Свёртка]])&gt;0,1,-1)</f>
        <v>1</v>
      </c>
      <c r="AK920" s="66" t="s">
        <v>1781</v>
      </c>
      <c r="AL920" s="209">
        <f>IF(LEN(Множество[[#This Row],[Критерии]])&gt;0,1,-1)</f>
        <v>1</v>
      </c>
      <c r="AM920" s="209">
        <f>IF(AND(LEN(Множество[[#This Row],[Свёртка]])&gt;0,LEN(Множество[[#This Row],[Критерии]])&gt;0,LEN(Множество[[#This Row],[Оценки]])&gt;0),1,-1)</f>
        <v>-1</v>
      </c>
      <c r="AN920" s="230"/>
      <c r="AO920" s="208"/>
      <c r="AP920" s="208"/>
      <c r="AQ920" s="208"/>
      <c r="AR920" s="226"/>
      <c r="AS920" s="225"/>
      <c r="AT920" s="226"/>
      <c r="AU920" s="225"/>
      <c r="AV920" s="225"/>
      <c r="AW920" s="225"/>
      <c r="AX920" s="225"/>
      <c r="AY920" s="225"/>
    </row>
    <row r="921" spans="33:51" x14ac:dyDescent="0.25">
      <c r="AG921" s="66" t="str">
        <f>IF(AND(Множество[[#This Row],[Y]]=1),ROW()-ROW(Множество[[#Headers],[№]]),"")</f>
        <v/>
      </c>
      <c r="AI921" s="66">
        <v>1</v>
      </c>
      <c r="AJ921" s="66">
        <f>IF(LEN(Множество[[#This Row],[Свёртка]])&gt;0,1,-1)</f>
        <v>1</v>
      </c>
      <c r="AK921" s="66" t="s">
        <v>1781</v>
      </c>
      <c r="AL921" s="209">
        <f>IF(LEN(Множество[[#This Row],[Критерии]])&gt;0,1,-1)</f>
        <v>1</v>
      </c>
      <c r="AM921" s="209">
        <f>IF(AND(LEN(Множество[[#This Row],[Свёртка]])&gt;0,LEN(Множество[[#This Row],[Критерии]])&gt;0,LEN(Множество[[#This Row],[Оценки]])&gt;0),1,-1)</f>
        <v>-1</v>
      </c>
      <c r="AN921" s="230"/>
      <c r="AO921" s="208"/>
      <c r="AP921" s="208"/>
      <c r="AQ921" s="208"/>
      <c r="AR921" s="226"/>
      <c r="AS921" s="225"/>
      <c r="AT921" s="226"/>
      <c r="AU921" s="225"/>
      <c r="AV921" s="225"/>
      <c r="AW921" s="225"/>
      <c r="AX921" s="225"/>
      <c r="AY921" s="225"/>
    </row>
    <row r="922" spans="33:51" x14ac:dyDescent="0.25">
      <c r="AG922" s="66" t="str">
        <f>IF(AND(Множество[[#This Row],[Y]]=1),ROW()-ROW(Множество[[#Headers],[№]]),"")</f>
        <v/>
      </c>
      <c r="AI922" s="66">
        <v>1</v>
      </c>
      <c r="AJ922" s="66">
        <f>IF(LEN(Множество[[#This Row],[Свёртка]])&gt;0,1,-1)</f>
        <v>1</v>
      </c>
      <c r="AK922" s="66" t="s">
        <v>1781</v>
      </c>
      <c r="AL922" s="209">
        <f>IF(LEN(Множество[[#This Row],[Критерии]])&gt;0,1,-1)</f>
        <v>1</v>
      </c>
      <c r="AM922" s="209">
        <f>IF(AND(LEN(Множество[[#This Row],[Свёртка]])&gt;0,LEN(Множество[[#This Row],[Критерии]])&gt;0,LEN(Множество[[#This Row],[Оценки]])&gt;0),1,-1)</f>
        <v>-1</v>
      </c>
      <c r="AN922" s="230"/>
      <c r="AO922" s="208"/>
      <c r="AP922" s="208"/>
      <c r="AQ922" s="208"/>
      <c r="AR922" s="226"/>
      <c r="AS922" s="225"/>
      <c r="AT922" s="226"/>
      <c r="AU922" s="225"/>
      <c r="AV922" s="225"/>
      <c r="AW922" s="225"/>
      <c r="AX922" s="225"/>
      <c r="AY922" s="225"/>
    </row>
    <row r="923" spans="33:51" x14ac:dyDescent="0.25">
      <c r="AG923" s="66" t="str">
        <f>IF(AND(Множество[[#This Row],[Y]]=1),ROW()-ROW(Множество[[#Headers],[№]]),"")</f>
        <v/>
      </c>
      <c r="AI923" s="66">
        <v>1</v>
      </c>
      <c r="AJ923" s="66">
        <f>IF(LEN(Множество[[#This Row],[Свёртка]])&gt;0,1,-1)</f>
        <v>1</v>
      </c>
      <c r="AK923" s="66" t="s">
        <v>1781</v>
      </c>
      <c r="AL923" s="209">
        <f>IF(LEN(Множество[[#This Row],[Критерии]])&gt;0,1,-1)</f>
        <v>1</v>
      </c>
      <c r="AM923" s="209">
        <f>IF(AND(LEN(Множество[[#This Row],[Свёртка]])&gt;0,LEN(Множество[[#This Row],[Критерии]])&gt;0,LEN(Множество[[#This Row],[Оценки]])&gt;0),1,-1)</f>
        <v>-1</v>
      </c>
      <c r="AN923" s="230"/>
      <c r="AO923" s="208"/>
      <c r="AP923" s="208"/>
      <c r="AQ923" s="208"/>
      <c r="AR923" s="226"/>
      <c r="AS923" s="225"/>
      <c r="AT923" s="226"/>
      <c r="AU923" s="225"/>
      <c r="AV923" s="225"/>
      <c r="AW923" s="225"/>
      <c r="AX923" s="225"/>
      <c r="AY923" s="225"/>
    </row>
    <row r="924" spans="33:51" x14ac:dyDescent="0.25">
      <c r="AG924" s="66" t="str">
        <f>IF(AND(Множество[[#This Row],[Y]]=1),ROW()-ROW(Множество[[#Headers],[№]]),"")</f>
        <v/>
      </c>
      <c r="AI924" s="66">
        <v>1</v>
      </c>
      <c r="AJ924" s="66">
        <f>IF(LEN(Множество[[#This Row],[Свёртка]])&gt;0,1,-1)</f>
        <v>1</v>
      </c>
      <c r="AK924" s="66" t="s">
        <v>1781</v>
      </c>
      <c r="AL924" s="209">
        <f>IF(LEN(Множество[[#This Row],[Критерии]])&gt;0,1,-1)</f>
        <v>1</v>
      </c>
      <c r="AM924" s="209">
        <f>IF(AND(LEN(Множество[[#This Row],[Свёртка]])&gt;0,LEN(Множество[[#This Row],[Критерии]])&gt;0,LEN(Множество[[#This Row],[Оценки]])&gt;0),1,-1)</f>
        <v>-1</v>
      </c>
      <c r="AN924" s="230"/>
      <c r="AO924" s="208"/>
      <c r="AP924" s="208"/>
      <c r="AQ924" s="208"/>
      <c r="AR924" s="226"/>
      <c r="AS924" s="225"/>
      <c r="AT924" s="226"/>
      <c r="AU924" s="225"/>
      <c r="AV924" s="225"/>
      <c r="AW924" s="225"/>
      <c r="AX924" s="225"/>
      <c r="AY924" s="225"/>
    </row>
    <row r="925" spans="33:51" x14ac:dyDescent="0.25">
      <c r="AG925" s="66" t="str">
        <f>IF(AND(Множество[[#This Row],[Y]]=1),ROW()-ROW(Множество[[#Headers],[№]]),"")</f>
        <v/>
      </c>
      <c r="AI925" s="66">
        <v>1</v>
      </c>
      <c r="AJ925" s="66">
        <f>IF(LEN(Множество[[#This Row],[Свёртка]])&gt;0,1,-1)</f>
        <v>1</v>
      </c>
      <c r="AK925" s="66" t="s">
        <v>1781</v>
      </c>
      <c r="AL925" s="209">
        <f>IF(LEN(Множество[[#This Row],[Критерии]])&gt;0,1,-1)</f>
        <v>1</v>
      </c>
      <c r="AM925" s="209">
        <f>IF(AND(LEN(Множество[[#This Row],[Свёртка]])&gt;0,LEN(Множество[[#This Row],[Критерии]])&gt;0,LEN(Множество[[#This Row],[Оценки]])&gt;0),1,-1)</f>
        <v>-1</v>
      </c>
      <c r="AN925" s="230"/>
      <c r="AO925" s="208"/>
      <c r="AP925" s="208"/>
      <c r="AQ925" s="208"/>
      <c r="AR925" s="226"/>
      <c r="AS925" s="225"/>
      <c r="AT925" s="226"/>
      <c r="AU925" s="225"/>
      <c r="AV925" s="225"/>
      <c r="AW925" s="225"/>
      <c r="AX925" s="225"/>
      <c r="AY925" s="225"/>
    </row>
    <row r="926" spans="33:51" x14ac:dyDescent="0.25">
      <c r="AG926" s="66" t="str">
        <f>IF(AND(Множество[[#This Row],[Y]]=1),ROW()-ROW(Множество[[#Headers],[№]]),"")</f>
        <v/>
      </c>
      <c r="AI926" s="66">
        <v>1</v>
      </c>
      <c r="AJ926" s="66">
        <f>IF(LEN(Множество[[#This Row],[Свёртка]])&gt;0,1,-1)</f>
        <v>1</v>
      </c>
      <c r="AK926" s="66" t="s">
        <v>1781</v>
      </c>
      <c r="AL926" s="209">
        <f>IF(LEN(Множество[[#This Row],[Критерии]])&gt;0,1,-1)</f>
        <v>1</v>
      </c>
      <c r="AM926" s="209">
        <f>IF(AND(LEN(Множество[[#This Row],[Свёртка]])&gt;0,LEN(Множество[[#This Row],[Критерии]])&gt;0,LEN(Множество[[#This Row],[Оценки]])&gt;0),1,-1)</f>
        <v>-1</v>
      </c>
      <c r="AN926" s="230"/>
      <c r="AO926" s="208"/>
      <c r="AP926" s="208"/>
      <c r="AQ926" s="208"/>
      <c r="AR926" s="226"/>
      <c r="AS926" s="225"/>
      <c r="AT926" s="226"/>
      <c r="AU926" s="225"/>
      <c r="AV926" s="225"/>
      <c r="AW926" s="225"/>
      <c r="AX926" s="225"/>
      <c r="AY926" s="225"/>
    </row>
    <row r="927" spans="33:51" x14ac:dyDescent="0.25">
      <c r="AG927" s="66" t="str">
        <f>IF(AND(Множество[[#This Row],[Y]]=1),ROW()-ROW(Множество[[#Headers],[№]]),"")</f>
        <v/>
      </c>
      <c r="AI927" s="66">
        <v>1</v>
      </c>
      <c r="AJ927" s="66">
        <f>IF(LEN(Множество[[#This Row],[Свёртка]])&gt;0,1,-1)</f>
        <v>1</v>
      </c>
      <c r="AK927" s="66" t="s">
        <v>1781</v>
      </c>
      <c r="AL927" s="209">
        <f>IF(LEN(Множество[[#This Row],[Критерии]])&gt;0,1,-1)</f>
        <v>1</v>
      </c>
      <c r="AM927" s="209">
        <f>IF(AND(LEN(Множество[[#This Row],[Свёртка]])&gt;0,LEN(Множество[[#This Row],[Критерии]])&gt;0,LEN(Множество[[#This Row],[Оценки]])&gt;0),1,-1)</f>
        <v>-1</v>
      </c>
      <c r="AN927" s="230"/>
      <c r="AO927" s="208"/>
      <c r="AP927" s="208"/>
      <c r="AQ927" s="208"/>
      <c r="AR927" s="226"/>
      <c r="AS927" s="225"/>
      <c r="AT927" s="226"/>
      <c r="AU927" s="225"/>
      <c r="AV927" s="225"/>
      <c r="AW927" s="225"/>
      <c r="AX927" s="225"/>
      <c r="AY927" s="225"/>
    </row>
    <row r="928" spans="33:51" x14ac:dyDescent="0.25">
      <c r="AG928" s="66" t="str">
        <f>IF(AND(Множество[[#This Row],[Y]]=1),ROW()-ROW(Множество[[#Headers],[№]]),"")</f>
        <v/>
      </c>
      <c r="AI928" s="66">
        <v>1</v>
      </c>
      <c r="AJ928" s="66">
        <f>IF(LEN(Множество[[#This Row],[Свёртка]])&gt;0,1,-1)</f>
        <v>1</v>
      </c>
      <c r="AK928" s="66" t="s">
        <v>1781</v>
      </c>
      <c r="AL928" s="209">
        <f>IF(LEN(Множество[[#This Row],[Критерии]])&gt;0,1,-1)</f>
        <v>1</v>
      </c>
      <c r="AM928" s="209">
        <f>IF(AND(LEN(Множество[[#This Row],[Свёртка]])&gt;0,LEN(Множество[[#This Row],[Критерии]])&gt;0,LEN(Множество[[#This Row],[Оценки]])&gt;0),1,-1)</f>
        <v>-1</v>
      </c>
      <c r="AN928" s="230"/>
      <c r="AO928" s="208"/>
      <c r="AP928" s="208"/>
      <c r="AQ928" s="208"/>
      <c r="AR928" s="226"/>
      <c r="AS928" s="225"/>
      <c r="AT928" s="226"/>
      <c r="AU928" s="225"/>
      <c r="AV928" s="225"/>
      <c r="AW928" s="225"/>
      <c r="AX928" s="225"/>
      <c r="AY928" s="225"/>
    </row>
    <row r="929" spans="33:51" x14ac:dyDescent="0.25">
      <c r="AG929" s="66" t="str">
        <f>IF(AND(Множество[[#This Row],[Y]]=1),ROW()-ROW(Множество[[#Headers],[№]]),"")</f>
        <v/>
      </c>
      <c r="AI929" s="66">
        <v>1</v>
      </c>
      <c r="AJ929" s="66">
        <f>IF(LEN(Множество[[#This Row],[Свёртка]])&gt;0,1,-1)</f>
        <v>1</v>
      </c>
      <c r="AK929" s="66" t="s">
        <v>1781</v>
      </c>
      <c r="AL929" s="209">
        <f>IF(LEN(Множество[[#This Row],[Критерии]])&gt;0,1,-1)</f>
        <v>1</v>
      </c>
      <c r="AM929" s="209">
        <f>IF(AND(LEN(Множество[[#This Row],[Свёртка]])&gt;0,LEN(Множество[[#This Row],[Критерии]])&gt;0,LEN(Множество[[#This Row],[Оценки]])&gt;0),1,-1)</f>
        <v>-1</v>
      </c>
      <c r="AN929" s="230"/>
      <c r="AO929" s="208"/>
      <c r="AP929" s="208"/>
      <c r="AQ929" s="208"/>
      <c r="AR929" s="226"/>
      <c r="AS929" s="225"/>
      <c r="AT929" s="226"/>
      <c r="AU929" s="225"/>
      <c r="AV929" s="225"/>
      <c r="AW929" s="225"/>
      <c r="AX929" s="225"/>
      <c r="AY929" s="225"/>
    </row>
    <row r="930" spans="33:51" x14ac:dyDescent="0.25">
      <c r="AG930" s="66" t="str">
        <f>IF(AND(Множество[[#This Row],[Y]]=1),ROW()-ROW(Множество[[#Headers],[№]]),"")</f>
        <v/>
      </c>
      <c r="AI930" s="66">
        <v>1</v>
      </c>
      <c r="AJ930" s="66">
        <f>IF(LEN(Множество[[#This Row],[Свёртка]])&gt;0,1,-1)</f>
        <v>1</v>
      </c>
      <c r="AK930" s="66" t="s">
        <v>1781</v>
      </c>
      <c r="AL930" s="209">
        <f>IF(LEN(Множество[[#This Row],[Критерии]])&gt;0,1,-1)</f>
        <v>1</v>
      </c>
      <c r="AM930" s="209">
        <f>IF(AND(LEN(Множество[[#This Row],[Свёртка]])&gt;0,LEN(Множество[[#This Row],[Критерии]])&gt;0,LEN(Множество[[#This Row],[Оценки]])&gt;0),1,-1)</f>
        <v>-1</v>
      </c>
      <c r="AN930" s="230"/>
      <c r="AO930" s="208"/>
      <c r="AP930" s="208"/>
      <c r="AQ930" s="208"/>
      <c r="AR930" s="226"/>
      <c r="AS930" s="225"/>
      <c r="AT930" s="226"/>
      <c r="AU930" s="225"/>
      <c r="AV930" s="225"/>
      <c r="AW930" s="225"/>
      <c r="AX930" s="225"/>
      <c r="AY930" s="225"/>
    </row>
    <row r="931" spans="33:51" x14ac:dyDescent="0.25">
      <c r="AG931" s="66" t="str">
        <f>IF(AND(Множество[[#This Row],[Y]]=1),ROW()-ROW(Множество[[#Headers],[№]]),"")</f>
        <v/>
      </c>
      <c r="AI931" s="66">
        <v>1</v>
      </c>
      <c r="AJ931" s="66">
        <f>IF(LEN(Множество[[#This Row],[Свёртка]])&gt;0,1,-1)</f>
        <v>1</v>
      </c>
      <c r="AK931" s="66" t="s">
        <v>1781</v>
      </c>
      <c r="AL931" s="209">
        <f>IF(LEN(Множество[[#This Row],[Критерии]])&gt;0,1,-1)</f>
        <v>1</v>
      </c>
      <c r="AM931" s="209">
        <f>IF(AND(LEN(Множество[[#This Row],[Свёртка]])&gt;0,LEN(Множество[[#This Row],[Критерии]])&gt;0,LEN(Множество[[#This Row],[Оценки]])&gt;0),1,-1)</f>
        <v>-1</v>
      </c>
      <c r="AN931" s="230"/>
      <c r="AO931" s="208"/>
      <c r="AP931" s="208"/>
      <c r="AQ931" s="208"/>
      <c r="AR931" s="226"/>
      <c r="AS931" s="225"/>
      <c r="AT931" s="226"/>
      <c r="AU931" s="225"/>
      <c r="AV931" s="225"/>
      <c r="AW931" s="225"/>
      <c r="AX931" s="225"/>
      <c r="AY931" s="225"/>
    </row>
    <row r="932" spans="33:51" x14ac:dyDescent="0.25">
      <c r="AG932" s="66" t="str">
        <f>IF(AND(Множество[[#This Row],[Y]]=1),ROW()-ROW(Множество[[#Headers],[№]]),"")</f>
        <v/>
      </c>
      <c r="AI932" s="66">
        <v>1</v>
      </c>
      <c r="AJ932" s="66">
        <f>IF(LEN(Множество[[#This Row],[Свёртка]])&gt;0,1,-1)</f>
        <v>1</v>
      </c>
      <c r="AK932" s="66" t="s">
        <v>1781</v>
      </c>
      <c r="AL932" s="209">
        <f>IF(LEN(Множество[[#This Row],[Критерии]])&gt;0,1,-1)</f>
        <v>1</v>
      </c>
      <c r="AM932" s="209">
        <f>IF(AND(LEN(Множество[[#This Row],[Свёртка]])&gt;0,LEN(Множество[[#This Row],[Критерии]])&gt;0,LEN(Множество[[#This Row],[Оценки]])&gt;0),1,-1)</f>
        <v>-1</v>
      </c>
      <c r="AN932" s="230"/>
      <c r="AO932" s="208"/>
      <c r="AP932" s="208"/>
      <c r="AQ932" s="208"/>
      <c r="AR932" s="226"/>
      <c r="AS932" s="225"/>
      <c r="AT932" s="226"/>
      <c r="AU932" s="225"/>
      <c r="AV932" s="225"/>
      <c r="AW932" s="225"/>
      <c r="AX932" s="225"/>
      <c r="AY932" s="225"/>
    </row>
    <row r="933" spans="33:51" x14ac:dyDescent="0.25">
      <c r="AG933" s="66" t="str">
        <f>IF(AND(Множество[[#This Row],[Y]]=1),ROW()-ROW(Множество[[#Headers],[№]]),"")</f>
        <v/>
      </c>
      <c r="AI933" s="66">
        <v>1</v>
      </c>
      <c r="AJ933" s="66">
        <f>IF(LEN(Множество[[#This Row],[Свёртка]])&gt;0,1,-1)</f>
        <v>1</v>
      </c>
      <c r="AK933" s="66" t="s">
        <v>1781</v>
      </c>
      <c r="AL933" s="209">
        <f>IF(LEN(Множество[[#This Row],[Критерии]])&gt;0,1,-1)</f>
        <v>1</v>
      </c>
      <c r="AM933" s="209">
        <f>IF(AND(LEN(Множество[[#This Row],[Свёртка]])&gt;0,LEN(Множество[[#This Row],[Критерии]])&gt;0,LEN(Множество[[#This Row],[Оценки]])&gt;0),1,-1)</f>
        <v>-1</v>
      </c>
      <c r="AN933" s="230"/>
      <c r="AO933" s="208"/>
      <c r="AP933" s="208"/>
      <c r="AQ933" s="208"/>
      <c r="AR933" s="226"/>
      <c r="AS933" s="225"/>
      <c r="AT933" s="226"/>
      <c r="AU933" s="225"/>
      <c r="AV933" s="225"/>
      <c r="AW933" s="225"/>
      <c r="AX933" s="225"/>
      <c r="AY933" s="225"/>
    </row>
    <row r="934" spans="33:51" x14ac:dyDescent="0.25">
      <c r="AG934" s="66" t="str">
        <f>IF(AND(Множество[[#This Row],[Y]]=1),ROW()-ROW(Множество[[#Headers],[№]]),"")</f>
        <v/>
      </c>
      <c r="AI934" s="66">
        <v>1</v>
      </c>
      <c r="AJ934" s="66">
        <f>IF(LEN(Множество[[#This Row],[Свёртка]])&gt;0,1,-1)</f>
        <v>1</v>
      </c>
      <c r="AK934" s="66" t="s">
        <v>1781</v>
      </c>
      <c r="AL934" s="209">
        <f>IF(LEN(Множество[[#This Row],[Критерии]])&gt;0,1,-1)</f>
        <v>1</v>
      </c>
      <c r="AM934" s="209">
        <f>IF(AND(LEN(Множество[[#This Row],[Свёртка]])&gt;0,LEN(Множество[[#This Row],[Критерии]])&gt;0,LEN(Множество[[#This Row],[Оценки]])&gt;0),1,-1)</f>
        <v>-1</v>
      </c>
      <c r="AN934" s="230"/>
      <c r="AO934" s="208"/>
      <c r="AP934" s="208"/>
      <c r="AQ934" s="208"/>
      <c r="AR934" s="226"/>
      <c r="AS934" s="225"/>
      <c r="AT934" s="226"/>
      <c r="AU934" s="225"/>
      <c r="AV934" s="225"/>
      <c r="AW934" s="225"/>
      <c r="AX934" s="225"/>
      <c r="AY934" s="225"/>
    </row>
    <row r="935" spans="33:51" x14ac:dyDescent="0.25">
      <c r="AG935" s="66" t="str">
        <f>IF(AND(Множество[[#This Row],[Y]]=1),ROW()-ROW(Множество[[#Headers],[№]]),"")</f>
        <v/>
      </c>
      <c r="AI935" s="66">
        <v>1</v>
      </c>
      <c r="AJ935" s="66">
        <f>IF(LEN(Множество[[#This Row],[Свёртка]])&gt;0,1,-1)</f>
        <v>1</v>
      </c>
      <c r="AK935" s="66" t="s">
        <v>1781</v>
      </c>
      <c r="AL935" s="209">
        <f>IF(LEN(Множество[[#This Row],[Критерии]])&gt;0,1,-1)</f>
        <v>1</v>
      </c>
      <c r="AM935" s="209">
        <f>IF(AND(LEN(Множество[[#This Row],[Свёртка]])&gt;0,LEN(Множество[[#This Row],[Критерии]])&gt;0,LEN(Множество[[#This Row],[Оценки]])&gt;0),1,-1)</f>
        <v>-1</v>
      </c>
      <c r="AN935" s="230"/>
      <c r="AO935" s="208"/>
      <c r="AP935" s="208"/>
      <c r="AQ935" s="208"/>
      <c r="AR935" s="226"/>
      <c r="AS935" s="225"/>
      <c r="AT935" s="226"/>
      <c r="AU935" s="225"/>
      <c r="AV935" s="225"/>
      <c r="AW935" s="225"/>
      <c r="AX935" s="225"/>
      <c r="AY935" s="225"/>
    </row>
    <row r="936" spans="33:51" x14ac:dyDescent="0.25">
      <c r="AG936" s="66" t="str">
        <f>IF(AND(Множество[[#This Row],[Y]]=1),ROW()-ROW(Множество[[#Headers],[№]]),"")</f>
        <v/>
      </c>
      <c r="AI936" s="66">
        <v>1</v>
      </c>
      <c r="AJ936" s="66">
        <f>IF(LEN(Множество[[#This Row],[Свёртка]])&gt;0,1,-1)</f>
        <v>1</v>
      </c>
      <c r="AK936" s="66" t="s">
        <v>1781</v>
      </c>
      <c r="AL936" s="209">
        <f>IF(LEN(Множество[[#This Row],[Критерии]])&gt;0,1,-1)</f>
        <v>1</v>
      </c>
      <c r="AM936" s="209">
        <f>IF(AND(LEN(Множество[[#This Row],[Свёртка]])&gt;0,LEN(Множество[[#This Row],[Критерии]])&gt;0,LEN(Множество[[#This Row],[Оценки]])&gt;0),1,-1)</f>
        <v>-1</v>
      </c>
      <c r="AN936" s="230"/>
      <c r="AO936" s="208"/>
      <c r="AP936" s="208"/>
      <c r="AQ936" s="208"/>
      <c r="AR936" s="226"/>
      <c r="AS936" s="225"/>
      <c r="AT936" s="226"/>
      <c r="AU936" s="225"/>
      <c r="AV936" s="225"/>
      <c r="AW936" s="225"/>
      <c r="AX936" s="225"/>
      <c r="AY936" s="225"/>
    </row>
    <row r="937" spans="33:51" x14ac:dyDescent="0.25">
      <c r="AG937" s="66" t="str">
        <f>IF(AND(Множество[[#This Row],[Y]]=1),ROW()-ROW(Множество[[#Headers],[№]]),"")</f>
        <v/>
      </c>
      <c r="AI937" s="66">
        <v>1</v>
      </c>
      <c r="AJ937" s="66">
        <f>IF(LEN(Множество[[#This Row],[Свёртка]])&gt;0,1,-1)</f>
        <v>1</v>
      </c>
      <c r="AK937" s="66" t="s">
        <v>1781</v>
      </c>
      <c r="AL937" s="209">
        <f>IF(LEN(Множество[[#This Row],[Критерии]])&gt;0,1,-1)</f>
        <v>1</v>
      </c>
      <c r="AM937" s="209">
        <f>IF(AND(LEN(Множество[[#This Row],[Свёртка]])&gt;0,LEN(Множество[[#This Row],[Критерии]])&gt;0,LEN(Множество[[#This Row],[Оценки]])&gt;0),1,-1)</f>
        <v>-1</v>
      </c>
      <c r="AN937" s="230"/>
      <c r="AO937" s="208"/>
      <c r="AP937" s="208"/>
      <c r="AQ937" s="208"/>
      <c r="AR937" s="226"/>
      <c r="AS937" s="225"/>
      <c r="AT937" s="226"/>
      <c r="AU937" s="225"/>
      <c r="AV937" s="225"/>
      <c r="AW937" s="225"/>
      <c r="AX937" s="225"/>
      <c r="AY937" s="225"/>
    </row>
    <row r="938" spans="33:51" x14ac:dyDescent="0.25">
      <c r="AG938" s="66" t="str">
        <f>IF(AND(Множество[[#This Row],[Y]]=1),ROW()-ROW(Множество[[#Headers],[№]]),"")</f>
        <v/>
      </c>
      <c r="AI938" s="66">
        <v>1</v>
      </c>
      <c r="AJ938" s="66">
        <f>IF(LEN(Множество[[#This Row],[Свёртка]])&gt;0,1,-1)</f>
        <v>1</v>
      </c>
      <c r="AK938" s="66" t="s">
        <v>1781</v>
      </c>
      <c r="AL938" s="209">
        <f>IF(LEN(Множество[[#This Row],[Критерии]])&gt;0,1,-1)</f>
        <v>1</v>
      </c>
      <c r="AM938" s="209">
        <f>IF(AND(LEN(Множество[[#This Row],[Свёртка]])&gt;0,LEN(Множество[[#This Row],[Критерии]])&gt;0,LEN(Множество[[#This Row],[Оценки]])&gt;0),1,-1)</f>
        <v>-1</v>
      </c>
      <c r="AN938" s="230"/>
      <c r="AO938" s="208"/>
      <c r="AP938" s="208"/>
      <c r="AQ938" s="208"/>
      <c r="AR938" s="226"/>
      <c r="AS938" s="225"/>
      <c r="AT938" s="226"/>
      <c r="AU938" s="225"/>
      <c r="AV938" s="225"/>
      <c r="AW938" s="225"/>
      <c r="AX938" s="225"/>
      <c r="AY938" s="225"/>
    </row>
    <row r="939" spans="33:51" x14ac:dyDescent="0.25">
      <c r="AG939" s="66" t="str">
        <f>IF(AND(Множество[[#This Row],[Y]]=1),ROW()-ROW(Множество[[#Headers],[№]]),"")</f>
        <v/>
      </c>
      <c r="AI939" s="66">
        <v>1</v>
      </c>
      <c r="AJ939" s="66">
        <f>IF(LEN(Множество[[#This Row],[Свёртка]])&gt;0,1,-1)</f>
        <v>1</v>
      </c>
      <c r="AK939" s="66" t="s">
        <v>1781</v>
      </c>
      <c r="AL939" s="209">
        <f>IF(LEN(Множество[[#This Row],[Критерии]])&gt;0,1,-1)</f>
        <v>1</v>
      </c>
      <c r="AM939" s="209">
        <f>IF(AND(LEN(Множество[[#This Row],[Свёртка]])&gt;0,LEN(Множество[[#This Row],[Критерии]])&gt;0,LEN(Множество[[#This Row],[Оценки]])&gt;0),1,-1)</f>
        <v>-1</v>
      </c>
      <c r="AN939" s="230"/>
      <c r="AO939" s="208"/>
      <c r="AP939" s="208"/>
      <c r="AQ939" s="208"/>
      <c r="AR939" s="226"/>
      <c r="AS939" s="225"/>
      <c r="AT939" s="226"/>
      <c r="AU939" s="225"/>
      <c r="AV939" s="225"/>
      <c r="AW939" s="225"/>
      <c r="AX939" s="225"/>
      <c r="AY939" s="225"/>
    </row>
    <row r="940" spans="33:51" x14ac:dyDescent="0.25">
      <c r="AG940" s="66" t="str">
        <f>IF(AND(Множество[[#This Row],[Y]]=1),ROW()-ROW(Множество[[#Headers],[№]]),"")</f>
        <v/>
      </c>
      <c r="AI940" s="66">
        <v>1</v>
      </c>
      <c r="AJ940" s="66">
        <f>IF(LEN(Множество[[#This Row],[Свёртка]])&gt;0,1,-1)</f>
        <v>1</v>
      </c>
      <c r="AK940" s="66" t="s">
        <v>1781</v>
      </c>
      <c r="AL940" s="209">
        <f>IF(LEN(Множество[[#This Row],[Критерии]])&gt;0,1,-1)</f>
        <v>1</v>
      </c>
      <c r="AM940" s="209">
        <f>IF(AND(LEN(Множество[[#This Row],[Свёртка]])&gt;0,LEN(Множество[[#This Row],[Критерии]])&gt;0,LEN(Множество[[#This Row],[Оценки]])&gt;0),1,-1)</f>
        <v>-1</v>
      </c>
      <c r="AN940" s="230"/>
      <c r="AO940" s="208"/>
      <c r="AP940" s="208"/>
      <c r="AQ940" s="208"/>
      <c r="AR940" s="226"/>
      <c r="AS940" s="225"/>
      <c r="AT940" s="226"/>
      <c r="AU940" s="225"/>
      <c r="AV940" s="225"/>
      <c r="AW940" s="225"/>
      <c r="AX940" s="225"/>
      <c r="AY940" s="225"/>
    </row>
    <row r="941" spans="33:51" x14ac:dyDescent="0.25">
      <c r="AG941" s="66" t="str">
        <f>IF(AND(Множество[[#This Row],[Y]]=1),ROW()-ROW(Множество[[#Headers],[№]]),"")</f>
        <v/>
      </c>
      <c r="AI941" s="66">
        <v>1</v>
      </c>
      <c r="AJ941" s="66">
        <f>IF(LEN(Множество[[#This Row],[Свёртка]])&gt;0,1,-1)</f>
        <v>1</v>
      </c>
      <c r="AK941" s="66" t="s">
        <v>1781</v>
      </c>
      <c r="AL941" s="209">
        <f>IF(LEN(Множество[[#This Row],[Критерии]])&gt;0,1,-1)</f>
        <v>1</v>
      </c>
      <c r="AM941" s="209">
        <f>IF(AND(LEN(Множество[[#This Row],[Свёртка]])&gt;0,LEN(Множество[[#This Row],[Критерии]])&gt;0,LEN(Множество[[#This Row],[Оценки]])&gt;0),1,-1)</f>
        <v>-1</v>
      </c>
      <c r="AN941" s="230"/>
      <c r="AO941" s="208"/>
      <c r="AP941" s="208"/>
      <c r="AQ941" s="208"/>
      <c r="AR941" s="226"/>
      <c r="AS941" s="225"/>
      <c r="AT941" s="226"/>
      <c r="AU941" s="225"/>
      <c r="AV941" s="225"/>
      <c r="AW941" s="225"/>
      <c r="AX941" s="225"/>
      <c r="AY941" s="225"/>
    </row>
    <row r="942" spans="33:51" x14ac:dyDescent="0.25">
      <c r="AG942" s="66" t="str">
        <f>IF(AND(Множество[[#This Row],[Y]]=1),ROW()-ROW(Множество[[#Headers],[№]]),"")</f>
        <v/>
      </c>
      <c r="AI942" s="66">
        <v>1</v>
      </c>
      <c r="AJ942" s="66">
        <f>IF(LEN(Множество[[#This Row],[Свёртка]])&gt;0,1,-1)</f>
        <v>1</v>
      </c>
      <c r="AK942" s="66" t="s">
        <v>1781</v>
      </c>
      <c r="AL942" s="209">
        <f>IF(LEN(Множество[[#This Row],[Критерии]])&gt;0,1,-1)</f>
        <v>1</v>
      </c>
      <c r="AM942" s="209">
        <f>IF(AND(LEN(Множество[[#This Row],[Свёртка]])&gt;0,LEN(Множество[[#This Row],[Критерии]])&gt;0,LEN(Множество[[#This Row],[Оценки]])&gt;0),1,-1)</f>
        <v>-1</v>
      </c>
      <c r="AN942" s="230"/>
      <c r="AO942" s="208"/>
      <c r="AP942" s="208"/>
      <c r="AQ942" s="208"/>
      <c r="AR942" s="226"/>
      <c r="AS942" s="225"/>
      <c r="AT942" s="226"/>
      <c r="AU942" s="225"/>
      <c r="AV942" s="225"/>
      <c r="AW942" s="225"/>
      <c r="AX942" s="225"/>
      <c r="AY942" s="225"/>
    </row>
    <row r="943" spans="33:51" x14ac:dyDescent="0.25">
      <c r="AG943" s="66" t="str">
        <f>IF(AND(Множество[[#This Row],[Y]]=1),ROW()-ROW(Множество[[#Headers],[№]]),"")</f>
        <v/>
      </c>
      <c r="AI943" s="66">
        <v>1</v>
      </c>
      <c r="AJ943" s="66">
        <f>IF(LEN(Множество[[#This Row],[Свёртка]])&gt;0,1,-1)</f>
        <v>1</v>
      </c>
      <c r="AK943" s="66" t="s">
        <v>1781</v>
      </c>
      <c r="AL943" s="209">
        <f>IF(LEN(Множество[[#This Row],[Критерии]])&gt;0,1,-1)</f>
        <v>1</v>
      </c>
      <c r="AM943" s="209">
        <f>IF(AND(LEN(Множество[[#This Row],[Свёртка]])&gt;0,LEN(Множество[[#This Row],[Критерии]])&gt;0,LEN(Множество[[#This Row],[Оценки]])&gt;0),1,-1)</f>
        <v>-1</v>
      </c>
      <c r="AN943" s="230"/>
      <c r="AO943" s="208"/>
      <c r="AP943" s="208"/>
      <c r="AQ943" s="208"/>
      <c r="AR943" s="226"/>
      <c r="AS943" s="225"/>
      <c r="AT943" s="226"/>
      <c r="AU943" s="225"/>
      <c r="AV943" s="225"/>
      <c r="AW943" s="225"/>
      <c r="AX943" s="225"/>
      <c r="AY943" s="225"/>
    </row>
    <row r="944" spans="33:51" x14ac:dyDescent="0.25">
      <c r="AG944" s="66" t="str">
        <f>IF(AND(Множество[[#This Row],[Y]]=1),ROW()-ROW(Множество[[#Headers],[№]]),"")</f>
        <v/>
      </c>
      <c r="AI944" s="66">
        <v>1</v>
      </c>
      <c r="AJ944" s="66">
        <f>IF(LEN(Множество[[#This Row],[Свёртка]])&gt;0,1,-1)</f>
        <v>1</v>
      </c>
      <c r="AK944" s="66" t="s">
        <v>1781</v>
      </c>
      <c r="AL944" s="209">
        <f>IF(LEN(Множество[[#This Row],[Критерии]])&gt;0,1,-1)</f>
        <v>1</v>
      </c>
      <c r="AM944" s="209">
        <f>IF(AND(LEN(Множество[[#This Row],[Свёртка]])&gt;0,LEN(Множество[[#This Row],[Критерии]])&gt;0,LEN(Множество[[#This Row],[Оценки]])&gt;0),1,-1)</f>
        <v>-1</v>
      </c>
      <c r="AN944" s="230"/>
      <c r="AO944" s="208"/>
      <c r="AP944" s="208"/>
      <c r="AQ944" s="208"/>
      <c r="AR944" s="226"/>
      <c r="AS944" s="225"/>
      <c r="AT944" s="226"/>
      <c r="AU944" s="225"/>
      <c r="AV944" s="225"/>
      <c r="AW944" s="225"/>
      <c r="AX944" s="225"/>
      <c r="AY944" s="225"/>
    </row>
    <row r="945" spans="33:51" x14ac:dyDescent="0.25">
      <c r="AG945" s="66" t="str">
        <f>IF(AND(Множество[[#This Row],[Y]]=1),ROW()-ROW(Множество[[#Headers],[№]]),"")</f>
        <v/>
      </c>
      <c r="AI945" s="66">
        <v>1</v>
      </c>
      <c r="AJ945" s="66">
        <f>IF(LEN(Множество[[#This Row],[Свёртка]])&gt;0,1,-1)</f>
        <v>1</v>
      </c>
      <c r="AK945" s="66" t="s">
        <v>1781</v>
      </c>
      <c r="AL945" s="209">
        <f>IF(LEN(Множество[[#This Row],[Критерии]])&gt;0,1,-1)</f>
        <v>1</v>
      </c>
      <c r="AM945" s="209">
        <f>IF(AND(LEN(Множество[[#This Row],[Свёртка]])&gt;0,LEN(Множество[[#This Row],[Критерии]])&gt;0,LEN(Множество[[#This Row],[Оценки]])&gt;0),1,-1)</f>
        <v>-1</v>
      </c>
      <c r="AN945" s="230"/>
      <c r="AO945" s="208"/>
      <c r="AP945" s="208"/>
      <c r="AQ945" s="208"/>
      <c r="AR945" s="226"/>
      <c r="AS945" s="225"/>
      <c r="AT945" s="226"/>
      <c r="AU945" s="225"/>
      <c r="AV945" s="225"/>
      <c r="AW945" s="225"/>
      <c r="AX945" s="225"/>
      <c r="AY945" s="225"/>
    </row>
    <row r="946" spans="33:51" x14ac:dyDescent="0.25">
      <c r="AG946" s="66" t="str">
        <f>IF(AND(Множество[[#This Row],[Y]]=1),ROW()-ROW(Множество[[#Headers],[№]]),"")</f>
        <v/>
      </c>
      <c r="AI946" s="66">
        <v>1</v>
      </c>
      <c r="AJ946" s="66">
        <f>IF(LEN(Множество[[#This Row],[Свёртка]])&gt;0,1,-1)</f>
        <v>1</v>
      </c>
      <c r="AK946" s="66" t="s">
        <v>1781</v>
      </c>
      <c r="AL946" s="209">
        <f>IF(LEN(Множество[[#This Row],[Критерии]])&gt;0,1,-1)</f>
        <v>1</v>
      </c>
      <c r="AM946" s="209">
        <f>IF(AND(LEN(Множество[[#This Row],[Свёртка]])&gt;0,LEN(Множество[[#This Row],[Критерии]])&gt;0,LEN(Множество[[#This Row],[Оценки]])&gt;0),1,-1)</f>
        <v>-1</v>
      </c>
      <c r="AN946" s="230"/>
      <c r="AO946" s="208"/>
      <c r="AP946" s="208"/>
      <c r="AQ946" s="208"/>
      <c r="AR946" s="226"/>
      <c r="AS946" s="225"/>
      <c r="AT946" s="226"/>
      <c r="AU946" s="225"/>
      <c r="AV946" s="225"/>
      <c r="AW946" s="225"/>
      <c r="AX946" s="225"/>
      <c r="AY946" s="225"/>
    </row>
    <row r="947" spans="33:51" x14ac:dyDescent="0.25">
      <c r="AG947" s="66" t="str">
        <f>IF(AND(Множество[[#This Row],[Y]]=1),ROW()-ROW(Множество[[#Headers],[№]]),"")</f>
        <v/>
      </c>
      <c r="AI947" s="66">
        <v>1</v>
      </c>
      <c r="AJ947" s="66">
        <f>IF(LEN(Множество[[#This Row],[Свёртка]])&gt;0,1,-1)</f>
        <v>1</v>
      </c>
      <c r="AK947" s="66" t="s">
        <v>1781</v>
      </c>
      <c r="AL947" s="209">
        <f>IF(LEN(Множество[[#This Row],[Критерии]])&gt;0,1,-1)</f>
        <v>1</v>
      </c>
      <c r="AM947" s="209">
        <f>IF(AND(LEN(Множество[[#This Row],[Свёртка]])&gt;0,LEN(Множество[[#This Row],[Критерии]])&gt;0,LEN(Множество[[#This Row],[Оценки]])&gt;0),1,-1)</f>
        <v>-1</v>
      </c>
      <c r="AN947" s="230"/>
      <c r="AO947" s="208"/>
      <c r="AP947" s="208"/>
      <c r="AQ947" s="208"/>
      <c r="AR947" s="226"/>
      <c r="AS947" s="225"/>
      <c r="AT947" s="226"/>
      <c r="AU947" s="225"/>
      <c r="AV947" s="225"/>
      <c r="AW947" s="225"/>
      <c r="AX947" s="225"/>
      <c r="AY947" s="225"/>
    </row>
    <row r="948" spans="33:51" x14ac:dyDescent="0.25">
      <c r="AG948" s="66" t="str">
        <f>IF(AND(Множество[[#This Row],[Y]]=1),ROW()-ROW(Множество[[#Headers],[№]]),"")</f>
        <v/>
      </c>
      <c r="AI948" s="66">
        <v>1</v>
      </c>
      <c r="AJ948" s="66">
        <f>IF(LEN(Множество[[#This Row],[Свёртка]])&gt;0,1,-1)</f>
        <v>1</v>
      </c>
      <c r="AK948" s="66" t="s">
        <v>1781</v>
      </c>
      <c r="AL948" s="209">
        <f>IF(LEN(Множество[[#This Row],[Критерии]])&gt;0,1,-1)</f>
        <v>1</v>
      </c>
      <c r="AM948" s="209">
        <f>IF(AND(LEN(Множество[[#This Row],[Свёртка]])&gt;0,LEN(Множество[[#This Row],[Критерии]])&gt;0,LEN(Множество[[#This Row],[Оценки]])&gt;0),1,-1)</f>
        <v>-1</v>
      </c>
      <c r="AN948" s="230"/>
      <c r="AO948" s="208"/>
      <c r="AP948" s="208"/>
      <c r="AQ948" s="208"/>
      <c r="AR948" s="226"/>
      <c r="AS948" s="225"/>
      <c r="AT948" s="226"/>
      <c r="AU948" s="225"/>
      <c r="AV948" s="225"/>
      <c r="AW948" s="225"/>
      <c r="AX948" s="225"/>
      <c r="AY948" s="225"/>
    </row>
    <row r="949" spans="33:51" x14ac:dyDescent="0.25">
      <c r="AG949" s="66" t="str">
        <f>IF(AND(Множество[[#This Row],[Y]]=1),ROW()-ROW(Множество[[#Headers],[№]]),"")</f>
        <v/>
      </c>
      <c r="AI949" s="66">
        <v>1</v>
      </c>
      <c r="AJ949" s="66">
        <f>IF(LEN(Множество[[#This Row],[Свёртка]])&gt;0,1,-1)</f>
        <v>1</v>
      </c>
      <c r="AK949" s="66" t="s">
        <v>1781</v>
      </c>
      <c r="AL949" s="209">
        <f>IF(LEN(Множество[[#This Row],[Критерии]])&gt;0,1,-1)</f>
        <v>1</v>
      </c>
      <c r="AM949" s="209">
        <f>IF(AND(LEN(Множество[[#This Row],[Свёртка]])&gt;0,LEN(Множество[[#This Row],[Критерии]])&gt;0,LEN(Множество[[#This Row],[Оценки]])&gt;0),1,-1)</f>
        <v>-1</v>
      </c>
      <c r="AN949" s="230"/>
      <c r="AO949" s="208"/>
      <c r="AP949" s="208"/>
      <c r="AQ949" s="208"/>
      <c r="AR949" s="226"/>
      <c r="AS949" s="225"/>
      <c r="AT949" s="226"/>
      <c r="AU949" s="225"/>
      <c r="AV949" s="225"/>
      <c r="AW949" s="225"/>
      <c r="AX949" s="225"/>
      <c r="AY949" s="225"/>
    </row>
    <row r="950" spans="33:51" x14ac:dyDescent="0.25">
      <c r="AG950" s="66" t="str">
        <f>IF(AND(Множество[[#This Row],[Y]]=1),ROW()-ROW(Множество[[#Headers],[№]]),"")</f>
        <v/>
      </c>
      <c r="AI950" s="66">
        <v>1</v>
      </c>
      <c r="AJ950" s="66">
        <f>IF(LEN(Множество[[#This Row],[Свёртка]])&gt;0,1,-1)</f>
        <v>1</v>
      </c>
      <c r="AK950" s="66" t="s">
        <v>1781</v>
      </c>
      <c r="AL950" s="209">
        <f>IF(LEN(Множество[[#This Row],[Критерии]])&gt;0,1,-1)</f>
        <v>1</v>
      </c>
      <c r="AM950" s="209">
        <f>IF(AND(LEN(Множество[[#This Row],[Свёртка]])&gt;0,LEN(Множество[[#This Row],[Критерии]])&gt;0,LEN(Множество[[#This Row],[Оценки]])&gt;0),1,-1)</f>
        <v>-1</v>
      </c>
      <c r="AN950" s="230"/>
      <c r="AO950" s="208"/>
      <c r="AP950" s="208"/>
      <c r="AQ950" s="208"/>
      <c r="AR950" s="226"/>
      <c r="AS950" s="225"/>
      <c r="AT950" s="226"/>
      <c r="AU950" s="225"/>
      <c r="AV950" s="225"/>
      <c r="AW950" s="225"/>
      <c r="AX950" s="225"/>
      <c r="AY950" s="225"/>
    </row>
    <row r="951" spans="33:51" x14ac:dyDescent="0.25">
      <c r="AG951" s="66" t="str">
        <f>IF(AND(Множество[[#This Row],[Y]]=1),ROW()-ROW(Множество[[#Headers],[№]]),"")</f>
        <v/>
      </c>
      <c r="AI951" s="66">
        <v>1</v>
      </c>
      <c r="AJ951" s="66">
        <f>IF(LEN(Множество[[#This Row],[Свёртка]])&gt;0,1,-1)</f>
        <v>1</v>
      </c>
      <c r="AK951" s="66" t="s">
        <v>1781</v>
      </c>
      <c r="AL951" s="209">
        <f>IF(LEN(Множество[[#This Row],[Критерии]])&gt;0,1,-1)</f>
        <v>1</v>
      </c>
      <c r="AM951" s="209">
        <f>IF(AND(LEN(Множество[[#This Row],[Свёртка]])&gt;0,LEN(Множество[[#This Row],[Критерии]])&gt;0,LEN(Множество[[#This Row],[Оценки]])&gt;0),1,-1)</f>
        <v>-1</v>
      </c>
      <c r="AN951" s="230"/>
      <c r="AO951" s="208"/>
      <c r="AP951" s="208"/>
      <c r="AQ951" s="208"/>
      <c r="AR951" s="226"/>
      <c r="AS951" s="225"/>
      <c r="AT951" s="226"/>
      <c r="AU951" s="225"/>
      <c r="AV951" s="225"/>
      <c r="AW951" s="225"/>
      <c r="AX951" s="225"/>
      <c r="AY951" s="225"/>
    </row>
    <row r="952" spans="33:51" x14ac:dyDescent="0.25">
      <c r="AG952" s="66" t="str">
        <f>IF(AND(Множество[[#This Row],[Y]]=1),ROW()-ROW(Множество[[#Headers],[№]]),"")</f>
        <v/>
      </c>
      <c r="AI952" s="66">
        <v>1</v>
      </c>
      <c r="AJ952" s="66">
        <f>IF(LEN(Множество[[#This Row],[Свёртка]])&gt;0,1,-1)</f>
        <v>1</v>
      </c>
      <c r="AK952" s="66" t="s">
        <v>1781</v>
      </c>
      <c r="AL952" s="209">
        <f>IF(LEN(Множество[[#This Row],[Критерии]])&gt;0,1,-1)</f>
        <v>1</v>
      </c>
      <c r="AM952" s="209">
        <f>IF(AND(LEN(Множество[[#This Row],[Свёртка]])&gt;0,LEN(Множество[[#This Row],[Критерии]])&gt;0,LEN(Множество[[#This Row],[Оценки]])&gt;0),1,-1)</f>
        <v>-1</v>
      </c>
      <c r="AN952" s="230"/>
      <c r="AO952" s="208"/>
      <c r="AP952" s="208"/>
      <c r="AQ952" s="208"/>
      <c r="AR952" s="226"/>
      <c r="AS952" s="225"/>
      <c r="AT952" s="226"/>
      <c r="AU952" s="225"/>
      <c r="AV952" s="225"/>
      <c r="AW952" s="225"/>
      <c r="AX952" s="225"/>
      <c r="AY952" s="225"/>
    </row>
    <row r="953" spans="33:51" x14ac:dyDescent="0.25">
      <c r="AG953" s="66" t="str">
        <f>IF(AND(Множество[[#This Row],[Y]]=1),ROW()-ROW(Множество[[#Headers],[№]]),"")</f>
        <v/>
      </c>
      <c r="AI953" s="66">
        <v>1</v>
      </c>
      <c r="AJ953" s="66">
        <f>IF(LEN(Множество[[#This Row],[Свёртка]])&gt;0,1,-1)</f>
        <v>1</v>
      </c>
      <c r="AK953" s="66" t="s">
        <v>1781</v>
      </c>
      <c r="AL953" s="209">
        <f>IF(LEN(Множество[[#This Row],[Критерии]])&gt;0,1,-1)</f>
        <v>1</v>
      </c>
      <c r="AM953" s="209">
        <f>IF(AND(LEN(Множество[[#This Row],[Свёртка]])&gt;0,LEN(Множество[[#This Row],[Критерии]])&gt;0,LEN(Множество[[#This Row],[Оценки]])&gt;0),1,-1)</f>
        <v>-1</v>
      </c>
      <c r="AN953" s="230"/>
      <c r="AO953" s="208"/>
      <c r="AP953" s="208"/>
      <c r="AQ953" s="208"/>
      <c r="AR953" s="226"/>
      <c r="AS953" s="225"/>
      <c r="AT953" s="226"/>
      <c r="AU953" s="225"/>
      <c r="AV953" s="225"/>
      <c r="AW953" s="225"/>
      <c r="AX953" s="225"/>
      <c r="AY953" s="225"/>
    </row>
    <row r="954" spans="33:51" x14ac:dyDescent="0.25">
      <c r="AG954" s="66" t="str">
        <f>IF(AND(Множество[[#This Row],[Y]]=1),ROW()-ROW(Множество[[#Headers],[№]]),"")</f>
        <v/>
      </c>
      <c r="AI954" s="66">
        <v>1</v>
      </c>
      <c r="AJ954" s="66">
        <f>IF(LEN(Множество[[#This Row],[Свёртка]])&gt;0,1,-1)</f>
        <v>1</v>
      </c>
      <c r="AK954" s="66" t="s">
        <v>1781</v>
      </c>
      <c r="AL954" s="209">
        <f>IF(LEN(Множество[[#This Row],[Критерии]])&gt;0,1,-1)</f>
        <v>1</v>
      </c>
      <c r="AM954" s="209">
        <f>IF(AND(LEN(Множество[[#This Row],[Свёртка]])&gt;0,LEN(Множество[[#This Row],[Критерии]])&gt;0,LEN(Множество[[#This Row],[Оценки]])&gt;0),1,-1)</f>
        <v>-1</v>
      </c>
      <c r="AN954" s="230"/>
      <c r="AO954" s="208"/>
      <c r="AP954" s="208"/>
      <c r="AQ954" s="208"/>
      <c r="AR954" s="226"/>
      <c r="AS954" s="225"/>
      <c r="AT954" s="226"/>
      <c r="AU954" s="225"/>
      <c r="AV954" s="225"/>
      <c r="AW954" s="225"/>
      <c r="AX954" s="225"/>
      <c r="AY954" s="225"/>
    </row>
    <row r="955" spans="33:51" x14ac:dyDescent="0.25">
      <c r="AG955" s="66" t="str">
        <f>IF(AND(Множество[[#This Row],[Y]]=1),ROW()-ROW(Множество[[#Headers],[№]]),"")</f>
        <v/>
      </c>
      <c r="AI955" s="66">
        <v>1</v>
      </c>
      <c r="AJ955" s="66">
        <f>IF(LEN(Множество[[#This Row],[Свёртка]])&gt;0,1,-1)</f>
        <v>1</v>
      </c>
      <c r="AK955" s="66" t="s">
        <v>1781</v>
      </c>
      <c r="AL955" s="209">
        <f>IF(LEN(Множество[[#This Row],[Критерии]])&gt;0,1,-1)</f>
        <v>1</v>
      </c>
      <c r="AM955" s="209">
        <f>IF(AND(LEN(Множество[[#This Row],[Свёртка]])&gt;0,LEN(Множество[[#This Row],[Критерии]])&gt;0,LEN(Множество[[#This Row],[Оценки]])&gt;0),1,-1)</f>
        <v>-1</v>
      </c>
      <c r="AN955" s="230"/>
      <c r="AO955" s="208"/>
      <c r="AP955" s="208"/>
      <c r="AQ955" s="208"/>
      <c r="AR955" s="226"/>
      <c r="AS955" s="225"/>
      <c r="AT955" s="226"/>
      <c r="AU955" s="225"/>
      <c r="AV955" s="225"/>
      <c r="AW955" s="225"/>
      <c r="AX955" s="225"/>
      <c r="AY955" s="225"/>
    </row>
    <row r="956" spans="33:51" x14ac:dyDescent="0.25">
      <c r="AG956" s="66" t="str">
        <f>IF(AND(Множество[[#This Row],[Y]]=1),ROW()-ROW(Множество[[#Headers],[№]]),"")</f>
        <v/>
      </c>
      <c r="AI956" s="66">
        <v>1</v>
      </c>
      <c r="AJ956" s="66">
        <f>IF(LEN(Множество[[#This Row],[Свёртка]])&gt;0,1,-1)</f>
        <v>1</v>
      </c>
      <c r="AK956" s="66" t="s">
        <v>1781</v>
      </c>
      <c r="AL956" s="209">
        <f>IF(LEN(Множество[[#This Row],[Критерии]])&gt;0,1,-1)</f>
        <v>1</v>
      </c>
      <c r="AM956" s="209">
        <f>IF(AND(LEN(Множество[[#This Row],[Свёртка]])&gt;0,LEN(Множество[[#This Row],[Критерии]])&gt;0,LEN(Множество[[#This Row],[Оценки]])&gt;0),1,-1)</f>
        <v>-1</v>
      </c>
      <c r="AN956" s="230"/>
      <c r="AO956" s="208"/>
      <c r="AP956" s="208"/>
      <c r="AQ956" s="208"/>
      <c r="AR956" s="226"/>
      <c r="AS956" s="225"/>
      <c r="AT956" s="226"/>
      <c r="AU956" s="225"/>
      <c r="AV956" s="225"/>
      <c r="AW956" s="225"/>
      <c r="AX956" s="225"/>
      <c r="AY956" s="225"/>
    </row>
    <row r="957" spans="33:51" x14ac:dyDescent="0.25">
      <c r="AG957" s="66" t="str">
        <f>IF(AND(Множество[[#This Row],[Y]]=1),ROW()-ROW(Множество[[#Headers],[№]]),"")</f>
        <v/>
      </c>
      <c r="AI957" s="66">
        <v>1</v>
      </c>
      <c r="AJ957" s="66">
        <f>IF(LEN(Множество[[#This Row],[Свёртка]])&gt;0,1,-1)</f>
        <v>1</v>
      </c>
      <c r="AK957" s="66" t="s">
        <v>1781</v>
      </c>
      <c r="AL957" s="209">
        <f>IF(LEN(Множество[[#This Row],[Критерии]])&gt;0,1,-1)</f>
        <v>1</v>
      </c>
      <c r="AM957" s="209">
        <f>IF(AND(LEN(Множество[[#This Row],[Свёртка]])&gt;0,LEN(Множество[[#This Row],[Критерии]])&gt;0,LEN(Множество[[#This Row],[Оценки]])&gt;0),1,-1)</f>
        <v>-1</v>
      </c>
      <c r="AN957" s="230"/>
      <c r="AO957" s="208"/>
      <c r="AP957" s="208"/>
      <c r="AQ957" s="208"/>
      <c r="AR957" s="226"/>
      <c r="AS957" s="225"/>
      <c r="AT957" s="226"/>
      <c r="AU957" s="225"/>
      <c r="AV957" s="225"/>
      <c r="AW957" s="225"/>
      <c r="AX957" s="225"/>
      <c r="AY957" s="225"/>
    </row>
    <row r="958" spans="33:51" x14ac:dyDescent="0.25">
      <c r="AG958" s="66" t="str">
        <f>IF(AND(Множество[[#This Row],[Y]]=1),ROW()-ROW(Множество[[#Headers],[№]]),"")</f>
        <v/>
      </c>
      <c r="AI958" s="66">
        <v>1</v>
      </c>
      <c r="AJ958" s="66">
        <f>IF(LEN(Множество[[#This Row],[Свёртка]])&gt;0,1,-1)</f>
        <v>1</v>
      </c>
      <c r="AK958" s="66" t="s">
        <v>1781</v>
      </c>
      <c r="AL958" s="209">
        <f>IF(LEN(Множество[[#This Row],[Критерии]])&gt;0,1,-1)</f>
        <v>1</v>
      </c>
      <c r="AM958" s="209">
        <f>IF(AND(LEN(Множество[[#This Row],[Свёртка]])&gt;0,LEN(Множество[[#This Row],[Критерии]])&gt;0,LEN(Множество[[#This Row],[Оценки]])&gt;0),1,-1)</f>
        <v>-1</v>
      </c>
      <c r="AN958" s="230"/>
      <c r="AO958" s="208"/>
      <c r="AP958" s="208"/>
      <c r="AQ958" s="208"/>
      <c r="AR958" s="226"/>
      <c r="AS958" s="225"/>
      <c r="AT958" s="226"/>
      <c r="AU958" s="225"/>
      <c r="AV958" s="225"/>
      <c r="AW958" s="225"/>
      <c r="AX958" s="225"/>
      <c r="AY958" s="225"/>
    </row>
    <row r="959" spans="33:51" x14ac:dyDescent="0.25">
      <c r="AG959" s="66" t="str">
        <f>IF(AND(Множество[[#This Row],[Y]]=1),ROW()-ROW(Множество[[#Headers],[№]]),"")</f>
        <v/>
      </c>
      <c r="AI959" s="66">
        <v>1</v>
      </c>
      <c r="AJ959" s="66">
        <f>IF(LEN(Множество[[#This Row],[Свёртка]])&gt;0,1,-1)</f>
        <v>1</v>
      </c>
      <c r="AK959" s="66" t="s">
        <v>1781</v>
      </c>
      <c r="AL959" s="209">
        <f>IF(LEN(Множество[[#This Row],[Критерии]])&gt;0,1,-1)</f>
        <v>1</v>
      </c>
      <c r="AM959" s="209">
        <f>IF(AND(LEN(Множество[[#This Row],[Свёртка]])&gt;0,LEN(Множество[[#This Row],[Критерии]])&gt;0,LEN(Множество[[#This Row],[Оценки]])&gt;0),1,-1)</f>
        <v>-1</v>
      </c>
      <c r="AN959" s="230"/>
      <c r="AO959" s="208"/>
      <c r="AP959" s="208"/>
      <c r="AQ959" s="208"/>
      <c r="AR959" s="226"/>
      <c r="AS959" s="225"/>
      <c r="AT959" s="226"/>
      <c r="AU959" s="225"/>
      <c r="AV959" s="225"/>
      <c r="AW959" s="225"/>
      <c r="AX959" s="225"/>
      <c r="AY959" s="225"/>
    </row>
    <row r="960" spans="33:51" x14ac:dyDescent="0.25">
      <c r="AG960" s="66" t="str">
        <f>IF(AND(Множество[[#This Row],[Y]]=1),ROW()-ROW(Множество[[#Headers],[№]]),"")</f>
        <v/>
      </c>
      <c r="AI960" s="66">
        <v>1</v>
      </c>
      <c r="AJ960" s="66">
        <f>IF(LEN(Множество[[#This Row],[Свёртка]])&gt;0,1,-1)</f>
        <v>1</v>
      </c>
      <c r="AK960" s="66" t="s">
        <v>1781</v>
      </c>
      <c r="AL960" s="209">
        <f>IF(LEN(Множество[[#This Row],[Критерии]])&gt;0,1,-1)</f>
        <v>1</v>
      </c>
      <c r="AM960" s="209">
        <f>IF(AND(LEN(Множество[[#This Row],[Свёртка]])&gt;0,LEN(Множество[[#This Row],[Критерии]])&gt;0,LEN(Множество[[#This Row],[Оценки]])&gt;0),1,-1)</f>
        <v>-1</v>
      </c>
      <c r="AN960" s="230"/>
      <c r="AO960" s="208"/>
      <c r="AP960" s="208"/>
      <c r="AQ960" s="208"/>
      <c r="AR960" s="226"/>
      <c r="AS960" s="225"/>
      <c r="AT960" s="226"/>
      <c r="AU960" s="225"/>
      <c r="AV960" s="225"/>
      <c r="AW960" s="225"/>
      <c r="AX960" s="225"/>
      <c r="AY960" s="225"/>
    </row>
    <row r="961" spans="33:51" x14ac:dyDescent="0.25">
      <c r="AG961" s="66" t="str">
        <f>IF(AND(Множество[[#This Row],[Y]]=1),ROW()-ROW(Множество[[#Headers],[№]]),"")</f>
        <v/>
      </c>
      <c r="AI961" s="66">
        <v>1</v>
      </c>
      <c r="AJ961" s="66">
        <f>IF(LEN(Множество[[#This Row],[Свёртка]])&gt;0,1,-1)</f>
        <v>1</v>
      </c>
      <c r="AK961" s="66" t="s">
        <v>1781</v>
      </c>
      <c r="AL961" s="209">
        <f>IF(LEN(Множество[[#This Row],[Критерии]])&gt;0,1,-1)</f>
        <v>1</v>
      </c>
      <c r="AM961" s="209">
        <f>IF(AND(LEN(Множество[[#This Row],[Свёртка]])&gt;0,LEN(Множество[[#This Row],[Критерии]])&gt;0,LEN(Множество[[#This Row],[Оценки]])&gt;0),1,-1)</f>
        <v>-1</v>
      </c>
      <c r="AN961" s="230"/>
      <c r="AO961" s="208"/>
      <c r="AP961" s="208"/>
      <c r="AQ961" s="208"/>
      <c r="AR961" s="226"/>
      <c r="AS961" s="225"/>
      <c r="AT961" s="226"/>
      <c r="AU961" s="225"/>
      <c r="AV961" s="225"/>
      <c r="AW961" s="225"/>
      <c r="AX961" s="225"/>
      <c r="AY961" s="225"/>
    </row>
    <row r="962" spans="33:51" x14ac:dyDescent="0.25">
      <c r="AG962" s="66" t="str">
        <f>IF(AND(Множество[[#This Row],[Y]]=1),ROW()-ROW(Множество[[#Headers],[№]]),"")</f>
        <v/>
      </c>
      <c r="AI962" s="66">
        <v>1</v>
      </c>
      <c r="AJ962" s="66">
        <f>IF(LEN(Множество[[#This Row],[Свёртка]])&gt;0,1,-1)</f>
        <v>1</v>
      </c>
      <c r="AK962" s="66" t="s">
        <v>1781</v>
      </c>
      <c r="AL962" s="209">
        <f>IF(LEN(Множество[[#This Row],[Критерии]])&gt;0,1,-1)</f>
        <v>1</v>
      </c>
      <c r="AM962" s="209">
        <f>IF(AND(LEN(Множество[[#This Row],[Свёртка]])&gt;0,LEN(Множество[[#This Row],[Критерии]])&gt;0,LEN(Множество[[#This Row],[Оценки]])&gt;0),1,-1)</f>
        <v>-1</v>
      </c>
      <c r="AN962" s="230"/>
      <c r="AO962" s="208"/>
      <c r="AP962" s="208"/>
      <c r="AQ962" s="208"/>
      <c r="AR962" s="226"/>
      <c r="AS962" s="225"/>
      <c r="AT962" s="226"/>
      <c r="AU962" s="225"/>
      <c r="AV962" s="225"/>
      <c r="AW962" s="225"/>
      <c r="AX962" s="225"/>
      <c r="AY962" s="225"/>
    </row>
    <row r="963" spans="33:51" x14ac:dyDescent="0.25">
      <c r="AG963" s="66" t="str">
        <f>IF(AND(Множество[[#This Row],[Y]]=1),ROW()-ROW(Множество[[#Headers],[№]]),"")</f>
        <v/>
      </c>
      <c r="AI963" s="66">
        <v>1</v>
      </c>
      <c r="AJ963" s="66">
        <f>IF(LEN(Множество[[#This Row],[Свёртка]])&gt;0,1,-1)</f>
        <v>1</v>
      </c>
      <c r="AK963" s="66" t="s">
        <v>1781</v>
      </c>
      <c r="AL963" s="209">
        <f>IF(LEN(Множество[[#This Row],[Критерии]])&gt;0,1,-1)</f>
        <v>1</v>
      </c>
      <c r="AM963" s="209">
        <f>IF(AND(LEN(Множество[[#This Row],[Свёртка]])&gt;0,LEN(Множество[[#This Row],[Критерии]])&gt;0,LEN(Множество[[#This Row],[Оценки]])&gt;0),1,-1)</f>
        <v>-1</v>
      </c>
      <c r="AN963" s="230"/>
      <c r="AO963" s="208"/>
      <c r="AP963" s="208"/>
      <c r="AQ963" s="208"/>
      <c r="AR963" s="226"/>
      <c r="AS963" s="225"/>
      <c r="AT963" s="226"/>
      <c r="AU963" s="225"/>
      <c r="AV963" s="225"/>
      <c r="AW963" s="225"/>
      <c r="AX963" s="225"/>
      <c r="AY963" s="225"/>
    </row>
    <row r="964" spans="33:51" x14ac:dyDescent="0.25">
      <c r="AG964" s="66" t="str">
        <f>IF(AND(Множество[[#This Row],[Y]]=1),ROW()-ROW(Множество[[#Headers],[№]]),"")</f>
        <v/>
      </c>
      <c r="AI964" s="66">
        <v>1</v>
      </c>
      <c r="AJ964" s="66">
        <f>IF(LEN(Множество[[#This Row],[Свёртка]])&gt;0,1,-1)</f>
        <v>1</v>
      </c>
      <c r="AK964" s="66" t="s">
        <v>1781</v>
      </c>
      <c r="AL964" s="209">
        <f>IF(LEN(Множество[[#This Row],[Критерии]])&gt;0,1,-1)</f>
        <v>1</v>
      </c>
      <c r="AM964" s="209">
        <f>IF(AND(LEN(Множество[[#This Row],[Свёртка]])&gt;0,LEN(Множество[[#This Row],[Критерии]])&gt;0,LEN(Множество[[#This Row],[Оценки]])&gt;0),1,-1)</f>
        <v>-1</v>
      </c>
      <c r="AN964" s="230"/>
      <c r="AO964" s="208"/>
      <c r="AP964" s="208"/>
      <c r="AQ964" s="208"/>
      <c r="AR964" s="226"/>
      <c r="AS964" s="225"/>
      <c r="AT964" s="226"/>
      <c r="AU964" s="225"/>
      <c r="AV964" s="225"/>
      <c r="AW964" s="225"/>
      <c r="AX964" s="225"/>
      <c r="AY964" s="225"/>
    </row>
    <row r="965" spans="33:51" x14ac:dyDescent="0.25">
      <c r="AG965" s="66" t="str">
        <f>IF(AND(Множество[[#This Row],[Y]]=1),ROW()-ROW(Множество[[#Headers],[№]]),"")</f>
        <v/>
      </c>
      <c r="AI965" s="66">
        <v>1</v>
      </c>
      <c r="AJ965" s="66">
        <f>IF(LEN(Множество[[#This Row],[Свёртка]])&gt;0,1,-1)</f>
        <v>1</v>
      </c>
      <c r="AK965" s="66" t="s">
        <v>1781</v>
      </c>
      <c r="AL965" s="209">
        <f>IF(LEN(Множество[[#This Row],[Критерии]])&gt;0,1,-1)</f>
        <v>1</v>
      </c>
      <c r="AM965" s="209">
        <f>IF(AND(LEN(Множество[[#This Row],[Свёртка]])&gt;0,LEN(Множество[[#This Row],[Критерии]])&gt;0,LEN(Множество[[#This Row],[Оценки]])&gt;0),1,-1)</f>
        <v>-1</v>
      </c>
      <c r="AN965" s="230"/>
      <c r="AO965" s="208"/>
      <c r="AP965" s="208"/>
      <c r="AQ965" s="208"/>
      <c r="AR965" s="226"/>
      <c r="AS965" s="225"/>
      <c r="AT965" s="226"/>
      <c r="AU965" s="225"/>
      <c r="AV965" s="225"/>
      <c r="AW965" s="225"/>
      <c r="AX965" s="225"/>
      <c r="AY965" s="225"/>
    </row>
    <row r="966" spans="33:51" x14ac:dyDescent="0.25">
      <c r="AG966" s="66" t="str">
        <f>IF(AND(Множество[[#This Row],[Y]]=1),ROW()-ROW(Множество[[#Headers],[№]]),"")</f>
        <v/>
      </c>
      <c r="AI966" s="66">
        <v>1</v>
      </c>
      <c r="AJ966" s="66">
        <f>IF(LEN(Множество[[#This Row],[Свёртка]])&gt;0,1,-1)</f>
        <v>1</v>
      </c>
      <c r="AK966" s="66" t="s">
        <v>1781</v>
      </c>
      <c r="AL966" s="209">
        <f>IF(LEN(Множество[[#This Row],[Критерии]])&gt;0,1,-1)</f>
        <v>1</v>
      </c>
      <c r="AM966" s="209">
        <f>IF(AND(LEN(Множество[[#This Row],[Свёртка]])&gt;0,LEN(Множество[[#This Row],[Критерии]])&gt;0,LEN(Множество[[#This Row],[Оценки]])&gt;0),1,-1)</f>
        <v>-1</v>
      </c>
      <c r="AN966" s="230"/>
      <c r="AO966" s="208"/>
      <c r="AP966" s="208"/>
      <c r="AQ966" s="208"/>
      <c r="AR966" s="226"/>
      <c r="AS966" s="225"/>
      <c r="AT966" s="226"/>
      <c r="AU966" s="225"/>
      <c r="AV966" s="225"/>
      <c r="AW966" s="225"/>
      <c r="AX966" s="225"/>
      <c r="AY966" s="225"/>
    </row>
    <row r="967" spans="33:51" x14ac:dyDescent="0.25">
      <c r="AG967" s="66" t="str">
        <f>IF(AND(Множество[[#This Row],[Y]]=1),ROW()-ROW(Множество[[#Headers],[№]]),"")</f>
        <v/>
      </c>
      <c r="AI967" s="66">
        <v>1</v>
      </c>
      <c r="AJ967" s="66">
        <f>IF(LEN(Множество[[#This Row],[Свёртка]])&gt;0,1,-1)</f>
        <v>1</v>
      </c>
      <c r="AK967" s="66" t="s">
        <v>1781</v>
      </c>
      <c r="AL967" s="209">
        <f>IF(LEN(Множество[[#This Row],[Критерии]])&gt;0,1,-1)</f>
        <v>1</v>
      </c>
      <c r="AM967" s="209">
        <f>IF(AND(LEN(Множество[[#This Row],[Свёртка]])&gt;0,LEN(Множество[[#This Row],[Критерии]])&gt;0,LEN(Множество[[#This Row],[Оценки]])&gt;0),1,-1)</f>
        <v>-1</v>
      </c>
      <c r="AN967" s="230"/>
      <c r="AO967" s="208"/>
      <c r="AP967" s="208"/>
      <c r="AQ967" s="208"/>
      <c r="AR967" s="226"/>
      <c r="AS967" s="225"/>
      <c r="AT967" s="226"/>
      <c r="AU967" s="225"/>
      <c r="AV967" s="225"/>
      <c r="AW967" s="225"/>
      <c r="AX967" s="225"/>
      <c r="AY967" s="225"/>
    </row>
    <row r="968" spans="33:51" x14ac:dyDescent="0.25">
      <c r="AG968" s="66" t="str">
        <f>IF(AND(Множество[[#This Row],[Y]]=1),ROW()-ROW(Множество[[#Headers],[№]]),"")</f>
        <v/>
      </c>
      <c r="AI968" s="66">
        <v>1</v>
      </c>
      <c r="AJ968" s="66">
        <f>IF(LEN(Множество[[#This Row],[Свёртка]])&gt;0,1,-1)</f>
        <v>1</v>
      </c>
      <c r="AK968" s="66" t="s">
        <v>1781</v>
      </c>
      <c r="AL968" s="209">
        <f>IF(LEN(Множество[[#This Row],[Критерии]])&gt;0,1,-1)</f>
        <v>1</v>
      </c>
      <c r="AM968" s="209">
        <f>IF(AND(LEN(Множество[[#This Row],[Свёртка]])&gt;0,LEN(Множество[[#This Row],[Критерии]])&gt;0,LEN(Множество[[#This Row],[Оценки]])&gt;0),1,-1)</f>
        <v>-1</v>
      </c>
      <c r="AN968" s="230"/>
      <c r="AO968" s="208"/>
      <c r="AP968" s="208"/>
      <c r="AQ968" s="208"/>
      <c r="AR968" s="226"/>
      <c r="AS968" s="225"/>
      <c r="AT968" s="226"/>
      <c r="AU968" s="225"/>
      <c r="AV968" s="225"/>
      <c r="AW968" s="225"/>
      <c r="AX968" s="225"/>
      <c r="AY968" s="225"/>
    </row>
    <row r="969" spans="33:51" x14ac:dyDescent="0.25">
      <c r="AG969" s="66" t="str">
        <f>IF(AND(Множество[[#This Row],[Y]]=1),ROW()-ROW(Множество[[#Headers],[№]]),"")</f>
        <v/>
      </c>
      <c r="AI969" s="66">
        <v>1</v>
      </c>
      <c r="AJ969" s="66">
        <f>IF(LEN(Множество[[#This Row],[Свёртка]])&gt;0,1,-1)</f>
        <v>1</v>
      </c>
      <c r="AK969" s="66" t="s">
        <v>1781</v>
      </c>
      <c r="AL969" s="209">
        <f>IF(LEN(Множество[[#This Row],[Критерии]])&gt;0,1,-1)</f>
        <v>1</v>
      </c>
      <c r="AM969" s="209">
        <f>IF(AND(LEN(Множество[[#This Row],[Свёртка]])&gt;0,LEN(Множество[[#This Row],[Критерии]])&gt;0,LEN(Множество[[#This Row],[Оценки]])&gt;0),1,-1)</f>
        <v>-1</v>
      </c>
      <c r="AN969" s="230"/>
      <c r="AO969" s="208"/>
      <c r="AP969" s="208"/>
      <c r="AQ969" s="208"/>
      <c r="AR969" s="226"/>
      <c r="AS969" s="225"/>
      <c r="AT969" s="226"/>
      <c r="AU969" s="225"/>
      <c r="AV969" s="225"/>
      <c r="AW969" s="225"/>
      <c r="AX969" s="225"/>
      <c r="AY969" s="225"/>
    </row>
    <row r="970" spans="33:51" x14ac:dyDescent="0.25">
      <c r="AG970" s="66" t="str">
        <f>IF(AND(Множество[[#This Row],[Y]]=1),ROW()-ROW(Множество[[#Headers],[№]]),"")</f>
        <v/>
      </c>
      <c r="AI970" s="66">
        <v>1</v>
      </c>
      <c r="AJ970" s="66">
        <f>IF(LEN(Множество[[#This Row],[Свёртка]])&gt;0,1,-1)</f>
        <v>1</v>
      </c>
      <c r="AK970" s="66" t="s">
        <v>1781</v>
      </c>
      <c r="AL970" s="209">
        <f>IF(LEN(Множество[[#This Row],[Критерии]])&gt;0,1,-1)</f>
        <v>1</v>
      </c>
      <c r="AM970" s="209">
        <f>IF(AND(LEN(Множество[[#This Row],[Свёртка]])&gt;0,LEN(Множество[[#This Row],[Критерии]])&gt;0,LEN(Множество[[#This Row],[Оценки]])&gt;0),1,-1)</f>
        <v>-1</v>
      </c>
      <c r="AN970" s="230"/>
      <c r="AO970" s="208"/>
      <c r="AP970" s="208"/>
      <c r="AQ970" s="208"/>
      <c r="AR970" s="226"/>
      <c r="AS970" s="225"/>
      <c r="AT970" s="226"/>
      <c r="AU970" s="225"/>
      <c r="AV970" s="225"/>
      <c r="AW970" s="225"/>
      <c r="AX970" s="225"/>
      <c r="AY970" s="225"/>
    </row>
    <row r="971" spans="33:51" x14ac:dyDescent="0.25">
      <c r="AG971" s="66" t="str">
        <f>IF(AND(Множество[[#This Row],[Y]]=1),ROW()-ROW(Множество[[#Headers],[№]]),"")</f>
        <v/>
      </c>
      <c r="AI971" s="66">
        <v>1</v>
      </c>
      <c r="AJ971" s="66">
        <f>IF(LEN(Множество[[#This Row],[Свёртка]])&gt;0,1,-1)</f>
        <v>1</v>
      </c>
      <c r="AK971" s="66" t="s">
        <v>1781</v>
      </c>
      <c r="AL971" s="209">
        <f>IF(LEN(Множество[[#This Row],[Критерии]])&gt;0,1,-1)</f>
        <v>1</v>
      </c>
      <c r="AM971" s="209">
        <f>IF(AND(LEN(Множество[[#This Row],[Свёртка]])&gt;0,LEN(Множество[[#This Row],[Критерии]])&gt;0,LEN(Множество[[#This Row],[Оценки]])&gt;0),1,-1)</f>
        <v>-1</v>
      </c>
      <c r="AN971" s="230"/>
      <c r="AO971" s="208"/>
      <c r="AP971" s="208"/>
      <c r="AQ971" s="208"/>
      <c r="AR971" s="226"/>
      <c r="AS971" s="225"/>
      <c r="AT971" s="226"/>
      <c r="AU971" s="225"/>
      <c r="AV971" s="225"/>
      <c r="AW971" s="225"/>
      <c r="AX971" s="225"/>
      <c r="AY971" s="225"/>
    </row>
    <row r="972" spans="33:51" x14ac:dyDescent="0.25">
      <c r="AG972" s="66" t="str">
        <f>IF(AND(Множество[[#This Row],[Y]]=1),ROW()-ROW(Множество[[#Headers],[№]]),"")</f>
        <v/>
      </c>
      <c r="AI972" s="66">
        <v>1</v>
      </c>
      <c r="AJ972" s="66">
        <f>IF(LEN(Множество[[#This Row],[Свёртка]])&gt;0,1,-1)</f>
        <v>1</v>
      </c>
      <c r="AK972" s="66" t="s">
        <v>1781</v>
      </c>
      <c r="AL972" s="209">
        <f>IF(LEN(Множество[[#This Row],[Критерии]])&gt;0,1,-1)</f>
        <v>1</v>
      </c>
      <c r="AM972" s="209">
        <f>IF(AND(LEN(Множество[[#This Row],[Свёртка]])&gt;0,LEN(Множество[[#This Row],[Критерии]])&gt;0,LEN(Множество[[#This Row],[Оценки]])&gt;0),1,-1)</f>
        <v>-1</v>
      </c>
      <c r="AN972" s="230"/>
      <c r="AO972" s="208"/>
      <c r="AP972" s="208"/>
      <c r="AQ972" s="208"/>
      <c r="AR972" s="226"/>
      <c r="AS972" s="225"/>
      <c r="AT972" s="226"/>
      <c r="AU972" s="225"/>
      <c r="AV972" s="225"/>
      <c r="AW972" s="225"/>
      <c r="AX972" s="225"/>
      <c r="AY972" s="225"/>
    </row>
    <row r="973" spans="33:51" x14ac:dyDescent="0.25">
      <c r="AG973" s="66" t="str">
        <f>IF(AND(Множество[[#This Row],[Y]]=1),ROW()-ROW(Множество[[#Headers],[№]]),"")</f>
        <v/>
      </c>
      <c r="AI973" s="66">
        <v>1</v>
      </c>
      <c r="AJ973" s="66">
        <f>IF(LEN(Множество[[#This Row],[Свёртка]])&gt;0,1,-1)</f>
        <v>1</v>
      </c>
      <c r="AK973" s="66" t="s">
        <v>1781</v>
      </c>
      <c r="AL973" s="209">
        <f>IF(LEN(Множество[[#This Row],[Критерии]])&gt;0,1,-1)</f>
        <v>1</v>
      </c>
      <c r="AM973" s="209">
        <f>IF(AND(LEN(Множество[[#This Row],[Свёртка]])&gt;0,LEN(Множество[[#This Row],[Критерии]])&gt;0,LEN(Множество[[#This Row],[Оценки]])&gt;0),1,-1)</f>
        <v>-1</v>
      </c>
      <c r="AN973" s="230"/>
      <c r="AO973" s="208"/>
      <c r="AP973" s="208"/>
      <c r="AQ973" s="208"/>
      <c r="AR973" s="226"/>
      <c r="AS973" s="225"/>
      <c r="AT973" s="226"/>
      <c r="AU973" s="225"/>
      <c r="AV973" s="225"/>
      <c r="AW973" s="225"/>
      <c r="AX973" s="225"/>
      <c r="AY973" s="225"/>
    </row>
    <row r="974" spans="33:51" x14ac:dyDescent="0.25">
      <c r="AG974" s="66" t="str">
        <f>IF(AND(Множество[[#This Row],[Y]]=1),ROW()-ROW(Множество[[#Headers],[№]]),"")</f>
        <v/>
      </c>
      <c r="AI974" s="66">
        <v>1</v>
      </c>
      <c r="AJ974" s="66">
        <f>IF(LEN(Множество[[#This Row],[Свёртка]])&gt;0,1,-1)</f>
        <v>1</v>
      </c>
      <c r="AK974" s="66" t="s">
        <v>1781</v>
      </c>
      <c r="AL974" s="209">
        <f>IF(LEN(Множество[[#This Row],[Критерии]])&gt;0,1,-1)</f>
        <v>1</v>
      </c>
      <c r="AM974" s="209">
        <f>IF(AND(LEN(Множество[[#This Row],[Свёртка]])&gt;0,LEN(Множество[[#This Row],[Критерии]])&gt;0,LEN(Множество[[#This Row],[Оценки]])&gt;0),1,-1)</f>
        <v>-1</v>
      </c>
      <c r="AN974" s="230"/>
      <c r="AO974" s="208"/>
      <c r="AP974" s="208"/>
      <c r="AQ974" s="208"/>
      <c r="AR974" s="226"/>
      <c r="AS974" s="225"/>
      <c r="AT974" s="226"/>
      <c r="AU974" s="225"/>
      <c r="AV974" s="225"/>
      <c r="AW974" s="225"/>
      <c r="AX974" s="225"/>
      <c r="AY974" s="225"/>
    </row>
    <row r="975" spans="33:51" x14ac:dyDescent="0.25">
      <c r="AG975" s="66" t="str">
        <f>IF(AND(Множество[[#This Row],[Y]]=1),ROW()-ROW(Множество[[#Headers],[№]]),"")</f>
        <v/>
      </c>
      <c r="AI975" s="66">
        <v>1</v>
      </c>
      <c r="AJ975" s="66">
        <f>IF(LEN(Множество[[#This Row],[Свёртка]])&gt;0,1,-1)</f>
        <v>1</v>
      </c>
      <c r="AK975" s="66" t="s">
        <v>1781</v>
      </c>
      <c r="AL975" s="209">
        <f>IF(LEN(Множество[[#This Row],[Критерии]])&gt;0,1,-1)</f>
        <v>1</v>
      </c>
      <c r="AM975" s="209">
        <f>IF(AND(LEN(Множество[[#This Row],[Свёртка]])&gt;0,LEN(Множество[[#This Row],[Критерии]])&gt;0,LEN(Множество[[#This Row],[Оценки]])&gt;0),1,-1)</f>
        <v>-1</v>
      </c>
      <c r="AN975" s="230"/>
      <c r="AO975" s="208"/>
      <c r="AP975" s="208"/>
      <c r="AQ975" s="208"/>
      <c r="AR975" s="226"/>
      <c r="AS975" s="225"/>
      <c r="AT975" s="226"/>
      <c r="AU975" s="225"/>
      <c r="AV975" s="225"/>
      <c r="AW975" s="225"/>
      <c r="AX975" s="225"/>
      <c r="AY975" s="225"/>
    </row>
    <row r="976" spans="33:51" x14ac:dyDescent="0.25">
      <c r="AG976" s="66" t="str">
        <f>IF(AND(Множество[[#This Row],[Y]]=1),ROW()-ROW(Множество[[#Headers],[№]]),"")</f>
        <v/>
      </c>
      <c r="AI976" s="66">
        <v>1</v>
      </c>
      <c r="AJ976" s="66">
        <f>IF(LEN(Множество[[#This Row],[Свёртка]])&gt;0,1,-1)</f>
        <v>1</v>
      </c>
      <c r="AK976" s="66" t="s">
        <v>1781</v>
      </c>
      <c r="AL976" s="209">
        <f>IF(LEN(Множество[[#This Row],[Критерии]])&gt;0,1,-1)</f>
        <v>1</v>
      </c>
      <c r="AM976" s="209">
        <f>IF(AND(LEN(Множество[[#This Row],[Свёртка]])&gt;0,LEN(Множество[[#This Row],[Критерии]])&gt;0,LEN(Множество[[#This Row],[Оценки]])&gt;0),1,-1)</f>
        <v>-1</v>
      </c>
      <c r="AN976" s="230"/>
      <c r="AO976" s="208"/>
      <c r="AP976" s="208"/>
      <c r="AQ976" s="208"/>
      <c r="AR976" s="226"/>
      <c r="AS976" s="225"/>
      <c r="AT976" s="226"/>
      <c r="AU976" s="225"/>
      <c r="AV976" s="225"/>
      <c r="AW976" s="225"/>
      <c r="AX976" s="225"/>
      <c r="AY976" s="225"/>
    </row>
    <row r="977" spans="33:51" x14ac:dyDescent="0.25">
      <c r="AG977" s="66" t="str">
        <f>IF(AND(Множество[[#This Row],[Y]]=1),ROW()-ROW(Множество[[#Headers],[№]]),"")</f>
        <v/>
      </c>
      <c r="AI977" s="66">
        <v>1</v>
      </c>
      <c r="AJ977" s="66">
        <f>IF(LEN(Множество[[#This Row],[Свёртка]])&gt;0,1,-1)</f>
        <v>1</v>
      </c>
      <c r="AK977" s="66" t="s">
        <v>1781</v>
      </c>
      <c r="AL977" s="209">
        <f>IF(LEN(Множество[[#This Row],[Критерии]])&gt;0,1,-1)</f>
        <v>1</v>
      </c>
      <c r="AM977" s="209">
        <f>IF(AND(LEN(Множество[[#This Row],[Свёртка]])&gt;0,LEN(Множество[[#This Row],[Критерии]])&gt;0,LEN(Множество[[#This Row],[Оценки]])&gt;0),1,-1)</f>
        <v>-1</v>
      </c>
      <c r="AN977" s="230"/>
      <c r="AO977" s="208"/>
      <c r="AP977" s="208"/>
      <c r="AQ977" s="208"/>
      <c r="AR977" s="226"/>
      <c r="AS977" s="225"/>
      <c r="AT977" s="226"/>
      <c r="AU977" s="225"/>
      <c r="AV977" s="225"/>
      <c r="AW977" s="225"/>
      <c r="AX977" s="225"/>
      <c r="AY977" s="225"/>
    </row>
    <row r="978" spans="33:51" x14ac:dyDescent="0.25">
      <c r="AG978" s="66" t="str">
        <f>IF(AND(Множество[[#This Row],[Y]]=1),ROW()-ROW(Множество[[#Headers],[№]]),"")</f>
        <v/>
      </c>
      <c r="AI978" s="66">
        <v>1</v>
      </c>
      <c r="AJ978" s="66">
        <f>IF(LEN(Множество[[#This Row],[Свёртка]])&gt;0,1,-1)</f>
        <v>1</v>
      </c>
      <c r="AK978" s="66" t="s">
        <v>1781</v>
      </c>
      <c r="AL978" s="209">
        <f>IF(LEN(Множество[[#This Row],[Критерии]])&gt;0,1,-1)</f>
        <v>1</v>
      </c>
      <c r="AM978" s="209">
        <f>IF(AND(LEN(Множество[[#This Row],[Свёртка]])&gt;0,LEN(Множество[[#This Row],[Критерии]])&gt;0,LEN(Множество[[#This Row],[Оценки]])&gt;0),1,-1)</f>
        <v>-1</v>
      </c>
      <c r="AN978" s="230"/>
      <c r="AO978" s="208"/>
      <c r="AP978" s="208"/>
      <c r="AQ978" s="208"/>
      <c r="AR978" s="226"/>
      <c r="AS978" s="225"/>
      <c r="AT978" s="226"/>
      <c r="AU978" s="225"/>
      <c r="AV978" s="225"/>
      <c r="AW978" s="225"/>
      <c r="AX978" s="225"/>
      <c r="AY978" s="225"/>
    </row>
    <row r="979" spans="33:51" x14ac:dyDescent="0.25">
      <c r="AG979" s="66" t="str">
        <f>IF(AND(Множество[[#This Row],[Y]]=1),ROW()-ROW(Множество[[#Headers],[№]]),"")</f>
        <v/>
      </c>
      <c r="AI979" s="66">
        <v>1</v>
      </c>
      <c r="AJ979" s="66">
        <f>IF(LEN(Множество[[#This Row],[Свёртка]])&gt;0,1,-1)</f>
        <v>1</v>
      </c>
      <c r="AK979" s="66" t="s">
        <v>1781</v>
      </c>
      <c r="AL979" s="209">
        <f>IF(LEN(Множество[[#This Row],[Критерии]])&gt;0,1,-1)</f>
        <v>1</v>
      </c>
      <c r="AM979" s="209">
        <f>IF(AND(LEN(Множество[[#This Row],[Свёртка]])&gt;0,LEN(Множество[[#This Row],[Критерии]])&gt;0,LEN(Множество[[#This Row],[Оценки]])&gt;0),1,-1)</f>
        <v>-1</v>
      </c>
      <c r="AN979" s="230"/>
      <c r="AO979" s="208"/>
      <c r="AP979" s="208"/>
      <c r="AQ979" s="208"/>
      <c r="AR979" s="226"/>
      <c r="AS979" s="225"/>
      <c r="AT979" s="226"/>
      <c r="AU979" s="225"/>
      <c r="AV979" s="225"/>
      <c r="AW979" s="225"/>
      <c r="AX979" s="225"/>
      <c r="AY979" s="225"/>
    </row>
    <row r="980" spans="33:51" x14ac:dyDescent="0.25">
      <c r="AG980" s="66" t="str">
        <f>IF(AND(Множество[[#This Row],[Y]]=1),ROW()-ROW(Множество[[#Headers],[№]]),"")</f>
        <v/>
      </c>
      <c r="AI980" s="66">
        <v>1</v>
      </c>
      <c r="AJ980" s="66">
        <f>IF(LEN(Множество[[#This Row],[Свёртка]])&gt;0,1,-1)</f>
        <v>1</v>
      </c>
      <c r="AK980" s="66" t="s">
        <v>1781</v>
      </c>
      <c r="AL980" s="209">
        <f>IF(LEN(Множество[[#This Row],[Критерии]])&gt;0,1,-1)</f>
        <v>1</v>
      </c>
      <c r="AM980" s="209">
        <f>IF(AND(LEN(Множество[[#This Row],[Свёртка]])&gt;0,LEN(Множество[[#This Row],[Критерии]])&gt;0,LEN(Множество[[#This Row],[Оценки]])&gt;0),1,-1)</f>
        <v>-1</v>
      </c>
      <c r="AN980" s="230"/>
      <c r="AO980" s="208"/>
      <c r="AP980" s="208"/>
      <c r="AQ980" s="208"/>
      <c r="AR980" s="226"/>
      <c r="AS980" s="225"/>
      <c r="AT980" s="226"/>
      <c r="AU980" s="225"/>
      <c r="AV980" s="225"/>
      <c r="AW980" s="225"/>
      <c r="AX980" s="225"/>
      <c r="AY980" s="225"/>
    </row>
    <row r="981" spans="33:51" x14ac:dyDescent="0.25">
      <c r="AG981" s="66" t="str">
        <f>IF(AND(Множество[[#This Row],[Y]]=1),ROW()-ROW(Множество[[#Headers],[№]]),"")</f>
        <v/>
      </c>
      <c r="AI981" s="66">
        <v>1</v>
      </c>
      <c r="AJ981" s="66">
        <f>IF(LEN(Множество[[#This Row],[Свёртка]])&gt;0,1,-1)</f>
        <v>1</v>
      </c>
      <c r="AK981" s="66" t="s">
        <v>1781</v>
      </c>
      <c r="AL981" s="209">
        <f>IF(LEN(Множество[[#This Row],[Критерии]])&gt;0,1,-1)</f>
        <v>1</v>
      </c>
      <c r="AM981" s="209">
        <f>IF(AND(LEN(Множество[[#This Row],[Свёртка]])&gt;0,LEN(Множество[[#This Row],[Критерии]])&gt;0,LEN(Множество[[#This Row],[Оценки]])&gt;0),1,-1)</f>
        <v>-1</v>
      </c>
      <c r="AN981" s="230"/>
      <c r="AO981" s="208"/>
      <c r="AP981" s="208"/>
      <c r="AQ981" s="208"/>
      <c r="AR981" s="226"/>
      <c r="AS981" s="225"/>
      <c r="AT981" s="226"/>
      <c r="AU981" s="225"/>
      <c r="AV981" s="225"/>
      <c r="AW981" s="225"/>
      <c r="AX981" s="225"/>
      <c r="AY981" s="225"/>
    </row>
    <row r="982" spans="33:51" x14ac:dyDescent="0.25">
      <c r="AG982" s="66" t="str">
        <f>IF(AND(Множество[[#This Row],[Y]]=1),ROW()-ROW(Множество[[#Headers],[№]]),"")</f>
        <v/>
      </c>
      <c r="AI982" s="66">
        <v>1</v>
      </c>
      <c r="AJ982" s="66">
        <f>IF(LEN(Множество[[#This Row],[Свёртка]])&gt;0,1,-1)</f>
        <v>1</v>
      </c>
      <c r="AK982" s="66" t="s">
        <v>1781</v>
      </c>
      <c r="AL982" s="209">
        <f>IF(LEN(Множество[[#This Row],[Критерии]])&gt;0,1,-1)</f>
        <v>1</v>
      </c>
      <c r="AM982" s="209">
        <f>IF(AND(LEN(Множество[[#This Row],[Свёртка]])&gt;0,LEN(Множество[[#This Row],[Критерии]])&gt;0,LEN(Множество[[#This Row],[Оценки]])&gt;0),1,-1)</f>
        <v>-1</v>
      </c>
      <c r="AN982" s="230"/>
      <c r="AO982" s="208"/>
      <c r="AP982" s="208"/>
      <c r="AQ982" s="208"/>
      <c r="AR982" s="226"/>
      <c r="AS982" s="225"/>
      <c r="AT982" s="226"/>
      <c r="AU982" s="225"/>
      <c r="AV982" s="225"/>
      <c r="AW982" s="225"/>
      <c r="AX982" s="225"/>
      <c r="AY982" s="225"/>
    </row>
    <row r="983" spans="33:51" x14ac:dyDescent="0.25">
      <c r="AG983" s="66" t="str">
        <f>IF(AND(Множество[[#This Row],[Y]]=1),ROW()-ROW(Множество[[#Headers],[№]]),"")</f>
        <v/>
      </c>
      <c r="AI983" s="66">
        <v>1</v>
      </c>
      <c r="AJ983" s="66">
        <f>IF(LEN(Множество[[#This Row],[Свёртка]])&gt;0,1,-1)</f>
        <v>1</v>
      </c>
      <c r="AK983" s="66" t="s">
        <v>1781</v>
      </c>
      <c r="AL983" s="209">
        <f>IF(LEN(Множество[[#This Row],[Критерии]])&gt;0,1,-1)</f>
        <v>1</v>
      </c>
      <c r="AM983" s="209">
        <f>IF(AND(LEN(Множество[[#This Row],[Свёртка]])&gt;0,LEN(Множество[[#This Row],[Критерии]])&gt;0,LEN(Множество[[#This Row],[Оценки]])&gt;0),1,-1)</f>
        <v>-1</v>
      </c>
      <c r="AN983" s="230"/>
      <c r="AO983" s="208"/>
      <c r="AP983" s="208"/>
      <c r="AQ983" s="208"/>
      <c r="AR983" s="226"/>
      <c r="AS983" s="225"/>
      <c r="AT983" s="226"/>
      <c r="AU983" s="225"/>
      <c r="AV983" s="225"/>
      <c r="AW983" s="225"/>
      <c r="AX983" s="225"/>
      <c r="AY983" s="225"/>
    </row>
    <row r="984" spans="33:51" x14ac:dyDescent="0.25">
      <c r="AG984" s="66" t="str">
        <f>IF(AND(Множество[[#This Row],[Y]]=1),ROW()-ROW(Множество[[#Headers],[№]]),"")</f>
        <v/>
      </c>
      <c r="AI984" s="66">
        <v>1</v>
      </c>
      <c r="AJ984" s="66">
        <f>IF(LEN(Множество[[#This Row],[Свёртка]])&gt;0,1,-1)</f>
        <v>1</v>
      </c>
      <c r="AK984" s="66" t="s">
        <v>1781</v>
      </c>
      <c r="AL984" s="209">
        <f>IF(LEN(Множество[[#This Row],[Критерии]])&gt;0,1,-1)</f>
        <v>1</v>
      </c>
      <c r="AM984" s="209">
        <f>IF(AND(LEN(Множество[[#This Row],[Свёртка]])&gt;0,LEN(Множество[[#This Row],[Критерии]])&gt;0,LEN(Множество[[#This Row],[Оценки]])&gt;0),1,-1)</f>
        <v>-1</v>
      </c>
      <c r="AN984" s="230"/>
      <c r="AO984" s="208"/>
      <c r="AP984" s="208"/>
      <c r="AQ984" s="208"/>
      <c r="AR984" s="226"/>
      <c r="AS984" s="225"/>
      <c r="AT984" s="226"/>
      <c r="AU984" s="225"/>
      <c r="AV984" s="225"/>
      <c r="AW984" s="225"/>
      <c r="AX984" s="225"/>
      <c r="AY984" s="225"/>
    </row>
    <row r="985" spans="33:51" x14ac:dyDescent="0.25">
      <c r="AG985" s="66" t="str">
        <f>IF(AND(Множество[[#This Row],[Y]]=1),ROW()-ROW(Множество[[#Headers],[№]]),"")</f>
        <v/>
      </c>
      <c r="AI985" s="66">
        <v>1</v>
      </c>
      <c r="AJ985" s="66">
        <f>IF(LEN(Множество[[#This Row],[Свёртка]])&gt;0,1,-1)</f>
        <v>1</v>
      </c>
      <c r="AK985" s="66" t="s">
        <v>1781</v>
      </c>
      <c r="AL985" s="209">
        <f>IF(LEN(Множество[[#This Row],[Критерии]])&gt;0,1,-1)</f>
        <v>1</v>
      </c>
      <c r="AM985" s="209">
        <f>IF(AND(LEN(Множество[[#This Row],[Свёртка]])&gt;0,LEN(Множество[[#This Row],[Критерии]])&gt;0,LEN(Множество[[#This Row],[Оценки]])&gt;0),1,-1)</f>
        <v>-1</v>
      </c>
      <c r="AN985" s="230"/>
      <c r="AO985" s="208"/>
      <c r="AP985" s="208"/>
      <c r="AQ985" s="208"/>
      <c r="AR985" s="226"/>
      <c r="AS985" s="225"/>
      <c r="AT985" s="226"/>
      <c r="AU985" s="225"/>
      <c r="AV985" s="225"/>
      <c r="AW985" s="225"/>
      <c r="AX985" s="225"/>
      <c r="AY985" s="225"/>
    </row>
    <row r="986" spans="33:51" x14ac:dyDescent="0.25">
      <c r="AG986" s="66" t="str">
        <f>IF(AND(Множество[[#This Row],[Y]]=1),ROW()-ROW(Множество[[#Headers],[№]]),"")</f>
        <v/>
      </c>
      <c r="AI986" s="66">
        <v>1</v>
      </c>
      <c r="AJ986" s="66">
        <f>IF(LEN(Множество[[#This Row],[Свёртка]])&gt;0,1,-1)</f>
        <v>1</v>
      </c>
      <c r="AK986" s="66" t="s">
        <v>1781</v>
      </c>
      <c r="AL986" s="209">
        <f>IF(LEN(Множество[[#This Row],[Критерии]])&gt;0,1,-1)</f>
        <v>1</v>
      </c>
      <c r="AM986" s="209">
        <f>IF(AND(LEN(Множество[[#This Row],[Свёртка]])&gt;0,LEN(Множество[[#This Row],[Критерии]])&gt;0,LEN(Множество[[#This Row],[Оценки]])&gt;0),1,-1)</f>
        <v>-1</v>
      </c>
      <c r="AN986" s="230"/>
      <c r="AO986" s="208"/>
      <c r="AP986" s="208"/>
      <c r="AQ986" s="208"/>
      <c r="AR986" s="226"/>
      <c r="AS986" s="225"/>
      <c r="AT986" s="226"/>
      <c r="AU986" s="225"/>
      <c r="AV986" s="225"/>
      <c r="AW986" s="225"/>
      <c r="AX986" s="225"/>
      <c r="AY986" s="225"/>
    </row>
    <row r="987" spans="33:51" x14ac:dyDescent="0.25">
      <c r="AG987" s="66" t="str">
        <f>IF(AND(Множество[[#This Row],[Y]]=1),ROW()-ROW(Множество[[#Headers],[№]]),"")</f>
        <v/>
      </c>
      <c r="AI987" s="66">
        <v>1</v>
      </c>
      <c r="AJ987" s="66">
        <f>IF(LEN(Множество[[#This Row],[Свёртка]])&gt;0,1,-1)</f>
        <v>1</v>
      </c>
      <c r="AK987" s="66" t="s">
        <v>1781</v>
      </c>
      <c r="AL987" s="209">
        <f>IF(LEN(Множество[[#This Row],[Критерии]])&gt;0,1,-1)</f>
        <v>1</v>
      </c>
      <c r="AM987" s="209">
        <f>IF(AND(LEN(Множество[[#This Row],[Свёртка]])&gt;0,LEN(Множество[[#This Row],[Критерии]])&gt;0,LEN(Множество[[#This Row],[Оценки]])&gt;0),1,-1)</f>
        <v>-1</v>
      </c>
      <c r="AN987" s="230"/>
      <c r="AO987" s="208"/>
      <c r="AP987" s="208"/>
      <c r="AQ987" s="208"/>
      <c r="AR987" s="226"/>
      <c r="AS987" s="225"/>
      <c r="AT987" s="226"/>
      <c r="AU987" s="225"/>
      <c r="AV987" s="225"/>
      <c r="AW987" s="225"/>
      <c r="AX987" s="225"/>
      <c r="AY987" s="225"/>
    </row>
    <row r="988" spans="33:51" x14ac:dyDescent="0.25">
      <c r="AG988" s="66" t="str">
        <f>IF(AND(Множество[[#This Row],[Y]]=1),ROW()-ROW(Множество[[#Headers],[№]]),"")</f>
        <v/>
      </c>
      <c r="AI988" s="66">
        <v>1</v>
      </c>
      <c r="AJ988" s="66">
        <f>IF(LEN(Множество[[#This Row],[Свёртка]])&gt;0,1,-1)</f>
        <v>1</v>
      </c>
      <c r="AK988" s="66" t="s">
        <v>1781</v>
      </c>
      <c r="AL988" s="209">
        <f>IF(LEN(Множество[[#This Row],[Критерии]])&gt;0,1,-1)</f>
        <v>1</v>
      </c>
      <c r="AM988" s="209">
        <f>IF(AND(LEN(Множество[[#This Row],[Свёртка]])&gt;0,LEN(Множество[[#This Row],[Критерии]])&gt;0,LEN(Множество[[#This Row],[Оценки]])&gt;0),1,-1)</f>
        <v>-1</v>
      </c>
      <c r="AN988" s="230"/>
      <c r="AO988" s="208"/>
      <c r="AP988" s="208"/>
      <c r="AQ988" s="208"/>
      <c r="AR988" s="226"/>
      <c r="AS988" s="225"/>
      <c r="AT988" s="226"/>
      <c r="AU988" s="225"/>
      <c r="AV988" s="225"/>
      <c r="AW988" s="225"/>
      <c r="AX988" s="225"/>
      <c r="AY988" s="225"/>
    </row>
    <row r="989" spans="33:51" x14ac:dyDescent="0.25">
      <c r="AG989" s="66" t="str">
        <f>IF(AND(Множество[[#This Row],[Y]]=1),ROW()-ROW(Множество[[#Headers],[№]]),"")</f>
        <v/>
      </c>
      <c r="AI989" s="66">
        <v>1</v>
      </c>
      <c r="AJ989" s="66">
        <f>IF(LEN(Множество[[#This Row],[Свёртка]])&gt;0,1,-1)</f>
        <v>1</v>
      </c>
      <c r="AK989" s="66" t="s">
        <v>1781</v>
      </c>
      <c r="AL989" s="209">
        <f>IF(LEN(Множество[[#This Row],[Критерии]])&gt;0,1,-1)</f>
        <v>1</v>
      </c>
      <c r="AM989" s="209">
        <f>IF(AND(LEN(Множество[[#This Row],[Свёртка]])&gt;0,LEN(Множество[[#This Row],[Критерии]])&gt;0,LEN(Множество[[#This Row],[Оценки]])&gt;0),1,-1)</f>
        <v>-1</v>
      </c>
      <c r="AN989" s="230"/>
      <c r="AO989" s="208"/>
      <c r="AP989" s="208"/>
      <c r="AQ989" s="208"/>
      <c r="AR989" s="226"/>
      <c r="AS989" s="225"/>
      <c r="AT989" s="226"/>
      <c r="AU989" s="225"/>
      <c r="AV989" s="225"/>
      <c r="AW989" s="225"/>
      <c r="AX989" s="225"/>
      <c r="AY989" s="225"/>
    </row>
    <row r="990" spans="33:51" x14ac:dyDescent="0.25">
      <c r="AG990" s="66" t="str">
        <f>IF(AND(Множество[[#This Row],[Y]]=1),ROW()-ROW(Множество[[#Headers],[№]]),"")</f>
        <v/>
      </c>
      <c r="AI990" s="66">
        <v>1</v>
      </c>
      <c r="AJ990" s="66">
        <f>IF(LEN(Множество[[#This Row],[Свёртка]])&gt;0,1,-1)</f>
        <v>1</v>
      </c>
      <c r="AK990" s="66" t="s">
        <v>1781</v>
      </c>
      <c r="AL990" s="209">
        <f>IF(LEN(Множество[[#This Row],[Критерии]])&gt;0,1,-1)</f>
        <v>1</v>
      </c>
      <c r="AM990" s="209">
        <f>IF(AND(LEN(Множество[[#This Row],[Свёртка]])&gt;0,LEN(Множество[[#This Row],[Критерии]])&gt;0,LEN(Множество[[#This Row],[Оценки]])&gt;0),1,-1)</f>
        <v>-1</v>
      </c>
      <c r="AN990" s="230"/>
      <c r="AO990" s="208"/>
      <c r="AP990" s="208"/>
      <c r="AQ990" s="208"/>
      <c r="AR990" s="226"/>
      <c r="AS990" s="225"/>
      <c r="AT990" s="226"/>
      <c r="AU990" s="225"/>
      <c r="AV990" s="225"/>
      <c r="AW990" s="225"/>
      <c r="AX990" s="225"/>
      <c r="AY990" s="225"/>
    </row>
    <row r="991" spans="33:51" x14ac:dyDescent="0.25">
      <c r="AG991" s="66" t="str">
        <f>IF(AND(Множество[[#This Row],[Y]]=1),ROW()-ROW(Множество[[#Headers],[№]]),"")</f>
        <v/>
      </c>
      <c r="AI991" s="66">
        <v>1</v>
      </c>
      <c r="AJ991" s="66">
        <f>IF(LEN(Множество[[#This Row],[Свёртка]])&gt;0,1,-1)</f>
        <v>1</v>
      </c>
      <c r="AK991" s="66" t="s">
        <v>1781</v>
      </c>
      <c r="AL991" s="209">
        <f>IF(LEN(Множество[[#This Row],[Критерии]])&gt;0,1,-1)</f>
        <v>1</v>
      </c>
      <c r="AM991" s="209">
        <f>IF(AND(LEN(Множество[[#This Row],[Свёртка]])&gt;0,LEN(Множество[[#This Row],[Критерии]])&gt;0,LEN(Множество[[#This Row],[Оценки]])&gt;0),1,-1)</f>
        <v>-1</v>
      </c>
      <c r="AN991" s="230"/>
      <c r="AO991" s="208"/>
      <c r="AP991" s="208"/>
      <c r="AQ991" s="208"/>
      <c r="AR991" s="226"/>
      <c r="AS991" s="225"/>
      <c r="AT991" s="226"/>
      <c r="AU991" s="225"/>
      <c r="AV991" s="225"/>
      <c r="AW991" s="225"/>
      <c r="AX991" s="225"/>
      <c r="AY991" s="225"/>
    </row>
    <row r="992" spans="33:51" x14ac:dyDescent="0.25">
      <c r="AG992" s="66" t="str">
        <f>IF(AND(Множество[[#This Row],[Y]]=1),ROW()-ROW(Множество[[#Headers],[№]]),"")</f>
        <v/>
      </c>
      <c r="AI992" s="66">
        <v>1</v>
      </c>
      <c r="AJ992" s="66">
        <f>IF(LEN(Множество[[#This Row],[Свёртка]])&gt;0,1,-1)</f>
        <v>1</v>
      </c>
      <c r="AK992" s="66" t="s">
        <v>1781</v>
      </c>
      <c r="AL992" s="209">
        <f>IF(LEN(Множество[[#This Row],[Критерии]])&gt;0,1,-1)</f>
        <v>1</v>
      </c>
      <c r="AM992" s="209">
        <f>IF(AND(LEN(Множество[[#This Row],[Свёртка]])&gt;0,LEN(Множество[[#This Row],[Критерии]])&gt;0,LEN(Множество[[#This Row],[Оценки]])&gt;0),1,-1)</f>
        <v>-1</v>
      </c>
      <c r="AN992" s="230"/>
      <c r="AO992" s="208"/>
      <c r="AP992" s="208"/>
      <c r="AQ992" s="208"/>
      <c r="AR992" s="226"/>
      <c r="AS992" s="225"/>
      <c r="AT992" s="226"/>
      <c r="AU992" s="225"/>
      <c r="AV992" s="225"/>
      <c r="AW992" s="225"/>
      <c r="AX992" s="225"/>
      <c r="AY992" s="225"/>
    </row>
    <row r="993" spans="33:51" x14ac:dyDescent="0.25">
      <c r="AG993" s="66" t="str">
        <f>IF(AND(Множество[[#This Row],[Y]]=1),ROW()-ROW(Множество[[#Headers],[№]]),"")</f>
        <v/>
      </c>
      <c r="AI993" s="66">
        <v>1</v>
      </c>
      <c r="AJ993" s="66">
        <f>IF(LEN(Множество[[#This Row],[Свёртка]])&gt;0,1,-1)</f>
        <v>1</v>
      </c>
      <c r="AK993" s="66" t="s">
        <v>1781</v>
      </c>
      <c r="AL993" s="209">
        <f>IF(LEN(Множество[[#This Row],[Критерии]])&gt;0,1,-1)</f>
        <v>1</v>
      </c>
      <c r="AM993" s="209">
        <f>IF(AND(LEN(Множество[[#This Row],[Свёртка]])&gt;0,LEN(Множество[[#This Row],[Критерии]])&gt;0,LEN(Множество[[#This Row],[Оценки]])&gt;0),1,-1)</f>
        <v>-1</v>
      </c>
      <c r="AN993" s="230"/>
      <c r="AO993" s="208"/>
      <c r="AP993" s="208"/>
      <c r="AQ993" s="208"/>
      <c r="AR993" s="226"/>
      <c r="AS993" s="225"/>
      <c r="AT993" s="226"/>
      <c r="AU993" s="225"/>
      <c r="AV993" s="225"/>
      <c r="AW993" s="225"/>
      <c r="AX993" s="225"/>
      <c r="AY993" s="225"/>
    </row>
    <row r="994" spans="33:51" x14ac:dyDescent="0.25">
      <c r="AG994" s="66" t="str">
        <f>IF(AND(Множество[[#This Row],[Y]]=1),ROW()-ROW(Множество[[#Headers],[№]]),"")</f>
        <v/>
      </c>
      <c r="AI994" s="66">
        <v>1</v>
      </c>
      <c r="AJ994" s="66">
        <f>IF(LEN(Множество[[#This Row],[Свёртка]])&gt;0,1,-1)</f>
        <v>1</v>
      </c>
      <c r="AK994" s="66" t="s">
        <v>1781</v>
      </c>
      <c r="AL994" s="209">
        <f>IF(LEN(Множество[[#This Row],[Критерии]])&gt;0,1,-1)</f>
        <v>1</v>
      </c>
      <c r="AM994" s="209">
        <f>IF(AND(LEN(Множество[[#This Row],[Свёртка]])&gt;0,LEN(Множество[[#This Row],[Критерии]])&gt;0,LEN(Множество[[#This Row],[Оценки]])&gt;0),1,-1)</f>
        <v>-1</v>
      </c>
      <c r="AN994" s="230"/>
      <c r="AO994" s="208"/>
      <c r="AP994" s="208"/>
      <c r="AQ994" s="208"/>
      <c r="AR994" s="226"/>
      <c r="AS994" s="225"/>
      <c r="AT994" s="226"/>
      <c r="AU994" s="225"/>
      <c r="AV994" s="225"/>
      <c r="AW994" s="225"/>
      <c r="AX994" s="225"/>
      <c r="AY994" s="225"/>
    </row>
    <row r="995" spans="33:51" x14ac:dyDescent="0.25">
      <c r="AG995" s="66" t="str">
        <f>IF(AND(Множество[[#This Row],[Y]]=1),ROW()-ROW(Множество[[#Headers],[№]]),"")</f>
        <v/>
      </c>
      <c r="AI995" s="66">
        <v>1</v>
      </c>
      <c r="AJ995" s="66">
        <f>IF(LEN(Множество[[#This Row],[Свёртка]])&gt;0,1,-1)</f>
        <v>1</v>
      </c>
      <c r="AK995" s="66" t="s">
        <v>1781</v>
      </c>
      <c r="AL995" s="209">
        <f>IF(LEN(Множество[[#This Row],[Критерии]])&gt;0,1,-1)</f>
        <v>1</v>
      </c>
      <c r="AM995" s="209">
        <f>IF(AND(LEN(Множество[[#This Row],[Свёртка]])&gt;0,LEN(Множество[[#This Row],[Критерии]])&gt;0,LEN(Множество[[#This Row],[Оценки]])&gt;0),1,-1)</f>
        <v>-1</v>
      </c>
      <c r="AN995" s="230"/>
      <c r="AO995" s="208"/>
      <c r="AP995" s="208"/>
      <c r="AQ995" s="208"/>
      <c r="AR995" s="226"/>
      <c r="AS995" s="225"/>
      <c r="AT995" s="226"/>
      <c r="AU995" s="225"/>
      <c r="AV995" s="225"/>
      <c r="AW995" s="225"/>
      <c r="AX995" s="225"/>
      <c r="AY995" s="225"/>
    </row>
    <row r="996" spans="33:51" x14ac:dyDescent="0.25">
      <c r="AG996" s="66" t="str">
        <f>IF(AND(Множество[[#This Row],[Y]]=1),ROW()-ROW(Множество[[#Headers],[№]]),"")</f>
        <v/>
      </c>
      <c r="AI996" s="66">
        <v>1</v>
      </c>
      <c r="AJ996" s="66">
        <f>IF(LEN(Множество[[#This Row],[Свёртка]])&gt;0,1,-1)</f>
        <v>1</v>
      </c>
      <c r="AK996" s="66" t="s">
        <v>1781</v>
      </c>
      <c r="AL996" s="209">
        <f>IF(LEN(Множество[[#This Row],[Критерии]])&gt;0,1,-1)</f>
        <v>1</v>
      </c>
      <c r="AM996" s="209">
        <f>IF(AND(LEN(Множество[[#This Row],[Свёртка]])&gt;0,LEN(Множество[[#This Row],[Критерии]])&gt;0,LEN(Множество[[#This Row],[Оценки]])&gt;0),1,-1)</f>
        <v>-1</v>
      </c>
      <c r="AN996" s="230"/>
      <c r="AO996" s="208"/>
      <c r="AP996" s="208"/>
      <c r="AQ996" s="208"/>
      <c r="AR996" s="226"/>
      <c r="AS996" s="225"/>
      <c r="AT996" s="226"/>
      <c r="AU996" s="225"/>
      <c r="AV996" s="225"/>
      <c r="AW996" s="225"/>
      <c r="AX996" s="225"/>
      <c r="AY996" s="225"/>
    </row>
    <row r="997" spans="33:51" x14ac:dyDescent="0.25">
      <c r="AG997" s="66" t="str">
        <f>IF(AND(Множество[[#This Row],[Y]]=1),ROW()-ROW(Множество[[#Headers],[№]]),"")</f>
        <v/>
      </c>
      <c r="AI997" s="66">
        <v>1</v>
      </c>
      <c r="AJ997" s="66">
        <f>IF(LEN(Множество[[#This Row],[Свёртка]])&gt;0,1,-1)</f>
        <v>1</v>
      </c>
      <c r="AK997" s="66" t="s">
        <v>1781</v>
      </c>
      <c r="AL997" s="209">
        <f>IF(LEN(Множество[[#This Row],[Критерии]])&gt;0,1,-1)</f>
        <v>1</v>
      </c>
      <c r="AM997" s="209">
        <f>IF(AND(LEN(Множество[[#This Row],[Свёртка]])&gt;0,LEN(Множество[[#This Row],[Критерии]])&gt;0,LEN(Множество[[#This Row],[Оценки]])&gt;0),1,-1)</f>
        <v>-1</v>
      </c>
      <c r="AN997" s="230"/>
      <c r="AO997" s="208"/>
      <c r="AP997" s="208"/>
      <c r="AQ997" s="208"/>
      <c r="AR997" s="226"/>
      <c r="AS997" s="225"/>
      <c r="AT997" s="226"/>
      <c r="AU997" s="225"/>
      <c r="AV997" s="225"/>
      <c r="AW997" s="225"/>
      <c r="AX997" s="225"/>
      <c r="AY997" s="225"/>
    </row>
    <row r="998" spans="33:51" x14ac:dyDescent="0.25">
      <c r="AG998" s="66" t="str">
        <f>IF(AND(Множество[[#This Row],[Y]]=1),ROW()-ROW(Множество[[#Headers],[№]]),"")</f>
        <v/>
      </c>
      <c r="AI998" s="66">
        <v>1</v>
      </c>
      <c r="AJ998" s="66">
        <f>IF(LEN(Множество[[#This Row],[Свёртка]])&gt;0,1,-1)</f>
        <v>1</v>
      </c>
      <c r="AK998" s="66" t="s">
        <v>1781</v>
      </c>
      <c r="AL998" s="209">
        <f>IF(LEN(Множество[[#This Row],[Критерии]])&gt;0,1,-1)</f>
        <v>1</v>
      </c>
      <c r="AM998" s="209">
        <f>IF(AND(LEN(Множество[[#This Row],[Свёртка]])&gt;0,LEN(Множество[[#This Row],[Критерии]])&gt;0,LEN(Множество[[#This Row],[Оценки]])&gt;0),1,-1)</f>
        <v>-1</v>
      </c>
      <c r="AN998" s="230"/>
      <c r="AO998" s="208"/>
      <c r="AP998" s="208"/>
      <c r="AQ998" s="208"/>
      <c r="AR998" s="226"/>
      <c r="AS998" s="225"/>
      <c r="AT998" s="226"/>
      <c r="AU998" s="225"/>
      <c r="AV998" s="225"/>
      <c r="AW998" s="225"/>
      <c r="AX998" s="225"/>
      <c r="AY998" s="225"/>
    </row>
    <row r="999" spans="33:51" x14ac:dyDescent="0.25">
      <c r="AG999" s="66" t="str">
        <f>IF(AND(Множество[[#This Row],[Y]]=1),ROW()-ROW(Множество[[#Headers],[№]]),"")</f>
        <v/>
      </c>
      <c r="AI999" s="66">
        <v>1</v>
      </c>
      <c r="AJ999" s="66">
        <f>IF(LEN(Множество[[#This Row],[Свёртка]])&gt;0,1,-1)</f>
        <v>1</v>
      </c>
      <c r="AK999" s="66" t="s">
        <v>1781</v>
      </c>
      <c r="AL999" s="209">
        <f>IF(LEN(Множество[[#This Row],[Критерии]])&gt;0,1,-1)</f>
        <v>1</v>
      </c>
      <c r="AM999" s="209">
        <f>IF(AND(LEN(Множество[[#This Row],[Свёртка]])&gt;0,LEN(Множество[[#This Row],[Критерии]])&gt;0,LEN(Множество[[#This Row],[Оценки]])&gt;0),1,-1)</f>
        <v>-1</v>
      </c>
      <c r="AN999" s="230"/>
      <c r="AO999" s="208"/>
      <c r="AP999" s="208"/>
      <c r="AQ999" s="208"/>
      <c r="AR999" s="226"/>
      <c r="AS999" s="225"/>
      <c r="AT999" s="226"/>
      <c r="AU999" s="225"/>
      <c r="AV999" s="225"/>
      <c r="AW999" s="225"/>
      <c r="AX999" s="225"/>
      <c r="AY999" s="225"/>
    </row>
    <row r="1000" spans="33:51" x14ac:dyDescent="0.25">
      <c r="AG1000" s="66" t="str">
        <f>IF(AND(Множество[[#This Row],[Y]]=1),ROW()-ROW(Множество[[#Headers],[№]]),"")</f>
        <v/>
      </c>
      <c r="AI1000" s="66">
        <v>1</v>
      </c>
      <c r="AJ1000" s="66">
        <f>IF(LEN(Множество[[#This Row],[Свёртка]])&gt;0,1,-1)</f>
        <v>1</v>
      </c>
      <c r="AK1000" s="66" t="s">
        <v>1781</v>
      </c>
      <c r="AL1000" s="209">
        <f>IF(LEN(Множество[[#This Row],[Критерии]])&gt;0,1,-1)</f>
        <v>1</v>
      </c>
      <c r="AM1000" s="209">
        <f>IF(AND(LEN(Множество[[#This Row],[Свёртка]])&gt;0,LEN(Множество[[#This Row],[Критерии]])&gt;0,LEN(Множество[[#This Row],[Оценки]])&gt;0),1,-1)</f>
        <v>-1</v>
      </c>
      <c r="AN1000" s="230"/>
      <c r="AO1000" s="208"/>
      <c r="AP1000" s="208"/>
      <c r="AQ1000" s="208"/>
      <c r="AR1000" s="226"/>
      <c r="AS1000" s="225"/>
      <c r="AT1000" s="226"/>
      <c r="AU1000" s="225"/>
      <c r="AV1000" s="225"/>
      <c r="AW1000" s="225"/>
      <c r="AX1000" s="225"/>
      <c r="AY1000" s="225"/>
    </row>
    <row r="1001" spans="33:51" x14ac:dyDescent="0.25">
      <c r="AG1001" s="66" t="str">
        <f>IF(AND(Множество[[#This Row],[Y]]=1),ROW()-ROW(Множество[[#Headers],[№]]),"")</f>
        <v/>
      </c>
      <c r="AI1001" s="66">
        <v>1</v>
      </c>
      <c r="AJ1001" s="66">
        <f>IF(LEN(Множество[[#This Row],[Свёртка]])&gt;0,1,-1)</f>
        <v>1</v>
      </c>
      <c r="AK1001" s="66" t="s">
        <v>1781</v>
      </c>
      <c r="AL1001" s="209">
        <f>IF(LEN(Множество[[#This Row],[Критерии]])&gt;0,1,-1)</f>
        <v>1</v>
      </c>
      <c r="AM1001" s="209">
        <f>IF(AND(LEN(Множество[[#This Row],[Свёртка]])&gt;0,LEN(Множество[[#This Row],[Критерии]])&gt;0,LEN(Множество[[#This Row],[Оценки]])&gt;0),1,-1)</f>
        <v>-1</v>
      </c>
      <c r="AN1001" s="230"/>
      <c r="AO1001" s="208"/>
      <c r="AP1001" s="208"/>
      <c r="AQ1001" s="208"/>
      <c r="AR1001" s="226"/>
      <c r="AS1001" s="225"/>
      <c r="AT1001" s="226"/>
      <c r="AU1001" s="225"/>
      <c r="AV1001" s="225"/>
      <c r="AW1001" s="225"/>
      <c r="AX1001" s="225"/>
      <c r="AY1001" s="225"/>
    </row>
    <row r="1002" spans="33:51" x14ac:dyDescent="0.25">
      <c r="AG1002" s="66" t="str">
        <f>IF(AND(Множество[[#This Row],[Y]]=1),ROW()-ROW(Множество[[#Headers],[№]]),"")</f>
        <v/>
      </c>
      <c r="AI1002" s="66">
        <v>1</v>
      </c>
      <c r="AJ1002" s="66">
        <f>IF(LEN(Множество[[#This Row],[Свёртка]])&gt;0,1,-1)</f>
        <v>1</v>
      </c>
      <c r="AK1002" s="66" t="s">
        <v>1781</v>
      </c>
      <c r="AL1002" s="209">
        <f>IF(LEN(Множество[[#This Row],[Критерии]])&gt;0,1,-1)</f>
        <v>1</v>
      </c>
      <c r="AM1002" s="209">
        <f>IF(AND(LEN(Множество[[#This Row],[Свёртка]])&gt;0,LEN(Множество[[#This Row],[Критерии]])&gt;0,LEN(Множество[[#This Row],[Оценки]])&gt;0),1,-1)</f>
        <v>-1</v>
      </c>
      <c r="AN1002" s="230"/>
      <c r="AO1002" s="208"/>
      <c r="AP1002" s="208"/>
      <c r="AQ1002" s="208"/>
      <c r="AR1002" s="226"/>
      <c r="AS1002" s="225"/>
      <c r="AT1002" s="226"/>
      <c r="AU1002" s="225"/>
      <c r="AV1002" s="225"/>
      <c r="AW1002" s="225"/>
      <c r="AX1002" s="225"/>
      <c r="AY1002" s="225"/>
    </row>
    <row r="1003" spans="33:51" x14ac:dyDescent="0.25">
      <c r="AG1003" s="66" t="str">
        <f>IF(AND(Множество[[#This Row],[Y]]=1),ROW()-ROW(Множество[[#Headers],[№]]),"")</f>
        <v/>
      </c>
      <c r="AI1003" s="66">
        <v>1</v>
      </c>
      <c r="AJ1003" s="66">
        <f>IF(LEN(Множество[[#This Row],[Свёртка]])&gt;0,1,-1)</f>
        <v>1</v>
      </c>
      <c r="AK1003" s="66" t="s">
        <v>1781</v>
      </c>
      <c r="AL1003" s="209">
        <f>IF(LEN(Множество[[#This Row],[Критерии]])&gt;0,1,-1)</f>
        <v>1</v>
      </c>
      <c r="AM1003" s="209">
        <f>IF(AND(LEN(Множество[[#This Row],[Свёртка]])&gt;0,LEN(Множество[[#This Row],[Критерии]])&gt;0,LEN(Множество[[#This Row],[Оценки]])&gt;0),1,-1)</f>
        <v>-1</v>
      </c>
      <c r="AN1003" s="230"/>
      <c r="AO1003" s="208"/>
      <c r="AP1003" s="208"/>
      <c r="AQ1003" s="208"/>
      <c r="AR1003" s="226"/>
      <c r="AS1003" s="225"/>
      <c r="AT1003" s="226"/>
      <c r="AU1003" s="225"/>
      <c r="AV1003" s="225"/>
      <c r="AW1003" s="225"/>
      <c r="AX1003" s="225"/>
      <c r="AY1003" s="225"/>
    </row>
    <row r="1004" spans="33:51" x14ac:dyDescent="0.25">
      <c r="AG1004" s="66" t="str">
        <f>IF(AND(Множество[[#This Row],[Y]]=1),ROW()-ROW(Множество[[#Headers],[№]]),"")</f>
        <v/>
      </c>
      <c r="AI1004" s="66">
        <v>1</v>
      </c>
      <c r="AJ1004" s="66">
        <f>IF(LEN(Множество[[#This Row],[Свёртка]])&gt;0,1,-1)</f>
        <v>1</v>
      </c>
      <c r="AK1004" s="66" t="s">
        <v>1781</v>
      </c>
      <c r="AL1004" s="209">
        <f>IF(LEN(Множество[[#This Row],[Критерии]])&gt;0,1,-1)</f>
        <v>1</v>
      </c>
      <c r="AM1004" s="209">
        <f>IF(AND(LEN(Множество[[#This Row],[Свёртка]])&gt;0,LEN(Множество[[#This Row],[Критерии]])&gt;0,LEN(Множество[[#This Row],[Оценки]])&gt;0),1,-1)</f>
        <v>-1</v>
      </c>
      <c r="AN1004" s="230"/>
      <c r="AO1004" s="208"/>
      <c r="AP1004" s="208"/>
      <c r="AQ1004" s="208"/>
      <c r="AR1004" s="226"/>
      <c r="AS1004" s="225"/>
      <c r="AT1004" s="226"/>
      <c r="AU1004" s="225"/>
      <c r="AV1004" s="225"/>
      <c r="AW1004" s="225"/>
      <c r="AX1004" s="225"/>
      <c r="AY1004" s="225"/>
    </row>
    <row r="1005" spans="33:51" x14ac:dyDescent="0.25">
      <c r="AG1005" s="66" t="str">
        <f>IF(AND(Множество[[#This Row],[Y]]=1),ROW()-ROW(Множество[[#Headers],[№]]),"")</f>
        <v/>
      </c>
      <c r="AI1005" s="66">
        <v>1</v>
      </c>
      <c r="AJ1005" s="66">
        <f>IF(LEN(Множество[[#This Row],[Свёртка]])&gt;0,1,-1)</f>
        <v>1</v>
      </c>
      <c r="AK1005" s="66" t="s">
        <v>1781</v>
      </c>
      <c r="AL1005" s="209">
        <f>IF(LEN(Множество[[#This Row],[Критерии]])&gt;0,1,-1)</f>
        <v>1</v>
      </c>
      <c r="AM1005" s="209">
        <f>IF(AND(LEN(Множество[[#This Row],[Свёртка]])&gt;0,LEN(Множество[[#This Row],[Критерии]])&gt;0,LEN(Множество[[#This Row],[Оценки]])&gt;0),1,-1)</f>
        <v>-1</v>
      </c>
      <c r="AN1005" s="230"/>
      <c r="AO1005" s="208"/>
      <c r="AP1005" s="208"/>
      <c r="AQ1005" s="208"/>
      <c r="AR1005" s="226"/>
      <c r="AS1005" s="225"/>
      <c r="AT1005" s="226"/>
      <c r="AU1005" s="225"/>
      <c r="AV1005" s="225"/>
      <c r="AW1005" s="225"/>
      <c r="AX1005" s="225"/>
      <c r="AY1005" s="225"/>
    </row>
    <row r="1006" spans="33:51" x14ac:dyDescent="0.25">
      <c r="AG1006" s="66" t="str">
        <f>IF(AND(Множество[[#This Row],[Y]]=1),ROW()-ROW(Множество[[#Headers],[№]]),"")</f>
        <v/>
      </c>
      <c r="AI1006" s="66">
        <v>1</v>
      </c>
      <c r="AJ1006" s="66">
        <f>IF(LEN(Множество[[#This Row],[Свёртка]])&gt;0,1,-1)</f>
        <v>1</v>
      </c>
      <c r="AK1006" s="66" t="s">
        <v>1781</v>
      </c>
      <c r="AL1006" s="209">
        <f>IF(LEN(Множество[[#This Row],[Критерии]])&gt;0,1,-1)</f>
        <v>1</v>
      </c>
      <c r="AM1006" s="209">
        <f>IF(AND(LEN(Множество[[#This Row],[Свёртка]])&gt;0,LEN(Множество[[#This Row],[Критерии]])&gt;0,LEN(Множество[[#This Row],[Оценки]])&gt;0),1,-1)</f>
        <v>-1</v>
      </c>
      <c r="AN1006" s="230"/>
      <c r="AO1006" s="208"/>
      <c r="AP1006" s="208"/>
      <c r="AQ1006" s="208"/>
      <c r="AR1006" s="226"/>
      <c r="AS1006" s="225"/>
      <c r="AT1006" s="226"/>
      <c r="AU1006" s="225"/>
      <c r="AV1006" s="225"/>
      <c r="AW1006" s="225"/>
      <c r="AX1006" s="225"/>
      <c r="AY1006" s="225"/>
    </row>
    <row r="1007" spans="33:51" x14ac:dyDescent="0.25">
      <c r="AG1007" s="66" t="str">
        <f>IF(AND(Множество[[#This Row],[Y]]=1),ROW()-ROW(Множество[[#Headers],[№]]),"")</f>
        <v/>
      </c>
      <c r="AI1007" s="66">
        <v>1</v>
      </c>
      <c r="AJ1007" s="66">
        <f>IF(LEN(Множество[[#This Row],[Свёртка]])&gt;0,1,-1)</f>
        <v>1</v>
      </c>
      <c r="AK1007" s="66" t="s">
        <v>1781</v>
      </c>
      <c r="AL1007" s="209">
        <f>IF(LEN(Множество[[#This Row],[Критерии]])&gt;0,1,-1)</f>
        <v>1</v>
      </c>
      <c r="AM1007" s="209">
        <f>IF(AND(LEN(Множество[[#This Row],[Свёртка]])&gt;0,LEN(Множество[[#This Row],[Критерии]])&gt;0,LEN(Множество[[#This Row],[Оценки]])&gt;0),1,-1)</f>
        <v>-1</v>
      </c>
      <c r="AN1007" s="230"/>
      <c r="AO1007" s="208"/>
      <c r="AP1007" s="208"/>
      <c r="AQ1007" s="208"/>
      <c r="AR1007" s="226"/>
      <c r="AS1007" s="225"/>
      <c r="AT1007" s="226"/>
      <c r="AU1007" s="225"/>
      <c r="AV1007" s="225"/>
      <c r="AW1007" s="225"/>
      <c r="AX1007" s="225"/>
      <c r="AY1007" s="225"/>
    </row>
    <row r="1008" spans="33:51" x14ac:dyDescent="0.25">
      <c r="AG1008" s="66" t="str">
        <f>IF(AND(Множество[[#This Row],[Y]]=1),ROW()-ROW(Множество[[#Headers],[№]]),"")</f>
        <v/>
      </c>
      <c r="AI1008" s="66">
        <v>1</v>
      </c>
      <c r="AJ1008" s="66">
        <f>IF(LEN(Множество[[#This Row],[Свёртка]])&gt;0,1,-1)</f>
        <v>1</v>
      </c>
      <c r="AK1008" s="66" t="s">
        <v>1781</v>
      </c>
      <c r="AL1008" s="209">
        <f>IF(LEN(Множество[[#This Row],[Критерии]])&gt;0,1,-1)</f>
        <v>1</v>
      </c>
      <c r="AM1008" s="209">
        <f>IF(AND(LEN(Множество[[#This Row],[Свёртка]])&gt;0,LEN(Множество[[#This Row],[Критерии]])&gt;0,LEN(Множество[[#This Row],[Оценки]])&gt;0),1,-1)</f>
        <v>-1</v>
      </c>
      <c r="AN1008" s="230"/>
      <c r="AO1008" s="208"/>
      <c r="AP1008" s="208"/>
      <c r="AQ1008" s="208"/>
      <c r="AR1008" s="226"/>
      <c r="AS1008" s="225"/>
      <c r="AT1008" s="226"/>
      <c r="AU1008" s="225"/>
      <c r="AV1008" s="225"/>
      <c r="AW1008" s="225"/>
      <c r="AX1008" s="225"/>
      <c r="AY1008" s="225"/>
    </row>
    <row r="1009" spans="33:51" x14ac:dyDescent="0.25">
      <c r="AG1009" s="66" t="str">
        <f>IF(AND(Множество[[#This Row],[Y]]=1),ROW()-ROW(Множество[[#Headers],[№]]),"")</f>
        <v/>
      </c>
      <c r="AI1009" s="66">
        <v>1</v>
      </c>
      <c r="AJ1009" s="66">
        <f>IF(LEN(Множество[[#This Row],[Свёртка]])&gt;0,1,-1)</f>
        <v>1</v>
      </c>
      <c r="AK1009" s="66" t="s">
        <v>1781</v>
      </c>
      <c r="AL1009" s="209">
        <f>IF(LEN(Множество[[#This Row],[Критерии]])&gt;0,1,-1)</f>
        <v>1</v>
      </c>
      <c r="AM1009" s="209">
        <f>IF(AND(LEN(Множество[[#This Row],[Свёртка]])&gt;0,LEN(Множество[[#This Row],[Критерии]])&gt;0,LEN(Множество[[#This Row],[Оценки]])&gt;0),1,-1)</f>
        <v>-1</v>
      </c>
      <c r="AN1009" s="230"/>
      <c r="AO1009" s="208"/>
      <c r="AP1009" s="208"/>
      <c r="AQ1009" s="208"/>
      <c r="AR1009" s="226"/>
      <c r="AS1009" s="225"/>
      <c r="AT1009" s="226"/>
      <c r="AU1009" s="225"/>
      <c r="AV1009" s="225"/>
      <c r="AW1009" s="225"/>
      <c r="AX1009" s="225"/>
      <c r="AY1009" s="225"/>
    </row>
  </sheetData>
  <phoneticPr fontId="31" type="noConversion"/>
  <conditionalFormatting sqref="S10:S123">
    <cfRule type="iconSet" priority="26">
      <iconSet showValue="0">
        <cfvo type="percent" val="0"/>
        <cfvo type="num" val="0"/>
        <cfvo type="num" val="1"/>
      </iconSet>
    </cfRule>
  </conditionalFormatting>
  <conditionalFormatting sqref="C10:C123">
    <cfRule type="cellIs" dxfId="1590" priority="25" operator="notBetween">
      <formula>1</formula>
      <formula>4</formula>
    </cfRule>
  </conditionalFormatting>
  <conditionalFormatting sqref="AB14:AB17">
    <cfRule type="iconSet" priority="24">
      <iconSet showValue="0">
        <cfvo type="percent" val="0"/>
        <cfvo type="num" val="0"/>
        <cfvo type="num" val="1"/>
      </iconSet>
    </cfRule>
  </conditionalFormatting>
  <conditionalFormatting sqref="V10:V66">
    <cfRule type="cellIs" dxfId="1589" priority="22" operator="notBetween">
      <formula>1</formula>
      <formula>4</formula>
    </cfRule>
  </conditionalFormatting>
  <conditionalFormatting sqref="AB12:AB13">
    <cfRule type="iconSet" priority="23">
      <iconSet showValue="0">
        <cfvo type="percent" val="0"/>
        <cfvo type="num" val="0"/>
        <cfvo type="num" val="1"/>
      </iconSet>
    </cfRule>
  </conditionalFormatting>
  <conditionalFormatting sqref="AB10:AB66">
    <cfRule type="iconSet" priority="21">
      <iconSet showValue="0">
        <cfvo type="percent" val="0"/>
        <cfvo type="num" val="0"/>
        <cfvo type="num" val="1"/>
      </iconSet>
    </cfRule>
  </conditionalFormatting>
  <conditionalFormatting sqref="AZ10:BL1009">
    <cfRule type="expression" dxfId="1588" priority="20">
      <formula>IF(AND(LEN($AK10)&gt;0,LEN($AK10)-LEN(SUBSTITUTE($AK10,";",""))+1&gt;=COLUMN()-39),0,1)</formula>
    </cfRule>
  </conditionalFormatting>
  <conditionalFormatting sqref="AH290:AI1009 AK10:AK1009">
    <cfRule type="containsBlanks" dxfId="1587" priority="18">
      <formula>LEN(TRIM(AH10))=0</formula>
    </cfRule>
  </conditionalFormatting>
  <conditionalFormatting sqref="AH290:AI1008 AI380:AI1009 AH336:AH1009 AK10:AK1009">
    <cfRule type="containsBlanks" dxfId="1586" priority="16">
      <formula>LEN(TRIM(AH10))=0</formula>
    </cfRule>
  </conditionalFormatting>
  <conditionalFormatting sqref="AI290:AI1009 AK10:AK1009">
    <cfRule type="containsBlanks" dxfId="1585" priority="15">
      <formula>LEN(TRIM(AI10))=0</formula>
    </cfRule>
  </conditionalFormatting>
  <conditionalFormatting sqref="AK1009">
    <cfRule type="containsBlanks" dxfId="1584" priority="14">
      <formula>LEN(TRIM(AK1009))=0</formula>
    </cfRule>
  </conditionalFormatting>
  <conditionalFormatting sqref="AK1009">
    <cfRule type="containsBlanks" dxfId="1583" priority="13">
      <formula>LEN(TRIM(AK1009))=0</formula>
    </cfRule>
  </conditionalFormatting>
  <conditionalFormatting sqref="AM290:AM1009">
    <cfRule type="iconSet" priority="400">
      <iconSet showValue="0">
        <cfvo type="percent" val="0"/>
        <cfvo type="percent" val="0" gte="0"/>
        <cfvo type="num" val="1"/>
      </iconSet>
    </cfRule>
  </conditionalFormatting>
  <conditionalFormatting sqref="AH10:AI289 AI10:AI1009 AH172:AH1009 AK10:AK1009">
    <cfRule type="containsBlanks" dxfId="1582" priority="3">
      <formula>LEN(TRIM(AH10))=0</formula>
    </cfRule>
  </conditionalFormatting>
  <conditionalFormatting sqref="AK12:AK289 AH12:AI289 AH172:AH1009">
    <cfRule type="containsBlanks" dxfId="1581" priority="2">
      <formula>LEN(TRIM(AH12))=0</formula>
    </cfRule>
  </conditionalFormatting>
  <conditionalFormatting sqref="AH11:AI11 AI12:AI289 AK11:AK289 AK291 AK293 AK295 AK297 AK299 AK301 AK303 AK305 AK307 AK309 AK311 AK313 AK315 AK317 AK319 AK321 AK323 AK325 AK327 AK329 AK331 AK333 AK335 AK337 AK339 AK341 AK343 AK345 AK347 AK349 AK351 AK353 AK355 AK357 AK359 AK361 AK363 AK365 AK367 AK369 AK371 AK373 AK375 AK377 AK379 AK381 AK383 AK385 AK387 AK389 AK391 AK393 AK395 AK397 AK399 AK401 AK403 AK405 AK407 AK409 AK411 AK413 AK415 AK417 AK419 AK421 AK423 AK425 AK427 AK429 AK431 AK433 AK435 AK437 AK439 AK441 AK443 AK445 AK447 AK449 AK451 AK453 AK455 AK457 AK459 AK461 AK463 AK465 AK467 AK469 AK471 AK473 AK475 AK477 AK479 AK481 AK483 AK485 AK487 AK489 AK491 AK493 AK495 AK497 AK499 AK501 AK503 AK505 AK507 AK509 AK511 AK513 AK515 AK517 AK519 AK521 AK523 AK525 AK527 AK529 AK531 AK533 AK535 AK537 AK539 AK541 AK543 AK545 AK547 AK549 AK551 AK553 AK555 AK557 AK559 AK561 AK563 AK565 AK567 AK569 AK571 AK573 AK575 AK577 AK579 AK581 AK583 AK585 AK587 AK589 AK591 AK593 AK595 AK597 AK599 AK601 AK603 AK605 AK607 AK609 AK611 AK613 AK615 AK617 AK619 AK621 AK623 AK625 AK627 AK629 AK631 AK633 AK635 AK637 AK639 AK641 AK643 AK645 AK647 AK649 AK651 AK653 AK655 AK657 AK659 AK661 AK663 AK665 AK667 AK669 AK671 AK673 AK675 AK677 AK679 AK681 AK683 AK685 AK687 AK689 AK691 AK693 AK695 AK697 AK699 AK701 AK703 AK705 AK707 AK709 AK711 AK713 AK715 AK717 AK719 AK721 AK723 AK725 AK727 AK729 AK731 AK733 AK735 AK737 AK739 AK741 AK743 AK745 AK747 AK749 AK751 AK753 AK755 AK757 AK759 AK761 AK763 AK765 AK767 AK769 AK771 AK773 AK775 AK777 AK779 AK781 AK783 AK785 AK787 AK789 AK791 AK793 AK795 AK797 AK799 AK801 AK803 AK805 AK807 AK809 AK811 AK813 AK815 AK817 AK819 AK821 AK823 AK825 AK827 AK829 AK831 AK833 AK835 AK837 AK839 AK841 AK843 AK845 AK847 AK849 AK851 AK853 AK855 AK857 AK859 AK861 AK863 AK865 AK867 AK869 AK871 AK873 AK875 AK877 AK879 AK881 AK883 AK885 AK887 AK889 AK891 AK893 AK895 AK897 AK899 AK901 AK903 AK905 AK907 AK909 AK911 AK913 AK915 AK917 AK919 AK921 AK923 AK925 AK927 AK929 AK931 AK933 AK935 AK937 AK939 AK941 AK943 AK945 AK947 AK949 AK951 AK953 AK955 AK957 AK959 AK961 AK963 AK965 AK967 AK969 AK971 AK973 AK975 AK977 AK979 AK981 AK983 AK985 AK987 AK989 AK991 AK993 AK995 AK997 AK999 AK1001 AK1003 AK1005 AK1007 AK1009">
    <cfRule type="containsBlanks" dxfId="1580" priority="1">
      <formula>LEN(TRIM(AH11))=0</formula>
    </cfRule>
  </conditionalFormatting>
  <conditionalFormatting sqref="AM10:AM289">
    <cfRule type="iconSet" priority="5">
      <iconSet showValue="0">
        <cfvo type="percent" val="0"/>
        <cfvo type="percent" val="0" gte="0"/>
        <cfvo type="num" val="1"/>
      </iconSet>
    </cfRule>
  </conditionalFormatting>
  <dataValidations count="2">
    <dataValidation type="list" allowBlank="1" showInputMessage="1" showErrorMessage="1" sqref="AH10:AH1009" xr:uid="{A2C8A1CD-C918-43A9-B930-EB4E8084BB34}">
      <formula1>"Качественные, Количественные"</formula1>
    </dataValidation>
    <dataValidation type="list" allowBlank="1" showInputMessage="1" showErrorMessage="1" sqref="AI10:AI1009" xr:uid="{69AF2F6A-0794-4460-BAA6-ED857EED6441}">
      <formula1>INDIRECT("Свёртка[№]")</formula1>
    </dataValidation>
  </dataValidations>
  <pageMargins left="0.7" right="0.7" top="0.75" bottom="0.75" header="0.3" footer="0.3"/>
  <pageSetup paperSize="9" orientation="portrait" r:id="rId1"/>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9DA734-EABE-4585-A367-B62FE953D791}">
  <sheetPr codeName="Лист20"/>
  <dimension ref="A1:AC350"/>
  <sheetViews>
    <sheetView tabSelected="1" topLeftCell="H310" zoomScale="85" zoomScaleNormal="85" workbookViewId="0">
      <selection activeCell="AH329" sqref="AH329"/>
    </sheetView>
  </sheetViews>
  <sheetFormatPr defaultRowHeight="15" x14ac:dyDescent="0.25"/>
  <cols>
    <col min="1" max="1" width="11.85546875" customWidth="1"/>
    <col min="23" max="23" width="20.28515625" customWidth="1"/>
    <col min="29" max="29" width="22.28515625" customWidth="1"/>
  </cols>
  <sheetData>
    <row r="1" spans="1:29" x14ac:dyDescent="0.25">
      <c r="A1" t="s">
        <v>395</v>
      </c>
      <c r="B1" t="s">
        <v>411</v>
      </c>
      <c r="C1" t="s">
        <v>619</v>
      </c>
      <c r="D1" t="s">
        <v>417</v>
      </c>
      <c r="E1" t="s">
        <v>620</v>
      </c>
      <c r="F1" s="213" t="s">
        <v>100</v>
      </c>
      <c r="G1" t="s">
        <v>101</v>
      </c>
      <c r="H1" t="s">
        <v>418</v>
      </c>
      <c r="I1" t="s">
        <v>419</v>
      </c>
      <c r="J1" t="s">
        <v>420</v>
      </c>
      <c r="K1" t="s">
        <v>421</v>
      </c>
      <c r="L1" t="s">
        <v>422</v>
      </c>
      <c r="M1" t="s">
        <v>423</v>
      </c>
      <c r="N1" t="s">
        <v>424</v>
      </c>
      <c r="O1" t="s">
        <v>745</v>
      </c>
      <c r="P1" t="s">
        <v>744</v>
      </c>
      <c r="Q1" t="s">
        <v>425</v>
      </c>
      <c r="R1" t="s">
        <v>426</v>
      </c>
      <c r="S1" t="s">
        <v>427</v>
      </c>
      <c r="T1" t="s">
        <v>428</v>
      </c>
      <c r="U1" t="s">
        <v>429</v>
      </c>
      <c r="V1" t="s">
        <v>430</v>
      </c>
      <c r="W1" t="s">
        <v>431</v>
      </c>
      <c r="X1" t="s">
        <v>432</v>
      </c>
      <c r="Y1" t="s">
        <v>433</v>
      </c>
      <c r="Z1" t="s">
        <v>434</v>
      </c>
      <c r="AA1" t="s">
        <v>435</v>
      </c>
      <c r="AB1" t="s">
        <v>436</v>
      </c>
      <c r="AC1" t="s">
        <v>437</v>
      </c>
    </row>
    <row r="2" spans="1:29" x14ac:dyDescent="0.25">
      <c r="A2" t="s">
        <v>100</v>
      </c>
      <c r="B2" t="s">
        <v>100</v>
      </c>
      <c r="C2" t="s">
        <v>621</v>
      </c>
      <c r="D2" t="s">
        <v>1781</v>
      </c>
      <c r="E2" t="s">
        <v>582</v>
      </c>
      <c r="F2" s="213" t="s">
        <v>749</v>
      </c>
      <c r="G2" t="s">
        <v>749</v>
      </c>
      <c r="H2" t="s">
        <v>101</v>
      </c>
      <c r="I2">
        <v>2.5</v>
      </c>
      <c r="J2">
        <v>1.57</v>
      </c>
      <c r="K2">
        <f>Множество_202207112140401240[[#This Row],[2]]-Множество_202207112140401240[[#This Row],[4]]</f>
        <v>0.7799999999999998</v>
      </c>
      <c r="L2">
        <f>Множество_202207112140401240[[#This Row],[3]]-Множество_202207112140401240[[#This Row],[5]]</f>
        <v>0.42999999999999994</v>
      </c>
      <c r="M2">
        <f>Множество_202207112140401240[[#This Row],[7]]+Множество_202207112140401240[[#This Row],[6]]</f>
        <v>1.2099999999999997</v>
      </c>
      <c r="N2" s="208" t="str">
        <f>CONCATENATE(Множество_202207112140401240[[#This Row],[2]],Множество_202207112140401240[[#This Row],[3]])</f>
        <v>3,282</v>
      </c>
      <c r="O2" s="208"/>
      <c r="P2" s="208"/>
      <c r="Q2">
        <v>7.1666666666666696</v>
      </c>
      <c r="R2">
        <v>-12.533333333333299</v>
      </c>
      <c r="S2" s="208">
        <v>10</v>
      </c>
      <c r="T2" s="208">
        <v>-12.5</v>
      </c>
      <c r="U2" s="208">
        <f>ABS(Множество_202207112140401240[[#This Row],[10]]-Множество_202207112140401240[[#This Row],[12]])</f>
        <v>2.8333333333333304</v>
      </c>
      <c r="V2" s="208">
        <f>ABS(Множество_202207112140401240[[#This Row],[11]]-Множество_202207112140401240[[#This Row],[13]])</f>
        <v>3.3333333333299464E-2</v>
      </c>
      <c r="W2" s="208">
        <f>Множество_202207112140401240[[#This Row],[15]]+Множество_202207112140401240[[#This Row],[14]]</f>
        <v>2.8666666666666298</v>
      </c>
      <c r="X2" s="208">
        <f ca="1">IF(ROW()-ROW(Множество_202207112140401240[[#Headers],[17]])&gt;1,Множество_202207112140401240[[#This Row],[16]]-OFFSET(Множество_202207112140401240[[#This Row],[16]],-1,0),0)</f>
        <v>0</v>
      </c>
      <c r="Y2" s="208">
        <v>7.1666666666666696</v>
      </c>
      <c r="Z2" s="208">
        <v>-12.533333333333299</v>
      </c>
      <c r="AA2" s="208">
        <f>ABS(Множество_202207112140401240[[#This Row],[18]]-Множество_202207112140401240[[#This Row],[12]])</f>
        <v>2.8333333333333304</v>
      </c>
      <c r="AB2" s="208">
        <f>ABS(Множество_202207112140401240[[#This Row],[19]]-Множество_202207112140401240[[#This Row],[13]])</f>
        <v>3.3333333333299464E-2</v>
      </c>
      <c r="AC2" s="208">
        <f>Множество_202207112140401240[[#This Row],[20]]+Множество_202207112140401240[[#This Row],[21]]</f>
        <v>2.8666666666666298</v>
      </c>
    </row>
    <row r="3" spans="1:29" x14ac:dyDescent="0.25">
      <c r="A3" t="s">
        <v>101</v>
      </c>
      <c r="B3" t="s">
        <v>100</v>
      </c>
      <c r="C3" t="s">
        <v>621</v>
      </c>
      <c r="D3" t="s">
        <v>1781</v>
      </c>
      <c r="E3" t="s">
        <v>582</v>
      </c>
      <c r="F3" s="213" t="s">
        <v>749</v>
      </c>
      <c r="G3" t="s">
        <v>735</v>
      </c>
      <c r="H3" t="s">
        <v>98</v>
      </c>
      <c r="I3">
        <v>2.5</v>
      </c>
      <c r="J3">
        <v>1.57</v>
      </c>
      <c r="K3">
        <f>Множество_202207112140401240[[#This Row],[2]]-Множество_202207112140401240[[#This Row],[4]]</f>
        <v>0.79</v>
      </c>
      <c r="L3">
        <f>Множество_202207112140401240[[#This Row],[3]]-Множество_202207112140401240[[#This Row],[5]]</f>
        <v>0.41999999999999993</v>
      </c>
      <c r="M3">
        <f>Множество_202207112140401240[[#This Row],[7]]+Множество_202207112140401240[[#This Row],[6]]</f>
        <v>1.21</v>
      </c>
      <c r="N3" s="208" t="str">
        <f>CONCATENATE(Множество_202207112140401240[[#This Row],[2]],Множество_202207112140401240[[#This Row],[3]])</f>
        <v>3,291,99</v>
      </c>
      <c r="O3" s="208"/>
      <c r="P3" s="208"/>
      <c r="Q3">
        <v>7.1083333333333298</v>
      </c>
      <c r="R3">
        <v>-12.5833333333333</v>
      </c>
      <c r="S3" s="208">
        <v>10</v>
      </c>
      <c r="T3" s="208">
        <v>-12.5</v>
      </c>
      <c r="U3" s="208">
        <f>ABS(Множество_202207112140401240[[#This Row],[10]]-Множество_202207112140401240[[#This Row],[12]])</f>
        <v>2.8916666666666702</v>
      </c>
      <c r="V3" s="208">
        <f>ABS(Множество_202207112140401240[[#This Row],[11]]-Множество_202207112140401240[[#This Row],[13]])</f>
        <v>8.3333333333300175E-2</v>
      </c>
      <c r="W3" s="208">
        <f>Множество_202207112140401240[[#This Row],[15]]+Множество_202207112140401240[[#This Row],[14]]</f>
        <v>2.9749999999999703</v>
      </c>
      <c r="X3" s="208">
        <f ca="1">IF(ROW()-ROW(Множество_202207112140401240[[#Headers],[17]])&gt;1,Множество_202207112140401240[[#This Row],[16]]-OFFSET(Множество_202207112140401240[[#This Row],[16]],-1,0),0)</f>
        <v>0.1083333333333405</v>
      </c>
      <c r="Y3" s="208">
        <v>7.1083333333333298</v>
      </c>
      <c r="Z3" s="208">
        <v>-12.5833333333333</v>
      </c>
      <c r="AA3" s="208">
        <f>ABS(Множество_202207112140401240[[#This Row],[18]]-Множество_202207112140401240[[#This Row],[12]])</f>
        <v>2.8916666666666702</v>
      </c>
      <c r="AB3" s="208">
        <f>ABS(Множество_202207112140401240[[#This Row],[19]]-Множество_202207112140401240[[#This Row],[13]])</f>
        <v>8.3333333333300175E-2</v>
      </c>
      <c r="AC3" s="208">
        <f>Множество_202207112140401240[[#This Row],[20]]+Множество_202207112140401240[[#This Row],[21]]</f>
        <v>2.9749999999999703</v>
      </c>
    </row>
    <row r="4" spans="1:29" x14ac:dyDescent="0.25">
      <c r="A4" t="s">
        <v>418</v>
      </c>
      <c r="B4" t="s">
        <v>100</v>
      </c>
      <c r="C4" t="s">
        <v>621</v>
      </c>
      <c r="D4" t="s">
        <v>1781</v>
      </c>
      <c r="E4" t="s">
        <v>582</v>
      </c>
      <c r="F4" s="213" t="s">
        <v>749</v>
      </c>
      <c r="G4" t="s">
        <v>749</v>
      </c>
      <c r="H4" t="s">
        <v>101</v>
      </c>
      <c r="I4">
        <v>2.5</v>
      </c>
      <c r="J4">
        <v>1.57</v>
      </c>
      <c r="K4">
        <f>Множество_202207112140401240[[#This Row],[2]]-Множество_202207112140401240[[#This Row],[4]]</f>
        <v>0.7799999999999998</v>
      </c>
      <c r="L4">
        <f>Множество_202207112140401240[[#This Row],[3]]-Множество_202207112140401240[[#This Row],[5]]</f>
        <v>0.42999999999999994</v>
      </c>
      <c r="M4">
        <f>Множество_202207112140401240[[#This Row],[7]]+Множество_202207112140401240[[#This Row],[6]]</f>
        <v>1.2099999999999997</v>
      </c>
      <c r="N4" s="208" t="str">
        <f>CONCATENATE(Множество_202207112140401240[[#This Row],[2]],Множество_202207112140401240[[#This Row],[3]])</f>
        <v>3,282</v>
      </c>
      <c r="O4" s="208"/>
      <c r="P4" s="208"/>
      <c r="Q4">
        <v>7.05</v>
      </c>
      <c r="R4">
        <v>-12.633333333333301</v>
      </c>
      <c r="S4" s="208">
        <v>10</v>
      </c>
      <c r="T4" s="208">
        <v>-12.5</v>
      </c>
      <c r="U4" s="208">
        <f>ABS(Множество_202207112140401240[[#This Row],[10]]-Множество_202207112140401240[[#This Row],[12]])</f>
        <v>2.95</v>
      </c>
      <c r="V4" s="208">
        <f>ABS(Множество_202207112140401240[[#This Row],[11]]-Множество_202207112140401240[[#This Row],[13]])</f>
        <v>0.13333333333330089</v>
      </c>
      <c r="W4" s="208">
        <f>Множество_202207112140401240[[#This Row],[15]]+Множество_202207112140401240[[#This Row],[14]]</f>
        <v>3.0833333333333011</v>
      </c>
      <c r="X4" s="208">
        <f ca="1">IF(ROW()-ROW(Множество_202207112140401240[[#Headers],[17]])&gt;1,Множество_202207112140401240[[#This Row],[16]]-OFFSET(Множество_202207112140401240[[#This Row],[16]],-1,0),0)</f>
        <v>0.10833333333333073</v>
      </c>
      <c r="Y4" s="208">
        <v>7.05</v>
      </c>
      <c r="Z4" s="208">
        <v>-12.633333333333301</v>
      </c>
      <c r="AA4" s="208">
        <f>ABS(Множество_202207112140401240[[#This Row],[18]]-Множество_202207112140401240[[#This Row],[12]])</f>
        <v>2.95</v>
      </c>
      <c r="AB4" s="208">
        <f>ABS(Множество_202207112140401240[[#This Row],[19]]-Множество_202207112140401240[[#This Row],[13]])</f>
        <v>0.13333333333330089</v>
      </c>
      <c r="AC4" s="208">
        <f>Множество_202207112140401240[[#This Row],[20]]+Множество_202207112140401240[[#This Row],[21]]</f>
        <v>3.0833333333333011</v>
      </c>
    </row>
    <row r="5" spans="1:29" x14ac:dyDescent="0.25">
      <c r="A5" t="s">
        <v>419</v>
      </c>
      <c r="B5" t="s">
        <v>100</v>
      </c>
      <c r="C5" t="s">
        <v>621</v>
      </c>
      <c r="D5" t="s">
        <v>1781</v>
      </c>
      <c r="E5" t="s">
        <v>582</v>
      </c>
      <c r="F5" s="213" t="s">
        <v>749</v>
      </c>
      <c r="G5" t="s">
        <v>825</v>
      </c>
      <c r="H5" t="s">
        <v>96</v>
      </c>
      <c r="I5">
        <v>2.5</v>
      </c>
      <c r="J5">
        <v>1.57</v>
      </c>
      <c r="K5">
        <f>Множество_202207112140401240[[#This Row],[2]]-Множество_202207112140401240[[#This Row],[4]]</f>
        <v>0.81999999999999984</v>
      </c>
      <c r="L5">
        <f>Множество_202207112140401240[[#This Row],[3]]-Множество_202207112140401240[[#This Row],[5]]</f>
        <v>0.39999999999999991</v>
      </c>
      <c r="M5">
        <f>Множество_202207112140401240[[#This Row],[7]]+Множество_202207112140401240[[#This Row],[6]]</f>
        <v>1.2199999999999998</v>
      </c>
      <c r="N5" s="208" t="str">
        <f>CONCATENATE(Множество_202207112140401240[[#This Row],[2]],Множество_202207112140401240[[#This Row],[3]])</f>
        <v>3,321,97</v>
      </c>
      <c r="O5" s="208"/>
      <c r="P5" s="208"/>
      <c r="Q5">
        <v>6.9916666666666698</v>
      </c>
      <c r="R5">
        <v>-12.6666666666667</v>
      </c>
      <c r="S5" s="208">
        <v>10</v>
      </c>
      <c r="T5" s="208">
        <v>-12.5</v>
      </c>
      <c r="U5" s="208">
        <f>ABS(Множество_202207112140401240[[#This Row],[10]]-Множество_202207112140401240[[#This Row],[12]])</f>
        <v>3.0083333333333302</v>
      </c>
      <c r="V5" s="208">
        <f>ABS(Множество_202207112140401240[[#This Row],[11]]-Множество_202207112140401240[[#This Row],[13]])</f>
        <v>0.16666666666669983</v>
      </c>
      <c r="W5" s="208">
        <f>Множество_202207112140401240[[#This Row],[15]]+Множество_202207112140401240[[#This Row],[14]]</f>
        <v>3.17500000000003</v>
      </c>
      <c r="X5" s="208">
        <f ca="1">IF(ROW()-ROW(Множество_202207112140401240[[#Headers],[17]])&gt;1,Множество_202207112140401240[[#This Row],[16]]-OFFSET(Множество_202207112140401240[[#This Row],[16]],-1,0),0)</f>
        <v>9.1666666666728958E-2</v>
      </c>
      <c r="Y5" s="208">
        <v>6.9916666666666698</v>
      </c>
      <c r="Z5" s="208">
        <v>-12.6666666666667</v>
      </c>
      <c r="AA5" s="208">
        <f>ABS(Множество_202207112140401240[[#This Row],[18]]-Множество_202207112140401240[[#This Row],[12]])</f>
        <v>3.0083333333333302</v>
      </c>
      <c r="AB5" s="208">
        <f>ABS(Множество_202207112140401240[[#This Row],[19]]-Множество_202207112140401240[[#This Row],[13]])</f>
        <v>0.16666666666669983</v>
      </c>
      <c r="AC5" s="208">
        <f>Множество_202207112140401240[[#This Row],[20]]+Множество_202207112140401240[[#This Row],[21]]</f>
        <v>3.17500000000003</v>
      </c>
    </row>
    <row r="6" spans="1:29" x14ac:dyDescent="0.25">
      <c r="A6" t="s">
        <v>420</v>
      </c>
      <c r="B6" t="s">
        <v>100</v>
      </c>
      <c r="C6" t="s">
        <v>621</v>
      </c>
      <c r="D6" t="s">
        <v>1781</v>
      </c>
      <c r="E6" t="s">
        <v>582</v>
      </c>
      <c r="F6" s="213" t="s">
        <v>749</v>
      </c>
      <c r="G6" t="s">
        <v>741</v>
      </c>
      <c r="H6" t="s">
        <v>97</v>
      </c>
      <c r="I6">
        <v>2.5</v>
      </c>
      <c r="J6">
        <v>1.57</v>
      </c>
      <c r="K6">
        <f>Множество_202207112140401240[[#This Row],[2]]-Множество_202207112140401240[[#This Row],[4]]</f>
        <v>0.81</v>
      </c>
      <c r="L6">
        <f>Множество_202207112140401240[[#This Row],[3]]-Множество_202207112140401240[[#This Row],[5]]</f>
        <v>0.40999999999999992</v>
      </c>
      <c r="M6">
        <f>Множество_202207112140401240[[#This Row],[7]]+Множество_202207112140401240[[#This Row],[6]]</f>
        <v>1.22</v>
      </c>
      <c r="N6" s="208" t="str">
        <f>CONCATENATE(Множество_202207112140401240[[#This Row],[2]],Множество_202207112140401240[[#This Row],[3]])</f>
        <v>3,311,98</v>
      </c>
      <c r="O6" s="208"/>
      <c r="P6" s="208"/>
      <c r="Q6">
        <v>6.93333333333333</v>
      </c>
      <c r="R6">
        <v>-12.716666666666701</v>
      </c>
      <c r="S6" s="208">
        <v>10</v>
      </c>
      <c r="T6" s="208">
        <v>-12.5</v>
      </c>
      <c r="U6" s="208">
        <f>ABS(Множество_202207112140401240[[#This Row],[10]]-Множество_202207112140401240[[#This Row],[12]])</f>
        <v>3.06666666666667</v>
      </c>
      <c r="V6" s="208">
        <f>ABS(Множество_202207112140401240[[#This Row],[11]]-Множество_202207112140401240[[#This Row],[13]])</f>
        <v>0.21666666666670054</v>
      </c>
      <c r="W6" s="208">
        <f>Множество_202207112140401240[[#This Row],[15]]+Множество_202207112140401240[[#This Row],[14]]</f>
        <v>3.2833333333333705</v>
      </c>
      <c r="X6" s="208">
        <f ca="1">IF(ROW()-ROW(Множество_202207112140401240[[#Headers],[17]])&gt;1,Множество_202207112140401240[[#This Row],[16]]-OFFSET(Множество_202207112140401240[[#This Row],[16]],-1,0),0)</f>
        <v>0.1083333333333405</v>
      </c>
      <c r="Y6" s="208">
        <v>6.93333333333333</v>
      </c>
      <c r="Z6" s="208">
        <v>-12.716666666666701</v>
      </c>
      <c r="AA6" s="208">
        <f>ABS(Множество_202207112140401240[[#This Row],[18]]-Множество_202207112140401240[[#This Row],[12]])</f>
        <v>3.06666666666667</v>
      </c>
      <c r="AB6" s="208">
        <f>ABS(Множество_202207112140401240[[#This Row],[19]]-Множество_202207112140401240[[#This Row],[13]])</f>
        <v>0.21666666666670054</v>
      </c>
      <c r="AC6" s="208">
        <f>Множество_202207112140401240[[#This Row],[20]]+Множество_202207112140401240[[#This Row],[21]]</f>
        <v>3.2833333333333705</v>
      </c>
    </row>
    <row r="7" spans="1:29" x14ac:dyDescent="0.25">
      <c r="A7" t="s">
        <v>421</v>
      </c>
      <c r="B7" t="s">
        <v>100</v>
      </c>
      <c r="C7" t="s">
        <v>621</v>
      </c>
      <c r="D7" t="s">
        <v>1781</v>
      </c>
      <c r="E7" t="s">
        <v>582</v>
      </c>
      <c r="F7" s="213" t="s">
        <v>749</v>
      </c>
      <c r="G7" t="s">
        <v>789</v>
      </c>
      <c r="H7" t="s">
        <v>94</v>
      </c>
      <c r="I7">
        <v>2.5</v>
      </c>
      <c r="J7">
        <v>1.57</v>
      </c>
      <c r="K7">
        <f>Множество_202207112140401240[[#This Row],[2]]-Множество_202207112140401240[[#This Row],[4]]</f>
        <v>0.83999999999999986</v>
      </c>
      <c r="L7">
        <f>Множество_202207112140401240[[#This Row],[3]]-Множество_202207112140401240[[#This Row],[5]]</f>
        <v>0.37999999999999989</v>
      </c>
      <c r="M7">
        <f>Множество_202207112140401240[[#This Row],[7]]+Множество_202207112140401240[[#This Row],[6]]</f>
        <v>1.2199999999999998</v>
      </c>
      <c r="N7" s="208" t="str">
        <f>CONCATENATE(Множество_202207112140401240[[#This Row],[2]],Множество_202207112140401240[[#This Row],[3]])</f>
        <v>3,341,95</v>
      </c>
      <c r="O7" s="208"/>
      <c r="P7" s="208"/>
      <c r="Q7">
        <v>6.875</v>
      </c>
      <c r="R7">
        <v>-12.75</v>
      </c>
      <c r="S7" s="208">
        <v>10</v>
      </c>
      <c r="T7" s="208">
        <v>-12.5</v>
      </c>
      <c r="U7" s="208">
        <f>ABS(Множество_202207112140401240[[#This Row],[10]]-Множество_202207112140401240[[#This Row],[12]])</f>
        <v>3.125</v>
      </c>
      <c r="V7" s="208">
        <f>ABS(Множество_202207112140401240[[#This Row],[11]]-Множество_202207112140401240[[#This Row],[13]])</f>
        <v>0.25</v>
      </c>
      <c r="W7" s="208">
        <f>Множество_202207112140401240[[#This Row],[15]]+Множество_202207112140401240[[#This Row],[14]]</f>
        <v>3.375</v>
      </c>
      <c r="X7" s="208">
        <f ca="1">IF(ROW()-ROW(Множество_202207112140401240[[#Headers],[17]])&gt;1,Множество_202207112140401240[[#This Row],[16]]-OFFSET(Множество_202207112140401240[[#This Row],[16]],-1,0),0)</f>
        <v>9.1666666666629482E-2</v>
      </c>
      <c r="Y7" s="208">
        <v>6.875</v>
      </c>
      <c r="Z7" s="208">
        <v>-12.75</v>
      </c>
      <c r="AA7" s="208">
        <f>ABS(Множество_202207112140401240[[#This Row],[18]]-Множество_202207112140401240[[#This Row],[12]])</f>
        <v>3.125</v>
      </c>
      <c r="AB7" s="208">
        <f>ABS(Множество_202207112140401240[[#This Row],[19]]-Множество_202207112140401240[[#This Row],[13]])</f>
        <v>0.25</v>
      </c>
      <c r="AC7" s="208">
        <f>Множество_202207112140401240[[#This Row],[20]]+Множество_202207112140401240[[#This Row],[21]]</f>
        <v>3.375</v>
      </c>
    </row>
    <row r="8" spans="1:29" x14ac:dyDescent="0.25">
      <c r="A8" t="s">
        <v>422</v>
      </c>
      <c r="B8" t="s">
        <v>100</v>
      </c>
      <c r="C8" t="s">
        <v>621</v>
      </c>
      <c r="D8" t="s">
        <v>1781</v>
      </c>
      <c r="E8" t="s">
        <v>582</v>
      </c>
      <c r="F8" s="213" t="s">
        <v>749</v>
      </c>
      <c r="G8" t="s">
        <v>765</v>
      </c>
      <c r="H8" t="s">
        <v>95</v>
      </c>
      <c r="I8">
        <v>2.5</v>
      </c>
      <c r="J8">
        <v>1.57</v>
      </c>
      <c r="K8">
        <f>Множество_202207112140401240[[#This Row],[2]]-Множество_202207112140401240[[#This Row],[4]]</f>
        <v>0.83000000000000007</v>
      </c>
      <c r="L8">
        <f>Множество_202207112140401240[[#This Row],[3]]-Множество_202207112140401240[[#This Row],[5]]</f>
        <v>0.3899999999999999</v>
      </c>
      <c r="M8">
        <f>Множество_202207112140401240[[#This Row],[7]]+Множество_202207112140401240[[#This Row],[6]]</f>
        <v>1.22</v>
      </c>
      <c r="N8" s="208" t="str">
        <f>CONCATENATE(Множество_202207112140401240[[#This Row],[2]],Множество_202207112140401240[[#This Row],[3]])</f>
        <v>3,331,96</v>
      </c>
      <c r="O8" s="208"/>
      <c r="P8" s="208"/>
      <c r="Q8">
        <v>6.81666666666667</v>
      </c>
      <c r="R8">
        <v>-12.8</v>
      </c>
      <c r="S8" s="208">
        <v>10</v>
      </c>
      <c r="T8" s="208">
        <v>-12.5</v>
      </c>
      <c r="U8" s="208">
        <f>ABS(Множество_202207112140401240[[#This Row],[10]]-Множество_202207112140401240[[#This Row],[12]])</f>
        <v>3.18333333333333</v>
      </c>
      <c r="V8" s="208">
        <f>ABS(Множество_202207112140401240[[#This Row],[11]]-Множество_202207112140401240[[#This Row],[13]])</f>
        <v>0.30000000000000071</v>
      </c>
      <c r="W8" s="208">
        <f>Множество_202207112140401240[[#This Row],[15]]+Множество_202207112140401240[[#This Row],[14]]</f>
        <v>3.4833333333333307</v>
      </c>
      <c r="X8" s="208">
        <f ca="1">IF(ROW()-ROW(Множество_202207112140401240[[#Headers],[17]])&gt;1,Множество_202207112140401240[[#This Row],[16]]-OFFSET(Множество_202207112140401240[[#This Row],[16]],-1,0),0)</f>
        <v>0.10833333333333073</v>
      </c>
      <c r="Y8" s="208">
        <v>6.81666666666667</v>
      </c>
      <c r="Z8" s="208">
        <v>-12.8</v>
      </c>
      <c r="AA8" s="208">
        <f>ABS(Множество_202207112140401240[[#This Row],[18]]-Множество_202207112140401240[[#This Row],[12]])</f>
        <v>3.18333333333333</v>
      </c>
      <c r="AB8" s="208">
        <f>ABS(Множество_202207112140401240[[#This Row],[19]]-Множество_202207112140401240[[#This Row],[13]])</f>
        <v>0.30000000000000071</v>
      </c>
      <c r="AC8" s="208">
        <f>Множество_202207112140401240[[#This Row],[20]]+Множество_202207112140401240[[#This Row],[21]]</f>
        <v>3.4833333333333307</v>
      </c>
    </row>
    <row r="9" spans="1:29" x14ac:dyDescent="0.25">
      <c r="A9" t="s">
        <v>423</v>
      </c>
      <c r="B9" t="s">
        <v>100</v>
      </c>
      <c r="C9" t="s">
        <v>621</v>
      </c>
      <c r="D9" t="s">
        <v>1781</v>
      </c>
      <c r="E9" t="s">
        <v>582</v>
      </c>
      <c r="F9" s="213" t="s">
        <v>749</v>
      </c>
      <c r="G9" t="s">
        <v>716</v>
      </c>
      <c r="H9" t="s">
        <v>93</v>
      </c>
      <c r="I9">
        <v>2.5</v>
      </c>
      <c r="J9">
        <v>1.57</v>
      </c>
      <c r="K9">
        <f>Множество_202207112140401240[[#This Row],[2]]-Множество_202207112140401240[[#This Row],[4]]</f>
        <v>0.85999999999999988</v>
      </c>
      <c r="L9">
        <f>Множество_202207112140401240[[#This Row],[3]]-Множество_202207112140401240[[#This Row],[5]]</f>
        <v>0.36999999999999988</v>
      </c>
      <c r="M9">
        <f>Множество_202207112140401240[[#This Row],[7]]+Множество_202207112140401240[[#This Row],[6]]</f>
        <v>1.2299999999999998</v>
      </c>
      <c r="N9" s="208" t="str">
        <f>CONCATENATE(Множество_202207112140401240[[#This Row],[2]],Множество_202207112140401240[[#This Row],[3]])</f>
        <v>3,361,94</v>
      </c>
      <c r="O9" s="208"/>
      <c r="P9" s="208"/>
      <c r="Q9">
        <v>6.7583333333333302</v>
      </c>
      <c r="R9">
        <v>-12.85</v>
      </c>
      <c r="S9" s="208">
        <v>10</v>
      </c>
      <c r="T9" s="208">
        <v>-12.5</v>
      </c>
      <c r="U9" s="208">
        <f>ABS(Множество_202207112140401240[[#This Row],[10]]-Множество_202207112140401240[[#This Row],[12]])</f>
        <v>3.2416666666666698</v>
      </c>
      <c r="V9" s="208">
        <f>ABS(Множество_202207112140401240[[#This Row],[11]]-Множество_202207112140401240[[#This Row],[13]])</f>
        <v>0.34999999999999964</v>
      </c>
      <c r="W9" s="208">
        <f>Множество_202207112140401240[[#This Row],[15]]+Множество_202207112140401240[[#This Row],[14]]</f>
        <v>3.5916666666666694</v>
      </c>
      <c r="X9" s="208">
        <f ca="1">IF(ROW()-ROW(Множество_202207112140401240[[#Headers],[17]])&gt;1,Множество_202207112140401240[[#This Row],[16]]-OFFSET(Множество_202207112140401240[[#This Row],[16]],-1,0),0)</f>
        <v>0.10833333333333872</v>
      </c>
      <c r="Y9" s="208">
        <v>6.7583333333333302</v>
      </c>
      <c r="Z9" s="208">
        <v>-12.85</v>
      </c>
      <c r="AA9" s="208">
        <f>ABS(Множество_202207112140401240[[#This Row],[18]]-Множество_202207112140401240[[#This Row],[12]])</f>
        <v>3.2416666666666698</v>
      </c>
      <c r="AB9" s="208">
        <f>ABS(Множество_202207112140401240[[#This Row],[19]]-Множество_202207112140401240[[#This Row],[13]])</f>
        <v>0.34999999999999964</v>
      </c>
      <c r="AC9" s="208">
        <f>Множество_202207112140401240[[#This Row],[20]]+Множество_202207112140401240[[#This Row],[21]]</f>
        <v>3.5916666666666694</v>
      </c>
    </row>
    <row r="10" spans="1:29" x14ac:dyDescent="0.25">
      <c r="A10" t="s">
        <v>424</v>
      </c>
      <c r="B10" t="s">
        <v>100</v>
      </c>
      <c r="C10" t="s">
        <v>621</v>
      </c>
      <c r="D10" t="s">
        <v>1781</v>
      </c>
      <c r="E10" t="s">
        <v>582</v>
      </c>
      <c r="F10" s="213" t="s">
        <v>749</v>
      </c>
      <c r="G10" t="s">
        <v>667</v>
      </c>
      <c r="H10" t="s">
        <v>91</v>
      </c>
      <c r="I10">
        <v>2.5</v>
      </c>
      <c r="J10">
        <v>1.57</v>
      </c>
      <c r="K10">
        <f>Множество_202207112140401240[[#This Row],[2]]-Множество_202207112140401240[[#This Row],[4]]</f>
        <v>0.87999999999999989</v>
      </c>
      <c r="L10">
        <f>Множество_202207112140401240[[#This Row],[3]]-Множество_202207112140401240[[#This Row],[5]]</f>
        <v>0.34999999999999987</v>
      </c>
      <c r="M10">
        <f>Множество_202207112140401240[[#This Row],[7]]+Множество_202207112140401240[[#This Row],[6]]</f>
        <v>1.2299999999999998</v>
      </c>
      <c r="N10" s="208" t="str">
        <f>CONCATENATE(Множество_202207112140401240[[#This Row],[2]],Множество_202207112140401240[[#This Row],[3]])</f>
        <v>3,381,92</v>
      </c>
      <c r="O10" s="208"/>
      <c r="P10" s="208"/>
      <c r="Q10">
        <v>6.7</v>
      </c>
      <c r="R10">
        <v>-13.3333333333333</v>
      </c>
      <c r="S10" s="208">
        <v>10</v>
      </c>
      <c r="T10" s="208">
        <v>-12.5</v>
      </c>
      <c r="U10" s="208">
        <f>ABS(Множество_202207112140401240[[#This Row],[10]]-Множество_202207112140401240[[#This Row],[12]])</f>
        <v>3.3</v>
      </c>
      <c r="V10" s="208">
        <f>ABS(Множество_202207112140401240[[#This Row],[11]]-Множество_202207112140401240[[#This Row],[13]])</f>
        <v>0.83333333333330017</v>
      </c>
      <c r="W10" s="208">
        <f>Множество_202207112140401240[[#This Row],[15]]+Множество_202207112140401240[[#This Row],[14]]</f>
        <v>4.1333333333333</v>
      </c>
      <c r="X10" s="208">
        <f ca="1">IF(ROW()-ROW(Множество_202207112140401240[[#Headers],[17]])&gt;1,Множество_202207112140401240[[#This Row],[16]]-OFFSET(Множество_202207112140401240[[#This Row],[16]],-1,0),0)</f>
        <v>0.54166666666663055</v>
      </c>
      <c r="Y10" s="208">
        <v>6.7</v>
      </c>
      <c r="Z10" s="208">
        <v>-13.3333333333333</v>
      </c>
      <c r="AA10" s="208">
        <f>ABS(Множество_202207112140401240[[#This Row],[18]]-Множество_202207112140401240[[#This Row],[12]])</f>
        <v>3.3</v>
      </c>
      <c r="AB10" s="208">
        <f>ABS(Множество_202207112140401240[[#This Row],[19]]-Множество_202207112140401240[[#This Row],[13]])</f>
        <v>0.83333333333330017</v>
      </c>
      <c r="AC10" s="208">
        <f>Множество_202207112140401240[[#This Row],[20]]+Множество_202207112140401240[[#This Row],[21]]</f>
        <v>4.1333333333333</v>
      </c>
    </row>
    <row r="11" spans="1:29" x14ac:dyDescent="0.25">
      <c r="A11" t="s">
        <v>425</v>
      </c>
      <c r="B11" t="s">
        <v>100</v>
      </c>
      <c r="C11" t="s">
        <v>621</v>
      </c>
      <c r="D11" t="s">
        <v>1781</v>
      </c>
      <c r="E11" t="s">
        <v>582</v>
      </c>
      <c r="F11" s="213" t="s">
        <v>749</v>
      </c>
      <c r="G11" t="s">
        <v>755</v>
      </c>
      <c r="H11" t="s">
        <v>92</v>
      </c>
      <c r="I11">
        <v>2.5</v>
      </c>
      <c r="J11">
        <v>1.57</v>
      </c>
      <c r="K11">
        <f>Множество_202207112140401240[[#This Row],[2]]-Множество_202207112140401240[[#This Row],[4]]</f>
        <v>0.87000000000000011</v>
      </c>
      <c r="L11">
        <f>Множество_202207112140401240[[#This Row],[3]]-Множество_202207112140401240[[#This Row],[5]]</f>
        <v>0.35999999999999988</v>
      </c>
      <c r="M11">
        <f>Множество_202207112140401240[[#This Row],[7]]+Множество_202207112140401240[[#This Row],[6]]</f>
        <v>1.23</v>
      </c>
      <c r="N11" s="208" t="str">
        <f>CONCATENATE(Множество_202207112140401240[[#This Row],[2]],Множество_202207112140401240[[#This Row],[3]])</f>
        <v>3,371,93</v>
      </c>
      <c r="O11" s="208"/>
      <c r="P11" s="208"/>
      <c r="Q11">
        <v>6.7</v>
      </c>
      <c r="R11">
        <v>-11.6666666666667</v>
      </c>
      <c r="S11" s="208">
        <v>10</v>
      </c>
      <c r="T11" s="208">
        <v>-12.5</v>
      </c>
      <c r="U11" s="208">
        <f>ABS(Множество_202207112140401240[[#This Row],[10]]-Множество_202207112140401240[[#This Row],[12]])</f>
        <v>3.3</v>
      </c>
      <c r="V11" s="208">
        <f>ABS(Множество_202207112140401240[[#This Row],[11]]-Множество_202207112140401240[[#This Row],[13]])</f>
        <v>0.83333333333330017</v>
      </c>
      <c r="W11" s="208">
        <f>Множество_202207112140401240[[#This Row],[15]]+Множество_202207112140401240[[#This Row],[14]]</f>
        <v>4.1333333333333</v>
      </c>
      <c r="X11" s="208">
        <f ca="1">IF(ROW()-ROW(Множество_202207112140401240[[#Headers],[17]])&gt;1,Множество_202207112140401240[[#This Row],[16]]-OFFSET(Множество_202207112140401240[[#This Row],[16]],-1,0),0)</f>
        <v>0</v>
      </c>
      <c r="Y11" s="208">
        <v>6.7</v>
      </c>
      <c r="Z11" s="208">
        <v>-11.6666666666667</v>
      </c>
      <c r="AA11" s="208">
        <f>ABS(Множество_202207112140401240[[#This Row],[18]]-Множество_202207112140401240[[#This Row],[12]])</f>
        <v>3.3</v>
      </c>
      <c r="AB11" s="208">
        <f>ABS(Множество_202207112140401240[[#This Row],[19]]-Множество_202207112140401240[[#This Row],[13]])</f>
        <v>0.83333333333330017</v>
      </c>
      <c r="AC11" s="208">
        <f>Множество_202207112140401240[[#This Row],[20]]+Множество_202207112140401240[[#This Row],[21]]</f>
        <v>4.1333333333333</v>
      </c>
    </row>
    <row r="12" spans="1:29" x14ac:dyDescent="0.25">
      <c r="A12" t="s">
        <v>426</v>
      </c>
      <c r="B12" t="s">
        <v>100</v>
      </c>
      <c r="C12" t="s">
        <v>621</v>
      </c>
      <c r="D12" t="s">
        <v>1781</v>
      </c>
      <c r="E12" t="s">
        <v>582</v>
      </c>
      <c r="F12" s="213" t="s">
        <v>749</v>
      </c>
      <c r="G12" t="s">
        <v>672</v>
      </c>
      <c r="H12" t="s">
        <v>89</v>
      </c>
      <c r="I12">
        <v>2.5</v>
      </c>
      <c r="J12">
        <v>1.57</v>
      </c>
      <c r="K12">
        <f>Множество_202207112140401240[[#This Row],[2]]-Множество_202207112140401240[[#This Row],[4]]</f>
        <v>0.91000000000000014</v>
      </c>
      <c r="L12">
        <f>Множество_202207112140401240[[#This Row],[3]]-Множество_202207112140401240[[#This Row],[5]]</f>
        <v>0.32999999999999985</v>
      </c>
      <c r="M12">
        <f>Множество_202207112140401240[[#This Row],[7]]+Множество_202207112140401240[[#This Row],[6]]</f>
        <v>1.24</v>
      </c>
      <c r="N12" s="208" t="str">
        <f>CONCATENATE(Множество_202207112140401240[[#This Row],[2]],Множество_202207112140401240[[#This Row],[3]])</f>
        <v>3,411,9</v>
      </c>
      <c r="O12" s="208"/>
      <c r="P12" s="208"/>
      <c r="Q12">
        <v>6.6416666666666702</v>
      </c>
      <c r="R12">
        <v>-13.35</v>
      </c>
      <c r="S12" s="208">
        <v>10</v>
      </c>
      <c r="T12" s="208">
        <v>-12.5</v>
      </c>
      <c r="U12" s="208">
        <f>ABS(Множество_202207112140401240[[#This Row],[10]]-Множество_202207112140401240[[#This Row],[12]])</f>
        <v>3.3583333333333298</v>
      </c>
      <c r="V12" s="208">
        <f>ABS(Множество_202207112140401240[[#This Row],[11]]-Множество_202207112140401240[[#This Row],[13]])</f>
        <v>0.84999999999999964</v>
      </c>
      <c r="W12" s="208">
        <f>Множество_202207112140401240[[#This Row],[15]]+Множество_202207112140401240[[#This Row],[14]]</f>
        <v>4.2083333333333295</v>
      </c>
      <c r="X12" s="208">
        <f ca="1">IF(ROW()-ROW(Множество_202207112140401240[[#Headers],[17]])&gt;1,Множество_202207112140401240[[#This Row],[16]]-OFFSET(Множество_202207112140401240[[#This Row],[16]],-1,0),0)</f>
        <v>7.5000000000029488E-2</v>
      </c>
      <c r="Y12" s="208">
        <v>6.6416666666666702</v>
      </c>
      <c r="Z12" s="208">
        <v>-13.35</v>
      </c>
      <c r="AA12" s="208">
        <f>ABS(Множество_202207112140401240[[#This Row],[18]]-Множество_202207112140401240[[#This Row],[12]])</f>
        <v>3.3583333333333298</v>
      </c>
      <c r="AB12" s="208">
        <f>ABS(Множество_202207112140401240[[#This Row],[19]]-Множество_202207112140401240[[#This Row],[13]])</f>
        <v>0.84999999999999964</v>
      </c>
      <c r="AC12" s="208">
        <f>Множество_202207112140401240[[#This Row],[20]]+Множество_202207112140401240[[#This Row],[21]]</f>
        <v>4.2083333333333295</v>
      </c>
    </row>
    <row r="13" spans="1:29" x14ac:dyDescent="0.25">
      <c r="A13" t="s">
        <v>427</v>
      </c>
      <c r="B13" t="s">
        <v>100</v>
      </c>
      <c r="C13" t="s">
        <v>621</v>
      </c>
      <c r="D13" t="s">
        <v>1781</v>
      </c>
      <c r="E13" t="s">
        <v>582</v>
      </c>
      <c r="F13" s="213" t="s">
        <v>749</v>
      </c>
      <c r="G13" t="s">
        <v>638</v>
      </c>
      <c r="H13" t="s">
        <v>87</v>
      </c>
      <c r="I13">
        <v>2.5</v>
      </c>
      <c r="J13">
        <v>1.57</v>
      </c>
      <c r="K13">
        <f>Множество_202207112140401240[[#This Row],[2]]-Множество_202207112140401240[[#This Row],[4]]</f>
        <v>0.93000000000000016</v>
      </c>
      <c r="L13">
        <f>Множество_202207112140401240[[#This Row],[3]]-Множество_202207112140401240[[#This Row],[5]]</f>
        <v>0.30999999999999983</v>
      </c>
      <c r="M13">
        <f>Множество_202207112140401240[[#This Row],[7]]+Множество_202207112140401240[[#This Row],[6]]</f>
        <v>1.24</v>
      </c>
      <c r="N13" s="208" t="str">
        <f>CONCATENATE(Множество_202207112140401240[[#This Row],[2]],Множество_202207112140401240[[#This Row],[3]])</f>
        <v>3,431,88</v>
      </c>
      <c r="O13" s="208"/>
      <c r="P13" s="208"/>
      <c r="Q13">
        <v>6.5250000000000004</v>
      </c>
      <c r="R13">
        <v>-13.366666666666699</v>
      </c>
      <c r="S13" s="208">
        <v>10</v>
      </c>
      <c r="T13" s="208">
        <v>-12.5</v>
      </c>
      <c r="U13" s="208">
        <f>ABS(Множество_202207112140401240[[#This Row],[10]]-Множество_202207112140401240[[#This Row],[12]])</f>
        <v>3.4749999999999996</v>
      </c>
      <c r="V13" s="208">
        <f>ABS(Множество_202207112140401240[[#This Row],[11]]-Множество_202207112140401240[[#This Row],[13]])</f>
        <v>0.86666666666669911</v>
      </c>
      <c r="W13" s="208">
        <f>Множество_202207112140401240[[#This Row],[15]]+Множество_202207112140401240[[#This Row],[14]]</f>
        <v>4.3416666666666988</v>
      </c>
      <c r="X13" s="208">
        <f ca="1">IF(ROW()-ROW(Множество_202207112140401240[[#Headers],[17]])&gt;1,Множество_202207112140401240[[#This Row],[16]]-OFFSET(Множество_202207112140401240[[#This Row],[16]],-1,0),0)</f>
        <v>0.13333333333336927</v>
      </c>
      <c r="Y13" s="208">
        <v>6.5250000000000004</v>
      </c>
      <c r="Z13" s="208">
        <v>-13.366666666666699</v>
      </c>
      <c r="AA13" s="208">
        <f>ABS(Множество_202207112140401240[[#This Row],[18]]-Множество_202207112140401240[[#This Row],[12]])</f>
        <v>3.4749999999999996</v>
      </c>
      <c r="AB13" s="208">
        <f>ABS(Множество_202207112140401240[[#This Row],[19]]-Множество_202207112140401240[[#This Row],[13]])</f>
        <v>0.86666666666669911</v>
      </c>
      <c r="AC13" s="208">
        <f>Множество_202207112140401240[[#This Row],[20]]+Множество_202207112140401240[[#This Row],[21]]</f>
        <v>4.3416666666666988</v>
      </c>
    </row>
    <row r="14" spans="1:29" x14ac:dyDescent="0.25">
      <c r="A14" t="s">
        <v>428</v>
      </c>
      <c r="B14" t="s">
        <v>100</v>
      </c>
      <c r="C14" t="s">
        <v>621</v>
      </c>
      <c r="D14" t="s">
        <v>1781</v>
      </c>
      <c r="E14" t="s">
        <v>582</v>
      </c>
      <c r="F14" s="213" t="s">
        <v>749</v>
      </c>
      <c r="G14" t="s">
        <v>969</v>
      </c>
      <c r="H14" t="s">
        <v>88</v>
      </c>
      <c r="I14">
        <v>2.5</v>
      </c>
      <c r="J14">
        <v>1.57</v>
      </c>
      <c r="K14">
        <f>Множество_202207112140401240[[#This Row],[2]]-Множество_202207112140401240[[#This Row],[4]]</f>
        <v>0.91999999999999993</v>
      </c>
      <c r="L14">
        <f>Множество_202207112140401240[[#This Row],[3]]-Множество_202207112140401240[[#This Row],[5]]</f>
        <v>0.31999999999999984</v>
      </c>
      <c r="M14">
        <f>Множество_202207112140401240[[#This Row],[7]]+Множество_202207112140401240[[#This Row],[6]]</f>
        <v>1.2399999999999998</v>
      </c>
      <c r="N14" s="208" t="str">
        <f>CONCATENATE(Множество_202207112140401240[[#This Row],[2]],Множество_202207112140401240[[#This Row],[3]])</f>
        <v>3,421,89</v>
      </c>
      <c r="O14" s="208"/>
      <c r="P14" s="208"/>
      <c r="Q14">
        <v>6.4666666666666703</v>
      </c>
      <c r="R14">
        <v>-13.383333333333301</v>
      </c>
      <c r="S14" s="208">
        <v>10</v>
      </c>
      <c r="T14" s="208">
        <v>-12.5</v>
      </c>
      <c r="U14" s="208">
        <f>ABS(Множество_202207112140401240[[#This Row],[10]]-Множество_202207112140401240[[#This Row],[12]])</f>
        <v>3.5333333333333297</v>
      </c>
      <c r="V14" s="208">
        <f>ABS(Множество_202207112140401240[[#This Row],[11]]-Множество_202207112140401240[[#This Row],[13]])</f>
        <v>0.88333333333330089</v>
      </c>
      <c r="W14" s="208">
        <f>Множество_202207112140401240[[#This Row],[15]]+Множество_202207112140401240[[#This Row],[14]]</f>
        <v>4.4166666666666305</v>
      </c>
      <c r="X14" s="208">
        <f ca="1">IF(ROW()-ROW(Множество_202207112140401240[[#Headers],[17]])&gt;1,Множество_202207112140401240[[#This Row],[16]]-OFFSET(Множество_202207112140401240[[#This Row],[16]],-1,0),0)</f>
        <v>7.4999999999931788E-2</v>
      </c>
      <c r="Y14" s="208">
        <v>6.4666666666666703</v>
      </c>
      <c r="Z14" s="208">
        <v>-13.383333333333301</v>
      </c>
      <c r="AA14" s="208">
        <f>ABS(Множество_202207112140401240[[#This Row],[18]]-Множество_202207112140401240[[#This Row],[12]])</f>
        <v>3.5333333333333297</v>
      </c>
      <c r="AB14" s="208">
        <f>ABS(Множество_202207112140401240[[#This Row],[19]]-Множество_202207112140401240[[#This Row],[13]])</f>
        <v>0.88333333333330089</v>
      </c>
      <c r="AC14" s="208">
        <f>Множество_202207112140401240[[#This Row],[20]]+Множество_202207112140401240[[#This Row],[21]]</f>
        <v>4.4166666666666305</v>
      </c>
    </row>
    <row r="15" spans="1:29" x14ac:dyDescent="0.25">
      <c r="A15" t="s">
        <v>429</v>
      </c>
      <c r="B15" t="s">
        <v>100</v>
      </c>
      <c r="C15" t="s">
        <v>621</v>
      </c>
      <c r="D15" t="s">
        <v>1781</v>
      </c>
      <c r="E15" t="s">
        <v>582</v>
      </c>
      <c r="F15" s="213" t="s">
        <v>749</v>
      </c>
      <c r="G15" t="s">
        <v>781</v>
      </c>
      <c r="H15" t="s">
        <v>90</v>
      </c>
      <c r="I15">
        <v>2.5</v>
      </c>
      <c r="J15">
        <v>1.57</v>
      </c>
      <c r="K15">
        <f>Множество_202207112140401240[[#This Row],[2]]-Множество_202207112140401240[[#This Row],[4]]</f>
        <v>0.89999999999999991</v>
      </c>
      <c r="L15">
        <f>Множество_202207112140401240[[#This Row],[3]]-Множество_202207112140401240[[#This Row],[5]]</f>
        <v>0.33999999999999986</v>
      </c>
      <c r="M15">
        <f>Множество_202207112140401240[[#This Row],[7]]+Множество_202207112140401240[[#This Row],[6]]</f>
        <v>1.2399999999999998</v>
      </c>
      <c r="N15" s="208" t="str">
        <f>CONCATENATE(Множество_202207112140401240[[#This Row],[2]],Множество_202207112140401240[[#This Row],[3]])</f>
        <v>3,41,91</v>
      </c>
      <c r="O15" s="208"/>
      <c r="P15" s="208"/>
      <c r="Q15">
        <v>7.1666666666666696</v>
      </c>
      <c r="R15">
        <v>-10.866666666666699</v>
      </c>
      <c r="S15" s="208">
        <v>10</v>
      </c>
      <c r="T15" s="208">
        <v>-12.5</v>
      </c>
      <c r="U15" s="208">
        <f>ABS(Множество_202207112140401240[[#This Row],[10]]-Множество_202207112140401240[[#This Row],[12]])</f>
        <v>2.8333333333333304</v>
      </c>
      <c r="V15" s="208">
        <f>ABS(Множество_202207112140401240[[#This Row],[11]]-Множество_202207112140401240[[#This Row],[13]])</f>
        <v>1.6333333333333009</v>
      </c>
      <c r="W15" s="208">
        <f>Множество_202207112140401240[[#This Row],[15]]+Множество_202207112140401240[[#This Row],[14]]</f>
        <v>4.4666666666666313</v>
      </c>
      <c r="X15" s="208">
        <f ca="1">IF(ROW()-ROW(Множество_202207112140401240[[#Headers],[17]])&gt;1,Множество_202207112140401240[[#This Row],[16]]-OFFSET(Множество_202207112140401240[[#This Row],[16]],-1,0),0)</f>
        <v>5.0000000000000711E-2</v>
      </c>
      <c r="Y15" s="208">
        <v>7.1666666666666696</v>
      </c>
      <c r="Z15" s="208">
        <v>-10.866666666666699</v>
      </c>
      <c r="AA15" s="208">
        <f>ABS(Множество_202207112140401240[[#This Row],[18]]-Множество_202207112140401240[[#This Row],[12]])</f>
        <v>2.8333333333333304</v>
      </c>
      <c r="AB15" s="208">
        <f>ABS(Множество_202207112140401240[[#This Row],[19]]-Множество_202207112140401240[[#This Row],[13]])</f>
        <v>1.6333333333333009</v>
      </c>
      <c r="AC15" s="208">
        <f>Множество_202207112140401240[[#This Row],[20]]+Множество_202207112140401240[[#This Row],[21]]</f>
        <v>4.4666666666666313</v>
      </c>
    </row>
    <row r="16" spans="1:29" x14ac:dyDescent="0.25">
      <c r="A16" t="s">
        <v>430</v>
      </c>
      <c r="B16" t="s">
        <v>100</v>
      </c>
      <c r="C16" t="s">
        <v>621</v>
      </c>
      <c r="D16" t="s">
        <v>1781</v>
      </c>
      <c r="E16" t="s">
        <v>582</v>
      </c>
      <c r="F16" s="213" t="s">
        <v>749</v>
      </c>
      <c r="G16" t="s">
        <v>875</v>
      </c>
      <c r="H16" t="s">
        <v>86</v>
      </c>
      <c r="I16">
        <v>2.5</v>
      </c>
      <c r="J16">
        <v>1.57</v>
      </c>
      <c r="K16">
        <f>Множество_202207112140401240[[#This Row],[2]]-Множество_202207112140401240[[#This Row],[4]]</f>
        <v>0.95000000000000018</v>
      </c>
      <c r="L16">
        <f>Множество_202207112140401240[[#This Row],[3]]-Множество_202207112140401240[[#This Row],[5]]</f>
        <v>0.30000000000000004</v>
      </c>
      <c r="M16">
        <f>Множество_202207112140401240[[#This Row],[7]]+Множество_202207112140401240[[#This Row],[6]]</f>
        <v>1.2500000000000002</v>
      </c>
      <c r="N16" s="208" t="str">
        <f>CONCATENATE(Множество_202207112140401240[[#This Row],[2]],Множество_202207112140401240[[#This Row],[3]])</f>
        <v>3,451,87</v>
      </c>
      <c r="O16" s="208"/>
      <c r="P16" s="208"/>
      <c r="Q16">
        <v>7.05</v>
      </c>
      <c r="R16">
        <v>-10.966666666666701</v>
      </c>
      <c r="S16" s="208">
        <v>10</v>
      </c>
      <c r="T16" s="208">
        <v>-12.5</v>
      </c>
      <c r="U16" s="208">
        <f>ABS(Множество_202207112140401240[[#This Row],[10]]-Множество_202207112140401240[[#This Row],[12]])</f>
        <v>2.95</v>
      </c>
      <c r="V16" s="208">
        <f>ABS(Множество_202207112140401240[[#This Row],[11]]-Множество_202207112140401240[[#This Row],[13]])</f>
        <v>1.5333333333332995</v>
      </c>
      <c r="W16" s="208">
        <f>Множество_202207112140401240[[#This Row],[15]]+Множество_202207112140401240[[#This Row],[14]]</f>
        <v>4.4833333333332996</v>
      </c>
      <c r="X16" s="208">
        <f ca="1">IF(ROW()-ROW(Множество_202207112140401240[[#Headers],[17]])&gt;1,Множество_202207112140401240[[#This Row],[16]]-OFFSET(Множество_202207112140401240[[#This Row],[16]],-1,0),0)</f>
        <v>1.6666666666668384E-2</v>
      </c>
      <c r="Y16" s="208">
        <v>7.2249999999999996</v>
      </c>
      <c r="Z16" s="208">
        <v>-10.8333333333333</v>
      </c>
      <c r="AA16" s="208">
        <f>ABS(Множество_202207112140401240[[#This Row],[18]]-Множество_202207112140401240[[#This Row],[12]])</f>
        <v>2.7750000000000004</v>
      </c>
      <c r="AB16" s="208">
        <f>ABS(Множество_202207112140401240[[#This Row],[19]]-Множество_202207112140401240[[#This Row],[13]])</f>
        <v>1.6666666666666998</v>
      </c>
      <c r="AC16" s="208">
        <f>Множество_202207112140401240[[#This Row],[20]]+Множество_202207112140401240[[#This Row],[21]]</f>
        <v>4.4416666666667002</v>
      </c>
    </row>
    <row r="17" spans="1:29" x14ac:dyDescent="0.25">
      <c r="A17" s="231" t="s">
        <v>431</v>
      </c>
      <c r="B17" s="231" t="s">
        <v>100</v>
      </c>
      <c r="C17" s="231" t="s">
        <v>621</v>
      </c>
      <c r="D17" s="231" t="s">
        <v>1781</v>
      </c>
      <c r="E17" s="231" t="s">
        <v>582</v>
      </c>
      <c r="F17" s="232" t="s">
        <v>749</v>
      </c>
      <c r="G17" s="231" t="s">
        <v>761</v>
      </c>
      <c r="H17" s="231" t="s">
        <v>85</v>
      </c>
      <c r="I17" s="231">
        <v>2.5</v>
      </c>
      <c r="J17" s="231">
        <v>1.57</v>
      </c>
      <c r="K17" s="231">
        <f>Множество_202207112140401240[[#This Row],[2]]-Множество_202207112140401240[[#This Row],[4]]</f>
        <v>0.96</v>
      </c>
      <c r="L17" s="231">
        <f>Множество_202207112140401240[[#This Row],[3]]-Множество_202207112140401240[[#This Row],[5]]</f>
        <v>0.29000000000000004</v>
      </c>
      <c r="M17" s="231">
        <f>Множество_202207112140401240[[#This Row],[7]]+Множество_202207112140401240[[#This Row],[6]]</f>
        <v>1.25</v>
      </c>
      <c r="N17" s="233" t="str">
        <f>CONCATENATE(Множество_202207112140401240[[#This Row],[2]],Множество_202207112140401240[[#This Row],[3]])</f>
        <v>3,461,86</v>
      </c>
      <c r="O17" s="233"/>
      <c r="P17" s="233"/>
      <c r="Q17">
        <v>7.2249999999999996</v>
      </c>
      <c r="R17">
        <v>-10.8333333333333</v>
      </c>
      <c r="S17" s="208">
        <v>10</v>
      </c>
      <c r="T17" s="208">
        <v>-12.5</v>
      </c>
      <c r="U17" s="208">
        <f>ABS(Множество_202207112140401240[[#This Row],[10]]-Множество_202207112140401240[[#This Row],[12]])</f>
        <v>2.7750000000000004</v>
      </c>
      <c r="V17" s="233">
        <f>ABS(Множество_202207112140401240[[#This Row],[11]]-Множество_202207112140401240[[#This Row],[13]])</f>
        <v>1.6666666666666998</v>
      </c>
      <c r="W17" s="208">
        <f>Множество_202207112140401240[[#This Row],[15]]+Множество_202207112140401240[[#This Row],[14]]</f>
        <v>4.4416666666667002</v>
      </c>
      <c r="X17" s="208">
        <f ca="1">IF(ROW()-ROW(Множество_202207112140401240[[#Headers],[17]])&gt;1,Множество_202207112140401240[[#This Row],[16]]-OFFSET(Множество_202207112140401240[[#This Row],[16]],-1,0),0)</f>
        <v>-4.1666666666599461E-2</v>
      </c>
      <c r="Y17" s="208">
        <v>7.05</v>
      </c>
      <c r="Z17" s="208">
        <v>-10.966666666666701</v>
      </c>
      <c r="AA17" s="208">
        <f>ABS(Множество_202207112140401240[[#This Row],[18]]-Множество_202207112140401240[[#This Row],[12]])</f>
        <v>2.95</v>
      </c>
      <c r="AB17" s="208">
        <f>ABS(Множество_202207112140401240[[#This Row],[19]]-Множество_202207112140401240[[#This Row],[13]])</f>
        <v>1.5333333333332995</v>
      </c>
      <c r="AC17" s="208">
        <f>Множество_202207112140401240[[#This Row],[20]]+Множество_202207112140401240[[#This Row],[21]]</f>
        <v>4.4833333333332996</v>
      </c>
    </row>
    <row r="18" spans="1:29" x14ac:dyDescent="0.25">
      <c r="A18" t="s">
        <v>432</v>
      </c>
      <c r="B18" t="s">
        <v>100</v>
      </c>
      <c r="C18" t="s">
        <v>621</v>
      </c>
      <c r="D18" t="s">
        <v>1781</v>
      </c>
      <c r="E18" t="s">
        <v>582</v>
      </c>
      <c r="F18" s="213" t="s">
        <v>749</v>
      </c>
      <c r="G18" t="s">
        <v>816</v>
      </c>
      <c r="H18" t="s">
        <v>84</v>
      </c>
      <c r="I18">
        <v>2.5</v>
      </c>
      <c r="J18">
        <v>1.57</v>
      </c>
      <c r="K18">
        <f>Множество_202207112140401240[[#This Row],[2]]-Множество_202207112140401240[[#This Row],[4]]</f>
        <v>0.9700000000000002</v>
      </c>
      <c r="L18">
        <f>Множество_202207112140401240[[#This Row],[3]]-Множество_202207112140401240[[#This Row],[5]]</f>
        <v>0.28000000000000003</v>
      </c>
      <c r="M18">
        <f>Множество_202207112140401240[[#This Row],[7]]+Множество_202207112140401240[[#This Row],[6]]</f>
        <v>1.2500000000000002</v>
      </c>
      <c r="N18" s="208" t="str">
        <f>CONCATENATE(Множество_202207112140401240[[#This Row],[2]],Множество_202207112140401240[[#This Row],[3]])</f>
        <v>3,471,85</v>
      </c>
      <c r="O18" s="208"/>
      <c r="P18" s="208"/>
      <c r="Q18">
        <v>6.35</v>
      </c>
      <c r="R18">
        <v>-13.4166666666667</v>
      </c>
      <c r="S18" s="208">
        <v>10</v>
      </c>
      <c r="T18" s="208">
        <v>-12.5</v>
      </c>
      <c r="U18" s="208">
        <f>ABS(Множество_202207112140401240[[#This Row],[10]]-Множество_202207112140401240[[#This Row],[12]])</f>
        <v>3.6500000000000004</v>
      </c>
      <c r="V18" s="208">
        <f>ABS(Множество_202207112140401240[[#This Row],[11]]-Множество_202207112140401240[[#This Row],[13]])</f>
        <v>0.91666666666669983</v>
      </c>
      <c r="W18" s="208">
        <f>Множество_202207112140401240[[#This Row],[15]]+Множество_202207112140401240[[#This Row],[14]]</f>
        <v>4.5666666666667002</v>
      </c>
      <c r="X18" s="208">
        <f ca="1">IF(ROW()-ROW(Множество_202207112140401240[[#Headers],[17]])&gt;1,Множество_202207112140401240[[#This Row],[16]]-OFFSET(Множество_202207112140401240[[#This Row],[16]],-1,0),0)</f>
        <v>0.125</v>
      </c>
      <c r="Y18" s="208">
        <v>6.35</v>
      </c>
      <c r="Z18" s="208">
        <v>-13.4166666666667</v>
      </c>
      <c r="AA18" s="208">
        <f>ABS(Множество_202207112140401240[[#This Row],[18]]-Множество_202207112140401240[[#This Row],[12]])</f>
        <v>3.6500000000000004</v>
      </c>
      <c r="AB18" s="208">
        <f>ABS(Множество_202207112140401240[[#This Row],[19]]-Множество_202207112140401240[[#This Row],[13]])</f>
        <v>0.91666666666669983</v>
      </c>
      <c r="AC18" s="208">
        <f>Множество_202207112140401240[[#This Row],[20]]+Множество_202207112140401240[[#This Row],[21]]</f>
        <v>4.5666666666667002</v>
      </c>
    </row>
    <row r="19" spans="1:29" x14ac:dyDescent="0.25">
      <c r="A19" t="s">
        <v>433</v>
      </c>
      <c r="B19" t="s">
        <v>100</v>
      </c>
      <c r="C19" t="s">
        <v>621</v>
      </c>
      <c r="D19" t="s">
        <v>1781</v>
      </c>
      <c r="E19" t="s">
        <v>582</v>
      </c>
      <c r="F19" s="213" t="s">
        <v>749</v>
      </c>
      <c r="G19" t="s">
        <v>712</v>
      </c>
      <c r="H19" t="s">
        <v>83</v>
      </c>
      <c r="I19">
        <v>2.5</v>
      </c>
      <c r="J19">
        <v>1.57</v>
      </c>
      <c r="K19">
        <f>Множество_202207112140401240[[#This Row],[2]]-Множество_202207112140401240[[#This Row],[4]]</f>
        <v>0.98</v>
      </c>
      <c r="L19">
        <f>Множество_202207112140401240[[#This Row],[3]]-Множество_202207112140401240[[#This Row],[5]]</f>
        <v>0.27</v>
      </c>
      <c r="M19">
        <f>Множество_202207112140401240[[#This Row],[7]]+Множество_202207112140401240[[#This Row],[6]]</f>
        <v>1.25</v>
      </c>
      <c r="N19" s="208" t="str">
        <f>CONCATENATE(Множество_202207112140401240[[#This Row],[2]],Множество_202207112140401240[[#This Row],[3]])</f>
        <v>3,481,84</v>
      </c>
      <c r="O19" s="208"/>
      <c r="P19" s="208"/>
      <c r="Q19">
        <v>6.875</v>
      </c>
      <c r="R19">
        <v>-11.0833333333333</v>
      </c>
      <c r="S19" s="208">
        <v>10</v>
      </c>
      <c r="T19" s="208">
        <v>-12.5</v>
      </c>
      <c r="U19" s="208">
        <f>ABS(Множество_202207112140401240[[#This Row],[10]]-Множество_202207112140401240[[#This Row],[12]])</f>
        <v>3.125</v>
      </c>
      <c r="V19" s="208">
        <f>ABS(Множество_202207112140401240[[#This Row],[11]]-Множество_202207112140401240[[#This Row],[13]])</f>
        <v>1.4166666666666998</v>
      </c>
      <c r="W19" s="208">
        <f>Множество_202207112140401240[[#This Row],[15]]+Множество_202207112140401240[[#This Row],[14]]</f>
        <v>4.5416666666666998</v>
      </c>
      <c r="X19" s="208">
        <f ca="1">IF(ROW()-ROW(Множество_202207112140401240[[#Headers],[17]])&gt;1,Множество_202207112140401240[[#This Row],[16]]-OFFSET(Множество_202207112140401240[[#This Row],[16]],-1,0),0)</f>
        <v>-2.5000000000000355E-2</v>
      </c>
      <c r="Y19" s="208">
        <v>6.7583333333333302</v>
      </c>
      <c r="Z19" s="208">
        <v>-11.1833333333333</v>
      </c>
      <c r="AA19" s="208">
        <f>ABS(Множество_202207112140401240[[#This Row],[18]]-Множество_202207112140401240[[#This Row],[12]])</f>
        <v>3.2416666666666698</v>
      </c>
      <c r="AB19" s="208">
        <f>ABS(Множество_202207112140401240[[#This Row],[19]]-Множество_202207112140401240[[#This Row],[13]])</f>
        <v>1.3166666666667002</v>
      </c>
      <c r="AC19" s="208">
        <f>Множество_202207112140401240[[#This Row],[20]]+Множество_202207112140401240[[#This Row],[21]]</f>
        <v>4.55833333333337</v>
      </c>
    </row>
    <row r="20" spans="1:29" x14ac:dyDescent="0.25">
      <c r="A20" t="s">
        <v>434</v>
      </c>
      <c r="B20" t="s">
        <v>100</v>
      </c>
      <c r="C20" t="s">
        <v>621</v>
      </c>
      <c r="D20" t="s">
        <v>1781</v>
      </c>
      <c r="E20" t="s">
        <v>582</v>
      </c>
      <c r="F20" s="213" t="s">
        <v>749</v>
      </c>
      <c r="G20" t="s">
        <v>793</v>
      </c>
      <c r="H20" t="s">
        <v>80</v>
      </c>
      <c r="I20">
        <v>2.5</v>
      </c>
      <c r="J20">
        <v>1.57</v>
      </c>
      <c r="K20">
        <f>Множество_202207112140401240[[#This Row],[2]]-Множество_202207112140401240[[#This Row],[4]]</f>
        <v>1.02</v>
      </c>
      <c r="L20">
        <f>Множество_202207112140401240[[#This Row],[3]]-Множество_202207112140401240[[#This Row],[5]]</f>
        <v>0.24</v>
      </c>
      <c r="M20">
        <f>Множество_202207112140401240[[#This Row],[7]]+Множество_202207112140401240[[#This Row],[6]]</f>
        <v>1.26</v>
      </c>
      <c r="N20" s="208" t="str">
        <f>CONCATENATE(Множество_202207112140401240[[#This Row],[2]],Множество_202207112140401240[[#This Row],[3]])</f>
        <v>3,521,81</v>
      </c>
      <c r="O20" s="208"/>
      <c r="P20" s="208"/>
      <c r="Q20">
        <v>6.7583333333333302</v>
      </c>
      <c r="R20">
        <v>-11.1833333333333</v>
      </c>
      <c r="S20" s="208">
        <v>10</v>
      </c>
      <c r="T20" s="208">
        <v>-12.5</v>
      </c>
      <c r="U20" s="208">
        <f>ABS(Множество_202207112140401240[[#This Row],[10]]-Множество_202207112140401240[[#This Row],[12]])</f>
        <v>3.2416666666666698</v>
      </c>
      <c r="V20" s="208">
        <f>ABS(Множество_202207112140401240[[#This Row],[11]]-Множество_202207112140401240[[#This Row],[13]])</f>
        <v>1.3166666666667002</v>
      </c>
      <c r="W20" s="208">
        <f>Множество_202207112140401240[[#This Row],[15]]+Множество_202207112140401240[[#This Row],[14]]</f>
        <v>4.55833333333337</v>
      </c>
      <c r="X20" s="208">
        <f ca="1">IF(ROW()-ROW(Множество_202207112140401240[[#Headers],[17]])&gt;1,Множество_202207112140401240[[#This Row],[16]]-OFFSET(Множество_202207112140401240[[#This Row],[16]],-1,0),0)</f>
        <v>1.666666666667016E-2</v>
      </c>
      <c r="Y20" s="208">
        <v>6.875</v>
      </c>
      <c r="Z20" s="208">
        <v>-11.0833333333333</v>
      </c>
      <c r="AA20" s="208">
        <f>ABS(Множество_202207112140401240[[#This Row],[18]]-Множество_202207112140401240[[#This Row],[12]])</f>
        <v>3.125</v>
      </c>
      <c r="AB20" s="208">
        <f>ABS(Множество_202207112140401240[[#This Row],[19]]-Множество_202207112140401240[[#This Row],[13]])</f>
        <v>1.4166666666666998</v>
      </c>
      <c r="AC20" s="208">
        <f>Множество_202207112140401240[[#This Row],[20]]+Множество_202207112140401240[[#This Row],[21]]</f>
        <v>4.5416666666666998</v>
      </c>
    </row>
    <row r="21" spans="1:29" x14ac:dyDescent="0.25">
      <c r="A21" t="s">
        <v>435</v>
      </c>
      <c r="B21" t="s">
        <v>100</v>
      </c>
      <c r="C21" t="s">
        <v>621</v>
      </c>
      <c r="D21" t="s">
        <v>1781</v>
      </c>
      <c r="E21" t="s">
        <v>582</v>
      </c>
      <c r="F21" s="213" t="s">
        <v>749</v>
      </c>
      <c r="G21" t="s">
        <v>705</v>
      </c>
      <c r="H21" t="s">
        <v>82</v>
      </c>
      <c r="I21">
        <v>2.5</v>
      </c>
      <c r="J21">
        <v>1.57</v>
      </c>
      <c r="K21">
        <f>Множество_202207112140401240[[#This Row],[2]]-Множество_202207112140401240[[#This Row],[4]]</f>
        <v>1</v>
      </c>
      <c r="L21">
        <f>Множество_202207112140401240[[#This Row],[3]]-Множество_202207112140401240[[#This Row],[5]]</f>
        <v>0.26</v>
      </c>
      <c r="M21">
        <f>Множество_202207112140401240[[#This Row],[7]]+Множество_202207112140401240[[#This Row],[6]]</f>
        <v>1.26</v>
      </c>
      <c r="N21" s="208" t="str">
        <f>CONCATENATE(Множество_202207112140401240[[#This Row],[2]],Множество_202207112140401240[[#This Row],[3]])</f>
        <v>3,51,83</v>
      </c>
      <c r="O21" s="208"/>
      <c r="P21" s="208"/>
      <c r="Q21">
        <v>6.4083333333333297</v>
      </c>
      <c r="R21">
        <v>-13.4</v>
      </c>
      <c r="S21" s="208">
        <v>10</v>
      </c>
      <c r="T21" s="208">
        <v>-12.5</v>
      </c>
      <c r="U21" s="208">
        <f>ABS(Множество_202207112140401240[[#This Row],[10]]-Множество_202207112140401240[[#This Row],[12]])</f>
        <v>3.5916666666666703</v>
      </c>
      <c r="V21" s="208">
        <f>ABS(Множество_202207112140401240[[#This Row],[11]]-Множество_202207112140401240[[#This Row],[13]])</f>
        <v>0.90000000000000036</v>
      </c>
      <c r="W21" s="208">
        <f>Множество_202207112140401240[[#This Row],[15]]+Множество_202207112140401240[[#This Row],[14]]</f>
        <v>4.4916666666666707</v>
      </c>
      <c r="X21" s="208">
        <f ca="1">IF(ROW()-ROW(Множество_202207112140401240[[#Headers],[17]])&gt;1,Множество_202207112140401240[[#This Row],[16]]-OFFSET(Множество_202207112140401240[[#This Row],[16]],-1,0),0)</f>
        <v>-6.6666666666699292E-2</v>
      </c>
      <c r="Y21" s="208">
        <v>6.4083333333333297</v>
      </c>
      <c r="Z21" s="208">
        <v>-13.4</v>
      </c>
      <c r="AA21" s="208">
        <f>ABS(Множество_202207112140401240[[#This Row],[18]]-Множество_202207112140401240[[#This Row],[12]])</f>
        <v>3.5916666666666703</v>
      </c>
      <c r="AB21" s="208">
        <f>ABS(Множество_202207112140401240[[#This Row],[19]]-Множество_202207112140401240[[#This Row],[13]])</f>
        <v>0.90000000000000036</v>
      </c>
      <c r="AC21" s="208">
        <f>Множество_202207112140401240[[#This Row],[20]]+Множество_202207112140401240[[#This Row],[21]]</f>
        <v>4.4916666666666707</v>
      </c>
    </row>
    <row r="22" spans="1:29" x14ac:dyDescent="0.25">
      <c r="A22" t="s">
        <v>436</v>
      </c>
      <c r="B22" t="s">
        <v>100</v>
      </c>
      <c r="C22" t="s">
        <v>621</v>
      </c>
      <c r="D22" t="s">
        <v>1781</v>
      </c>
      <c r="E22" t="s">
        <v>582</v>
      </c>
      <c r="F22" s="213" t="s">
        <v>749</v>
      </c>
      <c r="G22" t="s">
        <v>770</v>
      </c>
      <c r="H22" t="s">
        <v>81</v>
      </c>
      <c r="I22">
        <v>2.5</v>
      </c>
      <c r="J22">
        <v>1.57</v>
      </c>
      <c r="K22">
        <f>Множество_202207112140401240[[#This Row],[2]]-Множество_202207112140401240[[#This Row],[4]]</f>
        <v>1.0099999999999998</v>
      </c>
      <c r="L22">
        <f>Множество_202207112140401240[[#This Row],[3]]-Множество_202207112140401240[[#This Row],[5]]</f>
        <v>0.25</v>
      </c>
      <c r="M22">
        <f>Множество_202207112140401240[[#This Row],[7]]+Множество_202207112140401240[[#This Row],[6]]</f>
        <v>1.2599999999999998</v>
      </c>
      <c r="N22" s="208" t="str">
        <f>CONCATENATE(Множество_202207112140401240[[#This Row],[2]],Множество_202207112140401240[[#This Row],[3]])</f>
        <v>3,511,82</v>
      </c>
      <c r="O22" s="208"/>
      <c r="P22" s="208"/>
      <c r="Q22">
        <v>7.1083333333333298</v>
      </c>
      <c r="R22">
        <v>-10.9166666666667</v>
      </c>
      <c r="S22" s="208">
        <v>10</v>
      </c>
      <c r="T22" s="208">
        <v>-12.5</v>
      </c>
      <c r="U22" s="208">
        <f>ABS(Множество_202207112140401240[[#This Row],[10]]-Множество_202207112140401240[[#This Row],[12]])</f>
        <v>2.8916666666666702</v>
      </c>
      <c r="V22" s="208">
        <f>ABS(Множество_202207112140401240[[#This Row],[11]]-Множество_202207112140401240[[#This Row],[13]])</f>
        <v>1.5833333333333002</v>
      </c>
      <c r="W22" s="208">
        <f>Множество_202207112140401240[[#This Row],[15]]+Множество_202207112140401240[[#This Row],[14]]</f>
        <v>4.4749999999999703</v>
      </c>
      <c r="X22" s="208">
        <f ca="1">IF(ROW()-ROW(Множество_202207112140401240[[#Headers],[17]])&gt;1,Множество_202207112140401240[[#This Row],[16]]-OFFSET(Множество_202207112140401240[[#This Row],[16]],-1,0),0)</f>
        <v>-1.6666666666700358E-2</v>
      </c>
      <c r="Y22" s="208">
        <v>7.1083333333333298</v>
      </c>
      <c r="Z22" s="208">
        <v>-10.9166666666667</v>
      </c>
      <c r="AA22" s="208">
        <f>ABS(Множество_202207112140401240[[#This Row],[18]]-Множество_202207112140401240[[#This Row],[12]])</f>
        <v>2.8916666666666702</v>
      </c>
      <c r="AB22" s="208">
        <f>ABS(Множество_202207112140401240[[#This Row],[19]]-Множество_202207112140401240[[#This Row],[13]])</f>
        <v>1.5833333333333002</v>
      </c>
      <c r="AC22" s="208">
        <f>Множество_202207112140401240[[#This Row],[20]]+Множество_202207112140401240[[#This Row],[21]]</f>
        <v>4.4749999999999703</v>
      </c>
    </row>
    <row r="23" spans="1:29" x14ac:dyDescent="0.25">
      <c r="A23" t="s">
        <v>437</v>
      </c>
      <c r="B23" t="s">
        <v>100</v>
      </c>
      <c r="C23" t="s">
        <v>621</v>
      </c>
      <c r="D23" t="s">
        <v>1781</v>
      </c>
      <c r="E23" t="s">
        <v>582</v>
      </c>
      <c r="F23" s="213" t="s">
        <v>749</v>
      </c>
      <c r="G23" t="s">
        <v>677</v>
      </c>
      <c r="H23" t="s">
        <v>83</v>
      </c>
      <c r="I23">
        <v>2.5</v>
      </c>
      <c r="J23">
        <v>1.57</v>
      </c>
      <c r="K23">
        <f>Множество_202207112140401240[[#This Row],[2]]-Множество_202207112140401240[[#This Row],[4]]</f>
        <v>0.99000000000000021</v>
      </c>
      <c r="L23">
        <f>Множество_202207112140401240[[#This Row],[3]]-Множество_202207112140401240[[#This Row],[5]]</f>
        <v>0.27</v>
      </c>
      <c r="M23">
        <f>Множество_202207112140401240[[#This Row],[7]]+Множество_202207112140401240[[#This Row],[6]]</f>
        <v>1.2600000000000002</v>
      </c>
      <c r="N23" s="208" t="str">
        <f>CONCATENATE(Множество_202207112140401240[[#This Row],[2]],Множество_202207112140401240[[#This Row],[3]])</f>
        <v>3,491,84</v>
      </c>
      <c r="O23" s="208"/>
      <c r="P23" s="208"/>
      <c r="Q23">
        <v>6.93333333333333</v>
      </c>
      <c r="R23">
        <v>-11.05</v>
      </c>
      <c r="S23" s="208">
        <v>10</v>
      </c>
      <c r="T23" s="208">
        <v>-12.5</v>
      </c>
      <c r="U23" s="208">
        <f>ABS(Множество_202207112140401240[[#This Row],[10]]-Множество_202207112140401240[[#This Row],[12]])</f>
        <v>3.06666666666667</v>
      </c>
      <c r="V23" s="208">
        <f>ABS(Множество_202207112140401240[[#This Row],[11]]-Множество_202207112140401240[[#This Row],[13]])</f>
        <v>1.4499999999999993</v>
      </c>
      <c r="W23" s="208">
        <f>Множество_202207112140401240[[#This Row],[15]]+Множество_202207112140401240[[#This Row],[14]]</f>
        <v>4.5166666666666693</v>
      </c>
      <c r="X23" s="208">
        <f ca="1">IF(ROW()-ROW(Множество_202207112140401240[[#Headers],[17]])&gt;1,Множество_202207112140401240[[#This Row],[16]]-OFFSET(Множество_202207112140401240[[#This Row],[16]],-1,0),0)</f>
        <v>4.1666666666698937E-2</v>
      </c>
      <c r="Y23" s="208">
        <v>6.93333333333333</v>
      </c>
      <c r="Z23" s="208">
        <v>-11.05</v>
      </c>
      <c r="AA23" s="208">
        <f>ABS(Множество_202207112140401240[[#This Row],[18]]-Множество_202207112140401240[[#This Row],[12]])</f>
        <v>3.06666666666667</v>
      </c>
      <c r="AB23" s="208">
        <f>ABS(Множество_202207112140401240[[#This Row],[19]]-Множество_202207112140401240[[#This Row],[13]])</f>
        <v>1.4499999999999993</v>
      </c>
      <c r="AC23" s="208">
        <f>Множество_202207112140401240[[#This Row],[20]]+Множество_202207112140401240[[#This Row],[21]]</f>
        <v>4.5166666666666693</v>
      </c>
    </row>
    <row r="24" spans="1:29" x14ac:dyDescent="0.25">
      <c r="A24" t="s">
        <v>438</v>
      </c>
      <c r="B24" t="s">
        <v>100</v>
      </c>
      <c r="C24" t="s">
        <v>621</v>
      </c>
      <c r="D24" t="s">
        <v>1781</v>
      </c>
      <c r="E24" t="s">
        <v>582</v>
      </c>
      <c r="F24" s="213" t="s">
        <v>749</v>
      </c>
      <c r="G24" t="s">
        <v>1035</v>
      </c>
      <c r="H24" t="s">
        <v>77</v>
      </c>
      <c r="I24">
        <v>2.5</v>
      </c>
      <c r="J24">
        <v>1.57</v>
      </c>
      <c r="K24">
        <f>Множество_202207112140401240[[#This Row],[2]]-Множество_202207112140401240[[#This Row],[4]]</f>
        <v>1.06</v>
      </c>
      <c r="L24">
        <f>Множество_202207112140401240[[#This Row],[3]]-Множество_202207112140401240[[#This Row],[5]]</f>
        <v>0.20999999999999996</v>
      </c>
      <c r="M24">
        <f>Множество_202207112140401240[[#This Row],[7]]+Множество_202207112140401240[[#This Row],[6]]</f>
        <v>1.27</v>
      </c>
      <c r="N24" s="208" t="str">
        <f>CONCATENATE(Множество_202207112140401240[[#This Row],[2]],Множество_202207112140401240[[#This Row],[3]])</f>
        <v>3,561,78</v>
      </c>
      <c r="O24" s="208"/>
      <c r="P24" s="208"/>
      <c r="Q24">
        <v>6.81666666666667</v>
      </c>
      <c r="R24">
        <v>-11.133333333333301</v>
      </c>
      <c r="S24" s="208">
        <v>10</v>
      </c>
      <c r="T24" s="208">
        <v>-12.5</v>
      </c>
      <c r="U24" s="208">
        <f>ABS(Множество_202207112140401240[[#This Row],[10]]-Множество_202207112140401240[[#This Row],[12]])</f>
        <v>3.18333333333333</v>
      </c>
      <c r="V24" s="208">
        <f>ABS(Множество_202207112140401240[[#This Row],[11]]-Множество_202207112140401240[[#This Row],[13]])</f>
        <v>1.3666666666666991</v>
      </c>
      <c r="W24" s="208">
        <f>Множество_202207112140401240[[#This Row],[15]]+Множество_202207112140401240[[#This Row],[14]]</f>
        <v>4.5500000000000291</v>
      </c>
      <c r="X24" s="208">
        <f ca="1">IF(ROW()-ROW(Множество_202207112140401240[[#Headers],[17]])&gt;1,Множество_202207112140401240[[#This Row],[16]]-OFFSET(Множество_202207112140401240[[#This Row],[16]],-1,0),0)</f>
        <v>3.333333333335986E-2</v>
      </c>
      <c r="Y24" s="208">
        <v>6.81666666666667</v>
      </c>
      <c r="Z24" s="208">
        <v>-11.133333333333301</v>
      </c>
      <c r="AA24" s="208">
        <f>ABS(Множество_202207112140401240[[#This Row],[18]]-Множество_202207112140401240[[#This Row],[12]])</f>
        <v>3.18333333333333</v>
      </c>
      <c r="AB24" s="208">
        <f>ABS(Множество_202207112140401240[[#This Row],[19]]-Множество_202207112140401240[[#This Row],[13]])</f>
        <v>1.3666666666666991</v>
      </c>
      <c r="AC24" s="208">
        <f>Множество_202207112140401240[[#This Row],[20]]+Множество_202207112140401240[[#This Row],[21]]</f>
        <v>4.5500000000000291</v>
      </c>
    </row>
    <row r="25" spans="1:29" x14ac:dyDescent="0.25">
      <c r="A25" t="s">
        <v>439</v>
      </c>
      <c r="B25" t="s">
        <v>100</v>
      </c>
      <c r="C25" t="s">
        <v>621</v>
      </c>
      <c r="D25" t="s">
        <v>1781</v>
      </c>
      <c r="E25" t="s">
        <v>582</v>
      </c>
      <c r="F25" s="213" t="s">
        <v>749</v>
      </c>
      <c r="G25" t="s">
        <v>1133</v>
      </c>
      <c r="H25" t="s">
        <v>78</v>
      </c>
      <c r="I25">
        <v>2.5</v>
      </c>
      <c r="J25">
        <v>1.57</v>
      </c>
      <c r="K25">
        <f>Множество_202207112140401240[[#This Row],[2]]-Множество_202207112140401240[[#This Row],[4]]</f>
        <v>1.0499999999999998</v>
      </c>
      <c r="L25">
        <f>Множество_202207112140401240[[#This Row],[3]]-Множество_202207112140401240[[#This Row],[5]]</f>
        <v>0.21999999999999997</v>
      </c>
      <c r="M25">
        <f>Множество_202207112140401240[[#This Row],[7]]+Множество_202207112140401240[[#This Row],[6]]</f>
        <v>1.2699999999999998</v>
      </c>
      <c r="N25" s="208" t="str">
        <f>CONCATENATE(Множество_202207112140401240[[#This Row],[2]],Множество_202207112140401240[[#This Row],[3]])</f>
        <v>3,551,79</v>
      </c>
      <c r="O25" s="208"/>
      <c r="P25" s="208"/>
      <c r="Q25">
        <v>6.9916666666666698</v>
      </c>
      <c r="R25">
        <v>-11</v>
      </c>
      <c r="S25" s="208">
        <v>10</v>
      </c>
      <c r="T25" s="208">
        <v>-12.5</v>
      </c>
      <c r="U25" s="208">
        <f>ABS(Множество_202207112140401240[[#This Row],[10]]-Множество_202207112140401240[[#This Row],[12]])</f>
        <v>3.0083333333333302</v>
      </c>
      <c r="V25" s="208">
        <f>ABS(Множество_202207112140401240[[#This Row],[11]]-Множество_202207112140401240[[#This Row],[13]])</f>
        <v>1.5</v>
      </c>
      <c r="W25" s="208">
        <f>Множество_202207112140401240[[#This Row],[15]]+Множество_202207112140401240[[#This Row],[14]]</f>
        <v>4.5083333333333302</v>
      </c>
      <c r="X25" s="208">
        <f ca="1">IF(ROW()-ROW(Множество_202207112140401240[[#Headers],[17]])&gt;1,Множество_202207112140401240[[#This Row],[16]]-OFFSET(Множество_202207112140401240[[#This Row],[16]],-1,0),0)</f>
        <v>-4.1666666666698937E-2</v>
      </c>
      <c r="Y25" s="208">
        <v>6.9916666666666698</v>
      </c>
      <c r="Z25" s="208">
        <v>-11</v>
      </c>
      <c r="AA25" s="208">
        <f>ABS(Множество_202207112140401240[[#This Row],[18]]-Множество_202207112140401240[[#This Row],[12]])</f>
        <v>3.0083333333333302</v>
      </c>
      <c r="AB25" s="208">
        <f>ABS(Множество_202207112140401240[[#This Row],[19]]-Множество_202207112140401240[[#This Row],[13]])</f>
        <v>1.5</v>
      </c>
      <c r="AC25" s="208">
        <f>Множество_202207112140401240[[#This Row],[20]]+Множество_202207112140401240[[#This Row],[21]]</f>
        <v>4.5083333333333302</v>
      </c>
    </row>
    <row r="26" spans="1:29" x14ac:dyDescent="0.25">
      <c r="A26" t="s">
        <v>440</v>
      </c>
      <c r="B26" t="s">
        <v>100</v>
      </c>
      <c r="C26" t="s">
        <v>621</v>
      </c>
      <c r="D26" t="s">
        <v>1781</v>
      </c>
      <c r="E26" t="s">
        <v>582</v>
      </c>
      <c r="F26" s="213" t="s">
        <v>749</v>
      </c>
      <c r="G26" t="s">
        <v>640</v>
      </c>
      <c r="H26" t="s">
        <v>79</v>
      </c>
      <c r="I26">
        <v>2.5</v>
      </c>
      <c r="J26">
        <v>1.57</v>
      </c>
      <c r="K26">
        <f>Множество_202207112140401240[[#This Row],[2]]-Множество_202207112140401240[[#This Row],[4]]</f>
        <v>1.04</v>
      </c>
      <c r="L26">
        <f>Множество_202207112140401240[[#This Row],[3]]-Множество_202207112140401240[[#This Row],[5]]</f>
        <v>0.22999999999999998</v>
      </c>
      <c r="M26">
        <f>Множество_202207112140401240[[#This Row],[7]]+Множество_202207112140401240[[#This Row],[6]]</f>
        <v>1.27</v>
      </c>
      <c r="N26" s="208" t="str">
        <f>CONCATENATE(Множество_202207112140401240[[#This Row],[2]],Множество_202207112140401240[[#This Row],[3]])</f>
        <v>3,541,8</v>
      </c>
      <c r="O26" s="208"/>
      <c r="P26" s="208"/>
      <c r="Q26">
        <v>6.2333333333333298</v>
      </c>
      <c r="R26">
        <v>-13.4333333333333</v>
      </c>
      <c r="S26" s="208">
        <v>10</v>
      </c>
      <c r="T26" s="208">
        <v>-12.5</v>
      </c>
      <c r="U26" s="208">
        <f>ABS(Множество_202207112140401240[[#This Row],[10]]-Множество_202207112140401240[[#This Row],[12]])</f>
        <v>3.7666666666666702</v>
      </c>
      <c r="V26" s="208">
        <f>ABS(Множество_202207112140401240[[#This Row],[11]]-Множество_202207112140401240[[#This Row],[13]])</f>
        <v>0.93333333333329982</v>
      </c>
      <c r="W26" s="208">
        <f>Множество_202207112140401240[[#This Row],[15]]+Множество_202207112140401240[[#This Row],[14]]</f>
        <v>4.69999999999997</v>
      </c>
      <c r="X26" s="208">
        <f ca="1">IF(ROW()-ROW(Множество_202207112140401240[[#Headers],[17]])&gt;1,Множество_202207112140401240[[#This Row],[16]]-OFFSET(Множество_202207112140401240[[#This Row],[16]],-1,0),0)</f>
        <v>0.19166666666663978</v>
      </c>
      <c r="Y26" s="208">
        <v>6.2333333333333298</v>
      </c>
      <c r="Z26" s="208">
        <v>-13.4333333333333</v>
      </c>
      <c r="AA26" s="208">
        <f>ABS(Множество_202207112140401240[[#This Row],[18]]-Множество_202207112140401240[[#This Row],[12]])</f>
        <v>3.7666666666666702</v>
      </c>
      <c r="AB26" s="208">
        <f>ABS(Множество_202207112140401240[[#This Row],[19]]-Множество_202207112140401240[[#This Row],[13]])</f>
        <v>0.93333333333329982</v>
      </c>
      <c r="AC26" s="208">
        <f>Множество_202207112140401240[[#This Row],[20]]+Множество_202207112140401240[[#This Row],[21]]</f>
        <v>4.69999999999997</v>
      </c>
    </row>
    <row r="27" spans="1:29" x14ac:dyDescent="0.25">
      <c r="A27" t="s">
        <v>648</v>
      </c>
      <c r="B27" t="s">
        <v>100</v>
      </c>
      <c r="C27" t="s">
        <v>621</v>
      </c>
      <c r="D27" t="s">
        <v>1781</v>
      </c>
      <c r="E27" t="s">
        <v>582</v>
      </c>
      <c r="F27" s="213" t="s">
        <v>749</v>
      </c>
      <c r="G27" t="s">
        <v>1392</v>
      </c>
      <c r="H27" t="s">
        <v>56</v>
      </c>
      <c r="I27">
        <v>2.5</v>
      </c>
      <c r="J27">
        <v>1.57</v>
      </c>
      <c r="K27">
        <f>Множество_202207112140401240[[#This Row],[2]]-Множество_202207112140401240[[#This Row],[4]]</f>
        <v>1.27</v>
      </c>
      <c r="L27">
        <f>Множество_202207112140401240[[#This Row],[3]]-Множество_202207112140401240[[#This Row],[5]]</f>
        <v>0</v>
      </c>
      <c r="M27">
        <f>Множество_202207112140401240[[#This Row],[7]]+Множество_202207112140401240[[#This Row],[6]]</f>
        <v>1.27</v>
      </c>
      <c r="N27" s="208" t="str">
        <f>CONCATENATE(Множество_202207112140401240[[#This Row],[2]],Множество_202207112140401240[[#This Row],[3]])</f>
        <v>3,771,57</v>
      </c>
      <c r="O27" s="208"/>
      <c r="P27" s="208"/>
      <c r="Q27">
        <v>6.1749999999999998</v>
      </c>
      <c r="R27">
        <v>-13.45</v>
      </c>
      <c r="S27" s="208">
        <v>10</v>
      </c>
      <c r="T27" s="208">
        <v>-12.5</v>
      </c>
      <c r="U27" s="208">
        <f>ABS(Множество_202207112140401240[[#This Row],[10]]-Множество_202207112140401240[[#This Row],[12]])</f>
        <v>3.8250000000000002</v>
      </c>
      <c r="V27" s="208">
        <f>ABS(Множество_202207112140401240[[#This Row],[11]]-Множество_202207112140401240[[#This Row],[13]])</f>
        <v>0.94999999999999929</v>
      </c>
      <c r="W27" s="208">
        <f>Множество_202207112140401240[[#This Row],[15]]+Множество_202207112140401240[[#This Row],[14]]</f>
        <v>4.7749999999999995</v>
      </c>
      <c r="X27" s="208">
        <f ca="1">IF(ROW()-ROW(Множество_202207112140401240[[#Headers],[17]])&gt;1,Множество_202207112140401240[[#This Row],[16]]-OFFSET(Множество_202207112140401240[[#This Row],[16]],-1,0),0)</f>
        <v>7.5000000000029488E-2</v>
      </c>
      <c r="Y27" s="208">
        <v>6.1749999999999998</v>
      </c>
      <c r="Z27" s="208">
        <v>-13.45</v>
      </c>
      <c r="AA27" s="208">
        <f>ABS(Множество_202207112140401240[[#This Row],[18]]-Множество_202207112140401240[[#This Row],[12]])</f>
        <v>3.8250000000000002</v>
      </c>
      <c r="AB27" s="208">
        <f>ABS(Множество_202207112140401240[[#This Row],[19]]-Множество_202207112140401240[[#This Row],[13]])</f>
        <v>0.94999999999999929</v>
      </c>
      <c r="AC27" s="208">
        <f>Множество_202207112140401240[[#This Row],[20]]+Множество_202207112140401240[[#This Row],[21]]</f>
        <v>4.7749999999999995</v>
      </c>
    </row>
    <row r="28" spans="1:29" x14ac:dyDescent="0.25">
      <c r="A28" t="s">
        <v>649</v>
      </c>
      <c r="B28" t="s">
        <v>100</v>
      </c>
      <c r="C28" t="s">
        <v>621</v>
      </c>
      <c r="D28" t="s">
        <v>1781</v>
      </c>
      <c r="E28" t="s">
        <v>582</v>
      </c>
      <c r="F28" s="213" t="s">
        <v>749</v>
      </c>
      <c r="G28" t="s">
        <v>1231</v>
      </c>
      <c r="H28" t="s">
        <v>76</v>
      </c>
      <c r="I28">
        <v>2.5</v>
      </c>
      <c r="J28">
        <v>1.57</v>
      </c>
      <c r="K28">
        <f>Множество_202207112140401240[[#This Row],[2]]-Множество_202207112140401240[[#This Row],[4]]</f>
        <v>1.0699999999999998</v>
      </c>
      <c r="L28">
        <f>Множество_202207112140401240[[#This Row],[3]]-Множество_202207112140401240[[#This Row],[5]]</f>
        <v>0.19999999999999996</v>
      </c>
      <c r="M28">
        <f>Множество_202207112140401240[[#This Row],[7]]+Множество_202207112140401240[[#This Row],[6]]</f>
        <v>1.2699999999999998</v>
      </c>
      <c r="N28" s="208" t="str">
        <f>CONCATENATE(Множество_202207112140401240[[#This Row],[2]],Множество_202207112140401240[[#This Row],[3]])</f>
        <v>3,571,77</v>
      </c>
      <c r="O28" s="208"/>
      <c r="P28" s="208"/>
      <c r="Q28">
        <v>6.1166666666666698</v>
      </c>
      <c r="R28">
        <v>-13.466666666666701</v>
      </c>
      <c r="S28" s="208">
        <v>10</v>
      </c>
      <c r="T28" s="208">
        <v>-12.5</v>
      </c>
      <c r="U28" s="208">
        <f>ABS(Множество_202207112140401240[[#This Row],[10]]-Множество_202207112140401240[[#This Row],[12]])</f>
        <v>3.8833333333333302</v>
      </c>
      <c r="V28" s="208">
        <f>ABS(Множество_202207112140401240[[#This Row],[11]]-Множество_202207112140401240[[#This Row],[13]])</f>
        <v>0.96666666666670054</v>
      </c>
      <c r="W28" s="208">
        <f>Множество_202207112140401240[[#This Row],[15]]+Множество_202207112140401240[[#This Row],[14]]</f>
        <v>4.8500000000000307</v>
      </c>
      <c r="X28" s="208">
        <f ca="1">IF(ROW()-ROW(Множество_202207112140401240[[#Headers],[17]])&gt;1,Множество_202207112140401240[[#This Row],[16]]-OFFSET(Множество_202207112140401240[[#This Row],[16]],-1,0),0)</f>
        <v>7.5000000000031264E-2</v>
      </c>
      <c r="Y28" s="208">
        <v>6.1166666666666698</v>
      </c>
      <c r="Z28" s="208">
        <v>-13.466666666666701</v>
      </c>
      <c r="AA28" s="208">
        <f>ABS(Множество_202207112140401240[[#This Row],[18]]-Множество_202207112140401240[[#This Row],[12]])</f>
        <v>3.8833333333333302</v>
      </c>
      <c r="AB28" s="208">
        <f>ABS(Множество_202207112140401240[[#This Row],[19]]-Множество_202207112140401240[[#This Row],[13]])</f>
        <v>0.96666666666670054</v>
      </c>
      <c r="AC28" s="208">
        <f>Множество_202207112140401240[[#This Row],[20]]+Множество_202207112140401240[[#This Row],[21]]</f>
        <v>4.8500000000000307</v>
      </c>
    </row>
    <row r="29" spans="1:29" x14ac:dyDescent="0.25">
      <c r="A29" t="s">
        <v>651</v>
      </c>
      <c r="B29" t="s">
        <v>100</v>
      </c>
      <c r="C29" t="s">
        <v>621</v>
      </c>
      <c r="D29" t="s">
        <v>1781</v>
      </c>
      <c r="E29" t="s">
        <v>582</v>
      </c>
      <c r="F29" s="213" t="s">
        <v>749</v>
      </c>
      <c r="G29" t="s">
        <v>812</v>
      </c>
      <c r="H29" t="s">
        <v>73</v>
      </c>
      <c r="I29">
        <v>2.5</v>
      </c>
      <c r="J29">
        <v>1.57</v>
      </c>
      <c r="K29">
        <f>Множество_202207112140401240[[#This Row],[2]]-Множество_202207112140401240[[#This Row],[4]]</f>
        <v>1.1099999999999999</v>
      </c>
      <c r="L29">
        <f>Множество_202207112140401240[[#This Row],[3]]-Множество_202207112140401240[[#This Row],[5]]</f>
        <v>0.16999999999999993</v>
      </c>
      <c r="M29">
        <f>Множество_202207112140401240[[#This Row],[7]]+Множество_202207112140401240[[#This Row],[6]]</f>
        <v>1.2799999999999998</v>
      </c>
      <c r="N29" s="208" t="str">
        <f>CONCATENATE(Множество_202207112140401240[[#This Row],[2]],Множество_202207112140401240[[#This Row],[3]])</f>
        <v>3,611,74</v>
      </c>
      <c r="O29" s="208"/>
      <c r="P29" s="208"/>
      <c r="Q29">
        <v>6</v>
      </c>
      <c r="R29">
        <v>-13.483333333333301</v>
      </c>
      <c r="S29" s="208">
        <v>10</v>
      </c>
      <c r="T29" s="208">
        <v>-12.5</v>
      </c>
      <c r="U29" s="208">
        <f>ABS(Множество_202207112140401240[[#This Row],[10]]-Множество_202207112140401240[[#This Row],[12]])</f>
        <v>4</v>
      </c>
      <c r="V29" s="208">
        <f>ABS(Множество_202207112140401240[[#This Row],[11]]-Множество_202207112140401240[[#This Row],[13]])</f>
        <v>0.98333333333330053</v>
      </c>
      <c r="W29" s="208">
        <f>Множество_202207112140401240[[#This Row],[15]]+Множество_202207112140401240[[#This Row],[14]]</f>
        <v>4.9833333333333005</v>
      </c>
      <c r="X29" s="208">
        <f ca="1">IF(ROW()-ROW(Множество_202207112140401240[[#Headers],[17]])&gt;1,Множество_202207112140401240[[#This Row],[16]]-OFFSET(Множество_202207112140401240[[#This Row],[16]],-1,0),0)</f>
        <v>0.1333333333332698</v>
      </c>
      <c r="Y29" s="208">
        <v>6</v>
      </c>
      <c r="Z29" s="208">
        <v>-13.483333333333301</v>
      </c>
      <c r="AA29" s="208">
        <f>ABS(Множество_202207112140401240[[#This Row],[18]]-Множество_202207112140401240[[#This Row],[12]])</f>
        <v>4</v>
      </c>
      <c r="AB29" s="208">
        <f>ABS(Множество_202207112140401240[[#This Row],[19]]-Множество_202207112140401240[[#This Row],[13]])</f>
        <v>0.98333333333330053</v>
      </c>
      <c r="AC29" s="208">
        <f>Множество_202207112140401240[[#This Row],[20]]+Множество_202207112140401240[[#This Row],[21]]</f>
        <v>4.9833333333333005</v>
      </c>
    </row>
    <row r="30" spans="1:29" x14ac:dyDescent="0.25">
      <c r="A30" t="s">
        <v>653</v>
      </c>
      <c r="B30" t="s">
        <v>100</v>
      </c>
      <c r="C30" t="s">
        <v>621</v>
      </c>
      <c r="D30" t="s">
        <v>1781</v>
      </c>
      <c r="E30" t="s">
        <v>582</v>
      </c>
      <c r="F30" s="213" t="s">
        <v>749</v>
      </c>
      <c r="G30" t="s">
        <v>1082</v>
      </c>
      <c r="H30" t="s">
        <v>74</v>
      </c>
      <c r="I30">
        <v>2.5</v>
      </c>
      <c r="J30">
        <v>1.57</v>
      </c>
      <c r="K30">
        <f>Множество_202207112140401240[[#This Row],[2]]-Множество_202207112140401240[[#This Row],[4]]</f>
        <v>1.1000000000000001</v>
      </c>
      <c r="L30">
        <f>Множество_202207112140401240[[#This Row],[3]]-Множество_202207112140401240[[#This Row],[5]]</f>
        <v>0.17999999999999994</v>
      </c>
      <c r="M30">
        <f>Множество_202207112140401240[[#This Row],[7]]+Множество_202207112140401240[[#This Row],[6]]</f>
        <v>1.28</v>
      </c>
      <c r="N30" s="208" t="str">
        <f>CONCATENATE(Множество_202207112140401240[[#This Row],[2]],Множество_202207112140401240[[#This Row],[3]])</f>
        <v>3,61,75</v>
      </c>
      <c r="O30" s="208"/>
      <c r="P30" s="208"/>
      <c r="Q30">
        <v>6.05833333333333</v>
      </c>
      <c r="R30">
        <v>-13.483333333333301</v>
      </c>
      <c r="S30" s="208">
        <v>10</v>
      </c>
      <c r="T30" s="208">
        <v>-12.5</v>
      </c>
      <c r="U30" s="208">
        <f>ABS(Множество_202207112140401240[[#This Row],[10]]-Множество_202207112140401240[[#This Row],[12]])</f>
        <v>3.94166666666667</v>
      </c>
      <c r="V30" s="208">
        <f>ABS(Множество_202207112140401240[[#This Row],[11]]-Множество_202207112140401240[[#This Row],[13]])</f>
        <v>0.98333333333330053</v>
      </c>
      <c r="W30" s="208">
        <f>Множество_202207112140401240[[#This Row],[15]]+Множество_202207112140401240[[#This Row],[14]]</f>
        <v>4.9249999999999705</v>
      </c>
      <c r="X30" s="208">
        <f ca="1">IF(ROW()-ROW(Множество_202207112140401240[[#Headers],[17]])&gt;1,Множество_202207112140401240[[#This Row],[16]]-OFFSET(Множество_202207112140401240[[#This Row],[16]],-1,0),0)</f>
        <v>-5.8333333333330017E-2</v>
      </c>
      <c r="Y30" s="208">
        <v>6.05833333333333</v>
      </c>
      <c r="Z30" s="208">
        <v>-13.483333333333301</v>
      </c>
      <c r="AA30" s="208">
        <f>ABS(Множество_202207112140401240[[#This Row],[18]]-Множество_202207112140401240[[#This Row],[12]])</f>
        <v>3.94166666666667</v>
      </c>
      <c r="AB30" s="208">
        <f>ABS(Множество_202207112140401240[[#This Row],[19]]-Множество_202207112140401240[[#This Row],[13]])</f>
        <v>0.98333333333330053</v>
      </c>
      <c r="AC30" s="208">
        <f>Множество_202207112140401240[[#This Row],[20]]+Множество_202207112140401240[[#This Row],[21]]</f>
        <v>4.9249999999999705</v>
      </c>
    </row>
    <row r="31" spans="1:29" x14ac:dyDescent="0.25">
      <c r="A31" t="s">
        <v>655</v>
      </c>
      <c r="B31" t="s">
        <v>100</v>
      </c>
      <c r="C31" t="s">
        <v>621</v>
      </c>
      <c r="D31" t="s">
        <v>1781</v>
      </c>
      <c r="E31" t="s">
        <v>582</v>
      </c>
      <c r="F31" s="213" t="s">
        <v>749</v>
      </c>
      <c r="G31" t="s">
        <v>633</v>
      </c>
      <c r="H31" t="s">
        <v>75</v>
      </c>
      <c r="I31">
        <v>2.5</v>
      </c>
      <c r="J31">
        <v>1.57</v>
      </c>
      <c r="K31">
        <f>Множество_202207112140401240[[#This Row],[2]]-Множество_202207112140401240[[#This Row],[4]]</f>
        <v>1.0899999999999999</v>
      </c>
      <c r="L31">
        <f>Множество_202207112140401240[[#This Row],[3]]-Множество_202207112140401240[[#This Row],[5]]</f>
        <v>0.18999999999999995</v>
      </c>
      <c r="M31">
        <f>Множество_202207112140401240[[#This Row],[7]]+Множество_202207112140401240[[#This Row],[6]]</f>
        <v>1.2799999999999998</v>
      </c>
      <c r="N31" s="208" t="str">
        <f>CONCATENATE(Множество_202207112140401240[[#This Row],[2]],Множество_202207112140401240[[#This Row],[3]])</f>
        <v>3,591,76</v>
      </c>
      <c r="O31" s="208"/>
      <c r="P31" s="208"/>
      <c r="Q31">
        <v>5.94166666666667</v>
      </c>
      <c r="R31">
        <v>-13.5</v>
      </c>
      <c r="S31" s="208">
        <v>10</v>
      </c>
      <c r="T31" s="208">
        <v>-12.5</v>
      </c>
      <c r="U31" s="208">
        <f>ABS(Множество_202207112140401240[[#This Row],[10]]-Множество_202207112140401240[[#This Row],[12]])</f>
        <v>4.05833333333333</v>
      </c>
      <c r="V31" s="208">
        <f>ABS(Множество_202207112140401240[[#This Row],[11]]-Множество_202207112140401240[[#This Row],[13]])</f>
        <v>1</v>
      </c>
      <c r="W31" s="208">
        <f>Множество_202207112140401240[[#This Row],[15]]+Множество_202207112140401240[[#This Row],[14]]</f>
        <v>5.05833333333333</v>
      </c>
      <c r="X31" s="208">
        <f ca="1">IF(ROW()-ROW(Множество_202207112140401240[[#Headers],[17]])&gt;1,Множество_202207112140401240[[#This Row],[16]]-OFFSET(Множество_202207112140401240[[#This Row],[16]],-1,0),0)</f>
        <v>0.1333333333333595</v>
      </c>
      <c r="Y31" s="208">
        <v>5.94166666666667</v>
      </c>
      <c r="Z31" s="208">
        <v>-13.5</v>
      </c>
      <c r="AA31" s="208">
        <f>ABS(Множество_202207112140401240[[#This Row],[18]]-Множество_202207112140401240[[#This Row],[12]])</f>
        <v>4.05833333333333</v>
      </c>
      <c r="AB31" s="208">
        <f>ABS(Множество_202207112140401240[[#This Row],[19]]-Множество_202207112140401240[[#This Row],[13]])</f>
        <v>1</v>
      </c>
      <c r="AC31" s="208">
        <f>Множество_202207112140401240[[#This Row],[20]]+Множество_202207112140401240[[#This Row],[21]]</f>
        <v>5.05833333333333</v>
      </c>
    </row>
    <row r="32" spans="1:29" x14ac:dyDescent="0.25">
      <c r="A32" t="s">
        <v>657</v>
      </c>
      <c r="B32" t="s">
        <v>100</v>
      </c>
      <c r="C32" t="s">
        <v>621</v>
      </c>
      <c r="D32" t="s">
        <v>1781</v>
      </c>
      <c r="E32" t="s">
        <v>582</v>
      </c>
      <c r="F32" s="213" t="s">
        <v>749</v>
      </c>
      <c r="G32" t="s">
        <v>964</v>
      </c>
      <c r="H32" t="s">
        <v>76</v>
      </c>
      <c r="I32">
        <v>2.5</v>
      </c>
      <c r="J32">
        <v>1.57</v>
      </c>
      <c r="K32">
        <f>Множество_202207112140401240[[#This Row],[2]]-Множество_202207112140401240[[#This Row],[4]]</f>
        <v>1.08</v>
      </c>
      <c r="L32">
        <f>Множество_202207112140401240[[#This Row],[3]]-Множество_202207112140401240[[#This Row],[5]]</f>
        <v>0.19999999999999996</v>
      </c>
      <c r="M32">
        <f>Множество_202207112140401240[[#This Row],[7]]+Множество_202207112140401240[[#This Row],[6]]</f>
        <v>1.28</v>
      </c>
      <c r="N32" s="208" t="str">
        <f>CONCATENATE(Множество_202207112140401240[[#This Row],[2]],Множество_202207112140401240[[#This Row],[3]])</f>
        <v>3,581,77</v>
      </c>
      <c r="O32" s="208"/>
      <c r="P32" s="208"/>
      <c r="Q32">
        <v>5.8833333333333302</v>
      </c>
      <c r="R32">
        <v>-13.516666666666699</v>
      </c>
      <c r="S32" s="208">
        <v>10</v>
      </c>
      <c r="T32" s="208">
        <v>-12.5</v>
      </c>
      <c r="U32" s="208">
        <f>ABS(Множество_202207112140401240[[#This Row],[10]]-Множество_202207112140401240[[#This Row],[12]])</f>
        <v>4.1166666666666698</v>
      </c>
      <c r="V32" s="208">
        <f>ABS(Множество_202207112140401240[[#This Row],[11]]-Множество_202207112140401240[[#This Row],[13]])</f>
        <v>1.0166666666666995</v>
      </c>
      <c r="W32" s="208">
        <f>Множество_202207112140401240[[#This Row],[15]]+Множество_202207112140401240[[#This Row],[14]]</f>
        <v>5.1333333333333693</v>
      </c>
      <c r="X32" s="208">
        <f ca="1">IF(ROW()-ROW(Множество_202207112140401240[[#Headers],[17]])&gt;1,Множество_202207112140401240[[#This Row],[16]]-OFFSET(Множество_202207112140401240[[#This Row],[16]],-1,0),0)</f>
        <v>7.5000000000039257E-2</v>
      </c>
      <c r="Y32" s="208">
        <v>5.8833333333333302</v>
      </c>
      <c r="Z32" s="208">
        <v>-13.516666666666699</v>
      </c>
      <c r="AA32" s="208">
        <f>ABS(Множество_202207112140401240[[#This Row],[18]]-Множество_202207112140401240[[#This Row],[12]])</f>
        <v>4.1166666666666698</v>
      </c>
      <c r="AB32" s="208">
        <f>ABS(Множество_202207112140401240[[#This Row],[19]]-Множество_202207112140401240[[#This Row],[13]])</f>
        <v>1.0166666666666995</v>
      </c>
      <c r="AC32" s="208">
        <f>Множество_202207112140401240[[#This Row],[20]]+Множество_202207112140401240[[#This Row],[21]]</f>
        <v>5.1333333333333693</v>
      </c>
    </row>
    <row r="33" spans="1:29" x14ac:dyDescent="0.25">
      <c r="A33" t="s">
        <v>658</v>
      </c>
      <c r="B33" t="s">
        <v>100</v>
      </c>
      <c r="C33" t="s">
        <v>621</v>
      </c>
      <c r="D33" t="s">
        <v>1781</v>
      </c>
      <c r="E33" t="s">
        <v>582</v>
      </c>
      <c r="F33" s="213" t="s">
        <v>749</v>
      </c>
      <c r="G33" t="s">
        <v>634</v>
      </c>
      <c r="H33" t="s">
        <v>72</v>
      </c>
      <c r="I33">
        <v>2.5</v>
      </c>
      <c r="J33">
        <v>1.57</v>
      </c>
      <c r="K33">
        <f>Множество_202207112140401240[[#This Row],[2]]-Множество_202207112140401240[[#This Row],[4]]</f>
        <v>1.1200000000000001</v>
      </c>
      <c r="L33">
        <f>Множество_202207112140401240[[#This Row],[3]]-Множество_202207112140401240[[#This Row],[5]]</f>
        <v>0.15999999999999992</v>
      </c>
      <c r="M33">
        <f>Множество_202207112140401240[[#This Row],[7]]+Множество_202207112140401240[[#This Row],[6]]</f>
        <v>1.28</v>
      </c>
      <c r="N33" s="208" t="str">
        <f>CONCATENATE(Множество_202207112140401240[[#This Row],[2]],Множество_202207112140401240[[#This Row],[3]])</f>
        <v>3,621,73</v>
      </c>
      <c r="O33" s="208"/>
      <c r="P33" s="208"/>
      <c r="Q33">
        <v>5.8250000000000002</v>
      </c>
      <c r="R33">
        <v>-13.533333333333299</v>
      </c>
      <c r="S33" s="208">
        <v>10</v>
      </c>
      <c r="T33" s="208">
        <v>-12.5</v>
      </c>
      <c r="U33" s="208">
        <f>ABS(Множество_202207112140401240[[#This Row],[10]]-Множество_202207112140401240[[#This Row],[12]])</f>
        <v>4.1749999999999998</v>
      </c>
      <c r="V33" s="208">
        <f>ABS(Множество_202207112140401240[[#This Row],[11]]-Множество_202207112140401240[[#This Row],[13]])</f>
        <v>1.0333333333332995</v>
      </c>
      <c r="W33" s="208">
        <f>Множество_202207112140401240[[#This Row],[15]]+Множество_202207112140401240[[#This Row],[14]]</f>
        <v>5.2083333333332993</v>
      </c>
      <c r="X33" s="208">
        <f ca="1">IF(ROW()-ROW(Множество_202207112140401240[[#Headers],[17]])&gt;1,Множество_202207112140401240[[#This Row],[16]]-OFFSET(Множество_202207112140401240[[#This Row],[16]],-1,0),0)</f>
        <v>7.4999999999930012E-2</v>
      </c>
      <c r="Y33" s="208">
        <v>5.8250000000000002</v>
      </c>
      <c r="Z33" s="208">
        <v>-13.533333333333299</v>
      </c>
      <c r="AA33" s="208">
        <f>ABS(Множество_202207112140401240[[#This Row],[18]]-Множество_202207112140401240[[#This Row],[12]])</f>
        <v>4.1749999999999998</v>
      </c>
      <c r="AB33" s="208">
        <f>ABS(Множество_202207112140401240[[#This Row],[19]]-Множество_202207112140401240[[#This Row],[13]])</f>
        <v>1.0333333333332995</v>
      </c>
      <c r="AC33" s="208">
        <f>Множество_202207112140401240[[#This Row],[20]]+Множество_202207112140401240[[#This Row],[21]]</f>
        <v>5.2083333333332993</v>
      </c>
    </row>
    <row r="34" spans="1:29" x14ac:dyDescent="0.25">
      <c r="A34" t="s">
        <v>659</v>
      </c>
      <c r="B34" t="s">
        <v>100</v>
      </c>
      <c r="C34" t="s">
        <v>621</v>
      </c>
      <c r="D34" t="s">
        <v>1781</v>
      </c>
      <c r="E34" t="s">
        <v>582</v>
      </c>
      <c r="F34" s="213" t="s">
        <v>749</v>
      </c>
      <c r="G34" t="s">
        <v>1394</v>
      </c>
      <c r="H34" t="s">
        <v>58</v>
      </c>
      <c r="I34">
        <v>2.5</v>
      </c>
      <c r="J34">
        <v>1.57</v>
      </c>
      <c r="K34">
        <f>Множество_202207112140401240[[#This Row],[2]]-Множество_202207112140401240[[#This Row],[4]]</f>
        <v>1.2599999999999998</v>
      </c>
      <c r="L34">
        <f>Множество_202207112140401240[[#This Row],[3]]-Множество_202207112140401240[[#This Row],[5]]</f>
        <v>2.0000000000000018E-2</v>
      </c>
      <c r="M34">
        <f>Множество_202207112140401240[[#This Row],[7]]+Множество_202207112140401240[[#This Row],[6]]</f>
        <v>1.2799999999999998</v>
      </c>
      <c r="N34" s="208" t="str">
        <f>CONCATENATE(Множество_202207112140401240[[#This Row],[2]],Множество_202207112140401240[[#This Row],[3]])</f>
        <v>3,761,59</v>
      </c>
      <c r="O34" s="208"/>
      <c r="P34" s="208"/>
      <c r="Q34">
        <v>5.7083333333333304</v>
      </c>
      <c r="R34">
        <v>-13.55</v>
      </c>
      <c r="S34" s="208">
        <v>10</v>
      </c>
      <c r="T34" s="208">
        <v>-12.5</v>
      </c>
      <c r="U34" s="208">
        <f>ABS(Множество_202207112140401240[[#This Row],[10]]-Множество_202207112140401240[[#This Row],[12]])</f>
        <v>4.2916666666666696</v>
      </c>
      <c r="V34" s="208">
        <f>ABS(Множество_202207112140401240[[#This Row],[11]]-Множество_202207112140401240[[#This Row],[13]])</f>
        <v>1.0500000000000007</v>
      </c>
      <c r="W34" s="208">
        <f>Множество_202207112140401240[[#This Row],[15]]+Множество_202207112140401240[[#This Row],[14]]</f>
        <v>5.3416666666666703</v>
      </c>
      <c r="X34" s="208">
        <f ca="1">IF(ROW()-ROW(Множество_202207112140401240[[#Headers],[17]])&gt;1,Множество_202207112140401240[[#This Row],[16]]-OFFSET(Множество_202207112140401240[[#This Row],[16]],-1,0),0)</f>
        <v>0.13333333333337105</v>
      </c>
      <c r="Y34" s="208">
        <v>5.7083333333333304</v>
      </c>
      <c r="Z34" s="208">
        <v>-13.55</v>
      </c>
      <c r="AA34" s="208">
        <f>ABS(Множество_202207112140401240[[#This Row],[18]]-Множество_202207112140401240[[#This Row],[12]])</f>
        <v>4.2916666666666696</v>
      </c>
      <c r="AB34" s="208">
        <f>ABS(Множество_202207112140401240[[#This Row],[19]]-Множество_202207112140401240[[#This Row],[13]])</f>
        <v>1.0500000000000007</v>
      </c>
      <c r="AC34" s="208">
        <f>Множество_202207112140401240[[#This Row],[20]]+Множество_202207112140401240[[#This Row],[21]]</f>
        <v>5.3416666666666703</v>
      </c>
    </row>
    <row r="35" spans="1:29" x14ac:dyDescent="0.25">
      <c r="A35" t="s">
        <v>660</v>
      </c>
      <c r="B35" t="s">
        <v>100</v>
      </c>
      <c r="C35" t="s">
        <v>621</v>
      </c>
      <c r="D35" t="s">
        <v>1781</v>
      </c>
      <c r="E35" t="s">
        <v>582</v>
      </c>
      <c r="F35" s="213" t="s">
        <v>749</v>
      </c>
      <c r="G35" t="s">
        <v>1094</v>
      </c>
      <c r="H35" t="s">
        <v>60</v>
      </c>
      <c r="I35">
        <v>2.5</v>
      </c>
      <c r="J35">
        <v>1.57</v>
      </c>
      <c r="K35">
        <f>Множество_202207112140401240[[#This Row],[2]]-Множество_202207112140401240[[#This Row],[4]]</f>
        <v>1.2400000000000002</v>
      </c>
      <c r="L35">
        <f>Множество_202207112140401240[[#This Row],[3]]-Множество_202207112140401240[[#This Row],[5]]</f>
        <v>4.0000000000000036E-2</v>
      </c>
      <c r="M35">
        <f>Множество_202207112140401240[[#This Row],[7]]+Множество_202207112140401240[[#This Row],[6]]</f>
        <v>1.2800000000000002</v>
      </c>
      <c r="N35" s="208" t="str">
        <f>CONCATENATE(Множество_202207112140401240[[#This Row],[2]],Множество_202207112140401240[[#This Row],[3]])</f>
        <v>3,741,61</v>
      </c>
      <c r="O35" s="208"/>
      <c r="P35" s="208"/>
      <c r="Q35">
        <v>5.65</v>
      </c>
      <c r="R35">
        <v>-13.5666666666667</v>
      </c>
      <c r="S35" s="208">
        <v>10</v>
      </c>
      <c r="T35" s="208">
        <v>-12.5</v>
      </c>
      <c r="U35" s="208">
        <f>ABS(Множество_202207112140401240[[#This Row],[10]]-Множество_202207112140401240[[#This Row],[12]])</f>
        <v>4.3499999999999996</v>
      </c>
      <c r="V35" s="208">
        <f>ABS(Множество_202207112140401240[[#This Row],[11]]-Множество_202207112140401240[[#This Row],[13]])</f>
        <v>1.0666666666667002</v>
      </c>
      <c r="W35" s="208">
        <f>Множество_202207112140401240[[#This Row],[15]]+Множество_202207112140401240[[#This Row],[14]]</f>
        <v>5.4166666666666998</v>
      </c>
      <c r="X35" s="208">
        <f ca="1">IF(ROW()-ROW(Множество_202207112140401240[[#Headers],[17]])&gt;1,Множество_202207112140401240[[#This Row],[16]]-OFFSET(Множество_202207112140401240[[#This Row],[16]],-1,0),0)</f>
        <v>7.5000000000029488E-2</v>
      </c>
      <c r="Y35" s="208">
        <v>5.65</v>
      </c>
      <c r="Z35" s="208">
        <v>-13.5666666666667</v>
      </c>
      <c r="AA35" s="208">
        <f>ABS(Множество_202207112140401240[[#This Row],[18]]-Множество_202207112140401240[[#This Row],[12]])</f>
        <v>4.3499999999999996</v>
      </c>
      <c r="AB35" s="208">
        <f>ABS(Множество_202207112140401240[[#This Row],[19]]-Множество_202207112140401240[[#This Row],[13]])</f>
        <v>1.0666666666667002</v>
      </c>
      <c r="AC35" s="208">
        <f>Множество_202207112140401240[[#This Row],[20]]+Множество_202207112140401240[[#This Row],[21]]</f>
        <v>5.4166666666666998</v>
      </c>
    </row>
    <row r="36" spans="1:29" x14ac:dyDescent="0.25">
      <c r="A36" t="s">
        <v>661</v>
      </c>
      <c r="B36" t="s">
        <v>100</v>
      </c>
      <c r="C36" t="s">
        <v>621</v>
      </c>
      <c r="D36" t="s">
        <v>1781</v>
      </c>
      <c r="E36" t="s">
        <v>582</v>
      </c>
      <c r="F36" s="213" t="s">
        <v>749</v>
      </c>
      <c r="G36" t="s">
        <v>1237</v>
      </c>
      <c r="H36" t="s">
        <v>61</v>
      </c>
      <c r="I36">
        <v>2.5</v>
      </c>
      <c r="J36">
        <v>1.57</v>
      </c>
      <c r="K36">
        <f>Множество_202207112140401240[[#This Row],[2]]-Множество_202207112140401240[[#This Row],[4]]</f>
        <v>1.23</v>
      </c>
      <c r="L36">
        <f>Множество_202207112140401240[[#This Row],[3]]-Множество_202207112140401240[[#This Row],[5]]</f>
        <v>5.0000000000000044E-2</v>
      </c>
      <c r="M36">
        <f>Множество_202207112140401240[[#This Row],[7]]+Множество_202207112140401240[[#This Row],[6]]</f>
        <v>1.28</v>
      </c>
      <c r="N36" s="208" t="str">
        <f>CONCATENATE(Множество_202207112140401240[[#This Row],[2]],Множество_202207112140401240[[#This Row],[3]])</f>
        <v>3,731,62</v>
      </c>
      <c r="O36" s="208"/>
      <c r="P36" s="208"/>
      <c r="Q36">
        <v>5.5916666666666703</v>
      </c>
      <c r="R36">
        <v>-13.5833333333333</v>
      </c>
      <c r="S36" s="208">
        <v>10</v>
      </c>
      <c r="T36" s="208">
        <v>-12.5</v>
      </c>
      <c r="U36" s="208">
        <f>ABS(Множество_202207112140401240[[#This Row],[10]]-Множество_202207112140401240[[#This Row],[12]])</f>
        <v>4.4083333333333297</v>
      </c>
      <c r="V36" s="208">
        <f>ABS(Множество_202207112140401240[[#This Row],[11]]-Множество_202207112140401240[[#This Row],[13]])</f>
        <v>1.0833333333333002</v>
      </c>
      <c r="W36" s="208">
        <f>Множество_202207112140401240[[#This Row],[15]]+Множество_202207112140401240[[#This Row],[14]]</f>
        <v>5.4916666666666298</v>
      </c>
      <c r="X36" s="208">
        <f ca="1">IF(ROW()-ROW(Множество_202207112140401240[[#Headers],[17]])&gt;1,Множество_202207112140401240[[#This Row],[16]]-OFFSET(Множество_202207112140401240[[#This Row],[16]],-1,0),0)</f>
        <v>7.4999999999930012E-2</v>
      </c>
      <c r="Y36" s="208">
        <v>5.5916666666666703</v>
      </c>
      <c r="Z36" s="208">
        <v>-13.5833333333333</v>
      </c>
      <c r="AA36" s="208">
        <f>ABS(Множество_202207112140401240[[#This Row],[18]]-Множество_202207112140401240[[#This Row],[12]])</f>
        <v>4.4083333333333297</v>
      </c>
      <c r="AB36" s="208">
        <f>ABS(Множество_202207112140401240[[#This Row],[19]]-Множество_202207112140401240[[#This Row],[13]])</f>
        <v>1.0833333333333002</v>
      </c>
      <c r="AC36" s="208">
        <f>Множество_202207112140401240[[#This Row],[20]]+Множество_202207112140401240[[#This Row],[21]]</f>
        <v>5.4916666666666298</v>
      </c>
    </row>
    <row r="37" spans="1:29" x14ac:dyDescent="0.25">
      <c r="A37" t="s">
        <v>663</v>
      </c>
      <c r="B37" t="s">
        <v>100</v>
      </c>
      <c r="C37" t="s">
        <v>621</v>
      </c>
      <c r="D37" t="s">
        <v>1781</v>
      </c>
      <c r="E37" t="s">
        <v>582</v>
      </c>
      <c r="F37" s="213" t="s">
        <v>749</v>
      </c>
      <c r="G37" t="s">
        <v>1131</v>
      </c>
      <c r="H37" t="s">
        <v>59</v>
      </c>
      <c r="I37">
        <v>2.5</v>
      </c>
      <c r="J37">
        <v>1.57</v>
      </c>
      <c r="K37">
        <f>Множество_202207112140401240[[#This Row],[2]]-Множество_202207112140401240[[#This Row],[4]]</f>
        <v>1.25</v>
      </c>
      <c r="L37">
        <f>Множество_202207112140401240[[#This Row],[3]]-Множество_202207112140401240[[#This Row],[5]]</f>
        <v>3.0000000000000027E-2</v>
      </c>
      <c r="M37">
        <f>Множество_202207112140401240[[#This Row],[7]]+Множество_202207112140401240[[#This Row],[6]]</f>
        <v>1.28</v>
      </c>
      <c r="N37" s="208" t="str">
        <f>CONCATENATE(Множество_202207112140401240[[#This Row],[2]],Множество_202207112140401240[[#This Row],[3]])</f>
        <v>3,751,6</v>
      </c>
      <c r="O37" s="208"/>
      <c r="P37" s="208"/>
      <c r="Q37">
        <v>5.5333333333333297</v>
      </c>
      <c r="R37">
        <v>-13.6</v>
      </c>
      <c r="S37" s="208">
        <v>10</v>
      </c>
      <c r="T37" s="208">
        <v>-12.5</v>
      </c>
      <c r="U37" s="208">
        <f>ABS(Множество_202207112140401240[[#This Row],[10]]-Множество_202207112140401240[[#This Row],[12]])</f>
        <v>4.4666666666666703</v>
      </c>
      <c r="V37" s="208">
        <f>ABS(Множество_202207112140401240[[#This Row],[11]]-Множество_202207112140401240[[#This Row],[13]])</f>
        <v>1.0999999999999996</v>
      </c>
      <c r="W37" s="208">
        <f>Множество_202207112140401240[[#This Row],[15]]+Множество_202207112140401240[[#This Row],[14]]</f>
        <v>5.56666666666667</v>
      </c>
      <c r="X37" s="208">
        <f ca="1">IF(ROW()-ROW(Множество_202207112140401240[[#Headers],[17]])&gt;1,Множество_202207112140401240[[#This Row],[16]]-OFFSET(Множество_202207112140401240[[#This Row],[16]],-1,0),0)</f>
        <v>7.5000000000040146E-2</v>
      </c>
      <c r="Y37" s="208">
        <v>5.5333333333333297</v>
      </c>
      <c r="Z37" s="208">
        <v>-13.6</v>
      </c>
      <c r="AA37" s="208">
        <f>ABS(Множество_202207112140401240[[#This Row],[18]]-Множество_202207112140401240[[#This Row],[12]])</f>
        <v>4.4666666666666703</v>
      </c>
      <c r="AB37" s="208">
        <f>ABS(Множество_202207112140401240[[#This Row],[19]]-Множество_202207112140401240[[#This Row],[13]])</f>
        <v>1.0999999999999996</v>
      </c>
      <c r="AC37" s="208">
        <f>Множество_202207112140401240[[#This Row],[20]]+Множество_202207112140401240[[#This Row],[21]]</f>
        <v>5.56666666666667</v>
      </c>
    </row>
    <row r="38" spans="1:29" x14ac:dyDescent="0.25">
      <c r="A38" t="s">
        <v>664</v>
      </c>
      <c r="B38" t="s">
        <v>100</v>
      </c>
      <c r="C38" t="s">
        <v>621</v>
      </c>
      <c r="D38" t="s">
        <v>1781</v>
      </c>
      <c r="E38" t="s">
        <v>582</v>
      </c>
      <c r="F38" s="213" t="s">
        <v>749</v>
      </c>
      <c r="G38" t="s">
        <v>1291</v>
      </c>
      <c r="H38" t="s">
        <v>55</v>
      </c>
      <c r="I38">
        <v>2.5</v>
      </c>
      <c r="J38">
        <v>1.57</v>
      </c>
      <c r="K38">
        <f>Множество_202207112140401240[[#This Row],[2]]-Множество_202207112140401240[[#This Row],[4]]</f>
        <v>1.2799999999999998</v>
      </c>
      <c r="L38">
        <f>Множество_202207112140401240[[#This Row],[3]]-Множество_202207112140401240[[#This Row],[5]]</f>
        <v>-1.0000000000000009E-2</v>
      </c>
      <c r="M38">
        <f>Множество_202207112140401240[[#This Row],[7]]+Множество_202207112140401240[[#This Row],[6]]</f>
        <v>1.2699999999999998</v>
      </c>
      <c r="N38" s="208" t="str">
        <f>CONCATENATE(Множество_202207112140401240[[#This Row],[2]],Множество_202207112140401240[[#This Row],[3]])</f>
        <v>3,781,56</v>
      </c>
      <c r="O38" s="208"/>
      <c r="P38" s="208"/>
      <c r="Q38">
        <v>5.4166666666666696</v>
      </c>
      <c r="R38">
        <v>-13.616666666666699</v>
      </c>
      <c r="S38" s="208">
        <v>10</v>
      </c>
      <c r="T38" s="208">
        <v>-12.5</v>
      </c>
      <c r="U38" s="208">
        <f>ABS(Множество_202207112140401240[[#This Row],[10]]-Множество_202207112140401240[[#This Row],[12]])</f>
        <v>4.5833333333333304</v>
      </c>
      <c r="V38" s="208">
        <f>ABS(Множество_202207112140401240[[#This Row],[11]]-Множество_202207112140401240[[#This Row],[13]])</f>
        <v>1.1166666666666991</v>
      </c>
      <c r="W38" s="208">
        <f>Множество_202207112140401240[[#This Row],[15]]+Множество_202207112140401240[[#This Row],[14]]</f>
        <v>5.7000000000000295</v>
      </c>
      <c r="X38" s="208">
        <f ca="1">IF(ROW()-ROW(Множество_202207112140401240[[#Headers],[17]])&gt;1,Множество_202207112140401240[[#This Row],[16]]-OFFSET(Множество_202207112140401240[[#This Row],[16]],-1,0),0)</f>
        <v>0.1333333333333595</v>
      </c>
      <c r="Y38" s="208">
        <v>5.4166666666666696</v>
      </c>
      <c r="Z38" s="208">
        <v>-13.616666666666699</v>
      </c>
      <c r="AA38" s="208">
        <f>ABS(Множество_202207112140401240[[#This Row],[18]]-Множество_202207112140401240[[#This Row],[12]])</f>
        <v>4.5833333333333304</v>
      </c>
      <c r="AB38" s="208">
        <f>ABS(Множество_202207112140401240[[#This Row],[19]]-Множество_202207112140401240[[#This Row],[13]])</f>
        <v>1.1166666666666991</v>
      </c>
      <c r="AC38" s="208">
        <f>Множество_202207112140401240[[#This Row],[20]]+Множество_202207112140401240[[#This Row],[21]]</f>
        <v>5.7000000000000295</v>
      </c>
    </row>
    <row r="39" spans="1:29" x14ac:dyDescent="0.25">
      <c r="A39" t="s">
        <v>666</v>
      </c>
      <c r="B39" t="s">
        <v>100</v>
      </c>
      <c r="C39" t="s">
        <v>621</v>
      </c>
      <c r="D39" t="s">
        <v>1781</v>
      </c>
      <c r="E39" t="s">
        <v>582</v>
      </c>
      <c r="F39" s="213" t="s">
        <v>749</v>
      </c>
      <c r="G39" t="s">
        <v>1032</v>
      </c>
      <c r="H39" t="s">
        <v>69</v>
      </c>
      <c r="I39">
        <v>2.5</v>
      </c>
      <c r="J39">
        <v>1.57</v>
      </c>
      <c r="K39">
        <f>Множество_202207112140401240[[#This Row],[2]]-Множество_202207112140401240[[#This Row],[4]]</f>
        <v>1.1600000000000001</v>
      </c>
      <c r="L39">
        <f>Множество_202207112140401240[[#This Row],[3]]-Множество_202207112140401240[[#This Row],[5]]</f>
        <v>0.12999999999999989</v>
      </c>
      <c r="M39">
        <f>Множество_202207112140401240[[#This Row],[7]]+Множество_202207112140401240[[#This Row],[6]]</f>
        <v>1.29</v>
      </c>
      <c r="N39" s="208" t="str">
        <f>CONCATENATE(Множество_202207112140401240[[#This Row],[2]],Множество_202207112140401240[[#This Row],[3]])</f>
        <v>3,661,7</v>
      </c>
      <c r="O39" s="208"/>
      <c r="P39" s="208"/>
      <c r="Q39">
        <v>5.4749999999999996</v>
      </c>
      <c r="R39">
        <v>-13.6</v>
      </c>
      <c r="S39" s="208">
        <v>10</v>
      </c>
      <c r="T39" s="208">
        <v>-12.5</v>
      </c>
      <c r="U39" s="208">
        <f>ABS(Множество_202207112140401240[[#This Row],[10]]-Множество_202207112140401240[[#This Row],[12]])</f>
        <v>4.5250000000000004</v>
      </c>
      <c r="V39" s="208">
        <f>ABS(Множество_202207112140401240[[#This Row],[11]]-Множество_202207112140401240[[#This Row],[13]])</f>
        <v>1.0999999999999996</v>
      </c>
      <c r="W39" s="208">
        <f>Множество_202207112140401240[[#This Row],[15]]+Множество_202207112140401240[[#This Row],[14]]</f>
        <v>5.625</v>
      </c>
      <c r="X39" s="208">
        <f ca="1">IF(ROW()-ROW(Множество_202207112140401240[[#Headers],[17]])&gt;1,Множество_202207112140401240[[#This Row],[16]]-OFFSET(Множество_202207112140401240[[#This Row],[16]],-1,0),0)</f>
        <v>-7.5000000000029488E-2</v>
      </c>
      <c r="Y39" s="208">
        <v>5.4749999999999996</v>
      </c>
      <c r="Z39" s="208">
        <v>-13.6</v>
      </c>
      <c r="AA39" s="208">
        <f>ABS(Множество_202207112140401240[[#This Row],[18]]-Множество_202207112140401240[[#This Row],[12]])</f>
        <v>4.5250000000000004</v>
      </c>
      <c r="AB39" s="208">
        <f>ABS(Множество_202207112140401240[[#This Row],[19]]-Множество_202207112140401240[[#This Row],[13]])</f>
        <v>1.0999999999999996</v>
      </c>
      <c r="AC39" s="208">
        <f>Множество_202207112140401240[[#This Row],[20]]+Множество_202207112140401240[[#This Row],[21]]</f>
        <v>5.625</v>
      </c>
    </row>
    <row r="40" spans="1:29" x14ac:dyDescent="0.25">
      <c r="A40" t="s">
        <v>668</v>
      </c>
      <c r="B40" t="s">
        <v>100</v>
      </c>
      <c r="C40" t="s">
        <v>621</v>
      </c>
      <c r="D40" t="s">
        <v>1781</v>
      </c>
      <c r="E40" t="s">
        <v>582</v>
      </c>
      <c r="F40" s="213" t="s">
        <v>749</v>
      </c>
      <c r="G40" t="s">
        <v>1055</v>
      </c>
      <c r="H40" t="s">
        <v>70</v>
      </c>
      <c r="I40">
        <v>2.5</v>
      </c>
      <c r="J40">
        <v>1.57</v>
      </c>
      <c r="K40">
        <f>Множество_202207112140401240[[#This Row],[2]]-Множество_202207112140401240[[#This Row],[4]]</f>
        <v>1.1499999999999999</v>
      </c>
      <c r="L40">
        <f>Множество_202207112140401240[[#This Row],[3]]-Множество_202207112140401240[[#This Row],[5]]</f>
        <v>0.1399999999999999</v>
      </c>
      <c r="M40">
        <f>Множество_202207112140401240[[#This Row],[7]]+Множество_202207112140401240[[#This Row],[6]]</f>
        <v>1.2899999999999998</v>
      </c>
      <c r="N40" s="208" t="str">
        <f>CONCATENATE(Множество_202207112140401240[[#This Row],[2]],Множество_202207112140401240[[#This Row],[3]])</f>
        <v>3,651,71</v>
      </c>
      <c r="O40" s="208"/>
      <c r="P40" s="208"/>
      <c r="Q40">
        <v>5.3583333333333298</v>
      </c>
      <c r="R40">
        <v>-13.633333333333301</v>
      </c>
      <c r="S40" s="208">
        <v>10</v>
      </c>
      <c r="T40" s="208">
        <v>-12.5</v>
      </c>
      <c r="U40" s="208">
        <f>ABS(Множество_202207112140401240[[#This Row],[10]]-Множество_202207112140401240[[#This Row],[12]])</f>
        <v>4.6416666666666702</v>
      </c>
      <c r="V40" s="208">
        <f>ABS(Множество_202207112140401240[[#This Row],[11]]-Множество_202207112140401240[[#This Row],[13]])</f>
        <v>1.1333333333333009</v>
      </c>
      <c r="W40" s="208">
        <f>Множество_202207112140401240[[#This Row],[15]]+Множество_202207112140401240[[#This Row],[14]]</f>
        <v>5.774999999999971</v>
      </c>
      <c r="X40" s="208">
        <f ca="1">IF(ROW()-ROW(Множество_202207112140401240[[#Headers],[17]])&gt;1,Множество_202207112140401240[[#This Row],[16]]-OFFSET(Множество_202207112140401240[[#This Row],[16]],-1,0),0)</f>
        <v>0.14999999999997105</v>
      </c>
      <c r="Y40" s="208">
        <v>5.3583333333333298</v>
      </c>
      <c r="Z40" s="208">
        <v>-13.633333333333301</v>
      </c>
      <c r="AA40" s="208">
        <f>ABS(Множество_202207112140401240[[#This Row],[18]]-Множество_202207112140401240[[#This Row],[12]])</f>
        <v>4.6416666666666702</v>
      </c>
      <c r="AB40" s="208">
        <f>ABS(Множество_202207112140401240[[#This Row],[19]]-Множество_202207112140401240[[#This Row],[13]])</f>
        <v>1.1333333333333009</v>
      </c>
      <c r="AC40" s="208">
        <f>Множество_202207112140401240[[#This Row],[20]]+Множество_202207112140401240[[#This Row],[21]]</f>
        <v>5.774999999999971</v>
      </c>
    </row>
    <row r="41" spans="1:29" x14ac:dyDescent="0.25">
      <c r="A41" t="s">
        <v>669</v>
      </c>
      <c r="B41" t="s">
        <v>100</v>
      </c>
      <c r="C41" t="s">
        <v>621</v>
      </c>
      <c r="D41" t="s">
        <v>1781</v>
      </c>
      <c r="E41" t="s">
        <v>582</v>
      </c>
      <c r="F41" s="213" t="s">
        <v>749</v>
      </c>
      <c r="G41" t="s">
        <v>1080</v>
      </c>
      <c r="H41" t="s">
        <v>63</v>
      </c>
      <c r="I41">
        <v>2.5</v>
      </c>
      <c r="J41">
        <v>1.57</v>
      </c>
      <c r="K41">
        <f>Множество_202207112140401240[[#This Row],[2]]-Множество_202207112140401240[[#This Row],[4]]</f>
        <v>1.2200000000000002</v>
      </c>
      <c r="L41">
        <f>Множество_202207112140401240[[#This Row],[3]]-Множество_202207112140401240[[#This Row],[5]]</f>
        <v>6.999999999999984E-2</v>
      </c>
      <c r="M41">
        <f>Множество_202207112140401240[[#This Row],[7]]+Множество_202207112140401240[[#This Row],[6]]</f>
        <v>1.29</v>
      </c>
      <c r="N41" s="208" t="str">
        <f>CONCATENATE(Множество_202207112140401240[[#This Row],[2]],Множество_202207112140401240[[#This Row],[3]])</f>
        <v>3,721,64</v>
      </c>
      <c r="O41" s="208"/>
      <c r="P41" s="208"/>
      <c r="Q41">
        <v>5.3</v>
      </c>
      <c r="R41">
        <v>-13.65</v>
      </c>
      <c r="S41" s="208">
        <v>10</v>
      </c>
      <c r="T41" s="208">
        <v>-12.5</v>
      </c>
      <c r="U41" s="208">
        <f>ABS(Множество_202207112140401240[[#This Row],[10]]-Множество_202207112140401240[[#This Row],[12]])</f>
        <v>4.7</v>
      </c>
      <c r="V41" s="208">
        <f>ABS(Множество_202207112140401240[[#This Row],[11]]-Множество_202207112140401240[[#This Row],[13]])</f>
        <v>1.1500000000000004</v>
      </c>
      <c r="W41" s="208">
        <f>Множество_202207112140401240[[#This Row],[15]]+Множество_202207112140401240[[#This Row],[14]]</f>
        <v>5.8500000000000005</v>
      </c>
      <c r="X41" s="208">
        <f ca="1">IF(ROW()-ROW(Множество_202207112140401240[[#Headers],[17]])&gt;1,Множество_202207112140401240[[#This Row],[16]]-OFFSET(Множество_202207112140401240[[#This Row],[16]],-1,0),0)</f>
        <v>7.5000000000029488E-2</v>
      </c>
      <c r="Y41" s="208">
        <v>5.3</v>
      </c>
      <c r="Z41" s="208">
        <v>-13.65</v>
      </c>
      <c r="AA41" s="208">
        <f>ABS(Множество_202207112140401240[[#This Row],[18]]-Множество_202207112140401240[[#This Row],[12]])</f>
        <v>4.7</v>
      </c>
      <c r="AB41" s="208">
        <f>ABS(Множество_202207112140401240[[#This Row],[19]]-Множество_202207112140401240[[#This Row],[13]])</f>
        <v>1.1500000000000004</v>
      </c>
      <c r="AC41" s="208">
        <f>Множество_202207112140401240[[#This Row],[20]]+Множество_202207112140401240[[#This Row],[21]]</f>
        <v>5.8500000000000005</v>
      </c>
    </row>
    <row r="42" spans="1:29" x14ac:dyDescent="0.25">
      <c r="A42" t="s">
        <v>670</v>
      </c>
      <c r="B42" t="s">
        <v>100</v>
      </c>
      <c r="C42" t="s">
        <v>621</v>
      </c>
      <c r="D42" t="s">
        <v>1781</v>
      </c>
      <c r="E42" t="s">
        <v>582</v>
      </c>
      <c r="F42" s="213" t="s">
        <v>749</v>
      </c>
      <c r="G42" t="s">
        <v>1108</v>
      </c>
      <c r="H42" t="s">
        <v>64</v>
      </c>
      <c r="I42">
        <v>2.5</v>
      </c>
      <c r="J42">
        <v>1.57</v>
      </c>
      <c r="K42">
        <f>Множество_202207112140401240[[#This Row],[2]]-Множество_202207112140401240[[#This Row],[4]]</f>
        <v>1.21</v>
      </c>
      <c r="L42">
        <f>Множество_202207112140401240[[#This Row],[3]]-Множество_202207112140401240[[#This Row],[5]]</f>
        <v>7.9999999999999849E-2</v>
      </c>
      <c r="M42">
        <f>Множество_202207112140401240[[#This Row],[7]]+Множество_202207112140401240[[#This Row],[6]]</f>
        <v>1.2899999999999998</v>
      </c>
      <c r="N42" s="208" t="str">
        <f>CONCATENATE(Множество_202207112140401240[[#This Row],[2]],Множество_202207112140401240[[#This Row],[3]])</f>
        <v>3,711,65</v>
      </c>
      <c r="O42" s="208"/>
      <c r="P42" s="208"/>
      <c r="Q42">
        <v>5.18333333333333</v>
      </c>
      <c r="R42">
        <v>-13.6666666666667</v>
      </c>
      <c r="S42" s="208">
        <v>10</v>
      </c>
      <c r="T42" s="208">
        <v>-12.5</v>
      </c>
      <c r="U42" s="208">
        <f>ABS(Множество_202207112140401240[[#This Row],[10]]-Множество_202207112140401240[[#This Row],[12]])</f>
        <v>4.81666666666667</v>
      </c>
      <c r="V42" s="208">
        <f>ABS(Множество_202207112140401240[[#This Row],[11]]-Множество_202207112140401240[[#This Row],[13]])</f>
        <v>1.1666666666666998</v>
      </c>
      <c r="W42" s="208">
        <f>Множество_202207112140401240[[#This Row],[15]]+Множество_202207112140401240[[#This Row],[14]]</f>
        <v>5.9833333333333698</v>
      </c>
      <c r="X42" s="208">
        <f ca="1">IF(ROW()-ROW(Множество_202207112140401240[[#Headers],[17]])&gt;1,Множество_202207112140401240[[#This Row],[16]]-OFFSET(Множество_202207112140401240[[#This Row],[16]],-1,0),0)</f>
        <v>0.13333333333336927</v>
      </c>
      <c r="Y42" s="208">
        <v>5.18333333333333</v>
      </c>
      <c r="Z42" s="208">
        <v>-13.6666666666667</v>
      </c>
      <c r="AA42" s="208">
        <f>ABS(Множество_202207112140401240[[#This Row],[18]]-Множество_202207112140401240[[#This Row],[12]])</f>
        <v>4.81666666666667</v>
      </c>
      <c r="AB42" s="208">
        <f>ABS(Множество_202207112140401240[[#This Row],[19]]-Множество_202207112140401240[[#This Row],[13]])</f>
        <v>1.1666666666666998</v>
      </c>
      <c r="AC42" s="208">
        <f>Множество_202207112140401240[[#This Row],[20]]+Множество_202207112140401240[[#This Row],[21]]</f>
        <v>5.9833333333333698</v>
      </c>
    </row>
    <row r="43" spans="1:29" x14ac:dyDescent="0.25">
      <c r="A43" t="s">
        <v>671</v>
      </c>
      <c r="B43" t="s">
        <v>100</v>
      </c>
      <c r="C43" t="s">
        <v>621</v>
      </c>
      <c r="D43" t="s">
        <v>1781</v>
      </c>
      <c r="E43" t="s">
        <v>582</v>
      </c>
      <c r="F43" s="213" t="s">
        <v>749</v>
      </c>
      <c r="G43" t="s">
        <v>636</v>
      </c>
      <c r="H43" t="s">
        <v>71</v>
      </c>
      <c r="I43">
        <v>2.5</v>
      </c>
      <c r="J43">
        <v>1.57</v>
      </c>
      <c r="K43">
        <f>Множество_202207112140401240[[#This Row],[2]]-Множество_202207112140401240[[#This Row],[4]]</f>
        <v>1.1400000000000001</v>
      </c>
      <c r="L43">
        <f>Множество_202207112140401240[[#This Row],[3]]-Множество_202207112140401240[[#This Row],[5]]</f>
        <v>0.14999999999999991</v>
      </c>
      <c r="M43">
        <f>Множество_202207112140401240[[#This Row],[7]]+Множество_202207112140401240[[#This Row],[6]]</f>
        <v>1.29</v>
      </c>
      <c r="N43" s="208" t="str">
        <f>CONCATENATE(Множество_202207112140401240[[#This Row],[2]],Множество_202207112140401240[[#This Row],[3]])</f>
        <v>3,641,72</v>
      </c>
      <c r="O43" s="208"/>
      <c r="P43" s="208"/>
      <c r="Q43">
        <v>5.125</v>
      </c>
      <c r="R43">
        <v>-13.6833333333333</v>
      </c>
      <c r="S43" s="208">
        <v>10</v>
      </c>
      <c r="T43" s="208">
        <v>-12.5</v>
      </c>
      <c r="U43" s="208">
        <f>ABS(Множество_202207112140401240[[#This Row],[10]]-Множество_202207112140401240[[#This Row],[12]])</f>
        <v>4.875</v>
      </c>
      <c r="V43" s="208">
        <f>ABS(Множество_202207112140401240[[#This Row],[11]]-Множество_202207112140401240[[#This Row],[13]])</f>
        <v>1.1833333333332998</v>
      </c>
      <c r="W43" s="208">
        <f>Множество_202207112140401240[[#This Row],[15]]+Множество_202207112140401240[[#This Row],[14]]</f>
        <v>6.0583333333332998</v>
      </c>
      <c r="X43" s="208">
        <f ca="1">IF(ROW()-ROW(Множество_202207112140401240[[#Headers],[17]])&gt;1,Множество_202207112140401240[[#This Row],[16]]-OFFSET(Множество_202207112140401240[[#This Row],[16]],-1,0),0)</f>
        <v>7.4999999999930012E-2</v>
      </c>
      <c r="Y43" s="208">
        <v>5.125</v>
      </c>
      <c r="Z43" s="208">
        <v>-13.6833333333333</v>
      </c>
      <c r="AA43" s="208">
        <f>ABS(Множество_202207112140401240[[#This Row],[18]]-Множество_202207112140401240[[#This Row],[12]])</f>
        <v>4.875</v>
      </c>
      <c r="AB43" s="208">
        <f>ABS(Множество_202207112140401240[[#This Row],[19]]-Множество_202207112140401240[[#This Row],[13]])</f>
        <v>1.1833333333332998</v>
      </c>
      <c r="AC43" s="208">
        <f>Множество_202207112140401240[[#This Row],[20]]+Множество_202207112140401240[[#This Row],[21]]</f>
        <v>6.0583333333332998</v>
      </c>
    </row>
    <row r="44" spans="1:29" x14ac:dyDescent="0.25">
      <c r="A44" t="s">
        <v>673</v>
      </c>
      <c r="B44" t="s">
        <v>100</v>
      </c>
      <c r="C44" t="s">
        <v>621</v>
      </c>
      <c r="D44" t="s">
        <v>1781</v>
      </c>
      <c r="E44" t="s">
        <v>582</v>
      </c>
      <c r="F44" s="213" t="s">
        <v>749</v>
      </c>
      <c r="G44" t="s">
        <v>967</v>
      </c>
      <c r="H44" t="s">
        <v>72</v>
      </c>
      <c r="I44">
        <v>2.5</v>
      </c>
      <c r="J44">
        <v>1.57</v>
      </c>
      <c r="K44">
        <f>Множество_202207112140401240[[#This Row],[2]]-Множество_202207112140401240[[#This Row],[4]]</f>
        <v>1.1299999999999999</v>
      </c>
      <c r="L44">
        <f>Множество_202207112140401240[[#This Row],[3]]-Множество_202207112140401240[[#This Row],[5]]</f>
        <v>0.15999999999999992</v>
      </c>
      <c r="M44">
        <f>Множество_202207112140401240[[#This Row],[7]]+Множество_202207112140401240[[#This Row],[6]]</f>
        <v>1.2899999999999998</v>
      </c>
      <c r="N44" s="208" t="str">
        <f>CONCATENATE(Множество_202207112140401240[[#This Row],[2]],Множество_202207112140401240[[#This Row],[3]])</f>
        <v>3,631,73</v>
      </c>
      <c r="O44" s="208"/>
      <c r="P44" s="208"/>
      <c r="Q44">
        <v>5.06666666666667</v>
      </c>
      <c r="R44">
        <v>-13.7</v>
      </c>
      <c r="S44" s="208">
        <v>10</v>
      </c>
      <c r="T44" s="208">
        <v>-12.5</v>
      </c>
      <c r="U44" s="208">
        <f>ABS(Множество_202207112140401240[[#This Row],[10]]-Множество_202207112140401240[[#This Row],[12]])</f>
        <v>4.93333333333333</v>
      </c>
      <c r="V44" s="208">
        <f>ABS(Множество_202207112140401240[[#This Row],[11]]-Множество_202207112140401240[[#This Row],[13]])</f>
        <v>1.1999999999999993</v>
      </c>
      <c r="W44" s="208">
        <f>Множество_202207112140401240[[#This Row],[15]]+Множество_202207112140401240[[#This Row],[14]]</f>
        <v>6.1333333333333293</v>
      </c>
      <c r="X44" s="208">
        <f ca="1">IF(ROW()-ROW(Множество_202207112140401240[[#Headers],[17]])&gt;1,Множество_202207112140401240[[#This Row],[16]]-OFFSET(Множество_202207112140401240[[#This Row],[16]],-1,0),0)</f>
        <v>7.5000000000029488E-2</v>
      </c>
      <c r="Y44" s="208">
        <v>5.06666666666667</v>
      </c>
      <c r="Z44" s="208">
        <v>-13.7</v>
      </c>
      <c r="AA44" s="208">
        <f>ABS(Множество_202207112140401240[[#This Row],[18]]-Множество_202207112140401240[[#This Row],[12]])</f>
        <v>4.93333333333333</v>
      </c>
      <c r="AB44" s="208">
        <f>ABS(Множество_202207112140401240[[#This Row],[19]]-Множество_202207112140401240[[#This Row],[13]])</f>
        <v>1.1999999999999993</v>
      </c>
      <c r="AC44" s="208">
        <f>Множество_202207112140401240[[#This Row],[20]]+Множество_202207112140401240[[#This Row],[21]]</f>
        <v>6.1333333333333293</v>
      </c>
    </row>
    <row r="45" spans="1:29" x14ac:dyDescent="0.25">
      <c r="A45" t="s">
        <v>675</v>
      </c>
      <c r="B45" t="s">
        <v>100</v>
      </c>
      <c r="C45" t="s">
        <v>621</v>
      </c>
      <c r="D45" t="s">
        <v>1781</v>
      </c>
      <c r="E45" t="s">
        <v>582</v>
      </c>
      <c r="F45" s="213" t="s">
        <v>749</v>
      </c>
      <c r="G45" t="s">
        <v>1044</v>
      </c>
      <c r="H45" t="s">
        <v>65</v>
      </c>
      <c r="I45">
        <v>2.5</v>
      </c>
      <c r="J45">
        <v>1.57</v>
      </c>
      <c r="K45">
        <f>Множество_202207112140401240[[#This Row],[2]]-Множество_202207112140401240[[#This Row],[4]]</f>
        <v>1.2000000000000002</v>
      </c>
      <c r="L45">
        <f>Множество_202207112140401240[[#This Row],[3]]-Множество_202207112140401240[[#This Row],[5]]</f>
        <v>8.9999999999999858E-2</v>
      </c>
      <c r="M45">
        <f>Множество_202207112140401240[[#This Row],[7]]+Множество_202207112140401240[[#This Row],[6]]</f>
        <v>1.29</v>
      </c>
      <c r="N45" s="208" t="str">
        <f>CONCATENATE(Множество_202207112140401240[[#This Row],[2]],Множество_202207112140401240[[#This Row],[3]])</f>
        <v>3,71,66</v>
      </c>
      <c r="O45" s="208"/>
      <c r="P45" s="208"/>
      <c r="Q45">
        <v>5.0083333333333302</v>
      </c>
      <c r="R45">
        <v>-13.716666666666701</v>
      </c>
      <c r="S45" s="208">
        <v>10</v>
      </c>
      <c r="T45" s="208">
        <v>-12.5</v>
      </c>
      <c r="U45" s="208">
        <f>ABS(Множество_202207112140401240[[#This Row],[10]]-Множество_202207112140401240[[#This Row],[12]])</f>
        <v>4.9916666666666698</v>
      </c>
      <c r="V45" s="208">
        <f>ABS(Множество_202207112140401240[[#This Row],[11]]-Множество_202207112140401240[[#This Row],[13]])</f>
        <v>1.2166666666667005</v>
      </c>
      <c r="W45" s="208">
        <f>Множество_202207112140401240[[#This Row],[15]]+Множество_202207112140401240[[#This Row],[14]]</f>
        <v>6.2083333333333703</v>
      </c>
      <c r="X45" s="208">
        <f ca="1">IF(ROW()-ROW(Множество_202207112140401240[[#Headers],[17]])&gt;1,Множество_202207112140401240[[#This Row],[16]]-OFFSET(Множество_202207112140401240[[#This Row],[16]],-1,0),0)</f>
        <v>7.5000000000041034E-2</v>
      </c>
      <c r="Y45" s="208">
        <v>5.0083333333333302</v>
      </c>
      <c r="Z45" s="208">
        <v>-13.716666666666701</v>
      </c>
      <c r="AA45" s="208">
        <f>ABS(Множество_202207112140401240[[#This Row],[18]]-Множество_202207112140401240[[#This Row],[12]])</f>
        <v>4.9916666666666698</v>
      </c>
      <c r="AB45" s="208">
        <f>ABS(Множество_202207112140401240[[#This Row],[19]]-Множество_202207112140401240[[#This Row],[13]])</f>
        <v>1.2166666666667005</v>
      </c>
      <c r="AC45" s="208">
        <f>Множество_202207112140401240[[#This Row],[20]]+Множество_202207112140401240[[#This Row],[21]]</f>
        <v>6.2083333333333703</v>
      </c>
    </row>
    <row r="46" spans="1:29" x14ac:dyDescent="0.25">
      <c r="A46" t="s">
        <v>676</v>
      </c>
      <c r="B46" t="s">
        <v>100</v>
      </c>
      <c r="C46" t="s">
        <v>621</v>
      </c>
      <c r="D46" t="s">
        <v>1781</v>
      </c>
      <c r="E46" t="s">
        <v>582</v>
      </c>
      <c r="F46" s="213" t="s">
        <v>749</v>
      </c>
      <c r="G46" t="s">
        <v>1183</v>
      </c>
      <c r="H46" t="s">
        <v>67</v>
      </c>
      <c r="I46">
        <v>2.5</v>
      </c>
      <c r="J46">
        <v>1.57</v>
      </c>
      <c r="K46">
        <f>Множество_202207112140401240[[#This Row],[2]]-Множество_202207112140401240[[#This Row],[4]]</f>
        <v>1.19</v>
      </c>
      <c r="L46">
        <f>Множество_202207112140401240[[#This Row],[3]]-Множество_202207112140401240[[#This Row],[5]]</f>
        <v>0.10999999999999988</v>
      </c>
      <c r="M46">
        <f>Множество_202207112140401240[[#This Row],[7]]+Множество_202207112140401240[[#This Row],[6]]</f>
        <v>1.2999999999999998</v>
      </c>
      <c r="N46" s="208" t="str">
        <f>CONCATENATE(Множество_202207112140401240[[#This Row],[2]],Множество_202207112140401240[[#This Row],[3]])</f>
        <v>3,691,68</v>
      </c>
      <c r="O46" s="208"/>
      <c r="P46" s="208"/>
      <c r="Q46">
        <v>4.95</v>
      </c>
      <c r="R46">
        <v>-13.716666666666701</v>
      </c>
      <c r="S46" s="208">
        <v>10</v>
      </c>
      <c r="T46" s="208">
        <v>-12.5</v>
      </c>
      <c r="U46" s="208">
        <f>ABS(Множество_202207112140401240[[#This Row],[10]]-Множество_202207112140401240[[#This Row],[12]])</f>
        <v>5.05</v>
      </c>
      <c r="V46" s="208">
        <f>ABS(Множество_202207112140401240[[#This Row],[11]]-Множество_202207112140401240[[#This Row],[13]])</f>
        <v>1.2166666666667005</v>
      </c>
      <c r="W46" s="208">
        <f>Множество_202207112140401240[[#This Row],[15]]+Множество_202207112140401240[[#This Row],[14]]</f>
        <v>6.2666666666667004</v>
      </c>
      <c r="X46" s="208">
        <f ca="1">IF(ROW()-ROW(Множество_202207112140401240[[#Headers],[17]])&gt;1,Множество_202207112140401240[[#This Row],[16]]-OFFSET(Множество_202207112140401240[[#This Row],[16]],-1,0),0)</f>
        <v>5.8333333333330017E-2</v>
      </c>
      <c r="Y46" s="208">
        <v>4.95</v>
      </c>
      <c r="Z46" s="208">
        <v>-13.716666666666701</v>
      </c>
      <c r="AA46" s="208">
        <f>ABS(Множество_202207112140401240[[#This Row],[18]]-Множество_202207112140401240[[#This Row],[12]])</f>
        <v>5.05</v>
      </c>
      <c r="AB46" s="208">
        <f>ABS(Множество_202207112140401240[[#This Row],[19]]-Множество_202207112140401240[[#This Row],[13]])</f>
        <v>1.2166666666667005</v>
      </c>
      <c r="AC46" s="208">
        <f>Множество_202207112140401240[[#This Row],[20]]+Множество_202207112140401240[[#This Row],[21]]</f>
        <v>6.2666666666667004</v>
      </c>
    </row>
    <row r="47" spans="1:29" x14ac:dyDescent="0.25">
      <c r="A47" t="s">
        <v>678</v>
      </c>
      <c r="B47" t="s">
        <v>100</v>
      </c>
      <c r="C47" t="s">
        <v>621</v>
      </c>
      <c r="D47" t="s">
        <v>1781</v>
      </c>
      <c r="E47" t="s">
        <v>582</v>
      </c>
      <c r="F47" s="213" t="s">
        <v>749</v>
      </c>
      <c r="G47" t="s">
        <v>1213</v>
      </c>
      <c r="H47" t="s">
        <v>69</v>
      </c>
      <c r="I47">
        <v>2.5</v>
      </c>
      <c r="J47">
        <v>1.57</v>
      </c>
      <c r="K47">
        <f>Множество_202207112140401240[[#This Row],[2]]-Множество_202207112140401240[[#This Row],[4]]</f>
        <v>1.17</v>
      </c>
      <c r="L47">
        <f>Множество_202207112140401240[[#This Row],[3]]-Множество_202207112140401240[[#This Row],[5]]</f>
        <v>0.12999999999999989</v>
      </c>
      <c r="M47">
        <f>Множество_202207112140401240[[#This Row],[7]]+Множество_202207112140401240[[#This Row],[6]]</f>
        <v>1.2999999999999998</v>
      </c>
      <c r="N47" s="208" t="str">
        <f>CONCATENATE(Множество_202207112140401240[[#This Row],[2]],Множество_202207112140401240[[#This Row],[3]])</f>
        <v>3,671,7</v>
      </c>
      <c r="O47" s="208"/>
      <c r="P47" s="208"/>
      <c r="Q47">
        <v>4.8916666666666702</v>
      </c>
      <c r="R47">
        <v>-13.733333333333301</v>
      </c>
      <c r="S47" s="208">
        <v>10</v>
      </c>
      <c r="T47" s="208">
        <v>-12.5</v>
      </c>
      <c r="U47" s="208">
        <f>ABS(Множество_202207112140401240[[#This Row],[10]]-Множество_202207112140401240[[#This Row],[12]])</f>
        <v>5.1083333333333298</v>
      </c>
      <c r="V47" s="208">
        <f>ABS(Множество_202207112140401240[[#This Row],[11]]-Множество_202207112140401240[[#This Row],[13]])</f>
        <v>1.2333333333333005</v>
      </c>
      <c r="W47" s="208">
        <f>Множество_202207112140401240[[#This Row],[15]]+Множество_202207112140401240[[#This Row],[14]]</f>
        <v>6.3416666666666304</v>
      </c>
      <c r="X47" s="208">
        <f ca="1">IF(ROW()-ROW(Множество_202207112140401240[[#Headers],[17]])&gt;1,Множество_202207112140401240[[#This Row],[16]]-OFFSET(Множество_202207112140401240[[#This Row],[16]],-1,0),0)</f>
        <v>7.4999999999930012E-2</v>
      </c>
      <c r="Y47" s="208">
        <v>4.8916666666666702</v>
      </c>
      <c r="Z47" s="208">
        <v>-13.733333333333301</v>
      </c>
      <c r="AA47" s="208">
        <f>ABS(Множество_202207112140401240[[#This Row],[18]]-Множество_202207112140401240[[#This Row],[12]])</f>
        <v>5.1083333333333298</v>
      </c>
      <c r="AB47" s="208">
        <f>ABS(Множество_202207112140401240[[#This Row],[19]]-Множество_202207112140401240[[#This Row],[13]])</f>
        <v>1.2333333333333005</v>
      </c>
      <c r="AC47" s="208">
        <f>Множество_202207112140401240[[#This Row],[20]]+Множество_202207112140401240[[#This Row],[21]]</f>
        <v>6.3416666666666304</v>
      </c>
    </row>
    <row r="48" spans="1:29" x14ac:dyDescent="0.25">
      <c r="A48" t="s">
        <v>679</v>
      </c>
      <c r="B48" t="s">
        <v>100</v>
      </c>
      <c r="C48" t="s">
        <v>621</v>
      </c>
      <c r="D48" t="s">
        <v>1781</v>
      </c>
      <c r="E48" t="s">
        <v>582</v>
      </c>
      <c r="F48" s="213" t="s">
        <v>749</v>
      </c>
      <c r="G48" t="s">
        <v>1143</v>
      </c>
      <c r="H48" t="s">
        <v>68</v>
      </c>
      <c r="I48">
        <v>2.5</v>
      </c>
      <c r="J48">
        <v>1.57</v>
      </c>
      <c r="K48">
        <f>Множество_202207112140401240[[#This Row],[2]]-Множество_202207112140401240[[#This Row],[4]]</f>
        <v>1.1800000000000002</v>
      </c>
      <c r="L48">
        <f>Множество_202207112140401240[[#This Row],[3]]-Множество_202207112140401240[[#This Row],[5]]</f>
        <v>0.11999999999999988</v>
      </c>
      <c r="M48">
        <f>Множество_202207112140401240[[#This Row],[7]]+Множество_202207112140401240[[#This Row],[6]]</f>
        <v>1.3</v>
      </c>
      <c r="N48" s="208" t="str">
        <f>CONCATENATE(Множество_202207112140401240[[#This Row],[2]],Множество_202207112140401240[[#This Row],[3]])</f>
        <v>3,681,69</v>
      </c>
      <c r="O48" s="208"/>
      <c r="P48" s="208"/>
      <c r="Q48">
        <v>4.8333333333333304</v>
      </c>
      <c r="R48">
        <v>-13.75</v>
      </c>
      <c r="S48" s="208">
        <v>10</v>
      </c>
      <c r="T48" s="208">
        <v>-12.5</v>
      </c>
      <c r="U48" s="208">
        <f>ABS(Множество_202207112140401240[[#This Row],[10]]-Множество_202207112140401240[[#This Row],[12]])</f>
        <v>5.1666666666666696</v>
      </c>
      <c r="V48" s="208">
        <f>ABS(Множество_202207112140401240[[#This Row],[11]]-Множество_202207112140401240[[#This Row],[13]])</f>
        <v>1.25</v>
      </c>
      <c r="W48" s="208">
        <f>Множество_202207112140401240[[#This Row],[15]]+Множество_202207112140401240[[#This Row],[14]]</f>
        <v>6.4166666666666696</v>
      </c>
      <c r="X48" s="208">
        <f ca="1">IF(ROW()-ROW(Множество_202207112140401240[[#Headers],[17]])&gt;1,Множество_202207112140401240[[#This Row],[16]]-OFFSET(Множество_202207112140401240[[#This Row],[16]],-1,0),0)</f>
        <v>7.5000000000039257E-2</v>
      </c>
      <c r="Y48" s="208">
        <v>4.8333333333333304</v>
      </c>
      <c r="Z48" s="208">
        <v>-13.75</v>
      </c>
      <c r="AA48" s="208">
        <f>ABS(Множество_202207112140401240[[#This Row],[18]]-Множество_202207112140401240[[#This Row],[12]])</f>
        <v>5.1666666666666696</v>
      </c>
      <c r="AB48" s="208">
        <f>ABS(Множество_202207112140401240[[#This Row],[19]]-Множество_202207112140401240[[#This Row],[13]])</f>
        <v>1.25</v>
      </c>
      <c r="AC48" s="208">
        <f>Множество_202207112140401240[[#This Row],[20]]+Множество_202207112140401240[[#This Row],[21]]</f>
        <v>6.4166666666666696</v>
      </c>
    </row>
    <row r="49" spans="1:29" x14ac:dyDescent="0.25">
      <c r="A49" t="s">
        <v>681</v>
      </c>
      <c r="B49" t="s">
        <v>100</v>
      </c>
      <c r="C49" t="s">
        <v>621</v>
      </c>
      <c r="D49" t="s">
        <v>1781</v>
      </c>
      <c r="E49" t="s">
        <v>582</v>
      </c>
      <c r="F49" s="213" t="s">
        <v>749</v>
      </c>
      <c r="G49" t="s">
        <v>1158</v>
      </c>
      <c r="H49" t="s">
        <v>54</v>
      </c>
      <c r="I49">
        <v>2.5</v>
      </c>
      <c r="J49">
        <v>1.57</v>
      </c>
      <c r="K49">
        <f>Множество_202207112140401240[[#This Row],[2]]-Множество_202207112140401240[[#This Row],[4]]</f>
        <v>1.29</v>
      </c>
      <c r="L49">
        <f>Множество_202207112140401240[[#This Row],[3]]-Множество_202207112140401240[[#This Row],[5]]</f>
        <v>-2.0000000000000018E-2</v>
      </c>
      <c r="M49">
        <f>Множество_202207112140401240[[#This Row],[7]]+Множество_202207112140401240[[#This Row],[6]]</f>
        <v>1.27</v>
      </c>
      <c r="N49" s="208" t="str">
        <f>CONCATENATE(Множество_202207112140401240[[#This Row],[2]],Множество_202207112140401240[[#This Row],[3]])</f>
        <v>3,791,55</v>
      </c>
      <c r="O49" s="208"/>
      <c r="P49" s="208"/>
      <c r="Q49">
        <v>4.7750000000000004</v>
      </c>
      <c r="R49">
        <v>-13.766666666666699</v>
      </c>
      <c r="S49" s="208">
        <v>10</v>
      </c>
      <c r="T49" s="208">
        <v>-12.5</v>
      </c>
      <c r="U49" s="208">
        <f>ABS(Множество_202207112140401240[[#This Row],[10]]-Множество_202207112140401240[[#This Row],[12]])</f>
        <v>5.2249999999999996</v>
      </c>
      <c r="V49" s="208">
        <f>ABS(Множество_202207112140401240[[#This Row],[11]]-Множество_202207112140401240[[#This Row],[13]])</f>
        <v>1.2666666666666995</v>
      </c>
      <c r="W49" s="208">
        <f>Множество_202207112140401240[[#This Row],[15]]+Множество_202207112140401240[[#This Row],[14]]</f>
        <v>6.4916666666666991</v>
      </c>
      <c r="X49" s="208">
        <f ca="1">IF(ROW()-ROW(Множество_202207112140401240[[#Headers],[17]])&gt;1,Множество_202207112140401240[[#This Row],[16]]-OFFSET(Множество_202207112140401240[[#This Row],[16]],-1,0),0)</f>
        <v>7.5000000000029488E-2</v>
      </c>
      <c r="Y49" s="208">
        <v>4.7750000000000004</v>
      </c>
      <c r="Z49" s="208">
        <v>-13.766666666666699</v>
      </c>
      <c r="AA49" s="208">
        <f>ABS(Множество_202207112140401240[[#This Row],[18]]-Множество_202207112140401240[[#This Row],[12]])</f>
        <v>5.2249999999999996</v>
      </c>
      <c r="AB49" s="208">
        <f>ABS(Множество_202207112140401240[[#This Row],[19]]-Множество_202207112140401240[[#This Row],[13]])</f>
        <v>1.2666666666666995</v>
      </c>
      <c r="AC49" s="208">
        <f>Множество_202207112140401240[[#This Row],[20]]+Множество_202207112140401240[[#This Row],[21]]</f>
        <v>6.4916666666666991</v>
      </c>
    </row>
    <row r="50" spans="1:29" x14ac:dyDescent="0.25">
      <c r="A50" t="s">
        <v>683</v>
      </c>
      <c r="B50" t="s">
        <v>100</v>
      </c>
      <c r="C50" t="s">
        <v>621</v>
      </c>
      <c r="D50" t="s">
        <v>1781</v>
      </c>
      <c r="E50" t="s">
        <v>582</v>
      </c>
      <c r="F50" s="213" t="s">
        <v>749</v>
      </c>
      <c r="G50" t="s">
        <v>1352</v>
      </c>
      <c r="H50" t="s">
        <v>53</v>
      </c>
      <c r="I50">
        <v>2.5</v>
      </c>
      <c r="J50">
        <v>1.57</v>
      </c>
      <c r="K50">
        <f>Множество_202207112140401240[[#This Row],[2]]-Множество_202207112140401240[[#This Row],[4]]</f>
        <v>1.2999999999999998</v>
      </c>
      <c r="L50">
        <f>Множество_202207112140401240[[#This Row],[3]]-Множество_202207112140401240[[#This Row],[5]]</f>
        <v>-3.0000000000000027E-2</v>
      </c>
      <c r="M50">
        <f>Множество_202207112140401240[[#This Row],[7]]+Множество_202207112140401240[[#This Row],[6]]</f>
        <v>1.2699999999999998</v>
      </c>
      <c r="N50" s="208" t="str">
        <f>CONCATENATE(Множество_202207112140401240[[#This Row],[2]],Множество_202207112140401240[[#This Row],[3]])</f>
        <v>3,81,54</v>
      </c>
      <c r="O50" s="208"/>
      <c r="P50" s="208"/>
      <c r="Q50">
        <v>4.6583333333333297</v>
      </c>
      <c r="R50">
        <v>-13.783333333333299</v>
      </c>
      <c r="S50" s="208">
        <v>10</v>
      </c>
      <c r="T50" s="208">
        <v>-12.5</v>
      </c>
      <c r="U50" s="208">
        <f>ABS(Множество_202207112140401240[[#This Row],[10]]-Множество_202207112140401240[[#This Row],[12]])</f>
        <v>5.3416666666666703</v>
      </c>
      <c r="V50" s="208">
        <f>ABS(Множество_202207112140401240[[#This Row],[11]]-Множество_202207112140401240[[#This Row],[13]])</f>
        <v>1.2833333333332995</v>
      </c>
      <c r="W50" s="208">
        <f>Множество_202207112140401240[[#This Row],[15]]+Множество_202207112140401240[[#This Row],[14]]</f>
        <v>6.6249999999999698</v>
      </c>
      <c r="X50" s="208">
        <f ca="1">IF(ROW()-ROW(Множество_202207112140401240[[#Headers],[17]])&gt;1,Множество_202207112140401240[[#This Row],[16]]-OFFSET(Множество_202207112140401240[[#This Row],[16]],-1,0),0)</f>
        <v>0.13333333333327069</v>
      </c>
      <c r="Y50" s="208">
        <v>4.6583333333333297</v>
      </c>
      <c r="Z50" s="208">
        <v>-13.783333333333299</v>
      </c>
      <c r="AA50" s="208">
        <f>ABS(Множество_202207112140401240[[#This Row],[18]]-Множество_202207112140401240[[#This Row],[12]])</f>
        <v>5.3416666666666703</v>
      </c>
      <c r="AB50" s="208">
        <f>ABS(Множество_202207112140401240[[#This Row],[19]]-Множество_202207112140401240[[#This Row],[13]])</f>
        <v>1.2833333333332995</v>
      </c>
      <c r="AC50" s="208">
        <f>Множество_202207112140401240[[#This Row],[20]]+Множество_202207112140401240[[#This Row],[21]]</f>
        <v>6.6249999999999698</v>
      </c>
    </row>
    <row r="51" spans="1:29" x14ac:dyDescent="0.25">
      <c r="A51" t="s">
        <v>684</v>
      </c>
      <c r="B51" t="s">
        <v>100</v>
      </c>
      <c r="C51" t="s">
        <v>621</v>
      </c>
      <c r="D51" t="s">
        <v>1781</v>
      </c>
      <c r="E51" t="s">
        <v>582</v>
      </c>
      <c r="F51" s="213" t="s">
        <v>749</v>
      </c>
      <c r="G51" t="s">
        <v>1209</v>
      </c>
      <c r="H51" t="s">
        <v>51</v>
      </c>
      <c r="I51">
        <v>2.5</v>
      </c>
      <c r="J51">
        <v>1.57</v>
      </c>
      <c r="K51">
        <f>Множество_202207112140401240[[#This Row],[2]]-Множество_202207112140401240[[#This Row],[4]]</f>
        <v>1.31</v>
      </c>
      <c r="L51">
        <f>Множество_202207112140401240[[#This Row],[3]]-Множество_202207112140401240[[#This Row],[5]]</f>
        <v>-5.0000000000000044E-2</v>
      </c>
      <c r="M51">
        <f>Множество_202207112140401240[[#This Row],[7]]+Множество_202207112140401240[[#This Row],[6]]</f>
        <v>1.26</v>
      </c>
      <c r="N51" s="208" t="str">
        <f>CONCATENATE(Множество_202207112140401240[[#This Row],[2]],Множество_202207112140401240[[#This Row],[3]])</f>
        <v>3,811,52</v>
      </c>
      <c r="O51" s="208"/>
      <c r="P51" s="208"/>
      <c r="Q51">
        <v>4.7166666666666703</v>
      </c>
      <c r="R51">
        <v>-13.783333333333299</v>
      </c>
      <c r="S51" s="208">
        <v>10</v>
      </c>
      <c r="T51" s="208">
        <v>-12.5</v>
      </c>
      <c r="U51" s="208">
        <f>ABS(Множество_202207112140401240[[#This Row],[10]]-Множество_202207112140401240[[#This Row],[12]])</f>
        <v>5.2833333333333297</v>
      </c>
      <c r="V51" s="208">
        <f>ABS(Множество_202207112140401240[[#This Row],[11]]-Множество_202207112140401240[[#This Row],[13]])</f>
        <v>1.2833333333332995</v>
      </c>
      <c r="W51" s="208">
        <f>Множество_202207112140401240[[#This Row],[15]]+Множество_202207112140401240[[#This Row],[14]]</f>
        <v>6.5666666666666291</v>
      </c>
      <c r="X51" s="208">
        <f ca="1">IF(ROW()-ROW(Множество_202207112140401240[[#Headers],[17]])&gt;1,Множество_202207112140401240[[#This Row],[16]]-OFFSET(Множество_202207112140401240[[#This Row],[16]],-1,0),0)</f>
        <v>-5.8333333333340676E-2</v>
      </c>
      <c r="Y51" s="208">
        <v>4.7166666666666703</v>
      </c>
      <c r="Z51" s="208">
        <v>-13.783333333333299</v>
      </c>
      <c r="AA51" s="208">
        <f>ABS(Множество_202207112140401240[[#This Row],[18]]-Множество_202207112140401240[[#This Row],[12]])</f>
        <v>5.2833333333333297</v>
      </c>
      <c r="AB51" s="208">
        <f>ABS(Множество_202207112140401240[[#This Row],[19]]-Множество_202207112140401240[[#This Row],[13]])</f>
        <v>1.2833333333332995</v>
      </c>
      <c r="AC51" s="208">
        <f>Множество_202207112140401240[[#This Row],[20]]+Множество_202207112140401240[[#This Row],[21]]</f>
        <v>6.5666666666666291</v>
      </c>
    </row>
    <row r="52" spans="1:29" x14ac:dyDescent="0.25">
      <c r="A52" t="s">
        <v>686</v>
      </c>
      <c r="B52" t="s">
        <v>100</v>
      </c>
      <c r="C52" t="s">
        <v>621</v>
      </c>
      <c r="D52" t="s">
        <v>1781</v>
      </c>
      <c r="E52" t="s">
        <v>582</v>
      </c>
      <c r="F52" s="213" t="s">
        <v>749</v>
      </c>
      <c r="G52" t="s">
        <v>1224</v>
      </c>
      <c r="H52" t="s">
        <v>50</v>
      </c>
      <c r="I52">
        <v>2.5</v>
      </c>
      <c r="J52">
        <v>1.57</v>
      </c>
      <c r="K52">
        <f>Множество_202207112140401240[[#This Row],[2]]-Множество_202207112140401240[[#This Row],[4]]</f>
        <v>1.3199999999999998</v>
      </c>
      <c r="L52">
        <f>Множество_202207112140401240[[#This Row],[3]]-Множество_202207112140401240[[#This Row],[5]]</f>
        <v>-6.0000000000000053E-2</v>
      </c>
      <c r="M52">
        <f>Множество_202207112140401240[[#This Row],[7]]+Множество_202207112140401240[[#This Row],[6]]</f>
        <v>1.2599999999999998</v>
      </c>
      <c r="N52" s="208" t="str">
        <f>CONCATENATE(Множество_202207112140401240[[#This Row],[2]],Множество_202207112140401240[[#This Row],[3]])</f>
        <v>3,821,51</v>
      </c>
      <c r="O52" s="208"/>
      <c r="P52" s="208"/>
      <c r="Q52">
        <v>4.5416666666666696</v>
      </c>
      <c r="R52">
        <v>-13.8166666666667</v>
      </c>
      <c r="S52" s="208">
        <v>10</v>
      </c>
      <c r="T52" s="208">
        <v>-12.5</v>
      </c>
      <c r="U52" s="208">
        <f>ABS(Множество_202207112140401240[[#This Row],[10]]-Множество_202207112140401240[[#This Row],[12]])</f>
        <v>5.4583333333333304</v>
      </c>
      <c r="V52" s="208">
        <f>ABS(Множество_202207112140401240[[#This Row],[11]]-Множество_202207112140401240[[#This Row],[13]])</f>
        <v>1.3166666666667002</v>
      </c>
      <c r="W52" s="208">
        <f>Множество_202207112140401240[[#This Row],[15]]+Множество_202207112140401240[[#This Row],[14]]</f>
        <v>6.7750000000000306</v>
      </c>
      <c r="X52" s="208">
        <f ca="1">IF(ROW()-ROW(Множество_202207112140401240[[#Headers],[17]])&gt;1,Множество_202207112140401240[[#This Row],[16]]-OFFSET(Множество_202207112140401240[[#This Row],[16]],-1,0),0)</f>
        <v>0.20833333333340143</v>
      </c>
      <c r="Y52" s="208">
        <v>4.5416666666666696</v>
      </c>
      <c r="Z52" s="208">
        <v>-13.8166666666667</v>
      </c>
      <c r="AA52" s="208">
        <f>ABS(Множество_202207112140401240[[#This Row],[18]]-Множество_202207112140401240[[#This Row],[12]])</f>
        <v>5.4583333333333304</v>
      </c>
      <c r="AB52" s="208">
        <f>ABS(Множество_202207112140401240[[#This Row],[19]]-Множество_202207112140401240[[#This Row],[13]])</f>
        <v>1.3166666666667002</v>
      </c>
      <c r="AC52" s="208">
        <f>Множество_202207112140401240[[#This Row],[20]]+Множество_202207112140401240[[#This Row],[21]]</f>
        <v>6.7750000000000306</v>
      </c>
    </row>
    <row r="53" spans="1:29" x14ac:dyDescent="0.25">
      <c r="A53" t="s">
        <v>688</v>
      </c>
      <c r="B53" t="s">
        <v>100</v>
      </c>
      <c r="C53" t="s">
        <v>621</v>
      </c>
      <c r="D53" t="s">
        <v>1781</v>
      </c>
      <c r="E53" t="s">
        <v>582</v>
      </c>
      <c r="F53" s="213" t="s">
        <v>749</v>
      </c>
      <c r="G53" t="s">
        <v>1239</v>
      </c>
      <c r="H53" t="s">
        <v>49</v>
      </c>
      <c r="I53">
        <v>2.5</v>
      </c>
      <c r="J53">
        <v>1.57</v>
      </c>
      <c r="K53">
        <f>Множество_202207112140401240[[#This Row],[2]]-Множество_202207112140401240[[#This Row],[4]]</f>
        <v>1.33</v>
      </c>
      <c r="L53">
        <f>Множество_202207112140401240[[#This Row],[3]]-Множество_202207112140401240[[#This Row],[5]]</f>
        <v>-7.0000000000000062E-2</v>
      </c>
      <c r="M53">
        <f>Множество_202207112140401240[[#This Row],[7]]+Множество_202207112140401240[[#This Row],[6]]</f>
        <v>1.26</v>
      </c>
      <c r="N53" s="208" t="str">
        <f>CONCATENATE(Множество_202207112140401240[[#This Row],[2]],Множество_202207112140401240[[#This Row],[3]])</f>
        <v>3,831,5</v>
      </c>
      <c r="O53" s="208"/>
      <c r="P53" s="208"/>
      <c r="Q53">
        <v>4.5999999999999996</v>
      </c>
      <c r="R53">
        <v>-13.8</v>
      </c>
      <c r="S53" s="208">
        <v>10</v>
      </c>
      <c r="T53" s="208">
        <v>-12.5</v>
      </c>
      <c r="U53" s="208">
        <f>ABS(Множество_202207112140401240[[#This Row],[10]]-Множество_202207112140401240[[#This Row],[12]])</f>
        <v>5.4</v>
      </c>
      <c r="V53" s="208">
        <f>ABS(Множество_202207112140401240[[#This Row],[11]]-Множество_202207112140401240[[#This Row],[13]])</f>
        <v>1.3000000000000007</v>
      </c>
      <c r="W53" s="208">
        <f>Множество_202207112140401240[[#This Row],[15]]+Множество_202207112140401240[[#This Row],[14]]</f>
        <v>6.7000000000000011</v>
      </c>
      <c r="X53" s="208">
        <f ca="1">IF(ROW()-ROW(Множество_202207112140401240[[#Headers],[17]])&gt;1,Множество_202207112140401240[[#This Row],[16]]-OFFSET(Множество_202207112140401240[[#This Row],[16]],-1,0),0)</f>
        <v>-7.5000000000029488E-2</v>
      </c>
      <c r="Y53" s="208">
        <v>4.5999999999999996</v>
      </c>
      <c r="Z53" s="208">
        <v>-13.8</v>
      </c>
      <c r="AA53" s="208">
        <f>ABS(Множество_202207112140401240[[#This Row],[18]]-Множество_202207112140401240[[#This Row],[12]])</f>
        <v>5.4</v>
      </c>
      <c r="AB53" s="208">
        <f>ABS(Множество_202207112140401240[[#This Row],[19]]-Множество_202207112140401240[[#This Row],[13]])</f>
        <v>1.3000000000000007</v>
      </c>
      <c r="AC53" s="208">
        <f>Множество_202207112140401240[[#This Row],[20]]+Множество_202207112140401240[[#This Row],[21]]</f>
        <v>6.7000000000000011</v>
      </c>
    </row>
    <row r="54" spans="1:29" x14ac:dyDescent="0.25">
      <c r="A54" t="s">
        <v>689</v>
      </c>
      <c r="B54" t="s">
        <v>100</v>
      </c>
      <c r="C54" t="s">
        <v>621</v>
      </c>
      <c r="D54" t="s">
        <v>1781</v>
      </c>
      <c r="E54" t="s">
        <v>582</v>
      </c>
      <c r="F54" s="213" t="s">
        <v>749</v>
      </c>
      <c r="G54" t="s">
        <v>1344</v>
      </c>
      <c r="H54" t="s">
        <v>47</v>
      </c>
      <c r="I54">
        <v>2.5</v>
      </c>
      <c r="J54">
        <v>1.57</v>
      </c>
      <c r="K54">
        <f>Множество_202207112140401240[[#This Row],[2]]-Множество_202207112140401240[[#This Row],[4]]</f>
        <v>1.3399999999999999</v>
      </c>
      <c r="L54">
        <f>Множество_202207112140401240[[#This Row],[3]]-Множество_202207112140401240[[#This Row],[5]]</f>
        <v>-9.000000000000008E-2</v>
      </c>
      <c r="M54">
        <f>Множество_202207112140401240[[#This Row],[7]]+Множество_202207112140401240[[#This Row],[6]]</f>
        <v>1.2499999999999998</v>
      </c>
      <c r="N54" s="208" t="str">
        <f>CONCATENATE(Множество_202207112140401240[[#This Row],[2]],Множество_202207112140401240[[#This Row],[3]])</f>
        <v>3,841,48</v>
      </c>
      <c r="O54" s="208"/>
      <c r="P54" s="208"/>
      <c r="Q54">
        <v>4.4833333333333298</v>
      </c>
      <c r="R54">
        <v>-13.8333333333333</v>
      </c>
      <c r="S54" s="208">
        <v>10</v>
      </c>
      <c r="T54" s="208">
        <v>-12.5</v>
      </c>
      <c r="U54" s="208">
        <f>ABS(Множество_202207112140401240[[#This Row],[10]]-Множество_202207112140401240[[#This Row],[12]])</f>
        <v>5.5166666666666702</v>
      </c>
      <c r="V54" s="208">
        <f>ABS(Множество_202207112140401240[[#This Row],[11]]-Множество_202207112140401240[[#This Row],[13]])</f>
        <v>1.3333333333333002</v>
      </c>
      <c r="W54" s="208">
        <f>Множество_202207112140401240[[#This Row],[15]]+Множество_202207112140401240[[#This Row],[14]]</f>
        <v>6.8499999999999703</v>
      </c>
      <c r="X54" s="208">
        <f ca="1">IF(ROW()-ROW(Множество_202207112140401240[[#Headers],[17]])&gt;1,Множество_202207112140401240[[#This Row],[16]]-OFFSET(Множество_202207112140401240[[#This Row],[16]],-1,0),0)</f>
        <v>0.14999999999996927</v>
      </c>
      <c r="Y54" s="208">
        <v>4.4833333333333298</v>
      </c>
      <c r="Z54" s="208">
        <v>-13.8333333333333</v>
      </c>
      <c r="AA54" s="208">
        <f>ABS(Множество_202207112140401240[[#This Row],[18]]-Множество_202207112140401240[[#This Row],[12]])</f>
        <v>5.5166666666666702</v>
      </c>
      <c r="AB54" s="208">
        <f>ABS(Множество_202207112140401240[[#This Row],[19]]-Множество_202207112140401240[[#This Row],[13]])</f>
        <v>1.3333333333333002</v>
      </c>
      <c r="AC54" s="208">
        <f>Множество_202207112140401240[[#This Row],[20]]+Множество_202207112140401240[[#This Row],[21]]</f>
        <v>6.8499999999999703</v>
      </c>
    </row>
    <row r="55" spans="1:29" x14ac:dyDescent="0.25">
      <c r="A55" t="s">
        <v>690</v>
      </c>
      <c r="B55" t="s">
        <v>100</v>
      </c>
      <c r="C55" t="s">
        <v>621</v>
      </c>
      <c r="D55" t="s">
        <v>1781</v>
      </c>
      <c r="E55" t="s">
        <v>582</v>
      </c>
      <c r="F55" s="213" t="s">
        <v>749</v>
      </c>
      <c r="G55" t="s">
        <v>1307</v>
      </c>
      <c r="H55" t="s">
        <v>46</v>
      </c>
      <c r="I55">
        <v>2.5</v>
      </c>
      <c r="J55">
        <v>1.57</v>
      </c>
      <c r="K55">
        <f>Множество_202207112140401240[[#This Row],[2]]-Множество_202207112140401240[[#This Row],[4]]</f>
        <v>1.35</v>
      </c>
      <c r="L55">
        <f>Множество_202207112140401240[[#This Row],[3]]-Множество_202207112140401240[[#This Row],[5]]</f>
        <v>-0.10000000000000009</v>
      </c>
      <c r="M55">
        <f>Множество_202207112140401240[[#This Row],[7]]+Множество_202207112140401240[[#This Row],[6]]</f>
        <v>1.25</v>
      </c>
      <c r="N55" s="208" t="str">
        <f>CONCATENATE(Множество_202207112140401240[[#This Row],[2]],Множество_202207112140401240[[#This Row],[3]])</f>
        <v>3,851,47</v>
      </c>
      <c r="O55" s="208"/>
      <c r="P55" s="208"/>
      <c r="Q55">
        <v>4.4249999999999998</v>
      </c>
      <c r="R55">
        <v>-13.8333333333333</v>
      </c>
      <c r="S55" s="208">
        <v>10</v>
      </c>
      <c r="T55" s="208">
        <v>-12.5</v>
      </c>
      <c r="U55" s="208">
        <f>ABS(Множество_202207112140401240[[#This Row],[10]]-Множество_202207112140401240[[#This Row],[12]])</f>
        <v>5.5750000000000002</v>
      </c>
      <c r="V55" s="208">
        <f>ABS(Множество_202207112140401240[[#This Row],[11]]-Множество_202207112140401240[[#This Row],[13]])</f>
        <v>1.3333333333333002</v>
      </c>
      <c r="W55" s="208">
        <f>Множество_202207112140401240[[#This Row],[15]]+Множество_202207112140401240[[#This Row],[14]]</f>
        <v>6.9083333333333004</v>
      </c>
      <c r="X55" s="208">
        <f ca="1">IF(ROW()-ROW(Множество_202207112140401240[[#Headers],[17]])&gt;1,Множество_202207112140401240[[#This Row],[16]]-OFFSET(Множество_202207112140401240[[#This Row],[16]],-1,0),0)</f>
        <v>5.8333333333330017E-2</v>
      </c>
      <c r="Y55" s="208">
        <v>4.4249999999999998</v>
      </c>
      <c r="Z55" s="208">
        <v>-13.8333333333333</v>
      </c>
      <c r="AA55" s="208">
        <f>ABS(Множество_202207112140401240[[#This Row],[18]]-Множество_202207112140401240[[#This Row],[12]])</f>
        <v>5.5750000000000002</v>
      </c>
      <c r="AB55" s="208">
        <f>ABS(Множество_202207112140401240[[#This Row],[19]]-Множество_202207112140401240[[#This Row],[13]])</f>
        <v>1.3333333333333002</v>
      </c>
      <c r="AC55" s="208">
        <f>Множество_202207112140401240[[#This Row],[20]]+Множество_202207112140401240[[#This Row],[21]]</f>
        <v>6.9083333333333004</v>
      </c>
    </row>
    <row r="56" spans="1:29" x14ac:dyDescent="0.25">
      <c r="A56" t="s">
        <v>691</v>
      </c>
      <c r="B56" t="s">
        <v>100</v>
      </c>
      <c r="C56" t="s">
        <v>621</v>
      </c>
      <c r="D56" t="s">
        <v>1781</v>
      </c>
      <c r="E56" t="s">
        <v>582</v>
      </c>
      <c r="F56" s="213" t="s">
        <v>749</v>
      </c>
      <c r="G56" t="s">
        <v>1621</v>
      </c>
      <c r="H56" t="s">
        <v>45</v>
      </c>
      <c r="I56">
        <v>2.5</v>
      </c>
      <c r="J56">
        <v>1.57</v>
      </c>
      <c r="K56">
        <f>Множество_202207112140401240[[#This Row],[2]]-Множество_202207112140401240[[#This Row],[4]]</f>
        <v>1.3599999999999999</v>
      </c>
      <c r="L56">
        <f>Множество_202207112140401240[[#This Row],[3]]-Множество_202207112140401240[[#This Row],[5]]</f>
        <v>-0.1100000000000001</v>
      </c>
      <c r="M56">
        <f>Множество_202207112140401240[[#This Row],[7]]+Множество_202207112140401240[[#This Row],[6]]</f>
        <v>1.2499999999999998</v>
      </c>
      <c r="N56" s="208" t="str">
        <f>CONCATENATE(Множество_202207112140401240[[#This Row],[2]],Множество_202207112140401240[[#This Row],[3]])</f>
        <v>3,861,46</v>
      </c>
      <c r="O56" s="208"/>
      <c r="P56" s="208"/>
      <c r="Q56">
        <v>4.3666666666666698</v>
      </c>
      <c r="R56">
        <v>-13.85</v>
      </c>
      <c r="S56" s="208">
        <v>10</v>
      </c>
      <c r="T56" s="208">
        <v>-12.5</v>
      </c>
      <c r="U56" s="208">
        <f>ABS(Множество_202207112140401240[[#This Row],[10]]-Множество_202207112140401240[[#This Row],[12]])</f>
        <v>5.6333333333333302</v>
      </c>
      <c r="V56" s="208">
        <f>ABS(Множество_202207112140401240[[#This Row],[11]]-Множество_202207112140401240[[#This Row],[13]])</f>
        <v>1.3499999999999996</v>
      </c>
      <c r="W56" s="208">
        <f>Множество_202207112140401240[[#This Row],[15]]+Множество_202207112140401240[[#This Row],[14]]</f>
        <v>6.9833333333333298</v>
      </c>
      <c r="X56" s="208">
        <f ca="1">IF(ROW()-ROW(Множество_202207112140401240[[#Headers],[17]])&gt;1,Множество_202207112140401240[[#This Row],[16]]-OFFSET(Множество_202207112140401240[[#This Row],[16]],-1,0),0)</f>
        <v>7.5000000000029488E-2</v>
      </c>
      <c r="Y56" s="208">
        <v>4.3666666666666698</v>
      </c>
      <c r="Z56" s="208">
        <v>-13.85</v>
      </c>
      <c r="AA56" s="208">
        <f>ABS(Множество_202207112140401240[[#This Row],[18]]-Множество_202207112140401240[[#This Row],[12]])</f>
        <v>5.6333333333333302</v>
      </c>
      <c r="AB56" s="208">
        <f>ABS(Множество_202207112140401240[[#This Row],[19]]-Множество_202207112140401240[[#This Row],[13]])</f>
        <v>1.3499999999999996</v>
      </c>
      <c r="AC56" s="208">
        <f>Множество_202207112140401240[[#This Row],[20]]+Множество_202207112140401240[[#This Row],[21]]</f>
        <v>6.9833333333333298</v>
      </c>
    </row>
    <row r="57" spans="1:29" x14ac:dyDescent="0.25">
      <c r="A57" t="s">
        <v>692</v>
      </c>
      <c r="B57" t="s">
        <v>100</v>
      </c>
      <c r="C57" t="s">
        <v>621</v>
      </c>
      <c r="D57" t="s">
        <v>1781</v>
      </c>
      <c r="E57" t="s">
        <v>582</v>
      </c>
      <c r="F57" s="213" t="s">
        <v>749</v>
      </c>
      <c r="G57" t="s">
        <v>1294</v>
      </c>
      <c r="H57" t="s">
        <v>44</v>
      </c>
      <c r="I57">
        <v>2.5</v>
      </c>
      <c r="J57">
        <v>1.57</v>
      </c>
      <c r="K57">
        <f>Множество_202207112140401240[[#This Row],[2]]-Множество_202207112140401240[[#This Row],[4]]</f>
        <v>1.37</v>
      </c>
      <c r="L57">
        <f>Множество_202207112140401240[[#This Row],[3]]-Множество_202207112140401240[[#This Row],[5]]</f>
        <v>-0.12000000000000011</v>
      </c>
      <c r="M57">
        <f>Множество_202207112140401240[[#This Row],[7]]+Множество_202207112140401240[[#This Row],[6]]</f>
        <v>1.25</v>
      </c>
      <c r="N57" s="208" t="str">
        <f>CONCATENATE(Множество_202207112140401240[[#This Row],[2]],Множество_202207112140401240[[#This Row],[3]])</f>
        <v>3,871,45</v>
      </c>
      <c r="O57" s="208"/>
      <c r="P57" s="208"/>
      <c r="Q57">
        <v>4.30833333333333</v>
      </c>
      <c r="R57">
        <v>-13.866666666666699</v>
      </c>
      <c r="S57" s="208">
        <v>10</v>
      </c>
      <c r="T57" s="208">
        <v>-12.5</v>
      </c>
      <c r="U57" s="208">
        <f>ABS(Множество_202207112140401240[[#This Row],[10]]-Множество_202207112140401240[[#This Row],[12]])</f>
        <v>5.69166666666667</v>
      </c>
      <c r="V57" s="208">
        <f>ABS(Множество_202207112140401240[[#This Row],[11]]-Множество_202207112140401240[[#This Row],[13]])</f>
        <v>1.3666666666666991</v>
      </c>
      <c r="W57" s="208">
        <f>Множество_202207112140401240[[#This Row],[15]]+Множество_202207112140401240[[#This Row],[14]]</f>
        <v>7.0583333333333691</v>
      </c>
      <c r="X57" s="208">
        <f ca="1">IF(ROW()-ROW(Множество_202207112140401240[[#Headers],[17]])&gt;1,Множество_202207112140401240[[#This Row],[16]]-OFFSET(Множество_202207112140401240[[#This Row],[16]],-1,0),0)</f>
        <v>7.5000000000039257E-2</v>
      </c>
      <c r="Y57" s="208">
        <v>4.30833333333333</v>
      </c>
      <c r="Z57" s="208">
        <v>-13.866666666666699</v>
      </c>
      <c r="AA57" s="208">
        <f>ABS(Множество_202207112140401240[[#This Row],[18]]-Множество_202207112140401240[[#This Row],[12]])</f>
        <v>5.69166666666667</v>
      </c>
      <c r="AB57" s="208">
        <f>ABS(Множество_202207112140401240[[#This Row],[19]]-Множество_202207112140401240[[#This Row],[13]])</f>
        <v>1.3666666666666991</v>
      </c>
      <c r="AC57" s="208">
        <f>Множество_202207112140401240[[#This Row],[20]]+Множество_202207112140401240[[#This Row],[21]]</f>
        <v>7.0583333333333691</v>
      </c>
    </row>
    <row r="58" spans="1:29" x14ac:dyDescent="0.25">
      <c r="A58" t="s">
        <v>694</v>
      </c>
      <c r="B58" t="s">
        <v>100</v>
      </c>
      <c r="C58" t="s">
        <v>621</v>
      </c>
      <c r="D58" t="s">
        <v>1781</v>
      </c>
      <c r="E58" t="s">
        <v>582</v>
      </c>
      <c r="F58" s="213" t="s">
        <v>749</v>
      </c>
      <c r="G58" t="s">
        <v>693</v>
      </c>
      <c r="H58" t="s">
        <v>1322</v>
      </c>
      <c r="I58">
        <v>2.5</v>
      </c>
      <c r="J58">
        <v>1.57</v>
      </c>
      <c r="K58">
        <f>Множество_202207112140401240[[#This Row],[2]]-Множество_202207112140401240[[#This Row],[4]]</f>
        <v>0.77</v>
      </c>
      <c r="L58">
        <f>Множество_202207112140401240[[#This Row],[3]]-Множество_202207112140401240[[#This Row],[5]]</f>
        <v>0.72</v>
      </c>
      <c r="M58">
        <f>Множество_202207112140401240[[#This Row],[7]]+Множество_202207112140401240[[#This Row],[6]]</f>
        <v>1.49</v>
      </c>
      <c r="N58" s="208" t="str">
        <f>CONCATENATE(Множество_202207112140401240[[#This Row],[2]],Множество_202207112140401240[[#This Row],[3]])</f>
        <v>3,272,29</v>
      </c>
      <c r="O58" s="208"/>
      <c r="P58" s="208"/>
      <c r="Q58">
        <v>4.25</v>
      </c>
      <c r="R58">
        <v>-13.9</v>
      </c>
      <c r="S58" s="208">
        <v>10</v>
      </c>
      <c r="T58" s="208">
        <v>-12.5</v>
      </c>
      <c r="U58" s="208">
        <f>ABS(Множество_202207112140401240[[#This Row],[10]]-Множество_202207112140401240[[#This Row],[12]])</f>
        <v>5.75</v>
      </c>
      <c r="V58" s="208">
        <f>ABS(Множество_202207112140401240[[#This Row],[11]]-Множество_202207112140401240[[#This Row],[13]])</f>
        <v>1.4000000000000004</v>
      </c>
      <c r="W58" s="208">
        <f>Множество_202207112140401240[[#This Row],[15]]+Множество_202207112140401240[[#This Row],[14]]</f>
        <v>7.15</v>
      </c>
      <c r="X58" s="208">
        <f ca="1">IF(ROW()-ROW(Множество_202207112140401240[[#Headers],[17]])&gt;1,Множество_202207112140401240[[#This Row],[16]]-OFFSET(Множество_202207112140401240[[#This Row],[16]],-1,0),0)</f>
        <v>9.1666666666631258E-2</v>
      </c>
      <c r="Y58" s="208">
        <v>4.25</v>
      </c>
      <c r="Z58" s="208">
        <v>-13.9</v>
      </c>
      <c r="AA58" s="208">
        <f>ABS(Множество_202207112140401240[[#This Row],[18]]-Множество_202207112140401240[[#This Row],[12]])</f>
        <v>5.75</v>
      </c>
      <c r="AB58" s="208">
        <f>ABS(Множество_202207112140401240[[#This Row],[19]]-Множество_202207112140401240[[#This Row],[13]])</f>
        <v>1.4000000000000004</v>
      </c>
      <c r="AC58" s="208">
        <f>Множество_202207112140401240[[#This Row],[20]]+Множество_202207112140401240[[#This Row],[21]]</f>
        <v>7.15</v>
      </c>
    </row>
    <row r="59" spans="1:29" x14ac:dyDescent="0.25">
      <c r="A59" t="s">
        <v>696</v>
      </c>
      <c r="B59" t="s">
        <v>100</v>
      </c>
      <c r="C59" t="s">
        <v>621</v>
      </c>
      <c r="D59" t="s">
        <v>1781</v>
      </c>
      <c r="E59" t="s">
        <v>582</v>
      </c>
      <c r="F59" s="213" t="s">
        <v>749</v>
      </c>
      <c r="G59" t="s">
        <v>644</v>
      </c>
      <c r="H59" t="s">
        <v>883</v>
      </c>
      <c r="I59">
        <v>2.5</v>
      </c>
      <c r="J59">
        <v>1.57</v>
      </c>
      <c r="K59">
        <f>Множество_202207112140401240[[#This Row],[2]]-Множество_202207112140401240[[#This Row],[4]]</f>
        <v>0.75999999999999979</v>
      </c>
      <c r="L59">
        <f>Множество_202207112140401240[[#This Row],[3]]-Множество_202207112140401240[[#This Row],[5]]</f>
        <v>0.74999999999999978</v>
      </c>
      <c r="M59">
        <f>Множество_202207112140401240[[#This Row],[7]]+Множество_202207112140401240[[#This Row],[6]]</f>
        <v>1.5099999999999996</v>
      </c>
      <c r="N59" s="208" t="str">
        <f>CONCATENATE(Множество_202207112140401240[[#This Row],[2]],Множество_202207112140401240[[#This Row],[3]])</f>
        <v>3,262,32</v>
      </c>
      <c r="O59" s="208"/>
      <c r="P59" s="208"/>
      <c r="Q59">
        <v>4.19166666666667</v>
      </c>
      <c r="R59">
        <v>-13.9166666666667</v>
      </c>
      <c r="S59" s="208">
        <v>10</v>
      </c>
      <c r="T59" s="208">
        <v>-12.5</v>
      </c>
      <c r="U59" s="208">
        <f>ABS(Множество_202207112140401240[[#This Row],[10]]-Множество_202207112140401240[[#This Row],[12]])</f>
        <v>5.80833333333333</v>
      </c>
      <c r="V59" s="208">
        <f>ABS(Множество_202207112140401240[[#This Row],[11]]-Множество_202207112140401240[[#This Row],[13]])</f>
        <v>1.4166666666666998</v>
      </c>
      <c r="W59" s="208">
        <f>Множество_202207112140401240[[#This Row],[15]]+Множество_202207112140401240[[#This Row],[14]]</f>
        <v>7.2250000000000298</v>
      </c>
      <c r="X59" s="208">
        <f ca="1">IF(ROW()-ROW(Множество_202207112140401240[[#Headers],[17]])&gt;1,Множество_202207112140401240[[#This Row],[16]]-OFFSET(Множество_202207112140401240[[#This Row],[16]],-1,0),0)</f>
        <v>7.5000000000029488E-2</v>
      </c>
      <c r="Y59" s="208">
        <v>4.19166666666667</v>
      </c>
      <c r="Z59" s="208">
        <v>-13.9166666666667</v>
      </c>
      <c r="AA59" s="208">
        <f>ABS(Множество_202207112140401240[[#This Row],[18]]-Множество_202207112140401240[[#This Row],[12]])</f>
        <v>5.80833333333333</v>
      </c>
      <c r="AB59" s="208">
        <f>ABS(Множество_202207112140401240[[#This Row],[19]]-Множество_202207112140401240[[#This Row],[13]])</f>
        <v>1.4166666666666998</v>
      </c>
      <c r="AC59" s="208">
        <f>Множество_202207112140401240[[#This Row],[20]]+Множество_202207112140401240[[#This Row],[21]]</f>
        <v>7.2250000000000298</v>
      </c>
    </row>
    <row r="60" spans="1:29" x14ac:dyDescent="0.25">
      <c r="A60" t="s">
        <v>697</v>
      </c>
      <c r="B60" t="s">
        <v>100</v>
      </c>
      <c r="C60" t="s">
        <v>621</v>
      </c>
      <c r="D60" t="s">
        <v>1781</v>
      </c>
      <c r="E60" t="s">
        <v>582</v>
      </c>
      <c r="F60" s="213" t="s">
        <v>749</v>
      </c>
      <c r="G60" t="s">
        <v>1278</v>
      </c>
      <c r="H60" t="s">
        <v>42</v>
      </c>
      <c r="I60">
        <v>2.5</v>
      </c>
      <c r="J60">
        <v>1.57</v>
      </c>
      <c r="K60">
        <f>Множество_202207112140401240[[#This Row],[2]]-Множество_202207112140401240[[#This Row],[4]]</f>
        <v>1.38</v>
      </c>
      <c r="L60">
        <f>Множество_202207112140401240[[#This Row],[3]]-Множество_202207112140401240[[#This Row],[5]]</f>
        <v>-0.14000000000000012</v>
      </c>
      <c r="M60">
        <f>Множество_202207112140401240[[#This Row],[7]]+Множество_202207112140401240[[#This Row],[6]]</f>
        <v>1.2399999999999998</v>
      </c>
      <c r="N60" s="208" t="str">
        <f>CONCATENATE(Множество_202207112140401240[[#This Row],[2]],Множество_202207112140401240[[#This Row],[3]])</f>
        <v>3,881,43</v>
      </c>
      <c r="O60" s="208"/>
      <c r="P60" s="208"/>
      <c r="Q60">
        <v>4.1333333333333302</v>
      </c>
      <c r="R60">
        <v>-13.9333333333333</v>
      </c>
      <c r="S60" s="208">
        <v>10</v>
      </c>
      <c r="T60" s="208">
        <v>-12.5</v>
      </c>
      <c r="U60" s="208">
        <f>ABS(Множество_202207112140401240[[#This Row],[10]]-Множество_202207112140401240[[#This Row],[12]])</f>
        <v>5.8666666666666698</v>
      </c>
      <c r="V60" s="208">
        <f>ABS(Множество_202207112140401240[[#This Row],[11]]-Множество_202207112140401240[[#This Row],[13]])</f>
        <v>1.4333333333332998</v>
      </c>
      <c r="W60" s="208">
        <f>Множество_202207112140401240[[#This Row],[15]]+Множество_202207112140401240[[#This Row],[14]]</f>
        <v>7.2999999999999696</v>
      </c>
      <c r="X60" s="208">
        <f ca="1">IF(ROW()-ROW(Множество_202207112140401240[[#Headers],[17]])&gt;1,Множество_202207112140401240[[#This Row],[16]]-OFFSET(Множество_202207112140401240[[#This Row],[16]],-1,0),0)</f>
        <v>7.4999999999939782E-2</v>
      </c>
      <c r="Y60" s="208">
        <v>4.1333333333333302</v>
      </c>
      <c r="Z60" s="208">
        <v>-13.9333333333333</v>
      </c>
      <c r="AA60" s="208">
        <f>ABS(Множество_202207112140401240[[#This Row],[18]]-Множество_202207112140401240[[#This Row],[12]])</f>
        <v>5.8666666666666698</v>
      </c>
      <c r="AB60" s="208">
        <f>ABS(Множество_202207112140401240[[#This Row],[19]]-Множество_202207112140401240[[#This Row],[13]])</f>
        <v>1.4333333333332998</v>
      </c>
      <c r="AC60" s="208">
        <f>Множество_202207112140401240[[#This Row],[20]]+Множество_202207112140401240[[#This Row],[21]]</f>
        <v>7.2999999999999696</v>
      </c>
    </row>
    <row r="61" spans="1:29" x14ac:dyDescent="0.25">
      <c r="A61" t="s">
        <v>699</v>
      </c>
      <c r="B61" t="s">
        <v>100</v>
      </c>
      <c r="C61" t="s">
        <v>621</v>
      </c>
      <c r="D61" t="s">
        <v>1781</v>
      </c>
      <c r="E61" t="s">
        <v>582</v>
      </c>
      <c r="F61" s="213" t="s">
        <v>749</v>
      </c>
      <c r="G61" t="s">
        <v>662</v>
      </c>
      <c r="H61" t="s">
        <v>1147</v>
      </c>
      <c r="I61">
        <v>2.5</v>
      </c>
      <c r="J61">
        <v>1.57</v>
      </c>
      <c r="K61">
        <f>Множество_202207112140401240[[#This Row],[2]]-Множество_202207112140401240[[#This Row],[4]]</f>
        <v>0.75</v>
      </c>
      <c r="L61">
        <f>Множество_202207112140401240[[#This Row],[3]]-Множество_202207112140401240[[#This Row],[5]]</f>
        <v>0.78</v>
      </c>
      <c r="M61">
        <f>Множество_202207112140401240[[#This Row],[7]]+Множество_202207112140401240[[#This Row],[6]]</f>
        <v>1.53</v>
      </c>
      <c r="N61" s="208" t="str">
        <f>CONCATENATE(Множество_202207112140401240[[#This Row],[2]],Множество_202207112140401240[[#This Row],[3]])</f>
        <v>3,252,35</v>
      </c>
      <c r="O61" s="208"/>
      <c r="P61" s="208"/>
      <c r="Q61">
        <v>4.0750000000000002</v>
      </c>
      <c r="R61">
        <v>-13.966666666666701</v>
      </c>
      <c r="S61" s="208">
        <v>10</v>
      </c>
      <c r="T61" s="208">
        <v>-12.5</v>
      </c>
      <c r="U61" s="208">
        <f>ABS(Множество_202207112140401240[[#This Row],[10]]-Множество_202207112140401240[[#This Row],[12]])</f>
        <v>5.9249999999999998</v>
      </c>
      <c r="V61" s="208">
        <f>ABS(Множество_202207112140401240[[#This Row],[11]]-Множество_202207112140401240[[#This Row],[13]])</f>
        <v>1.4666666666667005</v>
      </c>
      <c r="W61" s="208">
        <f>Множество_202207112140401240[[#This Row],[15]]+Множество_202207112140401240[[#This Row],[14]]</f>
        <v>7.3916666666667004</v>
      </c>
      <c r="X61" s="208">
        <f ca="1">IF(ROW()-ROW(Множество_202207112140401240[[#Headers],[17]])&gt;1,Множество_202207112140401240[[#This Row],[16]]-OFFSET(Множество_202207112140401240[[#This Row],[16]],-1,0),0)</f>
        <v>9.1666666666730734E-2</v>
      </c>
      <c r="Y61" s="208">
        <v>4.0750000000000002</v>
      </c>
      <c r="Z61" s="208">
        <v>-13.966666666666701</v>
      </c>
      <c r="AA61" s="208">
        <f>ABS(Множество_202207112140401240[[#This Row],[18]]-Множество_202207112140401240[[#This Row],[12]])</f>
        <v>5.9249999999999998</v>
      </c>
      <c r="AB61" s="208">
        <f>ABS(Множество_202207112140401240[[#This Row],[19]]-Множество_202207112140401240[[#This Row],[13]])</f>
        <v>1.4666666666667005</v>
      </c>
      <c r="AC61" s="208">
        <f>Множество_202207112140401240[[#This Row],[20]]+Множество_202207112140401240[[#This Row],[21]]</f>
        <v>7.3916666666667004</v>
      </c>
    </row>
    <row r="62" spans="1:29" x14ac:dyDescent="0.25">
      <c r="A62" t="s">
        <v>700</v>
      </c>
      <c r="B62" t="s">
        <v>100</v>
      </c>
      <c r="C62" t="s">
        <v>621</v>
      </c>
      <c r="D62" t="s">
        <v>1781</v>
      </c>
      <c r="E62" t="s">
        <v>582</v>
      </c>
      <c r="F62" s="213" t="s">
        <v>749</v>
      </c>
      <c r="G62" t="s">
        <v>674</v>
      </c>
      <c r="H62" t="s">
        <v>1075</v>
      </c>
      <c r="I62">
        <v>2.5</v>
      </c>
      <c r="J62">
        <v>1.57</v>
      </c>
      <c r="K62">
        <f>Множество_202207112140401240[[#This Row],[2]]-Множество_202207112140401240[[#This Row],[4]]</f>
        <v>0.74000000000000021</v>
      </c>
      <c r="L62">
        <f>Множество_202207112140401240[[#This Row],[3]]-Множество_202207112140401240[[#This Row],[5]]</f>
        <v>0.8</v>
      </c>
      <c r="M62">
        <f>Множество_202207112140401240[[#This Row],[7]]+Множество_202207112140401240[[#This Row],[6]]</f>
        <v>1.5400000000000003</v>
      </c>
      <c r="N62" s="208" t="str">
        <f>CONCATENATE(Множество_202207112140401240[[#This Row],[2]],Множество_202207112140401240[[#This Row],[3]])</f>
        <v>3,242,37</v>
      </c>
      <c r="O62" s="208"/>
      <c r="P62" s="208"/>
      <c r="Q62">
        <v>6.6416666666666702</v>
      </c>
      <c r="R62">
        <v>-16.649999999999999</v>
      </c>
      <c r="S62" s="208">
        <v>10</v>
      </c>
      <c r="T62" s="208">
        <v>-12.5</v>
      </c>
      <c r="U62" s="208">
        <f>ABS(Множество_202207112140401240[[#This Row],[10]]-Множество_202207112140401240[[#This Row],[12]])</f>
        <v>3.3583333333333298</v>
      </c>
      <c r="V62" s="208">
        <f>ABS(Множество_202207112140401240[[#This Row],[11]]-Множество_202207112140401240[[#This Row],[13]])</f>
        <v>4.1499999999999986</v>
      </c>
      <c r="W62" s="208">
        <f>Множество_202207112140401240[[#This Row],[15]]+Множество_202207112140401240[[#This Row],[14]]</f>
        <v>7.5083333333333284</v>
      </c>
      <c r="X62" s="208">
        <f ca="1">IF(ROW()-ROW(Множество_202207112140401240[[#Headers],[17]])&gt;1,Множество_202207112140401240[[#This Row],[16]]-OFFSET(Множество_202207112140401240[[#This Row],[16]],-1,0),0)</f>
        <v>0.11666666666662806</v>
      </c>
      <c r="Y62" s="208">
        <v>6.6416666666666702</v>
      </c>
      <c r="Z62" s="208">
        <v>-16.649999999999999</v>
      </c>
      <c r="AA62" s="208">
        <f>ABS(Множество_202207112140401240[[#This Row],[18]]-Множество_202207112140401240[[#This Row],[12]])</f>
        <v>3.3583333333333298</v>
      </c>
      <c r="AB62" s="208">
        <f>ABS(Множество_202207112140401240[[#This Row],[19]]-Множество_202207112140401240[[#This Row],[13]])</f>
        <v>4.1499999999999986</v>
      </c>
      <c r="AC62" s="208">
        <f>Множество_202207112140401240[[#This Row],[20]]+Множество_202207112140401240[[#This Row],[21]]</f>
        <v>7.5083333333333284</v>
      </c>
    </row>
    <row r="63" spans="1:29" x14ac:dyDescent="0.25">
      <c r="A63" t="s">
        <v>702</v>
      </c>
      <c r="B63" t="s">
        <v>100</v>
      </c>
      <c r="C63" t="s">
        <v>621</v>
      </c>
      <c r="D63" t="s">
        <v>1781</v>
      </c>
      <c r="E63" t="s">
        <v>582</v>
      </c>
      <c r="F63" s="213" t="s">
        <v>749</v>
      </c>
      <c r="G63" t="s">
        <v>1397</v>
      </c>
      <c r="H63" t="s">
        <v>41</v>
      </c>
      <c r="I63">
        <v>2.5</v>
      </c>
      <c r="J63">
        <v>1.57</v>
      </c>
      <c r="K63">
        <f>Множество_202207112140401240[[#This Row],[2]]-Множество_202207112140401240[[#This Row],[4]]</f>
        <v>1.3900000000000001</v>
      </c>
      <c r="L63">
        <f>Множество_202207112140401240[[#This Row],[3]]-Множество_202207112140401240[[#This Row],[5]]</f>
        <v>-0.15000000000000013</v>
      </c>
      <c r="M63">
        <f>Множество_202207112140401240[[#This Row],[7]]+Множество_202207112140401240[[#This Row],[6]]</f>
        <v>1.24</v>
      </c>
      <c r="N63" s="208" t="str">
        <f>CONCATENATE(Множество_202207112140401240[[#This Row],[2]],Множество_202207112140401240[[#This Row],[3]])</f>
        <v>3,891,42</v>
      </c>
      <c r="O63" s="208"/>
      <c r="P63" s="208"/>
      <c r="Q63">
        <v>6.7</v>
      </c>
      <c r="R63">
        <v>-16.6666666666667</v>
      </c>
      <c r="S63" s="208">
        <v>10</v>
      </c>
      <c r="T63" s="208">
        <v>-12.5</v>
      </c>
      <c r="U63" s="208">
        <f>ABS(Множество_202207112140401240[[#This Row],[10]]-Множество_202207112140401240[[#This Row],[12]])</f>
        <v>3.3</v>
      </c>
      <c r="V63" s="208">
        <f>ABS(Множество_202207112140401240[[#This Row],[11]]-Множество_202207112140401240[[#This Row],[13]])</f>
        <v>4.1666666666666998</v>
      </c>
      <c r="W63" s="208">
        <f>Множество_202207112140401240[[#This Row],[15]]+Множество_202207112140401240[[#This Row],[14]]</f>
        <v>7.4666666666666996</v>
      </c>
      <c r="X63" s="208">
        <f ca="1">IF(ROW()-ROW(Множество_202207112140401240[[#Headers],[17]])&gt;1,Множество_202207112140401240[[#This Row],[16]]-OFFSET(Множество_202207112140401240[[#This Row],[16]],-1,0),0)</f>
        <v>-4.1666666666628771E-2</v>
      </c>
      <c r="Y63" s="208">
        <v>6.7</v>
      </c>
      <c r="Z63" s="208">
        <v>-16.6666666666667</v>
      </c>
      <c r="AA63" s="208">
        <f>ABS(Множество_202207112140401240[[#This Row],[18]]-Множество_202207112140401240[[#This Row],[12]])</f>
        <v>3.3</v>
      </c>
      <c r="AB63" s="208">
        <f>ABS(Множество_202207112140401240[[#This Row],[19]]-Множество_202207112140401240[[#This Row],[13]])</f>
        <v>4.1666666666666998</v>
      </c>
      <c r="AC63" s="208">
        <f>Множество_202207112140401240[[#This Row],[20]]+Множество_202207112140401240[[#This Row],[21]]</f>
        <v>7.4666666666666996</v>
      </c>
    </row>
    <row r="64" spans="1:29" x14ac:dyDescent="0.25">
      <c r="A64" t="s">
        <v>703</v>
      </c>
      <c r="B64" t="s">
        <v>100</v>
      </c>
      <c r="C64" t="s">
        <v>621</v>
      </c>
      <c r="D64" t="s">
        <v>1781</v>
      </c>
      <c r="E64" t="s">
        <v>582</v>
      </c>
      <c r="F64" s="213" t="s">
        <v>749</v>
      </c>
      <c r="G64" t="s">
        <v>1494</v>
      </c>
      <c r="H64" t="s">
        <v>40</v>
      </c>
      <c r="I64">
        <v>2.5</v>
      </c>
      <c r="J64">
        <v>1.57</v>
      </c>
      <c r="K64">
        <f>Множество_202207112140401240[[#This Row],[2]]-Множество_202207112140401240[[#This Row],[4]]</f>
        <v>1.4</v>
      </c>
      <c r="L64">
        <f>Множество_202207112140401240[[#This Row],[3]]-Множество_202207112140401240[[#This Row],[5]]</f>
        <v>-0.16000000000000014</v>
      </c>
      <c r="M64">
        <f>Множество_202207112140401240[[#This Row],[7]]+Множество_202207112140401240[[#This Row],[6]]</f>
        <v>1.2399999999999998</v>
      </c>
      <c r="N64" s="208" t="str">
        <f>CONCATENATE(Множество_202207112140401240[[#This Row],[2]],Множество_202207112140401240[[#This Row],[3]])</f>
        <v>3,91,41</v>
      </c>
      <c r="O64" s="208"/>
      <c r="P64" s="208"/>
      <c r="Q64">
        <v>3.9583333333333299</v>
      </c>
      <c r="R64">
        <v>-14</v>
      </c>
      <c r="S64" s="208">
        <v>10</v>
      </c>
      <c r="T64" s="208">
        <v>-12.5</v>
      </c>
      <c r="U64" s="208">
        <f>ABS(Множество_202207112140401240[[#This Row],[10]]-Множество_202207112140401240[[#This Row],[12]])</f>
        <v>6.0416666666666696</v>
      </c>
      <c r="V64" s="208">
        <f>ABS(Множество_202207112140401240[[#This Row],[11]]-Множество_202207112140401240[[#This Row],[13]])</f>
        <v>1.5</v>
      </c>
      <c r="W64" s="208">
        <f>Множество_202207112140401240[[#This Row],[15]]+Множество_202207112140401240[[#This Row],[14]]</f>
        <v>7.5416666666666696</v>
      </c>
      <c r="X64" s="208">
        <f ca="1">IF(ROW()-ROW(Множество_202207112140401240[[#Headers],[17]])&gt;1,Множество_202207112140401240[[#This Row],[16]]-OFFSET(Множество_202207112140401240[[#This Row],[16]],-1,0),0)</f>
        <v>7.499999999996998E-2</v>
      </c>
      <c r="Y64" s="208">
        <v>3.9583333333333299</v>
      </c>
      <c r="Z64" s="208">
        <v>-14</v>
      </c>
      <c r="AA64" s="208">
        <f>ABS(Множество_202207112140401240[[#This Row],[18]]-Множество_202207112140401240[[#This Row],[12]])</f>
        <v>6.0416666666666696</v>
      </c>
      <c r="AB64" s="208">
        <f>ABS(Множество_202207112140401240[[#This Row],[19]]-Множество_202207112140401240[[#This Row],[13]])</f>
        <v>1.5</v>
      </c>
      <c r="AC64" s="208">
        <f>Множество_202207112140401240[[#This Row],[20]]+Множество_202207112140401240[[#This Row],[21]]</f>
        <v>7.5416666666666696</v>
      </c>
    </row>
    <row r="65" spans="1:29" x14ac:dyDescent="0.25">
      <c r="A65" t="s">
        <v>704</v>
      </c>
      <c r="B65" t="s">
        <v>100</v>
      </c>
      <c r="C65" t="s">
        <v>621</v>
      </c>
      <c r="D65" t="s">
        <v>1781</v>
      </c>
      <c r="E65" t="s">
        <v>582</v>
      </c>
      <c r="F65" s="213" t="s">
        <v>749</v>
      </c>
      <c r="G65" t="s">
        <v>814</v>
      </c>
      <c r="H65" t="s">
        <v>698</v>
      </c>
      <c r="I65">
        <v>2.5</v>
      </c>
      <c r="J65">
        <v>1.57</v>
      </c>
      <c r="K65">
        <f>Множество_202207112140401240[[#This Row],[2]]-Множество_202207112140401240[[#This Row],[4]]</f>
        <v>0.73</v>
      </c>
      <c r="L65">
        <f>Множество_202207112140401240[[#This Row],[3]]-Множество_202207112140401240[[#This Row],[5]]</f>
        <v>0.82999999999999985</v>
      </c>
      <c r="M65">
        <f>Множество_202207112140401240[[#This Row],[7]]+Множество_202207112140401240[[#This Row],[6]]</f>
        <v>1.5599999999999998</v>
      </c>
      <c r="N65" s="208" t="str">
        <f>CONCATENATE(Множество_202207112140401240[[#This Row],[2]],Множество_202207112140401240[[#This Row],[3]])</f>
        <v>3,232,4</v>
      </c>
      <c r="O65" s="208"/>
      <c r="P65" s="208"/>
      <c r="Q65">
        <v>4.0166666666666702</v>
      </c>
      <c r="R65">
        <v>-13.983333333333301</v>
      </c>
      <c r="S65" s="208">
        <v>10</v>
      </c>
      <c r="T65" s="208">
        <v>-12.5</v>
      </c>
      <c r="U65" s="208">
        <f>ABS(Множество_202207112140401240[[#This Row],[10]]-Множество_202207112140401240[[#This Row],[12]])</f>
        <v>5.9833333333333298</v>
      </c>
      <c r="V65" s="208">
        <f>ABS(Множество_202207112140401240[[#This Row],[11]]-Множество_202207112140401240[[#This Row],[13]])</f>
        <v>1.4833333333333005</v>
      </c>
      <c r="W65" s="208">
        <f>Множество_202207112140401240[[#This Row],[15]]+Множество_202207112140401240[[#This Row],[14]]</f>
        <v>7.4666666666666304</v>
      </c>
      <c r="X65" s="208">
        <f ca="1">IF(ROW()-ROW(Множество_202207112140401240[[#Headers],[17]])&gt;1,Множество_202207112140401240[[#This Row],[16]]-OFFSET(Множество_202207112140401240[[#This Row],[16]],-1,0),0)</f>
        <v>-7.5000000000039257E-2</v>
      </c>
      <c r="Y65" s="208">
        <v>4.0166666666666702</v>
      </c>
      <c r="Z65" s="208">
        <v>-13.983333333333301</v>
      </c>
      <c r="AA65" s="208">
        <f>ABS(Множество_202207112140401240[[#This Row],[18]]-Множество_202207112140401240[[#This Row],[12]])</f>
        <v>5.9833333333333298</v>
      </c>
      <c r="AB65" s="208">
        <f>ABS(Множество_202207112140401240[[#This Row],[19]]-Множество_202207112140401240[[#This Row],[13]])</f>
        <v>1.4833333333333005</v>
      </c>
      <c r="AC65" s="208">
        <f>Множество_202207112140401240[[#This Row],[20]]+Множество_202207112140401240[[#This Row],[21]]</f>
        <v>7.4666666666666304</v>
      </c>
    </row>
    <row r="66" spans="1:29" x14ac:dyDescent="0.25">
      <c r="A66" t="s">
        <v>706</v>
      </c>
      <c r="B66" t="s">
        <v>100</v>
      </c>
      <c r="C66" t="s">
        <v>621</v>
      </c>
      <c r="D66" t="s">
        <v>1781</v>
      </c>
      <c r="E66" t="s">
        <v>582</v>
      </c>
      <c r="F66" s="213" t="s">
        <v>749</v>
      </c>
      <c r="G66" t="s">
        <v>809</v>
      </c>
      <c r="H66" t="s">
        <v>739</v>
      </c>
      <c r="I66">
        <v>2.5</v>
      </c>
      <c r="J66">
        <v>1.57</v>
      </c>
      <c r="K66">
        <f>Множество_202207112140401240[[#This Row],[2]]-Множество_202207112140401240[[#This Row],[4]]</f>
        <v>0.7200000000000002</v>
      </c>
      <c r="L66">
        <f>Множество_202207112140401240[[#This Row],[3]]-Множество_202207112140401240[[#This Row],[5]]</f>
        <v>0.84999999999999987</v>
      </c>
      <c r="M66">
        <f>Множество_202207112140401240[[#This Row],[7]]+Множество_202207112140401240[[#This Row],[6]]</f>
        <v>1.57</v>
      </c>
      <c r="N66" s="208" t="str">
        <f>CONCATENATE(Множество_202207112140401240[[#This Row],[2]],Множество_202207112140401240[[#This Row],[3]])</f>
        <v>3,222,42</v>
      </c>
      <c r="O66" s="208"/>
      <c r="P66" s="208"/>
      <c r="Q66">
        <v>6.4666666666666703</v>
      </c>
      <c r="R66">
        <v>-16.616666666666699</v>
      </c>
      <c r="S66" s="208">
        <v>10</v>
      </c>
      <c r="T66" s="208">
        <v>-12.5</v>
      </c>
      <c r="U66" s="208">
        <f>ABS(Множество_202207112140401240[[#This Row],[10]]-Множество_202207112140401240[[#This Row],[12]])</f>
        <v>3.5333333333333297</v>
      </c>
      <c r="V66" s="208">
        <f>ABS(Множество_202207112140401240[[#This Row],[11]]-Множество_202207112140401240[[#This Row],[13]])</f>
        <v>4.1166666666666991</v>
      </c>
      <c r="W66" s="208">
        <f>Множество_202207112140401240[[#This Row],[15]]+Множество_202207112140401240[[#This Row],[14]]</f>
        <v>7.6500000000000288</v>
      </c>
      <c r="X66" s="208">
        <f ca="1">IF(ROW()-ROW(Множество_202207112140401240[[#Headers],[17]])&gt;1,Множество_202207112140401240[[#This Row],[16]]-OFFSET(Множество_202207112140401240[[#This Row],[16]],-1,0),0)</f>
        <v>0.18333333333339841</v>
      </c>
      <c r="Y66" s="208">
        <v>6.4666666666666703</v>
      </c>
      <c r="Z66" s="208">
        <v>-16.616666666666699</v>
      </c>
      <c r="AA66" s="208">
        <f>ABS(Множество_202207112140401240[[#This Row],[18]]-Множество_202207112140401240[[#This Row],[12]])</f>
        <v>3.5333333333333297</v>
      </c>
      <c r="AB66" s="208">
        <f>ABS(Множество_202207112140401240[[#This Row],[19]]-Множество_202207112140401240[[#This Row],[13]])</f>
        <v>4.1166666666666991</v>
      </c>
      <c r="AC66" s="208">
        <f>Множество_202207112140401240[[#This Row],[20]]+Множество_202207112140401240[[#This Row],[21]]</f>
        <v>7.6500000000000288</v>
      </c>
    </row>
    <row r="67" spans="1:29" x14ac:dyDescent="0.25">
      <c r="A67" t="s">
        <v>707</v>
      </c>
      <c r="B67" t="s">
        <v>100</v>
      </c>
      <c r="C67" t="s">
        <v>621</v>
      </c>
      <c r="D67" t="s">
        <v>1781</v>
      </c>
      <c r="E67" t="s">
        <v>582</v>
      </c>
      <c r="F67" s="213" t="s">
        <v>749</v>
      </c>
      <c r="G67" t="s">
        <v>639</v>
      </c>
      <c r="H67" t="s">
        <v>682</v>
      </c>
      <c r="I67">
        <v>2.5</v>
      </c>
      <c r="J67">
        <v>1.57</v>
      </c>
      <c r="K67">
        <f>Множество_202207112140401240[[#This Row],[2]]-Множество_202207112140401240[[#This Row],[4]]</f>
        <v>0.71</v>
      </c>
      <c r="L67">
        <f>Множество_202207112140401240[[#This Row],[3]]-Множество_202207112140401240[[#This Row],[5]]</f>
        <v>0.88000000000000012</v>
      </c>
      <c r="M67">
        <f>Множество_202207112140401240[[#This Row],[7]]+Множество_202207112140401240[[#This Row],[6]]</f>
        <v>1.59</v>
      </c>
      <c r="N67" s="208" t="str">
        <f>CONCATENATE(Множество_202207112140401240[[#This Row],[2]],Множество_202207112140401240[[#This Row],[3]])</f>
        <v>3,212,45</v>
      </c>
      <c r="O67" s="208"/>
      <c r="P67" s="208"/>
      <c r="Q67">
        <v>6.5250000000000004</v>
      </c>
      <c r="R67">
        <v>-16.633333333333301</v>
      </c>
      <c r="S67" s="208">
        <v>10</v>
      </c>
      <c r="T67" s="208">
        <v>-12.5</v>
      </c>
      <c r="U67" s="208">
        <f>ABS(Множество_202207112140401240[[#This Row],[10]]-Множество_202207112140401240[[#This Row],[12]])</f>
        <v>3.4749999999999996</v>
      </c>
      <c r="V67" s="208">
        <f>ABS(Множество_202207112140401240[[#This Row],[11]]-Множество_202207112140401240[[#This Row],[13]])</f>
        <v>4.1333333333333009</v>
      </c>
      <c r="W67" s="208">
        <f>Множество_202207112140401240[[#This Row],[15]]+Множество_202207112140401240[[#This Row],[14]]</f>
        <v>7.6083333333333005</v>
      </c>
      <c r="X67" s="208">
        <f ca="1">IF(ROW()-ROW(Множество_202207112140401240[[#Headers],[17]])&gt;1,Множество_202207112140401240[[#This Row],[16]]-OFFSET(Множество_202207112140401240[[#This Row],[16]],-1,0),0)</f>
        <v>-4.1666666666728247E-2</v>
      </c>
      <c r="Y67" s="208">
        <v>6.5250000000000004</v>
      </c>
      <c r="Z67" s="208">
        <v>-16.633333333333301</v>
      </c>
      <c r="AA67" s="208">
        <f>ABS(Множество_202207112140401240[[#This Row],[18]]-Множество_202207112140401240[[#This Row],[12]])</f>
        <v>3.4749999999999996</v>
      </c>
      <c r="AB67" s="208">
        <f>ABS(Множество_202207112140401240[[#This Row],[19]]-Множество_202207112140401240[[#This Row],[13]])</f>
        <v>4.1333333333333009</v>
      </c>
      <c r="AC67" s="208">
        <f>Множество_202207112140401240[[#This Row],[20]]+Множество_202207112140401240[[#This Row],[21]]</f>
        <v>7.6083333333333005</v>
      </c>
    </row>
    <row r="68" spans="1:29" x14ac:dyDescent="0.25">
      <c r="A68" t="s">
        <v>708</v>
      </c>
      <c r="B68" t="s">
        <v>100</v>
      </c>
      <c r="C68" t="s">
        <v>621</v>
      </c>
      <c r="D68" t="s">
        <v>1781</v>
      </c>
      <c r="E68" t="s">
        <v>582</v>
      </c>
      <c r="F68" s="213" t="s">
        <v>749</v>
      </c>
      <c r="G68" t="s">
        <v>1782</v>
      </c>
      <c r="H68" t="s">
        <v>38</v>
      </c>
      <c r="I68">
        <v>2.5</v>
      </c>
      <c r="J68">
        <v>1.57</v>
      </c>
      <c r="K68">
        <f>Множество_202207112140401240[[#This Row],[2]]-Множество_202207112140401240[[#This Row],[4]]</f>
        <v>1.4100000000000001</v>
      </c>
      <c r="L68">
        <f>Множество_202207112140401240[[#This Row],[3]]-Множество_202207112140401240[[#This Row],[5]]</f>
        <v>-0.18000000000000016</v>
      </c>
      <c r="M68">
        <f>Множество_202207112140401240[[#This Row],[7]]+Множество_202207112140401240[[#This Row],[6]]</f>
        <v>1.23</v>
      </c>
      <c r="N68" s="208" t="str">
        <f>CONCATENATE(Множество_202207112140401240[[#This Row],[2]],Множество_202207112140401240[[#This Row],[3]])</f>
        <v>3,911,39</v>
      </c>
      <c r="O68" s="208"/>
      <c r="P68" s="208"/>
      <c r="Q68">
        <v>3.9</v>
      </c>
      <c r="R68">
        <v>-14.016666666666699</v>
      </c>
      <c r="S68" s="208">
        <v>10</v>
      </c>
      <c r="T68" s="208">
        <v>-12.5</v>
      </c>
      <c r="U68" s="208">
        <f>ABS(Множество_202207112140401240[[#This Row],[10]]-Множество_202207112140401240[[#This Row],[12]])</f>
        <v>6.1</v>
      </c>
      <c r="V68" s="208">
        <f>ABS(Множество_202207112140401240[[#This Row],[11]]-Множество_202207112140401240[[#This Row],[13]])</f>
        <v>1.5166666666666995</v>
      </c>
      <c r="W68" s="208">
        <f>Множество_202207112140401240[[#This Row],[15]]+Множество_202207112140401240[[#This Row],[14]]</f>
        <v>7.6166666666666991</v>
      </c>
      <c r="X68" s="208">
        <f ca="1">IF(ROW()-ROW(Множество_202207112140401240[[#Headers],[17]])&gt;1,Множество_202207112140401240[[#This Row],[16]]-OFFSET(Множество_202207112140401240[[#This Row],[16]],-1,0),0)</f>
        <v>8.3333333333985848E-3</v>
      </c>
      <c r="Y68" s="208">
        <v>3.9</v>
      </c>
      <c r="Z68" s="208">
        <v>-14.016666666666699</v>
      </c>
      <c r="AA68" s="208">
        <f>ABS(Множество_202207112140401240[[#This Row],[18]]-Множество_202207112140401240[[#This Row],[12]])</f>
        <v>6.1</v>
      </c>
      <c r="AB68" s="208">
        <f>ABS(Множество_202207112140401240[[#This Row],[19]]-Множество_202207112140401240[[#This Row],[13]])</f>
        <v>1.5166666666666995</v>
      </c>
      <c r="AC68" s="208">
        <f>Множество_202207112140401240[[#This Row],[20]]+Множество_202207112140401240[[#This Row],[21]]</f>
        <v>7.6166666666666991</v>
      </c>
    </row>
    <row r="69" spans="1:29" x14ac:dyDescent="0.25">
      <c r="A69" t="s">
        <v>709</v>
      </c>
      <c r="B69" t="s">
        <v>100</v>
      </c>
      <c r="C69" t="s">
        <v>621</v>
      </c>
      <c r="D69" t="s">
        <v>1781</v>
      </c>
      <c r="E69" t="s">
        <v>582</v>
      </c>
      <c r="F69" s="213" t="s">
        <v>749</v>
      </c>
      <c r="G69" t="s">
        <v>645</v>
      </c>
      <c r="H69" t="s">
        <v>641</v>
      </c>
      <c r="I69">
        <v>2.5</v>
      </c>
      <c r="J69">
        <v>1.57</v>
      </c>
      <c r="K69">
        <f>Множество_202207112140401240[[#This Row],[2]]-Множество_202207112140401240[[#This Row],[4]]</f>
        <v>0.70000000000000018</v>
      </c>
      <c r="L69">
        <f>Множество_202207112140401240[[#This Row],[3]]-Множество_202207112140401240[[#This Row],[5]]</f>
        <v>0.90999999999999992</v>
      </c>
      <c r="M69">
        <f>Множество_202207112140401240[[#This Row],[7]]+Множество_202207112140401240[[#This Row],[6]]</f>
        <v>1.61</v>
      </c>
      <c r="N69" s="208" t="str">
        <f>CONCATENATE(Множество_202207112140401240[[#This Row],[2]],Множество_202207112140401240[[#This Row],[3]])</f>
        <v>3,22,48</v>
      </c>
      <c r="O69" s="208"/>
      <c r="P69" s="208"/>
      <c r="Q69">
        <v>6.35</v>
      </c>
      <c r="R69">
        <v>-16.5833333333333</v>
      </c>
      <c r="S69" s="208">
        <v>10</v>
      </c>
      <c r="T69" s="208">
        <v>-12.5</v>
      </c>
      <c r="U69" s="208">
        <f>ABS(Множество_202207112140401240[[#This Row],[10]]-Множество_202207112140401240[[#This Row],[12]])</f>
        <v>3.6500000000000004</v>
      </c>
      <c r="V69" s="208">
        <f>ABS(Множество_202207112140401240[[#This Row],[11]]-Множество_202207112140401240[[#This Row],[13]])</f>
        <v>4.0833333333333002</v>
      </c>
      <c r="W69" s="208">
        <f>Множество_202207112140401240[[#This Row],[15]]+Множество_202207112140401240[[#This Row],[14]]</f>
        <v>7.7333333333333005</v>
      </c>
      <c r="X69" s="208">
        <f ca="1">IF(ROW()-ROW(Множество_202207112140401240[[#Headers],[17]])&gt;1,Множество_202207112140401240[[#This Row],[16]]-OFFSET(Множество_202207112140401240[[#This Row],[16]],-1,0),0)</f>
        <v>0.11666666666660142</v>
      </c>
      <c r="Y69" s="208">
        <v>6.35</v>
      </c>
      <c r="Z69" s="208">
        <v>-16.5833333333333</v>
      </c>
      <c r="AA69" s="208">
        <f>ABS(Множество_202207112140401240[[#This Row],[18]]-Множество_202207112140401240[[#This Row],[12]])</f>
        <v>3.6500000000000004</v>
      </c>
      <c r="AB69" s="208">
        <f>ABS(Множество_202207112140401240[[#This Row],[19]]-Множество_202207112140401240[[#This Row],[13]])</f>
        <v>4.0833333333333002</v>
      </c>
      <c r="AC69" s="208">
        <f>Множество_202207112140401240[[#This Row],[20]]+Множество_202207112140401240[[#This Row],[21]]</f>
        <v>7.7333333333333005</v>
      </c>
    </row>
    <row r="70" spans="1:29" x14ac:dyDescent="0.25">
      <c r="A70" t="s">
        <v>710</v>
      </c>
      <c r="B70" t="s">
        <v>100</v>
      </c>
      <c r="C70" t="s">
        <v>621</v>
      </c>
      <c r="D70" t="s">
        <v>1781</v>
      </c>
      <c r="E70" t="s">
        <v>582</v>
      </c>
      <c r="F70" s="213" t="s">
        <v>749</v>
      </c>
      <c r="G70" t="s">
        <v>1783</v>
      </c>
      <c r="H70" t="s">
        <v>37</v>
      </c>
      <c r="I70">
        <v>2.5</v>
      </c>
      <c r="J70">
        <v>1.57</v>
      </c>
      <c r="K70">
        <f>Множество_202207112140401240[[#This Row],[2]]-Множество_202207112140401240[[#This Row],[4]]</f>
        <v>1.42</v>
      </c>
      <c r="L70">
        <f>Множество_202207112140401240[[#This Row],[3]]-Множество_202207112140401240[[#This Row],[5]]</f>
        <v>-0.19000000000000017</v>
      </c>
      <c r="M70">
        <f>Множество_202207112140401240[[#This Row],[7]]+Множество_202207112140401240[[#This Row],[6]]</f>
        <v>1.2299999999999998</v>
      </c>
      <c r="N70" s="208" t="str">
        <f>CONCATENATE(Множество_202207112140401240[[#This Row],[2]],Множество_202207112140401240[[#This Row],[3]])</f>
        <v>3,921,38</v>
      </c>
      <c r="O70" s="208"/>
      <c r="P70" s="208"/>
      <c r="Q70">
        <v>6.4083333333333297</v>
      </c>
      <c r="R70">
        <v>-16.600000000000001</v>
      </c>
      <c r="S70" s="208">
        <v>10</v>
      </c>
      <c r="T70" s="208">
        <v>-12.5</v>
      </c>
      <c r="U70" s="208">
        <f>ABS(Множество_202207112140401240[[#This Row],[10]]-Множество_202207112140401240[[#This Row],[12]])</f>
        <v>3.5916666666666703</v>
      </c>
      <c r="V70" s="208">
        <f>ABS(Множество_202207112140401240[[#This Row],[11]]-Множество_202207112140401240[[#This Row],[13]])</f>
        <v>4.1000000000000014</v>
      </c>
      <c r="W70" s="208">
        <f>Множество_202207112140401240[[#This Row],[15]]+Множество_202207112140401240[[#This Row],[14]]</f>
        <v>7.6916666666666718</v>
      </c>
      <c r="X70" s="208">
        <f ca="1">IF(ROW()-ROW(Множество_202207112140401240[[#Headers],[17]])&gt;1,Множество_202207112140401240[[#This Row],[16]]-OFFSET(Множество_202207112140401240[[#This Row],[16]],-1,0),0)</f>
        <v>-4.1666666666628771E-2</v>
      </c>
      <c r="Y70" s="208">
        <v>6.4083333333333297</v>
      </c>
      <c r="Z70" s="208">
        <v>-16.600000000000001</v>
      </c>
      <c r="AA70" s="208">
        <f>ABS(Множество_202207112140401240[[#This Row],[18]]-Множество_202207112140401240[[#This Row],[12]])</f>
        <v>3.5916666666666703</v>
      </c>
      <c r="AB70" s="208">
        <f>ABS(Множество_202207112140401240[[#This Row],[19]]-Множество_202207112140401240[[#This Row],[13]])</f>
        <v>4.1000000000000014</v>
      </c>
      <c r="AC70" s="208">
        <f>Множество_202207112140401240[[#This Row],[20]]+Множество_202207112140401240[[#This Row],[21]]</f>
        <v>7.6916666666666718</v>
      </c>
    </row>
    <row r="71" spans="1:29" x14ac:dyDescent="0.25">
      <c r="A71" t="s">
        <v>711</v>
      </c>
      <c r="B71" t="s">
        <v>100</v>
      </c>
      <c r="C71" t="s">
        <v>621</v>
      </c>
      <c r="D71" t="s">
        <v>1781</v>
      </c>
      <c r="E71" t="s">
        <v>582</v>
      </c>
      <c r="F71" s="213" t="s">
        <v>749</v>
      </c>
      <c r="G71" t="s">
        <v>656</v>
      </c>
      <c r="H71" t="s">
        <v>646</v>
      </c>
      <c r="I71">
        <v>2.5</v>
      </c>
      <c r="J71">
        <v>1.57</v>
      </c>
      <c r="K71">
        <f>Множество_202207112140401240[[#This Row],[2]]-Множество_202207112140401240[[#This Row],[4]]</f>
        <v>0.69</v>
      </c>
      <c r="L71">
        <f>Множество_202207112140401240[[#This Row],[3]]-Множество_202207112140401240[[#This Row],[5]]</f>
        <v>0.92999999999999994</v>
      </c>
      <c r="M71">
        <f>Множество_202207112140401240[[#This Row],[7]]+Множество_202207112140401240[[#This Row],[6]]</f>
        <v>1.6199999999999999</v>
      </c>
      <c r="N71" s="208" t="str">
        <f>CONCATENATE(Множество_202207112140401240[[#This Row],[2]],Множество_202207112140401240[[#This Row],[3]])</f>
        <v>3,192,5</v>
      </c>
      <c r="O71" s="208"/>
      <c r="P71" s="208"/>
      <c r="Q71">
        <v>3.8416666666666699</v>
      </c>
      <c r="R71">
        <v>-14.05</v>
      </c>
      <c r="S71" s="208">
        <v>10</v>
      </c>
      <c r="T71" s="208">
        <v>-12.5</v>
      </c>
      <c r="U71" s="208">
        <f>ABS(Множество_202207112140401240[[#This Row],[10]]-Множество_202207112140401240[[#This Row],[12]])</f>
        <v>6.1583333333333297</v>
      </c>
      <c r="V71" s="208">
        <f>ABS(Множество_202207112140401240[[#This Row],[11]]-Множество_202207112140401240[[#This Row],[13]])</f>
        <v>1.5500000000000007</v>
      </c>
      <c r="W71" s="208">
        <f>Множество_202207112140401240[[#This Row],[15]]+Множество_202207112140401240[[#This Row],[14]]</f>
        <v>7.7083333333333304</v>
      </c>
      <c r="X71" s="208">
        <f ca="1">IF(ROW()-ROW(Множество_202207112140401240[[#Headers],[17]])&gt;1,Множество_202207112140401240[[#This Row],[16]]-OFFSET(Множество_202207112140401240[[#This Row],[16]],-1,0),0)</f>
        <v>1.6666666666658614E-2</v>
      </c>
      <c r="Y71" s="208">
        <v>3.8416666666666699</v>
      </c>
      <c r="Z71" s="208">
        <v>-14.05</v>
      </c>
      <c r="AA71" s="208">
        <f>ABS(Множество_202207112140401240[[#This Row],[18]]-Множество_202207112140401240[[#This Row],[12]])</f>
        <v>6.1583333333333297</v>
      </c>
      <c r="AB71" s="208">
        <f>ABS(Множество_202207112140401240[[#This Row],[19]]-Множество_202207112140401240[[#This Row],[13]])</f>
        <v>1.5500000000000007</v>
      </c>
      <c r="AC71" s="208">
        <f>Множество_202207112140401240[[#This Row],[20]]+Множество_202207112140401240[[#This Row],[21]]</f>
        <v>7.7083333333333304</v>
      </c>
    </row>
    <row r="72" spans="1:29" x14ac:dyDescent="0.25">
      <c r="A72" t="s">
        <v>713</v>
      </c>
      <c r="B72" t="s">
        <v>100</v>
      </c>
      <c r="C72" t="s">
        <v>621</v>
      </c>
      <c r="D72" t="s">
        <v>1781</v>
      </c>
      <c r="E72" t="s">
        <v>582</v>
      </c>
      <c r="F72" s="213" t="s">
        <v>749</v>
      </c>
      <c r="G72" t="s">
        <v>1348</v>
      </c>
      <c r="H72" t="s">
        <v>36</v>
      </c>
      <c r="I72">
        <v>2.5</v>
      </c>
      <c r="J72">
        <v>1.57</v>
      </c>
      <c r="K72">
        <f>Множество_202207112140401240[[#This Row],[2]]-Множество_202207112140401240[[#This Row],[4]]</f>
        <v>1.4300000000000002</v>
      </c>
      <c r="L72">
        <f>Множество_202207112140401240[[#This Row],[3]]-Множество_202207112140401240[[#This Row],[5]]</f>
        <v>-0.19999999999999996</v>
      </c>
      <c r="M72">
        <f>Множество_202207112140401240[[#This Row],[7]]+Множество_202207112140401240[[#This Row],[6]]</f>
        <v>1.2300000000000002</v>
      </c>
      <c r="N72" s="208" t="str">
        <f>CONCATENATE(Множество_202207112140401240[[#This Row],[2]],Множество_202207112140401240[[#This Row],[3]])</f>
        <v>3,931,37</v>
      </c>
      <c r="O72" s="208"/>
      <c r="P72" s="208"/>
      <c r="Q72">
        <v>7.1666666666666696</v>
      </c>
      <c r="R72">
        <v>-17.466666666666701</v>
      </c>
      <c r="S72" s="208">
        <v>10</v>
      </c>
      <c r="T72" s="208">
        <v>-12.5</v>
      </c>
      <c r="U72" s="208">
        <f>ABS(Множество_202207112140401240[[#This Row],[10]]-Множество_202207112140401240[[#This Row],[12]])</f>
        <v>2.8333333333333304</v>
      </c>
      <c r="V72" s="208">
        <f>ABS(Множество_202207112140401240[[#This Row],[11]]-Множество_202207112140401240[[#This Row],[13]])</f>
        <v>4.9666666666667005</v>
      </c>
      <c r="W72" s="208">
        <f>Множество_202207112140401240[[#This Row],[15]]+Множество_202207112140401240[[#This Row],[14]]</f>
        <v>7.8000000000000309</v>
      </c>
      <c r="X72" s="208">
        <f ca="1">IF(ROW()-ROW(Множество_202207112140401240[[#Headers],[17]])&gt;1,Множество_202207112140401240[[#This Row],[16]]-OFFSET(Множество_202207112140401240[[#This Row],[16]],-1,0),0)</f>
        <v>9.1666666666700536E-2</v>
      </c>
      <c r="Y72" s="208">
        <v>7.1666666666666696</v>
      </c>
      <c r="Z72" s="208">
        <v>-17.466666666666701</v>
      </c>
      <c r="AA72" s="208">
        <f>ABS(Множество_202207112140401240[[#This Row],[18]]-Множество_202207112140401240[[#This Row],[12]])</f>
        <v>2.8333333333333304</v>
      </c>
      <c r="AB72" s="208">
        <f>ABS(Множество_202207112140401240[[#This Row],[19]]-Множество_202207112140401240[[#This Row],[13]])</f>
        <v>4.9666666666667005</v>
      </c>
      <c r="AC72" s="208">
        <f>Множество_202207112140401240[[#This Row],[20]]+Множество_202207112140401240[[#This Row],[21]]</f>
        <v>7.8000000000000309</v>
      </c>
    </row>
    <row r="73" spans="1:29" x14ac:dyDescent="0.25">
      <c r="A73" t="s">
        <v>715</v>
      </c>
      <c r="B73" t="s">
        <v>100</v>
      </c>
      <c r="C73" t="s">
        <v>621</v>
      </c>
      <c r="D73" t="s">
        <v>1781</v>
      </c>
      <c r="E73" t="s">
        <v>582</v>
      </c>
      <c r="F73" s="213" t="s">
        <v>749</v>
      </c>
      <c r="G73" t="s">
        <v>1581</v>
      </c>
      <c r="H73" t="s">
        <v>35</v>
      </c>
      <c r="I73">
        <v>2.5</v>
      </c>
      <c r="J73">
        <v>1.57</v>
      </c>
      <c r="K73">
        <f>Множество_202207112140401240[[#This Row],[2]]-Множество_202207112140401240[[#This Row],[4]]</f>
        <v>1.44</v>
      </c>
      <c r="L73">
        <f>Множество_202207112140401240[[#This Row],[3]]-Множество_202207112140401240[[#This Row],[5]]</f>
        <v>-0.20999999999999996</v>
      </c>
      <c r="M73">
        <f>Множество_202207112140401240[[#This Row],[7]]+Множество_202207112140401240[[#This Row],[6]]</f>
        <v>1.23</v>
      </c>
      <c r="N73" s="208" t="str">
        <f>CONCATENATE(Множество_202207112140401240[[#This Row],[2]],Множество_202207112140401240[[#This Row],[3]])</f>
        <v>3,941,36</v>
      </c>
      <c r="O73" s="208"/>
      <c r="P73" s="208"/>
      <c r="Q73">
        <v>7.05</v>
      </c>
      <c r="R73">
        <v>-17.366666666666699</v>
      </c>
      <c r="S73" s="208">
        <v>10</v>
      </c>
      <c r="T73" s="208">
        <v>-12.5</v>
      </c>
      <c r="U73" s="208">
        <f>ABS(Множество_202207112140401240[[#This Row],[10]]-Множество_202207112140401240[[#This Row],[12]])</f>
        <v>2.95</v>
      </c>
      <c r="V73" s="208">
        <f>ABS(Множество_202207112140401240[[#This Row],[11]]-Множество_202207112140401240[[#This Row],[13]])</f>
        <v>4.8666666666666991</v>
      </c>
      <c r="W73" s="208">
        <f>Множество_202207112140401240[[#This Row],[15]]+Множество_202207112140401240[[#This Row],[14]]</f>
        <v>7.8166666666666993</v>
      </c>
      <c r="X73" s="208">
        <f ca="1">IF(ROW()-ROW(Множество_202207112140401240[[#Headers],[17]])&gt;1,Множество_202207112140401240[[#This Row],[16]]-OFFSET(Множество_202207112140401240[[#This Row],[16]],-1,0),0)</f>
        <v>1.6666666666668384E-2</v>
      </c>
      <c r="Y73" s="208">
        <v>7.05</v>
      </c>
      <c r="Z73" s="208">
        <v>-17.366666666666699</v>
      </c>
      <c r="AA73" s="208">
        <f>ABS(Множество_202207112140401240[[#This Row],[18]]-Множество_202207112140401240[[#This Row],[12]])</f>
        <v>2.95</v>
      </c>
      <c r="AB73" s="208">
        <f>ABS(Множество_202207112140401240[[#This Row],[19]]-Множество_202207112140401240[[#This Row],[13]])</f>
        <v>4.8666666666666991</v>
      </c>
      <c r="AC73" s="208">
        <f>Множество_202207112140401240[[#This Row],[20]]+Множество_202207112140401240[[#This Row],[21]]</f>
        <v>7.8166666666666993</v>
      </c>
    </row>
    <row r="74" spans="1:29" x14ac:dyDescent="0.25">
      <c r="A74" t="s">
        <v>717</v>
      </c>
      <c r="B74" t="s">
        <v>100</v>
      </c>
      <c r="C74" t="s">
        <v>621</v>
      </c>
      <c r="D74" t="s">
        <v>1781</v>
      </c>
      <c r="E74" t="s">
        <v>582</v>
      </c>
      <c r="F74" s="213" t="s">
        <v>749</v>
      </c>
      <c r="G74" t="s">
        <v>1757</v>
      </c>
      <c r="H74" t="s">
        <v>33</v>
      </c>
      <c r="I74">
        <v>2.5</v>
      </c>
      <c r="J74">
        <v>1.57</v>
      </c>
      <c r="K74">
        <f>Множество_202207112140401240[[#This Row],[2]]-Множество_202207112140401240[[#This Row],[4]]</f>
        <v>1.4500000000000002</v>
      </c>
      <c r="L74">
        <f>Множество_202207112140401240[[#This Row],[3]]-Множество_202207112140401240[[#This Row],[5]]</f>
        <v>-0.22999999999999998</v>
      </c>
      <c r="M74">
        <f>Множество_202207112140401240[[#This Row],[7]]+Множество_202207112140401240[[#This Row],[6]]</f>
        <v>1.2200000000000002</v>
      </c>
      <c r="N74" s="208" t="str">
        <f>CONCATENATE(Множество_202207112140401240[[#This Row],[2]],Множество_202207112140401240[[#This Row],[3]])</f>
        <v>3,951,34</v>
      </c>
      <c r="O74" s="208"/>
      <c r="P74" s="208"/>
      <c r="Q74">
        <v>7.2249999999999996</v>
      </c>
      <c r="R74">
        <v>-17.5</v>
      </c>
      <c r="S74" s="208">
        <v>10</v>
      </c>
      <c r="T74" s="208">
        <v>-12.5</v>
      </c>
      <c r="U74" s="208">
        <f>ABS(Множество_202207112140401240[[#This Row],[10]]-Множество_202207112140401240[[#This Row],[12]])</f>
        <v>2.7750000000000004</v>
      </c>
      <c r="V74" s="208">
        <f>ABS(Множество_202207112140401240[[#This Row],[11]]-Множество_202207112140401240[[#This Row],[13]])</f>
        <v>5</v>
      </c>
      <c r="W74" s="208">
        <f>Множество_202207112140401240[[#This Row],[15]]+Множество_202207112140401240[[#This Row],[14]]</f>
        <v>7.7750000000000004</v>
      </c>
      <c r="X74" s="208">
        <f ca="1">IF(ROW()-ROW(Множество_202207112140401240[[#Headers],[17]])&gt;1,Множество_202207112140401240[[#This Row],[16]]-OFFSET(Множество_202207112140401240[[#This Row],[16]],-1,0),0)</f>
        <v>-4.1666666666698937E-2</v>
      </c>
      <c r="Y74" s="208">
        <v>7.2249999999999996</v>
      </c>
      <c r="Z74" s="208">
        <v>-17.5</v>
      </c>
      <c r="AA74" s="208">
        <f>ABS(Множество_202207112140401240[[#This Row],[18]]-Множество_202207112140401240[[#This Row],[12]])</f>
        <v>2.7750000000000004</v>
      </c>
      <c r="AB74" s="208">
        <f>ABS(Множество_202207112140401240[[#This Row],[19]]-Множество_202207112140401240[[#This Row],[13]])</f>
        <v>5</v>
      </c>
      <c r="AC74" s="208">
        <f>Множество_202207112140401240[[#This Row],[20]]+Множество_202207112140401240[[#This Row],[21]]</f>
        <v>7.7750000000000004</v>
      </c>
    </row>
    <row r="75" spans="1:29" x14ac:dyDescent="0.25">
      <c r="A75" t="s">
        <v>719</v>
      </c>
      <c r="B75" t="s">
        <v>100</v>
      </c>
      <c r="C75" t="s">
        <v>621</v>
      </c>
      <c r="D75" t="s">
        <v>1781</v>
      </c>
      <c r="E75" t="s">
        <v>582</v>
      </c>
      <c r="F75" s="213" t="s">
        <v>749</v>
      </c>
      <c r="G75" t="s">
        <v>1784</v>
      </c>
      <c r="H75" t="s">
        <v>32</v>
      </c>
      <c r="I75">
        <v>2.5</v>
      </c>
      <c r="J75">
        <v>1.57</v>
      </c>
      <c r="K75">
        <f>Множество_202207112140401240[[#This Row],[2]]-Множество_202207112140401240[[#This Row],[4]]</f>
        <v>1.46</v>
      </c>
      <c r="L75">
        <f>Множество_202207112140401240[[#This Row],[3]]-Множество_202207112140401240[[#This Row],[5]]</f>
        <v>-0.24</v>
      </c>
      <c r="M75">
        <f>Множество_202207112140401240[[#This Row],[7]]+Множество_202207112140401240[[#This Row],[6]]</f>
        <v>1.22</v>
      </c>
      <c r="N75" s="208" t="str">
        <f>CONCATENATE(Множество_202207112140401240[[#This Row],[2]],Множество_202207112140401240[[#This Row],[3]])</f>
        <v>3,961,33</v>
      </c>
      <c r="O75" s="208"/>
      <c r="P75" s="208"/>
      <c r="Q75">
        <v>6.2333333333333298</v>
      </c>
      <c r="R75">
        <v>-16.566666666666698</v>
      </c>
      <c r="S75" s="208">
        <v>10</v>
      </c>
      <c r="T75" s="208">
        <v>-12.5</v>
      </c>
      <c r="U75" s="208">
        <f>ABS(Множество_202207112140401240[[#This Row],[10]]-Множество_202207112140401240[[#This Row],[12]])</f>
        <v>3.7666666666666702</v>
      </c>
      <c r="V75" s="208">
        <f>ABS(Множество_202207112140401240[[#This Row],[11]]-Множество_202207112140401240[[#This Row],[13]])</f>
        <v>4.0666666666666984</v>
      </c>
      <c r="W75" s="208">
        <f>Множество_202207112140401240[[#This Row],[15]]+Множество_202207112140401240[[#This Row],[14]]</f>
        <v>7.8333333333333686</v>
      </c>
      <c r="X75" s="208">
        <f ca="1">IF(ROW()-ROW(Множество_202207112140401240[[#Headers],[17]])&gt;1,Множество_202207112140401240[[#This Row],[16]]-OFFSET(Множество_202207112140401240[[#This Row],[16]],-1,0),0)</f>
        <v>5.8333333333368209E-2</v>
      </c>
      <c r="Y75" s="208">
        <v>6.2333333333333298</v>
      </c>
      <c r="Z75" s="208">
        <v>-16.566666666666698</v>
      </c>
      <c r="AA75" s="208">
        <f>ABS(Множество_202207112140401240[[#This Row],[18]]-Множество_202207112140401240[[#This Row],[12]])</f>
        <v>3.7666666666666702</v>
      </c>
      <c r="AB75" s="208">
        <f>ABS(Множество_202207112140401240[[#This Row],[19]]-Множество_202207112140401240[[#This Row],[13]])</f>
        <v>4.0666666666666984</v>
      </c>
      <c r="AC75" s="208">
        <f>Множество_202207112140401240[[#This Row],[20]]+Множество_202207112140401240[[#This Row],[21]]</f>
        <v>7.8333333333333686</v>
      </c>
    </row>
    <row r="76" spans="1:29" x14ac:dyDescent="0.25">
      <c r="A76" t="s">
        <v>721</v>
      </c>
      <c r="B76" t="s">
        <v>100</v>
      </c>
      <c r="C76" t="s">
        <v>621</v>
      </c>
      <c r="D76" t="s">
        <v>1781</v>
      </c>
      <c r="E76" t="s">
        <v>582</v>
      </c>
      <c r="F76" s="213" t="s">
        <v>749</v>
      </c>
      <c r="G76" t="s">
        <v>1698</v>
      </c>
      <c r="H76" t="s">
        <v>31</v>
      </c>
      <c r="I76">
        <v>2.5</v>
      </c>
      <c r="J76">
        <v>1.57</v>
      </c>
      <c r="K76">
        <f>Множество_202207112140401240[[#This Row],[2]]-Множество_202207112140401240[[#This Row],[4]]</f>
        <v>1.4700000000000002</v>
      </c>
      <c r="L76">
        <f>Множество_202207112140401240[[#This Row],[3]]-Множество_202207112140401240[[#This Row],[5]]</f>
        <v>-0.25</v>
      </c>
      <c r="M76">
        <f>Множество_202207112140401240[[#This Row],[7]]+Множество_202207112140401240[[#This Row],[6]]</f>
        <v>1.2200000000000002</v>
      </c>
      <c r="N76" s="208" t="str">
        <f>CONCATENATE(Множество_202207112140401240[[#This Row],[2]],Множество_202207112140401240[[#This Row],[3]])</f>
        <v>3,971,32</v>
      </c>
      <c r="O76" s="208"/>
      <c r="P76" s="208"/>
      <c r="Q76">
        <v>6.7583333333333302</v>
      </c>
      <c r="R76">
        <v>-17.149999999999999</v>
      </c>
      <c r="S76" s="208">
        <v>10</v>
      </c>
      <c r="T76" s="208">
        <v>-12.5</v>
      </c>
      <c r="U76" s="208">
        <f>ABS(Множество_202207112140401240[[#This Row],[10]]-Множество_202207112140401240[[#This Row],[12]])</f>
        <v>3.2416666666666698</v>
      </c>
      <c r="V76" s="208">
        <f>ABS(Множество_202207112140401240[[#This Row],[11]]-Множество_202207112140401240[[#This Row],[13]])</f>
        <v>4.6499999999999986</v>
      </c>
      <c r="W76" s="208">
        <f>Множество_202207112140401240[[#This Row],[15]]+Множество_202207112140401240[[#This Row],[14]]</f>
        <v>7.8916666666666684</v>
      </c>
      <c r="X76" s="208">
        <f ca="1">IF(ROW()-ROW(Множество_202207112140401240[[#Headers],[17]])&gt;1,Множество_202207112140401240[[#This Row],[16]]-OFFSET(Множество_202207112140401240[[#This Row],[16]],-1,0),0)</f>
        <v>5.8333333333299819E-2</v>
      </c>
      <c r="Y76" s="208">
        <v>6.875</v>
      </c>
      <c r="Z76" s="208">
        <v>-17.25</v>
      </c>
      <c r="AA76" s="208">
        <f>ABS(Множество_202207112140401240[[#This Row],[18]]-Множество_202207112140401240[[#This Row],[12]])</f>
        <v>3.125</v>
      </c>
      <c r="AB76" s="208">
        <f>ABS(Множество_202207112140401240[[#This Row],[19]]-Множество_202207112140401240[[#This Row],[13]])</f>
        <v>4.75</v>
      </c>
      <c r="AC76" s="208">
        <f>Множество_202207112140401240[[#This Row],[20]]+Множество_202207112140401240[[#This Row],[21]]</f>
        <v>7.875</v>
      </c>
    </row>
    <row r="77" spans="1:29" x14ac:dyDescent="0.25">
      <c r="A77" t="s">
        <v>722</v>
      </c>
      <c r="B77" t="s">
        <v>100</v>
      </c>
      <c r="C77" t="s">
        <v>621</v>
      </c>
      <c r="D77" t="s">
        <v>1781</v>
      </c>
      <c r="E77" t="s">
        <v>582</v>
      </c>
      <c r="F77" s="213" t="s">
        <v>749</v>
      </c>
      <c r="G77" t="s">
        <v>1405</v>
      </c>
      <c r="H77" t="s">
        <v>30</v>
      </c>
      <c r="I77">
        <v>2.5</v>
      </c>
      <c r="J77">
        <v>1.57</v>
      </c>
      <c r="K77">
        <f>Множество_202207112140401240[[#This Row],[2]]-Множество_202207112140401240[[#This Row],[4]]</f>
        <v>1.48</v>
      </c>
      <c r="L77">
        <f>Множество_202207112140401240[[#This Row],[3]]-Множество_202207112140401240[[#This Row],[5]]</f>
        <v>-0.26</v>
      </c>
      <c r="M77">
        <f>Множество_202207112140401240[[#This Row],[7]]+Множество_202207112140401240[[#This Row],[6]]</f>
        <v>1.22</v>
      </c>
      <c r="N77" s="208" t="str">
        <f>CONCATENATE(Множество_202207112140401240[[#This Row],[2]],Множество_202207112140401240[[#This Row],[3]])</f>
        <v>3,981,31</v>
      </c>
      <c r="O77" s="208"/>
      <c r="P77" s="208"/>
      <c r="Q77">
        <v>6.875</v>
      </c>
      <c r="R77">
        <v>-17.25</v>
      </c>
      <c r="S77" s="208">
        <v>10</v>
      </c>
      <c r="T77" s="208">
        <v>-12.5</v>
      </c>
      <c r="U77" s="208">
        <f>ABS(Множество_202207112140401240[[#This Row],[10]]-Множество_202207112140401240[[#This Row],[12]])</f>
        <v>3.125</v>
      </c>
      <c r="V77" s="208">
        <f>ABS(Множество_202207112140401240[[#This Row],[11]]-Множество_202207112140401240[[#This Row],[13]])</f>
        <v>4.75</v>
      </c>
      <c r="W77" s="208">
        <f>Множество_202207112140401240[[#This Row],[15]]+Множество_202207112140401240[[#This Row],[14]]</f>
        <v>7.875</v>
      </c>
      <c r="X77" s="208">
        <f ca="1">IF(ROW()-ROW(Множество_202207112140401240[[#Headers],[17]])&gt;1,Множество_202207112140401240[[#This Row],[16]]-OFFSET(Множество_202207112140401240[[#This Row],[16]],-1,0),0)</f>
        <v>-1.6666666666668384E-2</v>
      </c>
      <c r="Y77" s="208">
        <v>3.7833333333333301</v>
      </c>
      <c r="Z77" s="208">
        <v>-14.0666666666667</v>
      </c>
      <c r="AA77" s="208">
        <f>ABS(Множество_202207112140401240[[#This Row],[18]]-Множество_202207112140401240[[#This Row],[12]])</f>
        <v>6.2166666666666703</v>
      </c>
      <c r="AB77" s="208">
        <f>ABS(Множество_202207112140401240[[#This Row],[19]]-Множество_202207112140401240[[#This Row],[13]])</f>
        <v>1.5666666666667002</v>
      </c>
      <c r="AC77" s="208">
        <f>Множество_202207112140401240[[#This Row],[20]]+Множество_202207112140401240[[#This Row],[21]]</f>
        <v>7.7833333333333705</v>
      </c>
    </row>
    <row r="78" spans="1:29" x14ac:dyDescent="0.25">
      <c r="A78" t="s">
        <v>723</v>
      </c>
      <c r="B78" t="s">
        <v>100</v>
      </c>
      <c r="C78" t="s">
        <v>621</v>
      </c>
      <c r="D78" t="s">
        <v>1781</v>
      </c>
      <c r="E78" t="s">
        <v>582</v>
      </c>
      <c r="F78" s="213" t="s">
        <v>749</v>
      </c>
      <c r="G78" t="s">
        <v>1619</v>
      </c>
      <c r="H78" t="s">
        <v>28</v>
      </c>
      <c r="I78">
        <v>2.5</v>
      </c>
      <c r="J78">
        <v>1.57</v>
      </c>
      <c r="K78">
        <f>Множество_202207112140401240[[#This Row],[2]]-Множество_202207112140401240[[#This Row],[4]]</f>
        <v>1.4900000000000002</v>
      </c>
      <c r="L78">
        <f>Множество_202207112140401240[[#This Row],[3]]-Множество_202207112140401240[[#This Row],[5]]</f>
        <v>-0.28000000000000003</v>
      </c>
      <c r="M78">
        <f>Множество_202207112140401240[[#This Row],[7]]+Множество_202207112140401240[[#This Row],[6]]</f>
        <v>1.2100000000000002</v>
      </c>
      <c r="N78" s="208" t="str">
        <f>CONCATENATE(Множество_202207112140401240[[#This Row],[2]],Множество_202207112140401240[[#This Row],[3]])</f>
        <v>3,991,29</v>
      </c>
      <c r="O78" s="208"/>
      <c r="P78" s="208"/>
      <c r="Q78">
        <v>3.7833333333333301</v>
      </c>
      <c r="R78">
        <v>-14.0666666666667</v>
      </c>
      <c r="S78" s="208">
        <v>10</v>
      </c>
      <c r="T78" s="208">
        <v>-12.5</v>
      </c>
      <c r="U78" s="208">
        <f>ABS(Множество_202207112140401240[[#This Row],[10]]-Множество_202207112140401240[[#This Row],[12]])</f>
        <v>6.2166666666666703</v>
      </c>
      <c r="V78" s="208">
        <f>ABS(Множество_202207112140401240[[#This Row],[11]]-Множество_202207112140401240[[#This Row],[13]])</f>
        <v>1.5666666666667002</v>
      </c>
      <c r="W78" s="208">
        <f>Множество_202207112140401240[[#This Row],[15]]+Множество_202207112140401240[[#This Row],[14]]</f>
        <v>7.7833333333333705</v>
      </c>
      <c r="X78" s="208">
        <f ca="1">IF(ROW()-ROW(Множество_202207112140401240[[#Headers],[17]])&gt;1,Множество_202207112140401240[[#This Row],[16]]-OFFSET(Множество_202207112140401240[[#This Row],[16]],-1,0),0)</f>
        <v>-9.1666666666629482E-2</v>
      </c>
      <c r="Y78" s="208">
        <v>6.7583333333333302</v>
      </c>
      <c r="Z78" s="208">
        <v>-17.149999999999999</v>
      </c>
      <c r="AA78" s="208">
        <f>ABS(Множество_202207112140401240[[#This Row],[18]]-Множество_202207112140401240[[#This Row],[12]])</f>
        <v>3.2416666666666698</v>
      </c>
      <c r="AB78" s="208">
        <f>ABS(Множество_202207112140401240[[#This Row],[19]]-Множество_202207112140401240[[#This Row],[13]])</f>
        <v>4.6499999999999986</v>
      </c>
      <c r="AC78" s="208">
        <f>Множество_202207112140401240[[#This Row],[20]]+Множество_202207112140401240[[#This Row],[21]]</f>
        <v>7.8916666666666684</v>
      </c>
    </row>
    <row r="79" spans="1:29" x14ac:dyDescent="0.25">
      <c r="A79" t="s">
        <v>724</v>
      </c>
      <c r="B79" t="s">
        <v>100</v>
      </c>
      <c r="C79" t="s">
        <v>621</v>
      </c>
      <c r="D79" t="s">
        <v>1781</v>
      </c>
      <c r="E79" t="s">
        <v>582</v>
      </c>
      <c r="F79" s="213" t="s">
        <v>749</v>
      </c>
      <c r="G79" t="s">
        <v>419</v>
      </c>
      <c r="H79" t="s">
        <v>27</v>
      </c>
      <c r="I79">
        <v>2.5</v>
      </c>
      <c r="J79">
        <v>1.57</v>
      </c>
      <c r="K79">
        <f>Множество_202207112140401240[[#This Row],[2]]-Множество_202207112140401240[[#This Row],[4]]</f>
        <v>1.5</v>
      </c>
      <c r="L79">
        <f>Множество_202207112140401240[[#This Row],[3]]-Множество_202207112140401240[[#This Row],[5]]</f>
        <v>-0.29000000000000004</v>
      </c>
      <c r="M79">
        <f>Множество_202207112140401240[[#This Row],[7]]+Множество_202207112140401240[[#This Row],[6]]</f>
        <v>1.21</v>
      </c>
      <c r="N79" s="208" t="str">
        <f>CONCATENATE(Множество_202207112140401240[[#This Row],[2]],Множество_202207112140401240[[#This Row],[3]])</f>
        <v>41,28</v>
      </c>
      <c r="O79" s="208"/>
      <c r="P79" s="208"/>
      <c r="Q79">
        <v>7.1083333333333298</v>
      </c>
      <c r="R79">
        <v>-17.4166666666667</v>
      </c>
      <c r="S79" s="208">
        <v>10</v>
      </c>
      <c r="T79" s="208">
        <v>-12.5</v>
      </c>
      <c r="U79" s="208">
        <f>ABS(Множество_202207112140401240[[#This Row],[10]]-Множество_202207112140401240[[#This Row],[12]])</f>
        <v>2.8916666666666702</v>
      </c>
      <c r="V79" s="208">
        <f>ABS(Множество_202207112140401240[[#This Row],[11]]-Множество_202207112140401240[[#This Row],[13]])</f>
        <v>4.9166666666666998</v>
      </c>
      <c r="W79" s="208">
        <f>Множество_202207112140401240[[#This Row],[15]]+Множество_202207112140401240[[#This Row],[14]]</f>
        <v>7.80833333333337</v>
      </c>
      <c r="X79" s="208">
        <f ca="1">IF(ROW()-ROW(Множество_202207112140401240[[#Headers],[17]])&gt;1,Множество_202207112140401240[[#This Row],[16]]-OFFSET(Множество_202207112140401240[[#This Row],[16]],-1,0),0)</f>
        <v>2.4999999999999467E-2</v>
      </c>
      <c r="Y79" s="208">
        <v>6.93333333333333</v>
      </c>
      <c r="Z79" s="208">
        <v>-17.283333333333299</v>
      </c>
      <c r="AA79" s="208">
        <f>ABS(Множество_202207112140401240[[#This Row],[18]]-Множество_202207112140401240[[#This Row],[12]])</f>
        <v>3.06666666666667</v>
      </c>
      <c r="AB79" s="208">
        <f>ABS(Множество_202207112140401240[[#This Row],[19]]-Множество_202207112140401240[[#This Row],[13]])</f>
        <v>4.7833333333332995</v>
      </c>
      <c r="AC79" s="208">
        <f>Множество_202207112140401240[[#This Row],[20]]+Множество_202207112140401240[[#This Row],[21]]</f>
        <v>7.8499999999999694</v>
      </c>
    </row>
    <row r="80" spans="1:29" x14ac:dyDescent="0.25">
      <c r="A80" t="s">
        <v>725</v>
      </c>
      <c r="B80" t="s">
        <v>100</v>
      </c>
      <c r="C80" t="s">
        <v>621</v>
      </c>
      <c r="D80" t="s">
        <v>1781</v>
      </c>
      <c r="E80" t="s">
        <v>582</v>
      </c>
      <c r="F80" s="213" t="s">
        <v>749</v>
      </c>
      <c r="G80" t="s">
        <v>749</v>
      </c>
      <c r="H80" t="s">
        <v>418</v>
      </c>
      <c r="I80">
        <v>2.5</v>
      </c>
      <c r="J80">
        <v>1.57</v>
      </c>
      <c r="K80">
        <f>Множество_202207112140401240[[#This Row],[2]]-Множество_202207112140401240[[#This Row],[4]]</f>
        <v>0.7799999999999998</v>
      </c>
      <c r="L80">
        <f>Множество_202207112140401240[[#This Row],[3]]-Множество_202207112140401240[[#This Row],[5]]</f>
        <v>1.43</v>
      </c>
      <c r="M80">
        <f>Множество_202207112140401240[[#This Row],[7]]+Множество_202207112140401240[[#This Row],[6]]</f>
        <v>2.21</v>
      </c>
      <c r="N80" s="208" t="str">
        <f>CONCATENATE(Множество_202207112140401240[[#This Row],[2]],Множество_202207112140401240[[#This Row],[3]])</f>
        <v>3,283</v>
      </c>
      <c r="O80" s="208"/>
      <c r="P80" s="208"/>
      <c r="Q80">
        <v>3.7250000000000001</v>
      </c>
      <c r="R80">
        <v>-14.0833333333333</v>
      </c>
      <c r="S80" s="208">
        <v>10</v>
      </c>
      <c r="T80" s="208">
        <v>-12.5</v>
      </c>
      <c r="U80" s="208">
        <f>ABS(Множество_202207112140401240[[#This Row],[10]]-Множество_202207112140401240[[#This Row],[12]])</f>
        <v>6.2750000000000004</v>
      </c>
      <c r="V80" s="208">
        <f>ABS(Множество_202207112140401240[[#This Row],[11]]-Множество_202207112140401240[[#This Row],[13]])</f>
        <v>1.5833333333333002</v>
      </c>
      <c r="W80" s="208">
        <f>Множество_202207112140401240[[#This Row],[15]]+Множество_202207112140401240[[#This Row],[14]]</f>
        <v>7.8583333333333005</v>
      </c>
      <c r="X80" s="208">
        <f ca="1">IF(ROW()-ROW(Множество_202207112140401240[[#Headers],[17]])&gt;1,Множество_202207112140401240[[#This Row],[16]]-OFFSET(Множество_202207112140401240[[#This Row],[16]],-1,0),0)</f>
        <v>4.9999999999930544E-2</v>
      </c>
      <c r="Y80" s="208">
        <v>3.6666666666666701</v>
      </c>
      <c r="Z80" s="208">
        <v>-14.1</v>
      </c>
      <c r="AA80" s="208">
        <f>ABS(Множество_202207112140401240[[#This Row],[18]]-Множество_202207112140401240[[#This Row],[12]])</f>
        <v>6.3333333333333304</v>
      </c>
      <c r="AB80" s="208">
        <f>ABS(Множество_202207112140401240[[#This Row],[19]]-Множество_202207112140401240[[#This Row],[13]])</f>
        <v>1.5999999999999996</v>
      </c>
      <c r="AC80" s="208">
        <f>Множество_202207112140401240[[#This Row],[20]]+Множество_202207112140401240[[#This Row],[21]]</f>
        <v>7.93333333333333</v>
      </c>
    </row>
    <row r="81" spans="1:29" x14ac:dyDescent="0.25">
      <c r="A81" t="s">
        <v>727</v>
      </c>
      <c r="B81" t="s">
        <v>100</v>
      </c>
      <c r="C81" t="s">
        <v>621</v>
      </c>
      <c r="D81" t="s">
        <v>1781</v>
      </c>
      <c r="E81" t="s">
        <v>582</v>
      </c>
      <c r="F81" s="213" t="s">
        <v>749</v>
      </c>
      <c r="G81" t="s">
        <v>693</v>
      </c>
      <c r="H81" t="s">
        <v>735</v>
      </c>
      <c r="I81">
        <v>2.5</v>
      </c>
      <c r="J81">
        <v>1.57</v>
      </c>
      <c r="K81">
        <f>Множество_202207112140401240[[#This Row],[2]]-Множество_202207112140401240[[#This Row],[4]]</f>
        <v>0.77</v>
      </c>
      <c r="L81">
        <f>Множество_202207112140401240[[#This Row],[3]]-Множество_202207112140401240[[#This Row],[5]]</f>
        <v>1.72</v>
      </c>
      <c r="M81">
        <f>Множество_202207112140401240[[#This Row],[7]]+Множество_202207112140401240[[#This Row],[6]]</f>
        <v>2.4900000000000002</v>
      </c>
      <c r="N81" s="208" t="str">
        <f>CONCATENATE(Множество_202207112140401240[[#This Row],[2]],Множество_202207112140401240[[#This Row],[3]])</f>
        <v>3,273,29</v>
      </c>
      <c r="O81" s="208"/>
      <c r="P81" s="208"/>
      <c r="Q81">
        <v>3.6666666666666701</v>
      </c>
      <c r="R81">
        <v>-14.1</v>
      </c>
      <c r="S81" s="208">
        <v>10</v>
      </c>
      <c r="T81" s="208">
        <v>-12.5</v>
      </c>
      <c r="U81" s="208">
        <f>ABS(Множество_202207112140401240[[#This Row],[10]]-Множество_202207112140401240[[#This Row],[12]])</f>
        <v>6.3333333333333304</v>
      </c>
      <c r="V81" s="208">
        <f>ABS(Множество_202207112140401240[[#This Row],[11]]-Множество_202207112140401240[[#This Row],[13]])</f>
        <v>1.5999999999999996</v>
      </c>
      <c r="W81" s="208">
        <f>Множество_202207112140401240[[#This Row],[15]]+Множество_202207112140401240[[#This Row],[14]]</f>
        <v>7.93333333333333</v>
      </c>
      <c r="X81" s="208">
        <f ca="1">IF(ROW()-ROW(Множество_202207112140401240[[#Headers],[17]])&gt;1,Множество_202207112140401240[[#This Row],[16]]-OFFSET(Множество_202207112140401240[[#This Row],[16]],-1,0),0)</f>
        <v>7.5000000000029488E-2</v>
      </c>
      <c r="Y81" s="208">
        <v>3.7250000000000001</v>
      </c>
      <c r="Z81" s="208">
        <v>-14.0833333333333</v>
      </c>
      <c r="AA81" s="208">
        <f>ABS(Множество_202207112140401240[[#This Row],[18]]-Множество_202207112140401240[[#This Row],[12]])</f>
        <v>6.2750000000000004</v>
      </c>
      <c r="AB81" s="208">
        <f>ABS(Множество_202207112140401240[[#This Row],[19]]-Множество_202207112140401240[[#This Row],[13]])</f>
        <v>1.5833333333333002</v>
      </c>
      <c r="AC81" s="208">
        <f>Множество_202207112140401240[[#This Row],[20]]+Множество_202207112140401240[[#This Row],[21]]</f>
        <v>7.8583333333333005</v>
      </c>
    </row>
    <row r="82" spans="1:29" x14ac:dyDescent="0.25">
      <c r="A82" t="s">
        <v>728</v>
      </c>
      <c r="B82" t="s">
        <v>100</v>
      </c>
      <c r="C82" t="s">
        <v>621</v>
      </c>
      <c r="D82" t="s">
        <v>1781</v>
      </c>
      <c r="E82" t="s">
        <v>582</v>
      </c>
      <c r="F82" s="213" t="s">
        <v>749</v>
      </c>
      <c r="G82" t="s">
        <v>644</v>
      </c>
      <c r="H82" t="s">
        <v>825</v>
      </c>
      <c r="I82">
        <v>2.5</v>
      </c>
      <c r="J82">
        <v>1.57</v>
      </c>
      <c r="K82">
        <f>Множество_202207112140401240[[#This Row],[2]]-Множество_202207112140401240[[#This Row],[4]]</f>
        <v>0.75999999999999979</v>
      </c>
      <c r="L82">
        <f>Множество_202207112140401240[[#This Row],[3]]-Множество_202207112140401240[[#This Row],[5]]</f>
        <v>1.7499999999999998</v>
      </c>
      <c r="M82">
        <f>Множество_202207112140401240[[#This Row],[7]]+Множество_202207112140401240[[#This Row],[6]]</f>
        <v>2.5099999999999998</v>
      </c>
      <c r="N82" s="208" t="str">
        <f>CONCATENATE(Множество_202207112140401240[[#This Row],[2]],Множество_202207112140401240[[#This Row],[3]])</f>
        <v>3,263,32</v>
      </c>
      <c r="O82" s="208"/>
      <c r="P82" s="208"/>
      <c r="Q82">
        <v>6.93333333333333</v>
      </c>
      <c r="R82">
        <v>-17.283333333333299</v>
      </c>
      <c r="S82" s="208">
        <v>10</v>
      </c>
      <c r="T82" s="208">
        <v>-12.5</v>
      </c>
      <c r="U82" s="208">
        <f>ABS(Множество_202207112140401240[[#This Row],[10]]-Множество_202207112140401240[[#This Row],[12]])</f>
        <v>3.06666666666667</v>
      </c>
      <c r="V82" s="208">
        <f>ABS(Множество_202207112140401240[[#This Row],[11]]-Множество_202207112140401240[[#This Row],[13]])</f>
        <v>4.7833333333332995</v>
      </c>
      <c r="W82" s="208">
        <f>Множество_202207112140401240[[#This Row],[15]]+Множество_202207112140401240[[#This Row],[14]]</f>
        <v>7.8499999999999694</v>
      </c>
      <c r="X82" s="208">
        <f ca="1">IF(ROW()-ROW(Множество_202207112140401240[[#Headers],[17]])&gt;1,Множество_202207112140401240[[#This Row],[16]]-OFFSET(Множество_202207112140401240[[#This Row],[16]],-1,0),0)</f>
        <v>-8.3333333333360571E-2</v>
      </c>
      <c r="Y82" s="208">
        <v>7.1083333333333298</v>
      </c>
      <c r="Z82" s="208">
        <v>-17.4166666666667</v>
      </c>
      <c r="AA82" s="208">
        <f>ABS(Множество_202207112140401240[[#This Row],[18]]-Множество_202207112140401240[[#This Row],[12]])</f>
        <v>2.8916666666666702</v>
      </c>
      <c r="AB82" s="208">
        <f>ABS(Множество_202207112140401240[[#This Row],[19]]-Множество_202207112140401240[[#This Row],[13]])</f>
        <v>4.9166666666666998</v>
      </c>
      <c r="AC82" s="208">
        <f>Множество_202207112140401240[[#This Row],[20]]+Множество_202207112140401240[[#This Row],[21]]</f>
        <v>7.80833333333337</v>
      </c>
    </row>
    <row r="83" spans="1:29" x14ac:dyDescent="0.25">
      <c r="A83" t="s">
        <v>730</v>
      </c>
      <c r="B83" t="s">
        <v>100</v>
      </c>
      <c r="C83" t="s">
        <v>621</v>
      </c>
      <c r="D83" t="s">
        <v>1781</v>
      </c>
      <c r="E83" t="s">
        <v>582</v>
      </c>
      <c r="F83" s="213" t="s">
        <v>749</v>
      </c>
      <c r="G83" t="s">
        <v>662</v>
      </c>
      <c r="H83" t="s">
        <v>647</v>
      </c>
      <c r="I83">
        <v>2.5</v>
      </c>
      <c r="J83">
        <v>1.57</v>
      </c>
      <c r="K83">
        <f>Множество_202207112140401240[[#This Row],[2]]-Множество_202207112140401240[[#This Row],[4]]</f>
        <v>0.75</v>
      </c>
      <c r="L83">
        <f>Множество_202207112140401240[[#This Row],[3]]-Множество_202207112140401240[[#This Row],[5]]</f>
        <v>1.78</v>
      </c>
      <c r="M83">
        <f>Множество_202207112140401240[[#This Row],[7]]+Множество_202207112140401240[[#This Row],[6]]</f>
        <v>2.5300000000000002</v>
      </c>
      <c r="N83" s="208" t="str">
        <f>CONCATENATE(Множество_202207112140401240[[#This Row],[2]],Множество_202207112140401240[[#This Row],[3]])</f>
        <v>3,253,35</v>
      </c>
      <c r="O83" s="208"/>
      <c r="P83" s="208"/>
      <c r="Q83">
        <v>6.81666666666667</v>
      </c>
      <c r="R83">
        <v>-17.2</v>
      </c>
      <c r="S83" s="208">
        <v>10</v>
      </c>
      <c r="T83" s="208">
        <v>-12.5</v>
      </c>
      <c r="U83" s="208">
        <f>ABS(Множество_202207112140401240[[#This Row],[10]]-Множество_202207112140401240[[#This Row],[12]])</f>
        <v>3.18333333333333</v>
      </c>
      <c r="V83" s="208">
        <f>ABS(Множество_202207112140401240[[#This Row],[11]]-Множество_202207112140401240[[#This Row],[13]])</f>
        <v>4.6999999999999993</v>
      </c>
      <c r="W83" s="208">
        <f>Множество_202207112140401240[[#This Row],[15]]+Множество_202207112140401240[[#This Row],[14]]</f>
        <v>7.8833333333333293</v>
      </c>
      <c r="X83" s="208">
        <f ca="1">IF(ROW()-ROW(Множество_202207112140401240[[#Headers],[17]])&gt;1,Множество_202207112140401240[[#This Row],[16]]-OFFSET(Множество_202207112140401240[[#This Row],[16]],-1,0),0)</f>
        <v>3.333333333335986E-2</v>
      </c>
      <c r="Y83" s="208">
        <v>6.81666666666667</v>
      </c>
      <c r="Z83" s="208">
        <v>-17.2</v>
      </c>
      <c r="AA83" s="208">
        <f>ABS(Множество_202207112140401240[[#This Row],[18]]-Множество_202207112140401240[[#This Row],[12]])</f>
        <v>3.18333333333333</v>
      </c>
      <c r="AB83" s="208">
        <f>ABS(Множество_202207112140401240[[#This Row],[19]]-Множество_202207112140401240[[#This Row],[13]])</f>
        <v>4.6999999999999993</v>
      </c>
      <c r="AC83" s="208">
        <f>Множество_202207112140401240[[#This Row],[20]]+Множество_202207112140401240[[#This Row],[21]]</f>
        <v>7.8833333333333293</v>
      </c>
    </row>
    <row r="84" spans="1:29" x14ac:dyDescent="0.25">
      <c r="A84" t="s">
        <v>732</v>
      </c>
      <c r="B84" t="s">
        <v>100</v>
      </c>
      <c r="C84" t="s">
        <v>621</v>
      </c>
      <c r="D84" t="s">
        <v>1781</v>
      </c>
      <c r="E84" t="s">
        <v>582</v>
      </c>
      <c r="F84" s="213" t="s">
        <v>749</v>
      </c>
      <c r="G84" t="s">
        <v>674</v>
      </c>
      <c r="H84" t="s">
        <v>755</v>
      </c>
      <c r="I84">
        <v>2.5</v>
      </c>
      <c r="J84">
        <v>1.57</v>
      </c>
      <c r="K84">
        <f>Множество_202207112140401240[[#This Row],[2]]-Множество_202207112140401240[[#This Row],[4]]</f>
        <v>0.74000000000000021</v>
      </c>
      <c r="L84">
        <f>Множество_202207112140401240[[#This Row],[3]]-Множество_202207112140401240[[#This Row],[5]]</f>
        <v>1.8</v>
      </c>
      <c r="M84">
        <f>Множество_202207112140401240[[#This Row],[7]]+Множество_202207112140401240[[#This Row],[6]]</f>
        <v>2.54</v>
      </c>
      <c r="N84" s="208" t="str">
        <f>CONCATENATE(Множество_202207112140401240[[#This Row],[2]],Множество_202207112140401240[[#This Row],[3]])</f>
        <v>3,243,37</v>
      </c>
      <c r="O84" s="208"/>
      <c r="P84" s="208"/>
      <c r="Q84">
        <v>6.9916666666666698</v>
      </c>
      <c r="R84">
        <v>-17.3333333333333</v>
      </c>
      <c r="S84" s="208">
        <v>10</v>
      </c>
      <c r="T84" s="208">
        <v>-12.5</v>
      </c>
      <c r="U84" s="208">
        <f>ABS(Множество_202207112140401240[[#This Row],[10]]-Множество_202207112140401240[[#This Row],[12]])</f>
        <v>3.0083333333333302</v>
      </c>
      <c r="V84" s="208">
        <f>ABS(Множество_202207112140401240[[#This Row],[11]]-Множество_202207112140401240[[#This Row],[13]])</f>
        <v>4.8333333333333002</v>
      </c>
      <c r="W84" s="208">
        <f>Множество_202207112140401240[[#This Row],[15]]+Множество_202207112140401240[[#This Row],[14]]</f>
        <v>7.8416666666666304</v>
      </c>
      <c r="X84" s="208">
        <f ca="1">IF(ROW()-ROW(Множество_202207112140401240[[#Headers],[17]])&gt;1,Множество_202207112140401240[[#This Row],[16]]-OFFSET(Множество_202207112140401240[[#This Row],[16]],-1,0),0)</f>
        <v>-4.1666666666698937E-2</v>
      </c>
      <c r="Y84" s="208">
        <v>6.9916666666666698</v>
      </c>
      <c r="Z84" s="208">
        <v>-17.3333333333333</v>
      </c>
      <c r="AA84" s="208">
        <f>ABS(Множество_202207112140401240[[#This Row],[18]]-Множество_202207112140401240[[#This Row],[12]])</f>
        <v>3.0083333333333302</v>
      </c>
      <c r="AB84" s="208">
        <f>ABS(Множество_202207112140401240[[#This Row],[19]]-Множество_202207112140401240[[#This Row],[13]])</f>
        <v>4.8333333333333002</v>
      </c>
      <c r="AC84" s="208">
        <f>Множество_202207112140401240[[#This Row],[20]]+Множество_202207112140401240[[#This Row],[21]]</f>
        <v>7.8416666666666304</v>
      </c>
    </row>
    <row r="85" spans="1:29" x14ac:dyDescent="0.25">
      <c r="A85" t="s">
        <v>733</v>
      </c>
      <c r="B85" t="s">
        <v>100</v>
      </c>
      <c r="C85" t="s">
        <v>621</v>
      </c>
      <c r="D85" t="s">
        <v>1781</v>
      </c>
      <c r="E85" t="s">
        <v>582</v>
      </c>
      <c r="F85" s="213" t="s">
        <v>749</v>
      </c>
      <c r="G85" t="s">
        <v>814</v>
      </c>
      <c r="H85" t="s">
        <v>781</v>
      </c>
      <c r="I85">
        <v>2.5</v>
      </c>
      <c r="J85">
        <v>1.57</v>
      </c>
      <c r="K85">
        <f>Множество_202207112140401240[[#This Row],[2]]-Множество_202207112140401240[[#This Row],[4]]</f>
        <v>0.73</v>
      </c>
      <c r="L85">
        <f>Множество_202207112140401240[[#This Row],[3]]-Множество_202207112140401240[[#This Row],[5]]</f>
        <v>1.8299999999999998</v>
      </c>
      <c r="M85">
        <f>Множество_202207112140401240[[#This Row],[7]]+Множество_202207112140401240[[#This Row],[6]]</f>
        <v>2.5599999999999996</v>
      </c>
      <c r="N85" s="208" t="str">
        <f>CONCATENATE(Множество_202207112140401240[[#This Row],[2]],Множество_202207112140401240[[#This Row],[3]])</f>
        <v>3,233,4</v>
      </c>
      <c r="O85" s="208"/>
      <c r="P85" s="208"/>
      <c r="Q85">
        <v>6.1166666666666698</v>
      </c>
      <c r="R85">
        <v>-16.533333333333299</v>
      </c>
      <c r="S85" s="208">
        <v>10</v>
      </c>
      <c r="T85" s="208">
        <v>-12.5</v>
      </c>
      <c r="U85" s="208">
        <f>ABS(Множество_202207112140401240[[#This Row],[10]]-Множество_202207112140401240[[#This Row],[12]])</f>
        <v>3.8833333333333302</v>
      </c>
      <c r="V85" s="208">
        <f>ABS(Множество_202207112140401240[[#This Row],[11]]-Множество_202207112140401240[[#This Row],[13]])</f>
        <v>4.0333333333332995</v>
      </c>
      <c r="W85" s="208">
        <f>Множество_202207112140401240[[#This Row],[15]]+Множество_202207112140401240[[#This Row],[14]]</f>
        <v>7.9166666666666297</v>
      </c>
      <c r="X85" s="208">
        <f ca="1">IF(ROW()-ROW(Множество_202207112140401240[[#Headers],[17]])&gt;1,Множество_202207112140401240[[#This Row],[16]]-OFFSET(Множество_202207112140401240[[#This Row],[16]],-1,0),0)</f>
        <v>7.4999999999999289E-2</v>
      </c>
      <c r="Y85" s="208">
        <v>6.1166666666666698</v>
      </c>
      <c r="Z85" s="208">
        <v>-16.533333333333299</v>
      </c>
      <c r="AA85" s="208">
        <f>ABS(Множество_202207112140401240[[#This Row],[18]]-Множество_202207112140401240[[#This Row],[12]])</f>
        <v>3.8833333333333302</v>
      </c>
      <c r="AB85" s="208">
        <f>ABS(Множество_202207112140401240[[#This Row],[19]]-Множество_202207112140401240[[#This Row],[13]])</f>
        <v>4.0333333333332995</v>
      </c>
      <c r="AC85" s="208">
        <f>Множество_202207112140401240[[#This Row],[20]]+Множество_202207112140401240[[#This Row],[21]]</f>
        <v>7.9166666666666297</v>
      </c>
    </row>
    <row r="86" spans="1:29" x14ac:dyDescent="0.25">
      <c r="A86" t="s">
        <v>734</v>
      </c>
      <c r="B86" t="s">
        <v>100</v>
      </c>
      <c r="C86" t="s">
        <v>621</v>
      </c>
      <c r="D86" t="s">
        <v>1781</v>
      </c>
      <c r="E86" t="s">
        <v>582</v>
      </c>
      <c r="F86" s="213" t="s">
        <v>749</v>
      </c>
      <c r="G86" t="s">
        <v>809</v>
      </c>
      <c r="H86" t="s">
        <v>969</v>
      </c>
      <c r="I86">
        <v>2.5</v>
      </c>
      <c r="J86">
        <v>1.57</v>
      </c>
      <c r="K86">
        <f>Множество_202207112140401240[[#This Row],[2]]-Множество_202207112140401240[[#This Row],[4]]</f>
        <v>0.7200000000000002</v>
      </c>
      <c r="L86">
        <f>Множество_202207112140401240[[#This Row],[3]]-Множество_202207112140401240[[#This Row],[5]]</f>
        <v>1.8499999999999999</v>
      </c>
      <c r="M86">
        <f>Множество_202207112140401240[[#This Row],[7]]+Множество_202207112140401240[[#This Row],[6]]</f>
        <v>2.5700000000000003</v>
      </c>
      <c r="N86" s="208" t="str">
        <f>CONCATENATE(Множество_202207112140401240[[#This Row],[2]],Множество_202207112140401240[[#This Row],[3]])</f>
        <v>3,223,42</v>
      </c>
      <c r="O86" s="208"/>
      <c r="P86" s="208"/>
      <c r="Q86">
        <v>6.1749999999999998</v>
      </c>
      <c r="R86">
        <v>-16.55</v>
      </c>
      <c r="S86" s="208">
        <v>10</v>
      </c>
      <c r="T86" s="208">
        <v>-12.5</v>
      </c>
      <c r="U86" s="208">
        <f>ABS(Множество_202207112140401240[[#This Row],[10]]-Множество_202207112140401240[[#This Row],[12]])</f>
        <v>3.8250000000000002</v>
      </c>
      <c r="V86" s="208">
        <f>ABS(Множество_202207112140401240[[#This Row],[11]]-Множество_202207112140401240[[#This Row],[13]])</f>
        <v>4.0500000000000007</v>
      </c>
      <c r="W86" s="208">
        <f>Множество_202207112140401240[[#This Row],[15]]+Множество_202207112140401240[[#This Row],[14]]</f>
        <v>7.8750000000000009</v>
      </c>
      <c r="X86" s="208">
        <f ca="1">IF(ROW()-ROW(Множество_202207112140401240[[#Headers],[17]])&gt;1,Множество_202207112140401240[[#This Row],[16]]-OFFSET(Множество_202207112140401240[[#This Row],[16]],-1,0),0)</f>
        <v>-4.1666666666628771E-2</v>
      </c>
      <c r="Y86" s="208">
        <v>6.1749999999999998</v>
      </c>
      <c r="Z86" s="208">
        <v>-16.55</v>
      </c>
      <c r="AA86" s="208">
        <f>ABS(Множество_202207112140401240[[#This Row],[18]]-Множество_202207112140401240[[#This Row],[12]])</f>
        <v>3.8250000000000002</v>
      </c>
      <c r="AB86" s="208">
        <f>ABS(Множество_202207112140401240[[#This Row],[19]]-Множество_202207112140401240[[#This Row],[13]])</f>
        <v>4.0500000000000007</v>
      </c>
      <c r="AC86" s="208">
        <f>Множество_202207112140401240[[#This Row],[20]]+Множество_202207112140401240[[#This Row],[21]]</f>
        <v>7.8750000000000009</v>
      </c>
    </row>
    <row r="87" spans="1:29" x14ac:dyDescent="0.25">
      <c r="F87" s="213"/>
      <c r="K87" s="208">
        <f>Множество_202207112140401240[[#This Row],[2]]-Множество_202207112140401240[[#This Row],[4]]</f>
        <v>0</v>
      </c>
      <c r="L87" s="208">
        <f>Множество_202207112140401240[[#This Row],[3]]-Множество_202207112140401240[[#This Row],[5]]</f>
        <v>0</v>
      </c>
      <c r="M87" s="208">
        <f>Множество_202207112140401240[[#This Row],[7]]+Множество_202207112140401240[[#This Row],[6]]</f>
        <v>0</v>
      </c>
      <c r="N87" s="208" t="str">
        <f>CONCATENATE(Множество_202207112140401240[[#This Row],[2]],Множество_202207112140401240[[#This Row],[3]])</f>
        <v/>
      </c>
      <c r="O87" s="208"/>
      <c r="P87" s="208"/>
      <c r="Q87">
        <v>5.94166666666667</v>
      </c>
      <c r="R87">
        <v>-16.5</v>
      </c>
      <c r="S87" s="208">
        <v>10</v>
      </c>
      <c r="T87" s="208">
        <v>-12.5</v>
      </c>
      <c r="U87" s="208">
        <f>ABS(Множество_202207112140401240[[#This Row],[10]]-Множество_202207112140401240[[#This Row],[12]])</f>
        <v>4.05833333333333</v>
      </c>
      <c r="V87" s="208">
        <f>ABS(Множество_202207112140401240[[#This Row],[11]]-Множество_202207112140401240[[#This Row],[13]])</f>
        <v>4</v>
      </c>
      <c r="W87" s="208">
        <f>Множество_202207112140401240[[#This Row],[15]]+Множество_202207112140401240[[#This Row],[14]]</f>
        <v>8.05833333333333</v>
      </c>
      <c r="X87" s="208">
        <f ca="1">IF(ROW()-ROW(Множество_202207112140401240[[#Headers],[17]])&gt;1,Множество_202207112140401240[[#This Row],[16]]-OFFSET(Множество_202207112140401240[[#This Row],[16]],-1,0),0)</f>
        <v>0.18333333333332913</v>
      </c>
      <c r="Y87" s="208">
        <v>5.94166666666667</v>
      </c>
      <c r="Z87" s="208">
        <v>-16.5</v>
      </c>
      <c r="AA87" s="208">
        <f>ABS(Множество_202207112140401240[[#This Row],[18]]-Множество_202207112140401240[[#This Row],[12]])</f>
        <v>4.05833333333333</v>
      </c>
      <c r="AB87" s="208">
        <f>ABS(Множество_202207112140401240[[#This Row],[19]]-Множество_202207112140401240[[#This Row],[13]])</f>
        <v>4</v>
      </c>
      <c r="AC87" s="208">
        <f>Множество_202207112140401240[[#This Row],[20]]+Множество_202207112140401240[[#This Row],[21]]</f>
        <v>8.05833333333333</v>
      </c>
    </row>
    <row r="88" spans="1:29" x14ac:dyDescent="0.25">
      <c r="F88" s="213"/>
      <c r="K88" s="208">
        <f>Множество_202207112140401240[[#This Row],[2]]-Множество_202207112140401240[[#This Row],[4]]</f>
        <v>0</v>
      </c>
      <c r="L88" s="208">
        <f>Множество_202207112140401240[[#This Row],[3]]-Множество_202207112140401240[[#This Row],[5]]</f>
        <v>0</v>
      </c>
      <c r="M88" s="208">
        <f>Множество_202207112140401240[[#This Row],[7]]+Множество_202207112140401240[[#This Row],[6]]</f>
        <v>0</v>
      </c>
      <c r="N88" s="208" t="str">
        <f>CONCATENATE(Множество_202207112140401240[[#This Row],[2]],Множество_202207112140401240[[#This Row],[3]])</f>
        <v/>
      </c>
      <c r="O88" s="208"/>
      <c r="P88" s="208"/>
      <c r="Q88">
        <v>6</v>
      </c>
      <c r="R88">
        <v>-16.516666666666701</v>
      </c>
      <c r="S88" s="208">
        <v>10</v>
      </c>
      <c r="T88" s="208">
        <v>-12.5</v>
      </c>
      <c r="U88" s="208">
        <f>ABS(Множество_202207112140401240[[#This Row],[10]]-Множество_202207112140401240[[#This Row],[12]])</f>
        <v>4</v>
      </c>
      <c r="V88" s="208">
        <f>ABS(Множество_202207112140401240[[#This Row],[11]]-Множество_202207112140401240[[#This Row],[13]])</f>
        <v>4.0166666666667012</v>
      </c>
      <c r="W88" s="208">
        <f>Множество_202207112140401240[[#This Row],[15]]+Множество_202207112140401240[[#This Row],[14]]</f>
        <v>8.0166666666667012</v>
      </c>
      <c r="X88" s="208">
        <f ca="1">IF(ROW()-ROW(Множество_202207112140401240[[#Headers],[17]])&gt;1,Множество_202207112140401240[[#This Row],[16]]-OFFSET(Множество_202207112140401240[[#This Row],[16]],-1,0),0)</f>
        <v>-4.1666666666628771E-2</v>
      </c>
      <c r="Y88" s="208">
        <v>6</v>
      </c>
      <c r="Z88" s="208">
        <v>-16.516666666666701</v>
      </c>
      <c r="AA88" s="208">
        <f>ABS(Множество_202207112140401240[[#This Row],[18]]-Множество_202207112140401240[[#This Row],[12]])</f>
        <v>4</v>
      </c>
      <c r="AB88" s="208">
        <f>ABS(Множество_202207112140401240[[#This Row],[19]]-Множество_202207112140401240[[#This Row],[13]])</f>
        <v>4.0166666666667012</v>
      </c>
      <c r="AC88" s="208">
        <f>Множество_202207112140401240[[#This Row],[20]]+Множество_202207112140401240[[#This Row],[21]]</f>
        <v>8.0166666666667012</v>
      </c>
    </row>
    <row r="89" spans="1:29" x14ac:dyDescent="0.25">
      <c r="F89" s="213"/>
      <c r="K89" s="208">
        <f>Множество_202207112140401240[[#This Row],[2]]-Множество_202207112140401240[[#This Row],[4]]</f>
        <v>0</v>
      </c>
      <c r="L89" s="208">
        <f>Множество_202207112140401240[[#This Row],[3]]-Множество_202207112140401240[[#This Row],[5]]</f>
        <v>0</v>
      </c>
      <c r="M89" s="208">
        <f>Множество_202207112140401240[[#This Row],[7]]+Множество_202207112140401240[[#This Row],[6]]</f>
        <v>0</v>
      </c>
      <c r="N89" s="208" t="str">
        <f>CONCATENATE(Множество_202207112140401240[[#This Row],[2]],Множество_202207112140401240[[#This Row],[3]])</f>
        <v/>
      </c>
      <c r="O89" s="208"/>
      <c r="P89" s="208"/>
      <c r="Q89">
        <v>6.05833333333333</v>
      </c>
      <c r="R89">
        <v>-16.516666666666701</v>
      </c>
      <c r="S89" s="208">
        <v>10</v>
      </c>
      <c r="T89" s="208">
        <v>-12.5</v>
      </c>
      <c r="U89" s="208">
        <f>ABS(Множество_202207112140401240[[#This Row],[10]]-Множество_202207112140401240[[#This Row],[12]])</f>
        <v>3.94166666666667</v>
      </c>
      <c r="V89" s="208">
        <f>ABS(Множество_202207112140401240[[#This Row],[11]]-Множество_202207112140401240[[#This Row],[13]])</f>
        <v>4.0166666666667012</v>
      </c>
      <c r="W89" s="208">
        <f>Множество_202207112140401240[[#This Row],[15]]+Множество_202207112140401240[[#This Row],[14]]</f>
        <v>7.9583333333333712</v>
      </c>
      <c r="X89" s="208">
        <f ca="1">IF(ROW()-ROW(Множество_202207112140401240[[#Headers],[17]])&gt;1,Множество_202207112140401240[[#This Row],[16]]-OFFSET(Множество_202207112140401240[[#This Row],[16]],-1,0),0)</f>
        <v>-5.8333333333330017E-2</v>
      </c>
      <c r="Y89" s="208">
        <v>6.05833333333333</v>
      </c>
      <c r="Z89" s="208">
        <v>-16.516666666666701</v>
      </c>
      <c r="AA89" s="208">
        <f>ABS(Множество_202207112140401240[[#This Row],[18]]-Множество_202207112140401240[[#This Row],[12]])</f>
        <v>3.94166666666667</v>
      </c>
      <c r="AB89" s="208">
        <f>ABS(Множество_202207112140401240[[#This Row],[19]]-Множество_202207112140401240[[#This Row],[13]])</f>
        <v>4.0166666666667012</v>
      </c>
      <c r="AC89" s="208">
        <f>Множество_202207112140401240[[#This Row],[20]]+Множество_202207112140401240[[#This Row],[21]]</f>
        <v>7.9583333333333712</v>
      </c>
    </row>
    <row r="90" spans="1:29" x14ac:dyDescent="0.25">
      <c r="F90" s="213"/>
      <c r="K90" s="208">
        <f>Множество_202207112140401240[[#This Row],[2]]-Множество_202207112140401240[[#This Row],[4]]</f>
        <v>0</v>
      </c>
      <c r="L90" s="208">
        <f>Множество_202207112140401240[[#This Row],[3]]-Множество_202207112140401240[[#This Row],[5]]</f>
        <v>0</v>
      </c>
      <c r="M90" s="208">
        <f>Множество_202207112140401240[[#This Row],[7]]+Множество_202207112140401240[[#This Row],[6]]</f>
        <v>0</v>
      </c>
      <c r="N90" s="208" t="str">
        <f>CONCATENATE(Множество_202207112140401240[[#This Row],[2]],Множество_202207112140401240[[#This Row],[3]])</f>
        <v/>
      </c>
      <c r="O90" s="208"/>
      <c r="P90" s="208"/>
      <c r="Q90">
        <v>3.6083333333333298</v>
      </c>
      <c r="R90">
        <v>-14.133333333333301</v>
      </c>
      <c r="S90" s="208">
        <v>10</v>
      </c>
      <c r="T90" s="208">
        <v>-12.5</v>
      </c>
      <c r="U90" s="208">
        <f>ABS(Множество_202207112140401240[[#This Row],[10]]-Множество_202207112140401240[[#This Row],[12]])</f>
        <v>6.3916666666666702</v>
      </c>
      <c r="V90" s="208">
        <f>ABS(Множество_202207112140401240[[#This Row],[11]]-Множество_202207112140401240[[#This Row],[13]])</f>
        <v>1.6333333333333009</v>
      </c>
      <c r="W90" s="208">
        <f>Множество_202207112140401240[[#This Row],[15]]+Множество_202207112140401240[[#This Row],[14]]</f>
        <v>8.0249999999999702</v>
      </c>
      <c r="X90" s="208">
        <f ca="1">IF(ROW()-ROW(Множество_202207112140401240[[#Headers],[17]])&gt;1,Множество_202207112140401240[[#This Row],[16]]-OFFSET(Множество_202207112140401240[[#This Row],[16]],-1,0),0)</f>
        <v>6.6666666666598928E-2</v>
      </c>
      <c r="Y90" s="208">
        <v>3.6083333333333298</v>
      </c>
      <c r="Z90" s="208">
        <v>-14.133333333333301</v>
      </c>
      <c r="AA90" s="208">
        <f>ABS(Множество_202207112140401240[[#This Row],[18]]-Множество_202207112140401240[[#This Row],[12]])</f>
        <v>6.3916666666666702</v>
      </c>
      <c r="AB90" s="208">
        <f>ABS(Множество_202207112140401240[[#This Row],[19]]-Множество_202207112140401240[[#This Row],[13]])</f>
        <v>1.6333333333333009</v>
      </c>
      <c r="AC90" s="208">
        <f>Множество_202207112140401240[[#This Row],[20]]+Множество_202207112140401240[[#This Row],[21]]</f>
        <v>8.0249999999999702</v>
      </c>
    </row>
    <row r="91" spans="1:29" x14ac:dyDescent="0.25">
      <c r="F91" s="213"/>
      <c r="K91" s="208">
        <f>Множество_202207112140401240[[#This Row],[2]]-Множество_202207112140401240[[#This Row],[4]]</f>
        <v>0</v>
      </c>
      <c r="L91" s="208">
        <f>Множество_202207112140401240[[#This Row],[3]]-Множество_202207112140401240[[#This Row],[5]]</f>
        <v>0</v>
      </c>
      <c r="M91" s="208">
        <f>Множество_202207112140401240[[#This Row],[7]]+Множество_202207112140401240[[#This Row],[6]]</f>
        <v>0</v>
      </c>
      <c r="N91" s="208" t="str">
        <f>CONCATENATE(Множество_202207112140401240[[#This Row],[2]],Множество_202207112140401240[[#This Row],[3]])</f>
        <v/>
      </c>
      <c r="O91" s="208"/>
      <c r="P91" s="208"/>
      <c r="Q91">
        <v>3.55</v>
      </c>
      <c r="R91">
        <v>-14.15</v>
      </c>
      <c r="S91" s="208">
        <v>10</v>
      </c>
      <c r="T91" s="208">
        <v>-12.5</v>
      </c>
      <c r="U91" s="208">
        <f>ABS(Множество_202207112140401240[[#This Row],[10]]-Множество_202207112140401240[[#This Row],[12]])</f>
        <v>6.45</v>
      </c>
      <c r="V91" s="208">
        <f>ABS(Множество_202207112140401240[[#This Row],[11]]-Множество_202207112140401240[[#This Row],[13]])</f>
        <v>1.6500000000000004</v>
      </c>
      <c r="W91" s="208">
        <f>Множество_202207112140401240[[#This Row],[15]]+Множество_202207112140401240[[#This Row],[14]]</f>
        <v>8.1000000000000014</v>
      </c>
      <c r="X91" s="208">
        <f ca="1">IF(ROW()-ROW(Множество_202207112140401240[[#Headers],[17]])&gt;1,Множество_202207112140401240[[#This Row],[16]]-OFFSET(Множество_202207112140401240[[#This Row],[16]],-1,0),0)</f>
        <v>7.5000000000031264E-2</v>
      </c>
      <c r="Y91" s="208">
        <v>3.55</v>
      </c>
      <c r="Z91" s="208">
        <v>-14.15</v>
      </c>
      <c r="AA91" s="208">
        <f>ABS(Множество_202207112140401240[[#This Row],[18]]-Множество_202207112140401240[[#This Row],[12]])</f>
        <v>6.45</v>
      </c>
      <c r="AB91" s="208">
        <f>ABS(Множество_202207112140401240[[#This Row],[19]]-Множество_202207112140401240[[#This Row],[13]])</f>
        <v>1.6500000000000004</v>
      </c>
      <c r="AC91" s="208">
        <f>Множество_202207112140401240[[#This Row],[20]]+Множество_202207112140401240[[#This Row],[21]]</f>
        <v>8.1000000000000014</v>
      </c>
    </row>
    <row r="92" spans="1:29" x14ac:dyDescent="0.25">
      <c r="F92" s="213"/>
      <c r="K92" s="208">
        <f>Множество_202207112140401240[[#This Row],[2]]-Множество_202207112140401240[[#This Row],[4]]</f>
        <v>0</v>
      </c>
      <c r="L92" s="208">
        <f>Множество_202207112140401240[[#This Row],[3]]-Множество_202207112140401240[[#This Row],[5]]</f>
        <v>0</v>
      </c>
      <c r="M92" s="208">
        <f>Множество_202207112140401240[[#This Row],[7]]+Множество_202207112140401240[[#This Row],[6]]</f>
        <v>0</v>
      </c>
      <c r="N92" s="208" t="str">
        <f>CONCATENATE(Множество_202207112140401240[[#This Row],[2]],Множество_202207112140401240[[#This Row],[3]])</f>
        <v/>
      </c>
      <c r="O92" s="208"/>
      <c r="P92" s="208"/>
      <c r="Q92">
        <v>5.8250000000000002</v>
      </c>
      <c r="R92">
        <v>-16.466666666666701</v>
      </c>
      <c r="S92" s="208">
        <v>10</v>
      </c>
      <c r="T92" s="208">
        <v>-12.5</v>
      </c>
      <c r="U92" s="208">
        <f>ABS(Множество_202207112140401240[[#This Row],[10]]-Множество_202207112140401240[[#This Row],[12]])</f>
        <v>4.1749999999999998</v>
      </c>
      <c r="V92" s="208">
        <f>ABS(Множество_202207112140401240[[#This Row],[11]]-Множество_202207112140401240[[#This Row],[13]])</f>
        <v>3.9666666666667005</v>
      </c>
      <c r="W92" s="208">
        <f>Множество_202207112140401240[[#This Row],[15]]+Множество_202207112140401240[[#This Row],[14]]</f>
        <v>8.1416666666667012</v>
      </c>
      <c r="X92" s="208">
        <f ca="1">IF(ROW()-ROW(Множество_202207112140401240[[#Headers],[17]])&gt;1,Множество_202207112140401240[[#This Row],[16]]-OFFSET(Множество_202207112140401240[[#This Row],[16]],-1,0),0)</f>
        <v>4.1666666666699825E-2</v>
      </c>
      <c r="Y92" s="208">
        <v>5.8250000000000002</v>
      </c>
      <c r="Z92" s="208">
        <v>-16.466666666666701</v>
      </c>
      <c r="AA92" s="208">
        <f>ABS(Множество_202207112140401240[[#This Row],[18]]-Множество_202207112140401240[[#This Row],[12]])</f>
        <v>4.1749999999999998</v>
      </c>
      <c r="AB92" s="208">
        <f>ABS(Множество_202207112140401240[[#This Row],[19]]-Множество_202207112140401240[[#This Row],[13]])</f>
        <v>3.9666666666667005</v>
      </c>
      <c r="AC92" s="208">
        <f>Множество_202207112140401240[[#This Row],[20]]+Множество_202207112140401240[[#This Row],[21]]</f>
        <v>8.1416666666667012</v>
      </c>
    </row>
    <row r="93" spans="1:29" x14ac:dyDescent="0.25">
      <c r="F93" s="213"/>
      <c r="K93" s="208">
        <f>Множество_202207112140401240[[#This Row],[2]]-Множество_202207112140401240[[#This Row],[4]]</f>
        <v>0</v>
      </c>
      <c r="L93" s="208">
        <f>Множество_202207112140401240[[#This Row],[3]]-Множество_202207112140401240[[#This Row],[5]]</f>
        <v>0</v>
      </c>
      <c r="M93" s="208">
        <f>Множество_202207112140401240[[#This Row],[7]]+Множество_202207112140401240[[#This Row],[6]]</f>
        <v>0</v>
      </c>
      <c r="N93" s="208" t="str">
        <f>CONCATENATE(Множество_202207112140401240[[#This Row],[2]],Множество_202207112140401240[[#This Row],[3]])</f>
        <v/>
      </c>
      <c r="O93" s="208"/>
      <c r="P93" s="208"/>
      <c r="Q93">
        <v>5.8833333333333302</v>
      </c>
      <c r="R93">
        <v>-16.483333333333299</v>
      </c>
      <c r="S93" s="208">
        <v>10</v>
      </c>
      <c r="T93" s="208">
        <v>-12.5</v>
      </c>
      <c r="U93" s="208">
        <f>ABS(Множество_202207112140401240[[#This Row],[10]]-Множество_202207112140401240[[#This Row],[12]])</f>
        <v>4.1166666666666698</v>
      </c>
      <c r="V93" s="208">
        <f>ABS(Множество_202207112140401240[[#This Row],[11]]-Множество_202207112140401240[[#This Row],[13]])</f>
        <v>3.9833333333332988</v>
      </c>
      <c r="W93" s="208">
        <f>Множество_202207112140401240[[#This Row],[15]]+Множество_202207112140401240[[#This Row],[14]]</f>
        <v>8.0999999999999694</v>
      </c>
      <c r="X93" s="208">
        <f ca="1">IF(ROW()-ROW(Множество_202207112140401240[[#Headers],[17]])&gt;1,Множество_202207112140401240[[#This Row],[16]]-OFFSET(Множество_202207112140401240[[#This Row],[16]],-1,0),0)</f>
        <v>-4.16666666667318E-2</v>
      </c>
      <c r="Y93" s="208">
        <v>5.8833333333333302</v>
      </c>
      <c r="Z93" s="208">
        <v>-16.483333333333299</v>
      </c>
      <c r="AA93" s="208">
        <f>ABS(Множество_202207112140401240[[#This Row],[18]]-Множество_202207112140401240[[#This Row],[12]])</f>
        <v>4.1166666666666698</v>
      </c>
      <c r="AB93" s="208">
        <f>ABS(Множество_202207112140401240[[#This Row],[19]]-Множество_202207112140401240[[#This Row],[13]])</f>
        <v>3.9833333333332988</v>
      </c>
      <c r="AC93" s="208">
        <f>Множество_202207112140401240[[#This Row],[20]]+Множество_202207112140401240[[#This Row],[21]]</f>
        <v>8.0999999999999694</v>
      </c>
    </row>
    <row r="94" spans="1:29" x14ac:dyDescent="0.25">
      <c r="F94" s="213"/>
      <c r="K94" s="208">
        <f>Множество_202207112140401240[[#This Row],[2]]-Множество_202207112140401240[[#This Row],[4]]</f>
        <v>0</v>
      </c>
      <c r="L94" s="208">
        <f>Множество_202207112140401240[[#This Row],[3]]-Множество_202207112140401240[[#This Row],[5]]</f>
        <v>0</v>
      </c>
      <c r="M94" s="208">
        <f>Множество_202207112140401240[[#This Row],[7]]+Множество_202207112140401240[[#This Row],[6]]</f>
        <v>0</v>
      </c>
      <c r="N94" s="208" t="str">
        <f>CONCATENATE(Множество_202207112140401240[[#This Row],[2]],Множество_202207112140401240[[#This Row],[3]])</f>
        <v/>
      </c>
      <c r="O94" s="208"/>
      <c r="P94" s="208"/>
      <c r="Q94">
        <v>5.7083333333333304</v>
      </c>
      <c r="R94">
        <v>-16.45</v>
      </c>
      <c r="S94" s="208">
        <v>10</v>
      </c>
      <c r="T94" s="208">
        <v>-12.5</v>
      </c>
      <c r="U94" s="208">
        <f>ABS(Множество_202207112140401240[[#This Row],[10]]-Множество_202207112140401240[[#This Row],[12]])</f>
        <v>4.2916666666666696</v>
      </c>
      <c r="V94" s="208">
        <f>ABS(Множество_202207112140401240[[#This Row],[11]]-Множество_202207112140401240[[#This Row],[13]])</f>
        <v>3.9499999999999993</v>
      </c>
      <c r="W94" s="208">
        <f>Множество_202207112140401240[[#This Row],[15]]+Множество_202207112140401240[[#This Row],[14]]</f>
        <v>8.2416666666666689</v>
      </c>
      <c r="X94" s="208">
        <f ca="1">IF(ROW()-ROW(Множество_202207112140401240[[#Headers],[17]])&gt;1,Множество_202207112140401240[[#This Row],[16]]-OFFSET(Множество_202207112140401240[[#This Row],[16]],-1,0),0)</f>
        <v>0.14166666666669947</v>
      </c>
      <c r="Y94" s="208">
        <v>5.7083333333333304</v>
      </c>
      <c r="Z94" s="208">
        <v>-16.45</v>
      </c>
      <c r="AA94" s="208">
        <f>ABS(Множество_202207112140401240[[#This Row],[18]]-Множество_202207112140401240[[#This Row],[12]])</f>
        <v>4.2916666666666696</v>
      </c>
      <c r="AB94" s="208">
        <f>ABS(Множество_202207112140401240[[#This Row],[19]]-Множество_202207112140401240[[#This Row],[13]])</f>
        <v>3.9499999999999993</v>
      </c>
      <c r="AC94" s="208">
        <f>Множество_202207112140401240[[#This Row],[20]]+Множество_202207112140401240[[#This Row],[21]]</f>
        <v>8.2416666666666689</v>
      </c>
    </row>
    <row r="95" spans="1:29" x14ac:dyDescent="0.25">
      <c r="F95" s="213"/>
      <c r="K95" s="208">
        <f>Множество_202207112140401240[[#This Row],[2]]-Множество_202207112140401240[[#This Row],[4]]</f>
        <v>0</v>
      </c>
      <c r="L95" s="208">
        <f>Множество_202207112140401240[[#This Row],[3]]-Множество_202207112140401240[[#This Row],[5]]</f>
        <v>0</v>
      </c>
      <c r="M95" s="208">
        <f>Множество_202207112140401240[[#This Row],[7]]+Множество_202207112140401240[[#This Row],[6]]</f>
        <v>0</v>
      </c>
      <c r="N95" s="208" t="str">
        <f>CONCATENATE(Множество_202207112140401240[[#This Row],[2]],Множество_202207112140401240[[#This Row],[3]])</f>
        <v/>
      </c>
      <c r="O95" s="208"/>
      <c r="P95" s="208"/>
      <c r="Q95">
        <v>3.4916666666666698</v>
      </c>
      <c r="R95">
        <v>-14.1666666666667</v>
      </c>
      <c r="S95" s="208">
        <v>10</v>
      </c>
      <c r="T95" s="208">
        <v>-12.5</v>
      </c>
      <c r="U95" s="208">
        <f>ABS(Множество_202207112140401240[[#This Row],[10]]-Множество_202207112140401240[[#This Row],[12]])</f>
        <v>6.5083333333333302</v>
      </c>
      <c r="V95" s="208">
        <f>ABS(Множество_202207112140401240[[#This Row],[11]]-Множество_202207112140401240[[#This Row],[13]])</f>
        <v>1.6666666666666998</v>
      </c>
      <c r="W95" s="208">
        <f>Множество_202207112140401240[[#This Row],[15]]+Множество_202207112140401240[[#This Row],[14]]</f>
        <v>8.1750000000000291</v>
      </c>
      <c r="X95" s="208">
        <f ca="1">IF(ROW()-ROW(Множество_202207112140401240[[#Headers],[17]])&gt;1,Множество_202207112140401240[[#This Row],[16]]-OFFSET(Множество_202207112140401240[[#This Row],[16]],-1,0),0)</f>
        <v>-6.6666666666639784E-2</v>
      </c>
      <c r="Y95" s="208">
        <v>3.4916666666666698</v>
      </c>
      <c r="Z95" s="208">
        <v>-14.1666666666667</v>
      </c>
      <c r="AA95" s="208">
        <f>ABS(Множество_202207112140401240[[#This Row],[18]]-Множество_202207112140401240[[#This Row],[12]])</f>
        <v>6.5083333333333302</v>
      </c>
      <c r="AB95" s="208">
        <f>ABS(Множество_202207112140401240[[#This Row],[19]]-Множество_202207112140401240[[#This Row],[13]])</f>
        <v>1.6666666666666998</v>
      </c>
      <c r="AC95" s="208">
        <f>Множество_202207112140401240[[#This Row],[20]]+Множество_202207112140401240[[#This Row],[21]]</f>
        <v>8.1750000000000291</v>
      </c>
    </row>
    <row r="96" spans="1:29" x14ac:dyDescent="0.25">
      <c r="F96" s="213"/>
      <c r="K96" s="208">
        <f>Множество_202207112140401240[[#This Row],[2]]-Множество_202207112140401240[[#This Row],[4]]</f>
        <v>0</v>
      </c>
      <c r="L96" s="208">
        <f>Множество_202207112140401240[[#This Row],[3]]-Множество_202207112140401240[[#This Row],[5]]</f>
        <v>0</v>
      </c>
      <c r="M96" s="208">
        <f>Множество_202207112140401240[[#This Row],[7]]+Множество_202207112140401240[[#This Row],[6]]</f>
        <v>0</v>
      </c>
      <c r="N96" s="208" t="str">
        <f>CONCATENATE(Множество_202207112140401240[[#This Row],[2]],Множество_202207112140401240[[#This Row],[3]])</f>
        <v/>
      </c>
      <c r="O96" s="208"/>
      <c r="P96" s="208"/>
      <c r="Q96">
        <v>3.43333333333333</v>
      </c>
      <c r="R96">
        <v>-14.2</v>
      </c>
      <c r="S96" s="208">
        <v>10</v>
      </c>
      <c r="T96" s="208">
        <v>-12.5</v>
      </c>
      <c r="U96" s="208">
        <f>ABS(Множество_202207112140401240[[#This Row],[10]]-Множество_202207112140401240[[#This Row],[12]])</f>
        <v>6.56666666666667</v>
      </c>
      <c r="V96" s="208">
        <f>ABS(Множество_202207112140401240[[#This Row],[11]]-Множество_202207112140401240[[#This Row],[13]])</f>
        <v>1.6999999999999993</v>
      </c>
      <c r="W96" s="208">
        <f>Множество_202207112140401240[[#This Row],[15]]+Множество_202207112140401240[[#This Row],[14]]</f>
        <v>8.2666666666666693</v>
      </c>
      <c r="X96" s="208">
        <f ca="1">IF(ROW()-ROW(Множество_202207112140401240[[#Headers],[17]])&gt;1,Множество_202207112140401240[[#This Row],[16]]-OFFSET(Множество_202207112140401240[[#This Row],[16]],-1,0),0)</f>
        <v>9.166666666664014E-2</v>
      </c>
      <c r="Y96" s="208">
        <v>3.43333333333333</v>
      </c>
      <c r="Z96" s="208">
        <v>-14.2</v>
      </c>
      <c r="AA96" s="208">
        <f>ABS(Множество_202207112140401240[[#This Row],[18]]-Множество_202207112140401240[[#This Row],[12]])</f>
        <v>6.56666666666667</v>
      </c>
      <c r="AB96" s="208">
        <f>ABS(Множество_202207112140401240[[#This Row],[19]]-Множество_202207112140401240[[#This Row],[13]])</f>
        <v>1.6999999999999993</v>
      </c>
      <c r="AC96" s="208">
        <f>Множество_202207112140401240[[#This Row],[20]]+Множество_202207112140401240[[#This Row],[21]]</f>
        <v>8.2666666666666693</v>
      </c>
    </row>
    <row r="97" spans="6:29" x14ac:dyDescent="0.25">
      <c r="F97" s="213"/>
      <c r="K97" s="208">
        <f>Множество_202207112140401240[[#This Row],[2]]-Множество_202207112140401240[[#This Row],[4]]</f>
        <v>0</v>
      </c>
      <c r="L97" s="208">
        <f>Множество_202207112140401240[[#This Row],[3]]-Множество_202207112140401240[[#This Row],[5]]</f>
        <v>0</v>
      </c>
      <c r="M97" s="208">
        <f>Множество_202207112140401240[[#This Row],[7]]+Множество_202207112140401240[[#This Row],[6]]</f>
        <v>0</v>
      </c>
      <c r="N97" s="208" t="str">
        <f>CONCATENATE(Множество_202207112140401240[[#This Row],[2]],Множество_202207112140401240[[#This Row],[3]])</f>
        <v/>
      </c>
      <c r="O97" s="208"/>
      <c r="P97" s="208"/>
      <c r="Q97">
        <v>5.5333333333333297</v>
      </c>
      <c r="R97">
        <v>-16.399999999999999</v>
      </c>
      <c r="S97" s="208">
        <v>10</v>
      </c>
      <c r="T97" s="208">
        <v>-12.5</v>
      </c>
      <c r="U97" s="208">
        <f>ABS(Множество_202207112140401240[[#This Row],[10]]-Множество_202207112140401240[[#This Row],[12]])</f>
        <v>4.4666666666666703</v>
      </c>
      <c r="V97" s="208">
        <f>ABS(Множество_202207112140401240[[#This Row],[11]]-Множество_202207112140401240[[#This Row],[13]])</f>
        <v>3.8999999999999986</v>
      </c>
      <c r="W97" s="208">
        <f>Множество_202207112140401240[[#This Row],[15]]+Множество_202207112140401240[[#This Row],[14]]</f>
        <v>8.3666666666666689</v>
      </c>
      <c r="X97" s="208">
        <f ca="1">IF(ROW()-ROW(Множество_202207112140401240[[#Headers],[17]])&gt;1,Множество_202207112140401240[[#This Row],[16]]-OFFSET(Множество_202207112140401240[[#This Row],[16]],-1,0),0)</f>
        <v>9.9999999999999645E-2</v>
      </c>
      <c r="Y97" s="208">
        <v>5.5333333333333297</v>
      </c>
      <c r="Z97" s="208">
        <v>-16.399999999999999</v>
      </c>
      <c r="AA97" s="208">
        <f>ABS(Множество_202207112140401240[[#This Row],[18]]-Множество_202207112140401240[[#This Row],[12]])</f>
        <v>4.4666666666666703</v>
      </c>
      <c r="AB97" s="208">
        <f>ABS(Множество_202207112140401240[[#This Row],[19]]-Множество_202207112140401240[[#This Row],[13]])</f>
        <v>3.8999999999999986</v>
      </c>
      <c r="AC97" s="208">
        <f>Множество_202207112140401240[[#This Row],[20]]+Множество_202207112140401240[[#This Row],[21]]</f>
        <v>8.3666666666666689</v>
      </c>
    </row>
    <row r="98" spans="6:29" x14ac:dyDescent="0.25">
      <c r="F98" s="213"/>
      <c r="K98" s="208">
        <f>Множество_202207112140401240[[#This Row],[2]]-Множество_202207112140401240[[#This Row],[4]]</f>
        <v>0</v>
      </c>
      <c r="L98" s="208">
        <f>Множество_202207112140401240[[#This Row],[3]]-Множество_202207112140401240[[#This Row],[5]]</f>
        <v>0</v>
      </c>
      <c r="M98" s="208">
        <f>Множество_202207112140401240[[#This Row],[7]]+Множество_202207112140401240[[#This Row],[6]]</f>
        <v>0</v>
      </c>
      <c r="N98" s="208" t="str">
        <f>CONCATENATE(Множество_202207112140401240[[#This Row],[2]],Множество_202207112140401240[[#This Row],[3]])</f>
        <v/>
      </c>
      <c r="O98" s="208"/>
      <c r="P98" s="208"/>
      <c r="Q98">
        <v>5.5916666666666703</v>
      </c>
      <c r="R98">
        <v>-16.4166666666667</v>
      </c>
      <c r="S98" s="208">
        <v>10</v>
      </c>
      <c r="T98" s="208">
        <v>-12.5</v>
      </c>
      <c r="U98" s="208">
        <f>ABS(Множество_202207112140401240[[#This Row],[10]]-Множество_202207112140401240[[#This Row],[12]])</f>
        <v>4.4083333333333297</v>
      </c>
      <c r="V98" s="208">
        <f>ABS(Множество_202207112140401240[[#This Row],[11]]-Множество_202207112140401240[[#This Row],[13]])</f>
        <v>3.9166666666666998</v>
      </c>
      <c r="W98" s="208">
        <f>Множество_202207112140401240[[#This Row],[15]]+Множество_202207112140401240[[#This Row],[14]]</f>
        <v>8.3250000000000295</v>
      </c>
      <c r="X98" s="208">
        <f ca="1">IF(ROW()-ROW(Множество_202207112140401240[[#Headers],[17]])&gt;1,Множество_202207112140401240[[#This Row],[16]]-OFFSET(Множество_202207112140401240[[#This Row],[16]],-1,0),0)</f>
        <v>-4.1666666666639429E-2</v>
      </c>
      <c r="Y98" s="208">
        <v>5.5916666666666703</v>
      </c>
      <c r="Z98" s="208">
        <v>-16.4166666666667</v>
      </c>
      <c r="AA98" s="208">
        <f>ABS(Множество_202207112140401240[[#This Row],[18]]-Множество_202207112140401240[[#This Row],[12]])</f>
        <v>4.4083333333333297</v>
      </c>
      <c r="AB98" s="208">
        <f>ABS(Множество_202207112140401240[[#This Row],[19]]-Множество_202207112140401240[[#This Row],[13]])</f>
        <v>3.9166666666666998</v>
      </c>
      <c r="AC98" s="208">
        <f>Множество_202207112140401240[[#This Row],[20]]+Множество_202207112140401240[[#This Row],[21]]</f>
        <v>8.3250000000000295</v>
      </c>
    </row>
    <row r="99" spans="6:29" x14ac:dyDescent="0.25">
      <c r="F99" s="213"/>
      <c r="K99" s="208">
        <f>Множество_202207112140401240[[#This Row],[2]]-Множество_202207112140401240[[#This Row],[4]]</f>
        <v>0</v>
      </c>
      <c r="L99" s="208">
        <f>Множество_202207112140401240[[#This Row],[3]]-Множество_202207112140401240[[#This Row],[5]]</f>
        <v>0</v>
      </c>
      <c r="M99" s="208">
        <f>Множество_202207112140401240[[#This Row],[7]]+Множество_202207112140401240[[#This Row],[6]]</f>
        <v>0</v>
      </c>
      <c r="N99" s="208" t="str">
        <f>CONCATENATE(Множество_202207112140401240[[#This Row],[2]],Множество_202207112140401240[[#This Row],[3]])</f>
        <v/>
      </c>
      <c r="O99" s="208"/>
      <c r="P99" s="208"/>
      <c r="Q99">
        <v>5.65</v>
      </c>
      <c r="R99">
        <v>-16.433333333333302</v>
      </c>
      <c r="S99" s="208">
        <v>10</v>
      </c>
      <c r="T99" s="208">
        <v>-12.5</v>
      </c>
      <c r="U99" s="208">
        <f>ABS(Множество_202207112140401240[[#This Row],[10]]-Множество_202207112140401240[[#This Row],[12]])</f>
        <v>4.3499999999999996</v>
      </c>
      <c r="V99" s="208">
        <f>ABS(Множество_202207112140401240[[#This Row],[11]]-Множество_202207112140401240[[#This Row],[13]])</f>
        <v>3.9333333333333016</v>
      </c>
      <c r="W99" s="208">
        <f>Множество_202207112140401240[[#This Row],[15]]+Множество_202207112140401240[[#This Row],[14]]</f>
        <v>8.2833333333333012</v>
      </c>
      <c r="X99" s="208">
        <f ca="1">IF(ROW()-ROW(Множество_202207112140401240[[#Headers],[17]])&gt;1,Множество_202207112140401240[[#This Row],[16]]-OFFSET(Множество_202207112140401240[[#This Row],[16]],-1,0),0)</f>
        <v>-4.1666666666728247E-2</v>
      </c>
      <c r="Y99" s="208">
        <v>5.65</v>
      </c>
      <c r="Z99" s="208">
        <v>-16.433333333333302</v>
      </c>
      <c r="AA99" s="208">
        <f>ABS(Множество_202207112140401240[[#This Row],[18]]-Множество_202207112140401240[[#This Row],[12]])</f>
        <v>4.3499999999999996</v>
      </c>
      <c r="AB99" s="208">
        <f>ABS(Множество_202207112140401240[[#This Row],[19]]-Множество_202207112140401240[[#This Row],[13]])</f>
        <v>3.9333333333333016</v>
      </c>
      <c r="AC99" s="208">
        <f>Множество_202207112140401240[[#This Row],[20]]+Множество_202207112140401240[[#This Row],[21]]</f>
        <v>8.2833333333333012</v>
      </c>
    </row>
    <row r="100" spans="6:29" x14ac:dyDescent="0.25">
      <c r="F100" s="213"/>
      <c r="K100" s="208">
        <f>Множество_202207112140401240[[#This Row],[2]]-Множество_202207112140401240[[#This Row],[4]]</f>
        <v>0</v>
      </c>
      <c r="L100" s="208">
        <f>Множество_202207112140401240[[#This Row],[3]]-Множество_202207112140401240[[#This Row],[5]]</f>
        <v>0</v>
      </c>
      <c r="M100" s="208">
        <f>Множество_202207112140401240[[#This Row],[7]]+Множество_202207112140401240[[#This Row],[6]]</f>
        <v>0</v>
      </c>
      <c r="N100" s="208" t="str">
        <f>CONCATENATE(Множество_202207112140401240[[#This Row],[2]],Множество_202207112140401240[[#This Row],[3]])</f>
        <v/>
      </c>
      <c r="O100" s="208"/>
      <c r="P100" s="208"/>
      <c r="Q100">
        <v>3.375</v>
      </c>
      <c r="R100">
        <v>-14.216666666666701</v>
      </c>
      <c r="S100" s="208">
        <v>10</v>
      </c>
      <c r="T100" s="208">
        <v>-12.5</v>
      </c>
      <c r="U100" s="208">
        <f>ABS(Множество_202207112140401240[[#This Row],[10]]-Множество_202207112140401240[[#This Row],[12]])</f>
        <v>6.625</v>
      </c>
      <c r="V100" s="208">
        <f>ABS(Множество_202207112140401240[[#This Row],[11]]-Множество_202207112140401240[[#This Row],[13]])</f>
        <v>1.7166666666667005</v>
      </c>
      <c r="W100" s="208">
        <f>Множество_202207112140401240[[#This Row],[15]]+Множество_202207112140401240[[#This Row],[14]]</f>
        <v>8.3416666666667005</v>
      </c>
      <c r="X100" s="208">
        <f ca="1">IF(ROW()-ROW(Множество_202207112140401240[[#Headers],[17]])&gt;1,Множество_202207112140401240[[#This Row],[16]]-OFFSET(Множество_202207112140401240[[#This Row],[16]],-1,0),0)</f>
        <v>5.8333333333399295E-2</v>
      </c>
      <c r="Y100" s="208">
        <v>3.375</v>
      </c>
      <c r="Z100" s="208">
        <v>-14.216666666666701</v>
      </c>
      <c r="AA100" s="208">
        <f>ABS(Множество_202207112140401240[[#This Row],[18]]-Множество_202207112140401240[[#This Row],[12]])</f>
        <v>6.625</v>
      </c>
      <c r="AB100" s="208">
        <f>ABS(Множество_202207112140401240[[#This Row],[19]]-Множество_202207112140401240[[#This Row],[13]])</f>
        <v>1.7166666666667005</v>
      </c>
      <c r="AC100" s="208">
        <f>Множество_202207112140401240[[#This Row],[20]]+Множество_202207112140401240[[#This Row],[21]]</f>
        <v>8.3416666666667005</v>
      </c>
    </row>
    <row r="101" spans="6:29" x14ac:dyDescent="0.25">
      <c r="F101" s="213"/>
      <c r="K101" s="208">
        <f>Множество_202207112140401240[[#This Row],[2]]-Множество_202207112140401240[[#This Row],[4]]</f>
        <v>0</v>
      </c>
      <c r="L101" s="208">
        <f>Множество_202207112140401240[[#This Row],[3]]-Множество_202207112140401240[[#This Row],[5]]</f>
        <v>0</v>
      </c>
      <c r="M101" s="208">
        <f>Множество_202207112140401240[[#This Row],[7]]+Множество_202207112140401240[[#This Row],[6]]</f>
        <v>0</v>
      </c>
      <c r="N101" s="208" t="str">
        <f>CONCATENATE(Множество_202207112140401240[[#This Row],[2]],Множество_202207112140401240[[#This Row],[3]])</f>
        <v/>
      </c>
      <c r="O101" s="208"/>
      <c r="P101" s="208"/>
      <c r="Q101">
        <v>3.31666666666667</v>
      </c>
      <c r="R101">
        <v>-14.233333333333301</v>
      </c>
      <c r="S101" s="208">
        <v>10</v>
      </c>
      <c r="T101" s="208">
        <v>-12.5</v>
      </c>
      <c r="U101" s="208">
        <f>ABS(Множество_202207112140401240[[#This Row],[10]]-Множество_202207112140401240[[#This Row],[12]])</f>
        <v>6.68333333333333</v>
      </c>
      <c r="V101" s="208">
        <f>ABS(Множество_202207112140401240[[#This Row],[11]]-Множество_202207112140401240[[#This Row],[13]])</f>
        <v>1.7333333333333005</v>
      </c>
      <c r="W101" s="208">
        <f>Множество_202207112140401240[[#This Row],[15]]+Множество_202207112140401240[[#This Row],[14]]</f>
        <v>8.4166666666666305</v>
      </c>
      <c r="X101" s="208">
        <f ca="1">IF(ROW()-ROW(Множество_202207112140401240[[#Headers],[17]])&gt;1,Множество_202207112140401240[[#This Row],[16]]-OFFSET(Множество_202207112140401240[[#This Row],[16]],-1,0),0)</f>
        <v>7.4999999999930012E-2</v>
      </c>
      <c r="Y101" s="208">
        <v>5.4166666666666696</v>
      </c>
      <c r="Z101" s="208">
        <v>-16.383333333333301</v>
      </c>
      <c r="AA101" s="208">
        <f>ABS(Множество_202207112140401240[[#This Row],[18]]-Множество_202207112140401240[[#This Row],[12]])</f>
        <v>4.5833333333333304</v>
      </c>
      <c r="AB101" s="208">
        <f>ABS(Множество_202207112140401240[[#This Row],[19]]-Множество_202207112140401240[[#This Row],[13]])</f>
        <v>3.8833333333333009</v>
      </c>
      <c r="AC101" s="208">
        <f>Множество_202207112140401240[[#This Row],[20]]+Множество_202207112140401240[[#This Row],[21]]</f>
        <v>8.4666666666666313</v>
      </c>
    </row>
    <row r="102" spans="6:29" x14ac:dyDescent="0.25">
      <c r="F102" s="213"/>
      <c r="K102" s="208">
        <f>Множество_202207112140401240[[#This Row],[2]]-Множество_202207112140401240[[#This Row],[4]]</f>
        <v>0</v>
      </c>
      <c r="L102" s="208">
        <f>Множество_202207112140401240[[#This Row],[3]]-Множество_202207112140401240[[#This Row],[5]]</f>
        <v>0</v>
      </c>
      <c r="M102" s="208">
        <f>Множество_202207112140401240[[#This Row],[7]]+Множество_202207112140401240[[#This Row],[6]]</f>
        <v>0</v>
      </c>
      <c r="N102" s="208" t="str">
        <f>CONCATENATE(Множество_202207112140401240[[#This Row],[2]],Множество_202207112140401240[[#This Row],[3]])</f>
        <v/>
      </c>
      <c r="O102" s="208"/>
      <c r="P102" s="208"/>
      <c r="Q102">
        <v>5.4166666666666696</v>
      </c>
      <c r="R102">
        <v>-16.383333333333301</v>
      </c>
      <c r="S102" s="208">
        <v>10</v>
      </c>
      <c r="T102" s="208">
        <v>-12.5</v>
      </c>
      <c r="U102" s="208">
        <f>ABS(Множество_202207112140401240[[#This Row],[10]]-Множество_202207112140401240[[#This Row],[12]])</f>
        <v>4.5833333333333304</v>
      </c>
      <c r="V102" s="208">
        <f>ABS(Множество_202207112140401240[[#This Row],[11]]-Множество_202207112140401240[[#This Row],[13]])</f>
        <v>3.8833333333333009</v>
      </c>
      <c r="W102" s="208">
        <f>Множество_202207112140401240[[#This Row],[15]]+Множество_202207112140401240[[#This Row],[14]]</f>
        <v>8.4666666666666313</v>
      </c>
      <c r="X102" s="208">
        <f ca="1">IF(ROW()-ROW(Множество_202207112140401240[[#Headers],[17]])&gt;1,Множество_202207112140401240[[#This Row],[16]]-OFFSET(Множество_202207112140401240[[#This Row],[16]],-1,0),0)</f>
        <v>5.0000000000000711E-2</v>
      </c>
      <c r="Y102" s="208">
        <v>3.31666666666667</v>
      </c>
      <c r="Z102" s="208">
        <v>-14.233333333333301</v>
      </c>
      <c r="AA102" s="208">
        <f>ABS(Множество_202207112140401240[[#This Row],[18]]-Множество_202207112140401240[[#This Row],[12]])</f>
        <v>6.68333333333333</v>
      </c>
      <c r="AB102" s="208">
        <f>ABS(Множество_202207112140401240[[#This Row],[19]]-Множество_202207112140401240[[#This Row],[13]])</f>
        <v>1.7333333333333005</v>
      </c>
      <c r="AC102" s="208">
        <f>Множество_202207112140401240[[#This Row],[20]]+Множество_202207112140401240[[#This Row],[21]]</f>
        <v>8.4166666666666305</v>
      </c>
    </row>
    <row r="103" spans="6:29" x14ac:dyDescent="0.25">
      <c r="F103" s="213"/>
      <c r="K103" s="208">
        <f>Множество_202207112140401240[[#This Row],[2]]-Множество_202207112140401240[[#This Row],[4]]</f>
        <v>0</v>
      </c>
      <c r="L103" s="208">
        <f>Множество_202207112140401240[[#This Row],[3]]-Множество_202207112140401240[[#This Row],[5]]</f>
        <v>0</v>
      </c>
      <c r="M103" s="208">
        <f>Множество_202207112140401240[[#This Row],[7]]+Множество_202207112140401240[[#This Row],[6]]</f>
        <v>0</v>
      </c>
      <c r="N103" s="208" t="str">
        <f>CONCATENATE(Множество_202207112140401240[[#This Row],[2]],Множество_202207112140401240[[#This Row],[3]])</f>
        <v/>
      </c>
      <c r="O103" s="208"/>
      <c r="P103" s="208"/>
      <c r="Q103">
        <v>5.4749999999999996</v>
      </c>
      <c r="R103">
        <v>-16.399999999999999</v>
      </c>
      <c r="S103" s="208">
        <v>10</v>
      </c>
      <c r="T103" s="208">
        <v>-12.5</v>
      </c>
      <c r="U103" s="208">
        <f>ABS(Множество_202207112140401240[[#This Row],[10]]-Множество_202207112140401240[[#This Row],[12]])</f>
        <v>4.5250000000000004</v>
      </c>
      <c r="V103" s="208">
        <f>ABS(Множество_202207112140401240[[#This Row],[11]]-Множество_202207112140401240[[#This Row],[13]])</f>
        <v>3.8999999999999986</v>
      </c>
      <c r="W103" s="208">
        <f>Множество_202207112140401240[[#This Row],[15]]+Множество_202207112140401240[[#This Row],[14]]</f>
        <v>8.4249999999999989</v>
      </c>
      <c r="X103" s="208">
        <f ca="1">IF(ROW()-ROW(Множество_202207112140401240[[#Headers],[17]])&gt;1,Множество_202207112140401240[[#This Row],[16]]-OFFSET(Множество_202207112140401240[[#This Row],[16]],-1,0),0)</f>
        <v>-4.1666666666632324E-2</v>
      </c>
      <c r="Y103" s="208">
        <v>5.4749999999999996</v>
      </c>
      <c r="Z103" s="208">
        <v>-16.399999999999999</v>
      </c>
      <c r="AA103" s="208">
        <f>ABS(Множество_202207112140401240[[#This Row],[18]]-Множество_202207112140401240[[#This Row],[12]])</f>
        <v>4.5250000000000004</v>
      </c>
      <c r="AB103" s="208">
        <f>ABS(Множество_202207112140401240[[#This Row],[19]]-Множество_202207112140401240[[#This Row],[13]])</f>
        <v>3.8999999999999986</v>
      </c>
      <c r="AC103" s="208">
        <f>Множество_202207112140401240[[#This Row],[20]]+Множество_202207112140401240[[#This Row],[21]]</f>
        <v>8.4249999999999989</v>
      </c>
    </row>
    <row r="104" spans="6:29" x14ac:dyDescent="0.25">
      <c r="F104" s="213"/>
      <c r="K104" s="208">
        <f>Множество_202207112140401240[[#This Row],[2]]-Множество_202207112140401240[[#This Row],[4]]</f>
        <v>0</v>
      </c>
      <c r="L104" s="208">
        <f>Множество_202207112140401240[[#This Row],[3]]-Множество_202207112140401240[[#This Row],[5]]</f>
        <v>0</v>
      </c>
      <c r="M104" s="208">
        <f>Множество_202207112140401240[[#This Row],[7]]+Множество_202207112140401240[[#This Row],[6]]</f>
        <v>0</v>
      </c>
      <c r="N104" s="208" t="str">
        <f>CONCATENATE(Множество_202207112140401240[[#This Row],[2]],Множество_202207112140401240[[#This Row],[3]])</f>
        <v/>
      </c>
      <c r="O104" s="208"/>
      <c r="P104" s="208"/>
      <c r="Q104">
        <v>5.3583333333333298</v>
      </c>
      <c r="R104">
        <v>-16.366666666666699</v>
      </c>
      <c r="S104" s="208">
        <v>10</v>
      </c>
      <c r="T104" s="208">
        <v>-12.5</v>
      </c>
      <c r="U104" s="208">
        <f>ABS(Множество_202207112140401240[[#This Row],[10]]-Множество_202207112140401240[[#This Row],[12]])</f>
        <v>4.6416666666666702</v>
      </c>
      <c r="V104" s="208">
        <f>ABS(Множество_202207112140401240[[#This Row],[11]]-Множество_202207112140401240[[#This Row],[13]])</f>
        <v>3.8666666666666991</v>
      </c>
      <c r="W104" s="208">
        <f>Множество_202207112140401240[[#This Row],[15]]+Множество_202207112140401240[[#This Row],[14]]</f>
        <v>8.5083333333333684</v>
      </c>
      <c r="X104" s="208">
        <f ca="1">IF(ROW()-ROW(Множество_202207112140401240[[#Headers],[17]])&gt;1,Множество_202207112140401240[[#This Row],[16]]-OFFSET(Множество_202207112140401240[[#This Row],[16]],-1,0),0)</f>
        <v>8.3333333333369453E-2</v>
      </c>
      <c r="Y104" s="208">
        <v>5.3</v>
      </c>
      <c r="Z104" s="208">
        <v>-16.350000000000001</v>
      </c>
      <c r="AA104" s="208">
        <f>ABS(Множество_202207112140401240[[#This Row],[18]]-Множество_202207112140401240[[#This Row],[12]])</f>
        <v>4.7</v>
      </c>
      <c r="AB104" s="208">
        <f>ABS(Множество_202207112140401240[[#This Row],[19]]-Множество_202207112140401240[[#This Row],[13]])</f>
        <v>3.8500000000000014</v>
      </c>
      <c r="AC104" s="208">
        <f>Множество_202207112140401240[[#This Row],[20]]+Множество_202207112140401240[[#This Row],[21]]</f>
        <v>8.5500000000000007</v>
      </c>
    </row>
    <row r="105" spans="6:29" x14ac:dyDescent="0.25">
      <c r="F105" s="213"/>
      <c r="K105" s="208">
        <f>Множество_202207112140401240[[#This Row],[2]]-Множество_202207112140401240[[#This Row],[4]]</f>
        <v>0</v>
      </c>
      <c r="L105" s="208">
        <f>Множество_202207112140401240[[#This Row],[3]]-Множество_202207112140401240[[#This Row],[5]]</f>
        <v>0</v>
      </c>
      <c r="M105" s="208">
        <f>Множество_202207112140401240[[#This Row],[7]]+Множество_202207112140401240[[#This Row],[6]]</f>
        <v>0</v>
      </c>
      <c r="N105" s="208" t="str">
        <f>CONCATENATE(Множество_202207112140401240[[#This Row],[2]],Множество_202207112140401240[[#This Row],[3]])</f>
        <v/>
      </c>
      <c r="O105" s="208"/>
      <c r="P105" s="208"/>
      <c r="Q105">
        <v>5.3</v>
      </c>
      <c r="R105">
        <v>-16.350000000000001</v>
      </c>
      <c r="S105" s="208">
        <v>10</v>
      </c>
      <c r="T105" s="208">
        <v>-12.5</v>
      </c>
      <c r="U105" s="208">
        <f>ABS(Множество_202207112140401240[[#This Row],[10]]-Множество_202207112140401240[[#This Row],[12]])</f>
        <v>4.7</v>
      </c>
      <c r="V105" s="208">
        <f>ABS(Множество_202207112140401240[[#This Row],[11]]-Множество_202207112140401240[[#This Row],[13]])</f>
        <v>3.8500000000000014</v>
      </c>
      <c r="W105" s="208">
        <f>Множество_202207112140401240[[#This Row],[15]]+Множество_202207112140401240[[#This Row],[14]]</f>
        <v>8.5500000000000007</v>
      </c>
      <c r="X105" s="208">
        <f ca="1">IF(ROW()-ROW(Множество_202207112140401240[[#Headers],[17]])&gt;1,Множество_202207112140401240[[#This Row],[16]]-OFFSET(Множество_202207112140401240[[#This Row],[16]],-1,0),0)</f>
        <v>4.1666666666632324E-2</v>
      </c>
      <c r="Y105" s="208">
        <v>5.3583333333333298</v>
      </c>
      <c r="Z105" s="208">
        <v>-16.366666666666699</v>
      </c>
      <c r="AA105" s="208">
        <f>ABS(Множество_202207112140401240[[#This Row],[18]]-Множество_202207112140401240[[#This Row],[12]])</f>
        <v>4.6416666666666702</v>
      </c>
      <c r="AB105" s="208">
        <f>ABS(Множество_202207112140401240[[#This Row],[19]]-Множество_202207112140401240[[#This Row],[13]])</f>
        <v>3.8666666666666991</v>
      </c>
      <c r="AC105" s="208">
        <f>Множество_202207112140401240[[#This Row],[20]]+Множество_202207112140401240[[#This Row],[21]]</f>
        <v>8.5083333333333684</v>
      </c>
    </row>
    <row r="106" spans="6:29" x14ac:dyDescent="0.25">
      <c r="F106" s="213"/>
      <c r="K106" s="208">
        <f>Множество_202207112140401240[[#This Row],[2]]-Множество_202207112140401240[[#This Row],[4]]</f>
        <v>0</v>
      </c>
      <c r="L106" s="208">
        <f>Множество_202207112140401240[[#This Row],[3]]-Множество_202207112140401240[[#This Row],[5]]</f>
        <v>0</v>
      </c>
      <c r="M106" s="208">
        <f>Множество_202207112140401240[[#This Row],[7]]+Множество_202207112140401240[[#This Row],[6]]</f>
        <v>0</v>
      </c>
      <c r="N106" s="208" t="str">
        <f>CONCATENATE(Множество_202207112140401240[[#This Row],[2]],Множество_202207112140401240[[#This Row],[3]])</f>
        <v/>
      </c>
      <c r="O106" s="208"/>
      <c r="P106" s="208"/>
      <c r="Q106">
        <v>3.2583333333333302</v>
      </c>
      <c r="R106">
        <v>-14.25</v>
      </c>
      <c r="S106" s="208">
        <v>10</v>
      </c>
      <c r="T106" s="208">
        <v>-12.5</v>
      </c>
      <c r="U106" s="208">
        <f>ABS(Множество_202207112140401240[[#This Row],[10]]-Множество_202207112140401240[[#This Row],[12]])</f>
        <v>6.7416666666666698</v>
      </c>
      <c r="V106" s="208">
        <f>ABS(Множество_202207112140401240[[#This Row],[11]]-Множество_202207112140401240[[#This Row],[13]])</f>
        <v>1.75</v>
      </c>
      <c r="W106" s="208">
        <f>Множество_202207112140401240[[#This Row],[15]]+Множество_202207112140401240[[#This Row],[14]]</f>
        <v>8.4916666666666707</v>
      </c>
      <c r="X106" s="208">
        <f ca="1">IF(ROW()-ROW(Множество_202207112140401240[[#Headers],[17]])&gt;1,Множество_202207112140401240[[#This Row],[16]]-OFFSET(Множество_202207112140401240[[#This Row],[16]],-1,0),0)</f>
        <v>-5.8333333333330017E-2</v>
      </c>
      <c r="Y106" s="208">
        <v>3.2583333333333302</v>
      </c>
      <c r="Z106" s="208">
        <v>-14.25</v>
      </c>
      <c r="AA106" s="208">
        <f>ABS(Множество_202207112140401240[[#This Row],[18]]-Множество_202207112140401240[[#This Row],[12]])</f>
        <v>6.7416666666666698</v>
      </c>
      <c r="AB106" s="208">
        <f>ABS(Множество_202207112140401240[[#This Row],[19]]-Множество_202207112140401240[[#This Row],[13]])</f>
        <v>1.75</v>
      </c>
      <c r="AC106" s="208">
        <f>Множество_202207112140401240[[#This Row],[20]]+Множество_202207112140401240[[#This Row],[21]]</f>
        <v>8.4916666666666707</v>
      </c>
    </row>
    <row r="107" spans="6:29" x14ac:dyDescent="0.25">
      <c r="F107" s="213"/>
      <c r="K107" s="208">
        <f>Множество_202207112140401240[[#This Row],[2]]-Множество_202207112140401240[[#This Row],[4]]</f>
        <v>0</v>
      </c>
      <c r="L107" s="208">
        <f>Множество_202207112140401240[[#This Row],[3]]-Множество_202207112140401240[[#This Row],[5]]</f>
        <v>0</v>
      </c>
      <c r="M107" s="208">
        <f>Множество_202207112140401240[[#This Row],[7]]+Множество_202207112140401240[[#This Row],[6]]</f>
        <v>0</v>
      </c>
      <c r="N107" s="208" t="str">
        <f>CONCATENATE(Множество_202207112140401240[[#This Row],[2]],Множество_202207112140401240[[#This Row],[3]])</f>
        <v/>
      </c>
      <c r="O107" s="208"/>
      <c r="P107" s="208"/>
      <c r="Q107">
        <v>3.2</v>
      </c>
      <c r="R107">
        <v>-14.283333333333299</v>
      </c>
      <c r="S107" s="208">
        <v>10</v>
      </c>
      <c r="T107" s="208">
        <v>-12.5</v>
      </c>
      <c r="U107" s="208">
        <f>ABS(Множество_202207112140401240[[#This Row],[10]]-Множество_202207112140401240[[#This Row],[12]])</f>
        <v>6.8</v>
      </c>
      <c r="V107" s="208">
        <f>ABS(Множество_202207112140401240[[#This Row],[11]]-Множество_202207112140401240[[#This Row],[13]])</f>
        <v>1.7833333333332995</v>
      </c>
      <c r="W107" s="208">
        <f>Множество_202207112140401240[[#This Row],[15]]+Множество_202207112140401240[[#This Row],[14]]</f>
        <v>8.5833333333333002</v>
      </c>
      <c r="X107" s="208">
        <f ca="1">IF(ROW()-ROW(Множество_202207112140401240[[#Headers],[17]])&gt;1,Множество_202207112140401240[[#This Row],[16]]-OFFSET(Множество_202207112140401240[[#This Row],[16]],-1,0),0)</f>
        <v>9.1666666666629482E-2</v>
      </c>
      <c r="Y107" s="208">
        <v>3.2</v>
      </c>
      <c r="Z107" s="208">
        <v>-14.283333333333299</v>
      </c>
      <c r="AA107" s="208">
        <f>ABS(Множество_202207112140401240[[#This Row],[18]]-Множество_202207112140401240[[#This Row],[12]])</f>
        <v>6.8</v>
      </c>
      <c r="AB107" s="208">
        <f>ABS(Множество_202207112140401240[[#This Row],[19]]-Множество_202207112140401240[[#This Row],[13]])</f>
        <v>1.7833333333332995</v>
      </c>
      <c r="AC107" s="208">
        <f>Множество_202207112140401240[[#This Row],[20]]+Множество_202207112140401240[[#This Row],[21]]</f>
        <v>8.5833333333333002</v>
      </c>
    </row>
    <row r="108" spans="6:29" x14ac:dyDescent="0.25">
      <c r="F108" s="213"/>
      <c r="K108" s="208">
        <f>Множество_202207112140401240[[#This Row],[2]]-Множество_202207112140401240[[#This Row],[4]]</f>
        <v>0</v>
      </c>
      <c r="L108" s="208">
        <f>Множество_202207112140401240[[#This Row],[3]]-Множество_202207112140401240[[#This Row],[5]]</f>
        <v>0</v>
      </c>
      <c r="M108" s="208">
        <f>Множество_202207112140401240[[#This Row],[7]]+Множество_202207112140401240[[#This Row],[6]]</f>
        <v>0</v>
      </c>
      <c r="N108" s="208" t="str">
        <f>CONCATENATE(Множество_202207112140401240[[#This Row],[2]],Множество_202207112140401240[[#This Row],[3]])</f>
        <v/>
      </c>
      <c r="O108" s="208"/>
      <c r="P108" s="208"/>
      <c r="Q108">
        <v>3.1416666666666702</v>
      </c>
      <c r="R108">
        <v>-14.3</v>
      </c>
      <c r="S108" s="208">
        <v>10</v>
      </c>
      <c r="T108" s="208">
        <v>-12.5</v>
      </c>
      <c r="U108" s="208">
        <f>ABS(Множество_202207112140401240[[#This Row],[10]]-Множество_202207112140401240[[#This Row],[12]])</f>
        <v>6.8583333333333298</v>
      </c>
      <c r="V108" s="208">
        <f>ABS(Множество_202207112140401240[[#This Row],[11]]-Множество_202207112140401240[[#This Row],[13]])</f>
        <v>1.8000000000000007</v>
      </c>
      <c r="W108" s="208">
        <f>Множество_202207112140401240[[#This Row],[15]]+Множество_202207112140401240[[#This Row],[14]]</f>
        <v>8.6583333333333314</v>
      </c>
      <c r="X108" s="208">
        <f ca="1">IF(ROW()-ROW(Множество_202207112140401240[[#Headers],[17]])&gt;1,Множество_202207112140401240[[#This Row],[16]]-OFFSET(Множество_202207112140401240[[#This Row],[16]],-1,0),0)</f>
        <v>7.5000000000031264E-2</v>
      </c>
      <c r="Y108" s="208">
        <v>3.1416666666666702</v>
      </c>
      <c r="Z108" s="208">
        <v>-14.3</v>
      </c>
      <c r="AA108" s="208">
        <f>ABS(Множество_202207112140401240[[#This Row],[18]]-Множество_202207112140401240[[#This Row],[12]])</f>
        <v>6.8583333333333298</v>
      </c>
      <c r="AB108" s="208">
        <f>ABS(Множество_202207112140401240[[#This Row],[19]]-Множество_202207112140401240[[#This Row],[13]])</f>
        <v>1.8000000000000007</v>
      </c>
      <c r="AC108" s="208">
        <f>Множество_202207112140401240[[#This Row],[20]]+Множество_202207112140401240[[#This Row],[21]]</f>
        <v>8.6583333333333314</v>
      </c>
    </row>
    <row r="109" spans="6:29" x14ac:dyDescent="0.25">
      <c r="F109" s="213"/>
      <c r="K109" s="208">
        <f>Множество_202207112140401240[[#This Row],[2]]-Множество_202207112140401240[[#This Row],[4]]</f>
        <v>0</v>
      </c>
      <c r="L109" s="208">
        <f>Множество_202207112140401240[[#This Row],[3]]-Множество_202207112140401240[[#This Row],[5]]</f>
        <v>0</v>
      </c>
      <c r="M109" s="208">
        <f>Множество_202207112140401240[[#This Row],[7]]+Множество_202207112140401240[[#This Row],[6]]</f>
        <v>0</v>
      </c>
      <c r="N109" s="208" t="str">
        <f>CONCATENATE(Множество_202207112140401240[[#This Row],[2]],Множество_202207112140401240[[#This Row],[3]])</f>
        <v/>
      </c>
      <c r="O109" s="208"/>
      <c r="P109" s="208"/>
      <c r="Q109">
        <v>5.18333333333333</v>
      </c>
      <c r="R109">
        <v>-16.3333333333333</v>
      </c>
      <c r="S109" s="208">
        <v>10</v>
      </c>
      <c r="T109" s="208">
        <v>-12.5</v>
      </c>
      <c r="U109" s="208">
        <f>ABS(Множество_202207112140401240[[#This Row],[10]]-Множество_202207112140401240[[#This Row],[12]])</f>
        <v>4.81666666666667</v>
      </c>
      <c r="V109" s="208">
        <f>ABS(Множество_202207112140401240[[#This Row],[11]]-Множество_202207112140401240[[#This Row],[13]])</f>
        <v>3.8333333333333002</v>
      </c>
      <c r="W109" s="208">
        <f>Множество_202207112140401240[[#This Row],[15]]+Множество_202207112140401240[[#This Row],[14]]</f>
        <v>8.6499999999999702</v>
      </c>
      <c r="X109" s="208">
        <f ca="1">IF(ROW()-ROW(Множество_202207112140401240[[#Headers],[17]])&gt;1,Множество_202207112140401240[[#This Row],[16]]-OFFSET(Множество_202207112140401240[[#This Row],[16]],-1,0),0)</f>
        <v>-8.3333333333612813E-3</v>
      </c>
      <c r="Y109" s="208">
        <v>5.18333333333333</v>
      </c>
      <c r="Z109" s="208">
        <v>-16.3333333333333</v>
      </c>
      <c r="AA109" s="208">
        <f>ABS(Множество_202207112140401240[[#This Row],[18]]-Множество_202207112140401240[[#This Row],[12]])</f>
        <v>4.81666666666667</v>
      </c>
      <c r="AB109" s="208">
        <f>ABS(Множество_202207112140401240[[#This Row],[19]]-Множество_202207112140401240[[#This Row],[13]])</f>
        <v>3.8333333333333002</v>
      </c>
      <c r="AC109" s="208">
        <f>Множество_202207112140401240[[#This Row],[20]]+Множество_202207112140401240[[#This Row],[21]]</f>
        <v>8.6499999999999702</v>
      </c>
    </row>
    <row r="110" spans="6:29" x14ac:dyDescent="0.25">
      <c r="F110" s="213"/>
      <c r="K110" s="208">
        <f>Множество_202207112140401240[[#This Row],[2]]-Множество_202207112140401240[[#This Row],[4]]</f>
        <v>0</v>
      </c>
      <c r="L110" s="208">
        <f>Множество_202207112140401240[[#This Row],[3]]-Множество_202207112140401240[[#This Row],[5]]</f>
        <v>0</v>
      </c>
      <c r="M110" s="208">
        <f>Множество_202207112140401240[[#This Row],[7]]+Множество_202207112140401240[[#This Row],[6]]</f>
        <v>0</v>
      </c>
      <c r="N110" s="208" t="str">
        <f>CONCATENATE(Множество_202207112140401240[[#This Row],[2]],Множество_202207112140401240[[#This Row],[3]])</f>
        <v/>
      </c>
      <c r="O110" s="208"/>
      <c r="P110" s="208"/>
      <c r="Q110">
        <v>5.0083333333333302</v>
      </c>
      <c r="R110">
        <v>-16.283333333333299</v>
      </c>
      <c r="S110" s="208">
        <v>10</v>
      </c>
      <c r="T110" s="208">
        <v>-12.5</v>
      </c>
      <c r="U110" s="208">
        <f>ABS(Множество_202207112140401240[[#This Row],[10]]-Множество_202207112140401240[[#This Row],[12]])</f>
        <v>4.9916666666666698</v>
      </c>
      <c r="V110" s="208">
        <f>ABS(Множество_202207112140401240[[#This Row],[11]]-Множество_202207112140401240[[#This Row],[13]])</f>
        <v>3.7833333333332995</v>
      </c>
      <c r="W110" s="208">
        <f>Множество_202207112140401240[[#This Row],[15]]+Множество_202207112140401240[[#This Row],[14]]</f>
        <v>8.7749999999999702</v>
      </c>
      <c r="X110" s="208">
        <f ca="1">IF(ROW()-ROW(Множество_202207112140401240[[#Headers],[17]])&gt;1,Множество_202207112140401240[[#This Row],[16]]-OFFSET(Множество_202207112140401240[[#This Row],[16]],-1,0),0)</f>
        <v>0.125</v>
      </c>
      <c r="Y110" s="208">
        <v>5.0083333333333302</v>
      </c>
      <c r="Z110" s="208">
        <v>-16.283333333333299</v>
      </c>
      <c r="AA110" s="208">
        <f>ABS(Множество_202207112140401240[[#This Row],[18]]-Множество_202207112140401240[[#This Row],[12]])</f>
        <v>4.9916666666666698</v>
      </c>
      <c r="AB110" s="208">
        <f>ABS(Множество_202207112140401240[[#This Row],[19]]-Множество_202207112140401240[[#This Row],[13]])</f>
        <v>3.7833333333332995</v>
      </c>
      <c r="AC110" s="208">
        <f>Множество_202207112140401240[[#This Row],[20]]+Множество_202207112140401240[[#This Row],[21]]</f>
        <v>8.7749999999999702</v>
      </c>
    </row>
    <row r="111" spans="6:29" x14ac:dyDescent="0.25">
      <c r="F111" s="213"/>
      <c r="K111" s="208">
        <f>Множество_202207112140401240[[#This Row],[2]]-Множество_202207112140401240[[#This Row],[4]]</f>
        <v>0</v>
      </c>
      <c r="L111" s="208">
        <f>Множество_202207112140401240[[#This Row],[3]]-Множество_202207112140401240[[#This Row],[5]]</f>
        <v>0</v>
      </c>
      <c r="M111" s="208">
        <f>Множество_202207112140401240[[#This Row],[7]]+Множество_202207112140401240[[#This Row],[6]]</f>
        <v>0</v>
      </c>
      <c r="N111" s="208" t="str">
        <f>CONCATENATE(Множество_202207112140401240[[#This Row],[2]],Множество_202207112140401240[[#This Row],[3]])</f>
        <v/>
      </c>
      <c r="O111" s="208"/>
      <c r="P111" s="208"/>
      <c r="Q111">
        <v>5.06666666666667</v>
      </c>
      <c r="R111">
        <v>-16.3</v>
      </c>
      <c r="S111" s="208">
        <v>10</v>
      </c>
      <c r="T111" s="208">
        <v>-12.5</v>
      </c>
      <c r="U111" s="208">
        <f>ABS(Множество_202207112140401240[[#This Row],[10]]-Множество_202207112140401240[[#This Row],[12]])</f>
        <v>4.93333333333333</v>
      </c>
      <c r="V111" s="208">
        <f>ABS(Множество_202207112140401240[[#This Row],[11]]-Множество_202207112140401240[[#This Row],[13]])</f>
        <v>3.8000000000000007</v>
      </c>
      <c r="W111" s="208">
        <f>Множество_202207112140401240[[#This Row],[15]]+Множество_202207112140401240[[#This Row],[14]]</f>
        <v>8.7333333333333307</v>
      </c>
      <c r="X111" s="208">
        <f ca="1">IF(ROW()-ROW(Множество_202207112140401240[[#Headers],[17]])&gt;1,Множество_202207112140401240[[#This Row],[16]]-OFFSET(Множество_202207112140401240[[#This Row],[16]],-1,0),0)</f>
        <v>-4.1666666666639429E-2</v>
      </c>
      <c r="Y111" s="208">
        <v>5.06666666666667</v>
      </c>
      <c r="Z111" s="208">
        <v>-16.3</v>
      </c>
      <c r="AA111" s="208">
        <f>ABS(Множество_202207112140401240[[#This Row],[18]]-Множество_202207112140401240[[#This Row],[12]])</f>
        <v>4.93333333333333</v>
      </c>
      <c r="AB111" s="208">
        <f>ABS(Множество_202207112140401240[[#This Row],[19]]-Множество_202207112140401240[[#This Row],[13]])</f>
        <v>3.8000000000000007</v>
      </c>
      <c r="AC111" s="208">
        <f>Множество_202207112140401240[[#This Row],[20]]+Множество_202207112140401240[[#This Row],[21]]</f>
        <v>8.7333333333333307</v>
      </c>
    </row>
    <row r="112" spans="6:29" x14ac:dyDescent="0.25">
      <c r="F112" s="213"/>
      <c r="K112" s="208">
        <f>Множество_202207112140401240[[#This Row],[2]]-Множество_202207112140401240[[#This Row],[4]]</f>
        <v>0</v>
      </c>
      <c r="L112" s="208">
        <f>Множество_202207112140401240[[#This Row],[3]]-Множество_202207112140401240[[#This Row],[5]]</f>
        <v>0</v>
      </c>
      <c r="M112" s="208">
        <f>Множество_202207112140401240[[#This Row],[7]]+Множество_202207112140401240[[#This Row],[6]]</f>
        <v>0</v>
      </c>
      <c r="N112" s="208" t="str">
        <f>CONCATENATE(Множество_202207112140401240[[#This Row],[2]],Множество_202207112140401240[[#This Row],[3]])</f>
        <v/>
      </c>
      <c r="O112" s="208"/>
      <c r="P112" s="208"/>
      <c r="Q112">
        <v>5.125</v>
      </c>
      <c r="R112">
        <v>-16.316666666666698</v>
      </c>
      <c r="S112" s="208">
        <v>10</v>
      </c>
      <c r="T112" s="208">
        <v>-12.5</v>
      </c>
      <c r="U112" s="208">
        <f>ABS(Множество_202207112140401240[[#This Row],[10]]-Множество_202207112140401240[[#This Row],[12]])</f>
        <v>4.875</v>
      </c>
      <c r="V112" s="208">
        <f>ABS(Множество_202207112140401240[[#This Row],[11]]-Множество_202207112140401240[[#This Row],[13]])</f>
        <v>3.8166666666666984</v>
      </c>
      <c r="W112" s="208">
        <f>Множество_202207112140401240[[#This Row],[15]]+Множество_202207112140401240[[#This Row],[14]]</f>
        <v>8.6916666666666984</v>
      </c>
      <c r="X112" s="208">
        <f ca="1">IF(ROW()-ROW(Множество_202207112140401240[[#Headers],[17]])&gt;1,Множество_202207112140401240[[#This Row],[16]]-OFFSET(Множество_202207112140401240[[#This Row],[16]],-1,0),0)</f>
        <v>-4.1666666666632324E-2</v>
      </c>
      <c r="Y112" s="208">
        <v>5.125</v>
      </c>
      <c r="Z112" s="208">
        <v>-16.316666666666698</v>
      </c>
      <c r="AA112" s="208">
        <f>ABS(Множество_202207112140401240[[#This Row],[18]]-Множество_202207112140401240[[#This Row],[12]])</f>
        <v>4.875</v>
      </c>
      <c r="AB112" s="208">
        <f>ABS(Множество_202207112140401240[[#This Row],[19]]-Множество_202207112140401240[[#This Row],[13]])</f>
        <v>3.8166666666666984</v>
      </c>
      <c r="AC112" s="208">
        <f>Множество_202207112140401240[[#This Row],[20]]+Множество_202207112140401240[[#This Row],[21]]</f>
        <v>8.6916666666666984</v>
      </c>
    </row>
    <row r="113" spans="6:29" x14ac:dyDescent="0.25">
      <c r="F113" s="213"/>
      <c r="K113" s="208">
        <f>Множество_202207112140401240[[#This Row],[2]]-Множество_202207112140401240[[#This Row],[4]]</f>
        <v>0</v>
      </c>
      <c r="L113" s="208">
        <f>Множество_202207112140401240[[#This Row],[3]]-Множество_202207112140401240[[#This Row],[5]]</f>
        <v>0</v>
      </c>
      <c r="M113" s="208">
        <f>Множество_202207112140401240[[#This Row],[7]]+Множество_202207112140401240[[#This Row],[6]]</f>
        <v>0</v>
      </c>
      <c r="N113" s="208" t="str">
        <f>CONCATENATE(Множество_202207112140401240[[#This Row],[2]],Множество_202207112140401240[[#This Row],[3]])</f>
        <v/>
      </c>
      <c r="O113" s="208"/>
      <c r="P113" s="208"/>
      <c r="Q113">
        <v>3.0833333333333299</v>
      </c>
      <c r="R113">
        <v>-14.3166666666667</v>
      </c>
      <c r="S113" s="208">
        <v>10</v>
      </c>
      <c r="T113" s="208">
        <v>-12.5</v>
      </c>
      <c r="U113" s="208">
        <f>ABS(Множество_202207112140401240[[#This Row],[10]]-Множество_202207112140401240[[#This Row],[12]])</f>
        <v>6.9166666666666696</v>
      </c>
      <c r="V113" s="208">
        <f>ABS(Множество_202207112140401240[[#This Row],[11]]-Множество_202207112140401240[[#This Row],[13]])</f>
        <v>1.8166666666667002</v>
      </c>
      <c r="W113" s="208">
        <f>Множество_202207112140401240[[#This Row],[15]]+Множество_202207112140401240[[#This Row],[14]]</f>
        <v>8.7333333333333698</v>
      </c>
      <c r="X113" s="208">
        <f ca="1">IF(ROW()-ROW(Множество_202207112140401240[[#Headers],[17]])&gt;1,Множество_202207112140401240[[#This Row],[16]]-OFFSET(Множество_202207112140401240[[#This Row],[16]],-1,0),0)</f>
        <v>4.1666666666671404E-2</v>
      </c>
      <c r="Y113" s="208">
        <v>3.0833333333333299</v>
      </c>
      <c r="Z113" s="208">
        <v>-14.3166666666667</v>
      </c>
      <c r="AA113" s="208">
        <f>ABS(Множество_202207112140401240[[#This Row],[18]]-Множество_202207112140401240[[#This Row],[12]])</f>
        <v>6.9166666666666696</v>
      </c>
      <c r="AB113" s="208">
        <f>ABS(Множество_202207112140401240[[#This Row],[19]]-Множество_202207112140401240[[#This Row],[13]])</f>
        <v>1.8166666666667002</v>
      </c>
      <c r="AC113" s="208">
        <f>Множество_202207112140401240[[#This Row],[20]]+Множество_202207112140401240[[#This Row],[21]]</f>
        <v>8.7333333333333698</v>
      </c>
    </row>
    <row r="114" spans="6:29" x14ac:dyDescent="0.25">
      <c r="F114" s="213"/>
      <c r="K114" s="208">
        <f>Множество_202207112140401240[[#This Row],[2]]-Множество_202207112140401240[[#This Row],[4]]</f>
        <v>0</v>
      </c>
      <c r="L114" s="208">
        <f>Множество_202207112140401240[[#This Row],[3]]-Множество_202207112140401240[[#This Row],[5]]</f>
        <v>0</v>
      </c>
      <c r="M114" s="208">
        <f>Множество_202207112140401240[[#This Row],[7]]+Множество_202207112140401240[[#This Row],[6]]</f>
        <v>0</v>
      </c>
      <c r="N114" s="208" t="str">
        <f>CONCATENATE(Множество_202207112140401240[[#This Row],[2]],Множество_202207112140401240[[#This Row],[3]])</f>
        <v/>
      </c>
      <c r="O114" s="208"/>
      <c r="P114" s="208"/>
      <c r="Q114">
        <v>3.0249999999999999</v>
      </c>
      <c r="R114">
        <v>-14.35</v>
      </c>
      <c r="S114" s="208">
        <v>10</v>
      </c>
      <c r="T114" s="208">
        <v>-12.5</v>
      </c>
      <c r="U114" s="208">
        <f>ABS(Множество_202207112140401240[[#This Row],[10]]-Множество_202207112140401240[[#This Row],[12]])</f>
        <v>6.9749999999999996</v>
      </c>
      <c r="V114" s="208">
        <f>ABS(Множество_202207112140401240[[#This Row],[11]]-Множество_202207112140401240[[#This Row],[13]])</f>
        <v>1.8499999999999996</v>
      </c>
      <c r="W114" s="208">
        <f>Множество_202207112140401240[[#This Row],[15]]+Множество_202207112140401240[[#This Row],[14]]</f>
        <v>8.8249999999999993</v>
      </c>
      <c r="X114" s="208">
        <f ca="1">IF(ROW()-ROW(Множество_202207112140401240[[#Headers],[17]])&gt;1,Множество_202207112140401240[[#This Row],[16]]-OFFSET(Множество_202207112140401240[[#This Row],[16]],-1,0),0)</f>
        <v>9.1666666666629482E-2</v>
      </c>
      <c r="Y114" s="208">
        <v>3.0249999999999999</v>
      </c>
      <c r="Z114" s="208">
        <v>-14.35</v>
      </c>
      <c r="AA114" s="208">
        <f>ABS(Множество_202207112140401240[[#This Row],[18]]-Множество_202207112140401240[[#This Row],[12]])</f>
        <v>6.9749999999999996</v>
      </c>
      <c r="AB114" s="208">
        <f>ABS(Множество_202207112140401240[[#This Row],[19]]-Множество_202207112140401240[[#This Row],[13]])</f>
        <v>1.8499999999999996</v>
      </c>
      <c r="AC114" s="208">
        <f>Множество_202207112140401240[[#This Row],[20]]+Множество_202207112140401240[[#This Row],[21]]</f>
        <v>8.8249999999999993</v>
      </c>
    </row>
    <row r="115" spans="6:29" x14ac:dyDescent="0.25">
      <c r="F115" s="213"/>
      <c r="K115" s="208">
        <f>Множество_202207112140401240[[#This Row],[2]]-Множество_202207112140401240[[#This Row],[4]]</f>
        <v>0</v>
      </c>
      <c r="L115" s="208">
        <f>Множество_202207112140401240[[#This Row],[3]]-Множество_202207112140401240[[#This Row],[5]]</f>
        <v>0</v>
      </c>
      <c r="M115" s="208">
        <f>Множество_202207112140401240[[#This Row],[7]]+Множество_202207112140401240[[#This Row],[6]]</f>
        <v>0</v>
      </c>
      <c r="N115" s="208" t="str">
        <f>CONCATENATE(Множество_202207112140401240[[#This Row],[2]],Множество_202207112140401240[[#This Row],[3]])</f>
        <v/>
      </c>
      <c r="O115" s="208"/>
      <c r="P115" s="208"/>
      <c r="Q115">
        <v>4.95</v>
      </c>
      <c r="R115">
        <v>-16.283333333333299</v>
      </c>
      <c r="S115" s="208">
        <v>10</v>
      </c>
      <c r="T115" s="208">
        <v>-12.5</v>
      </c>
      <c r="U115" s="208">
        <f>ABS(Множество_202207112140401240[[#This Row],[10]]-Множество_202207112140401240[[#This Row],[12]])</f>
        <v>5.05</v>
      </c>
      <c r="V115" s="208">
        <f>ABS(Множество_202207112140401240[[#This Row],[11]]-Множество_202207112140401240[[#This Row],[13]])</f>
        <v>3.7833333333332995</v>
      </c>
      <c r="W115" s="208">
        <f>Множество_202207112140401240[[#This Row],[15]]+Множество_202207112140401240[[#This Row],[14]]</f>
        <v>8.8333333333333002</v>
      </c>
      <c r="X115" s="208">
        <f ca="1">IF(ROW()-ROW(Множество_202207112140401240[[#Headers],[17]])&gt;1,Множество_202207112140401240[[#This Row],[16]]-OFFSET(Множество_202207112140401240[[#This Row],[16]],-1,0),0)</f>
        <v>8.3333333333008852E-3</v>
      </c>
      <c r="Y115" s="208">
        <v>4.95</v>
      </c>
      <c r="Z115" s="208">
        <v>-16.283333333333299</v>
      </c>
      <c r="AA115" s="208">
        <f>ABS(Множество_202207112140401240[[#This Row],[18]]-Множество_202207112140401240[[#This Row],[12]])</f>
        <v>5.05</v>
      </c>
      <c r="AB115" s="208">
        <f>ABS(Множество_202207112140401240[[#This Row],[19]]-Множество_202207112140401240[[#This Row],[13]])</f>
        <v>3.7833333333332995</v>
      </c>
      <c r="AC115" s="208">
        <f>Множество_202207112140401240[[#This Row],[20]]+Множество_202207112140401240[[#This Row],[21]]</f>
        <v>8.8333333333333002</v>
      </c>
    </row>
    <row r="116" spans="6:29" x14ac:dyDescent="0.25">
      <c r="F116" s="213"/>
      <c r="K116" s="208">
        <f>Множество_202207112140401240[[#This Row],[2]]-Множество_202207112140401240[[#This Row],[4]]</f>
        <v>0</v>
      </c>
      <c r="L116" s="208">
        <f>Множество_202207112140401240[[#This Row],[3]]-Множество_202207112140401240[[#This Row],[5]]</f>
        <v>0</v>
      </c>
      <c r="M116" s="208">
        <f>Множество_202207112140401240[[#This Row],[7]]+Множество_202207112140401240[[#This Row],[6]]</f>
        <v>0</v>
      </c>
      <c r="N116" s="208" t="str">
        <f>CONCATENATE(Множество_202207112140401240[[#This Row],[2]],Множество_202207112140401240[[#This Row],[3]])</f>
        <v/>
      </c>
      <c r="O116" s="208"/>
      <c r="P116" s="208"/>
      <c r="Q116">
        <v>4.8916666666666702</v>
      </c>
      <c r="R116">
        <v>-16.266666666666701</v>
      </c>
      <c r="S116" s="208">
        <v>10</v>
      </c>
      <c r="T116" s="208">
        <v>-12.5</v>
      </c>
      <c r="U116" s="208">
        <f>ABS(Множество_202207112140401240[[#This Row],[10]]-Множество_202207112140401240[[#This Row],[12]])</f>
        <v>5.1083333333333298</v>
      </c>
      <c r="V116" s="208">
        <f>ABS(Множество_202207112140401240[[#This Row],[11]]-Множество_202207112140401240[[#This Row],[13]])</f>
        <v>3.7666666666667012</v>
      </c>
      <c r="W116" s="208">
        <f>Множество_202207112140401240[[#This Row],[15]]+Множество_202207112140401240[[#This Row],[14]]</f>
        <v>8.875000000000032</v>
      </c>
      <c r="X116" s="208">
        <f ca="1">IF(ROW()-ROW(Множество_202207112140401240[[#Headers],[17]])&gt;1,Множество_202207112140401240[[#This Row],[16]]-OFFSET(Множество_202207112140401240[[#This Row],[16]],-1,0),0)</f>
        <v>4.16666666667318E-2</v>
      </c>
      <c r="Y116" s="208">
        <v>4.8916666666666702</v>
      </c>
      <c r="Z116" s="208">
        <v>-16.266666666666701</v>
      </c>
      <c r="AA116" s="208">
        <f>ABS(Множество_202207112140401240[[#This Row],[18]]-Множество_202207112140401240[[#This Row],[12]])</f>
        <v>5.1083333333333298</v>
      </c>
      <c r="AB116" s="208">
        <f>ABS(Множество_202207112140401240[[#This Row],[19]]-Множество_202207112140401240[[#This Row],[13]])</f>
        <v>3.7666666666667012</v>
      </c>
      <c r="AC116" s="208">
        <f>Множество_202207112140401240[[#This Row],[20]]+Множество_202207112140401240[[#This Row],[21]]</f>
        <v>8.875000000000032</v>
      </c>
    </row>
    <row r="117" spans="6:29" x14ac:dyDescent="0.25">
      <c r="F117" s="213"/>
      <c r="K117" s="208">
        <f>Множество_202207112140401240[[#This Row],[2]]-Множество_202207112140401240[[#This Row],[4]]</f>
        <v>0</v>
      </c>
      <c r="L117" s="208">
        <f>Множество_202207112140401240[[#This Row],[3]]-Множество_202207112140401240[[#This Row],[5]]</f>
        <v>0</v>
      </c>
      <c r="M117" s="208">
        <f>Множество_202207112140401240[[#This Row],[7]]+Множество_202207112140401240[[#This Row],[6]]</f>
        <v>0</v>
      </c>
      <c r="N117" s="208" t="str">
        <f>CONCATENATE(Множество_202207112140401240[[#This Row],[2]],Множество_202207112140401240[[#This Row],[3]])</f>
        <v/>
      </c>
      <c r="O117" s="208"/>
      <c r="P117" s="208"/>
      <c r="Q117">
        <v>4.7750000000000004</v>
      </c>
      <c r="R117">
        <v>-16.233333333333299</v>
      </c>
      <c r="S117" s="208">
        <v>10</v>
      </c>
      <c r="T117" s="208">
        <v>-12.5</v>
      </c>
      <c r="U117" s="208">
        <f>ABS(Множество_202207112140401240[[#This Row],[10]]-Множество_202207112140401240[[#This Row],[12]])</f>
        <v>5.2249999999999996</v>
      </c>
      <c r="V117" s="208">
        <f>ABS(Множество_202207112140401240[[#This Row],[11]]-Множество_202207112140401240[[#This Row],[13]])</f>
        <v>3.7333333333332988</v>
      </c>
      <c r="W117" s="208">
        <f>Множество_202207112140401240[[#This Row],[15]]+Множество_202207112140401240[[#This Row],[14]]</f>
        <v>8.9583333333332984</v>
      </c>
      <c r="X117" s="208">
        <f ca="1">IF(ROW()-ROW(Множество_202207112140401240[[#Headers],[17]])&gt;1,Множество_202207112140401240[[#This Row],[16]]-OFFSET(Множество_202207112140401240[[#This Row],[16]],-1,0),0)</f>
        <v>8.3333333333266424E-2</v>
      </c>
      <c r="Y117" s="208">
        <v>2.9083333333333301</v>
      </c>
      <c r="Z117" s="208">
        <v>-14.383333333333301</v>
      </c>
      <c r="AA117" s="208">
        <f>ABS(Множество_202207112140401240[[#This Row],[18]]-Множество_202207112140401240[[#This Row],[12]])</f>
        <v>7.0916666666666703</v>
      </c>
      <c r="AB117" s="208">
        <f>ABS(Множество_202207112140401240[[#This Row],[19]]-Множество_202207112140401240[[#This Row],[13]])</f>
        <v>1.8833333333333009</v>
      </c>
      <c r="AC117" s="208">
        <f>Множество_202207112140401240[[#This Row],[20]]+Множество_202207112140401240[[#This Row],[21]]</f>
        <v>8.9749999999999712</v>
      </c>
    </row>
    <row r="118" spans="6:29" x14ac:dyDescent="0.25">
      <c r="F118" s="213"/>
      <c r="K118" s="208">
        <f>Множество_202207112140401240[[#This Row],[2]]-Множество_202207112140401240[[#This Row],[4]]</f>
        <v>0</v>
      </c>
      <c r="L118" s="208">
        <f>Множество_202207112140401240[[#This Row],[3]]-Множество_202207112140401240[[#This Row],[5]]</f>
        <v>0</v>
      </c>
      <c r="M118" s="208">
        <f>Множество_202207112140401240[[#This Row],[7]]+Множество_202207112140401240[[#This Row],[6]]</f>
        <v>0</v>
      </c>
      <c r="N118" s="208" t="str">
        <f>CONCATENATE(Множество_202207112140401240[[#This Row],[2]],Множество_202207112140401240[[#This Row],[3]])</f>
        <v/>
      </c>
      <c r="O118" s="208"/>
      <c r="P118" s="208"/>
      <c r="Q118">
        <v>2.9083333333333301</v>
      </c>
      <c r="R118">
        <v>-14.383333333333301</v>
      </c>
      <c r="S118" s="208">
        <v>10</v>
      </c>
      <c r="T118" s="208">
        <v>-12.5</v>
      </c>
      <c r="U118" s="208">
        <f>ABS(Множество_202207112140401240[[#This Row],[10]]-Множество_202207112140401240[[#This Row],[12]])</f>
        <v>7.0916666666666703</v>
      </c>
      <c r="V118" s="208">
        <f>ABS(Множество_202207112140401240[[#This Row],[11]]-Множество_202207112140401240[[#This Row],[13]])</f>
        <v>1.8833333333333009</v>
      </c>
      <c r="W118" s="208">
        <f>Множество_202207112140401240[[#This Row],[15]]+Множество_202207112140401240[[#This Row],[14]]</f>
        <v>8.9749999999999712</v>
      </c>
      <c r="X118" s="208">
        <f ca="1">IF(ROW()-ROW(Множество_202207112140401240[[#Headers],[17]])&gt;1,Множество_202207112140401240[[#This Row],[16]]-OFFSET(Множество_202207112140401240[[#This Row],[16]],-1,0),0)</f>
        <v>1.6666666666672825E-2</v>
      </c>
      <c r="Y118" s="208">
        <v>2.9666666666666699</v>
      </c>
      <c r="Z118" s="208">
        <v>-14.366666666666699</v>
      </c>
      <c r="AA118" s="208">
        <f>ABS(Множество_202207112140401240[[#This Row],[18]]-Множество_202207112140401240[[#This Row],[12]])</f>
        <v>7.0333333333333297</v>
      </c>
      <c r="AB118" s="208">
        <f>ABS(Множество_202207112140401240[[#This Row],[19]]-Множество_202207112140401240[[#This Row],[13]])</f>
        <v>1.8666666666666991</v>
      </c>
      <c r="AC118" s="208">
        <f>Множество_202207112140401240[[#This Row],[20]]+Множество_202207112140401240[[#This Row],[21]]</f>
        <v>8.9000000000000288</v>
      </c>
    </row>
    <row r="119" spans="6:29" x14ac:dyDescent="0.25">
      <c r="F119" s="213"/>
      <c r="K119" s="208">
        <f>Множество_202207112140401240[[#This Row],[2]]-Множество_202207112140401240[[#This Row],[4]]</f>
        <v>0</v>
      </c>
      <c r="L119" s="208">
        <f>Множество_202207112140401240[[#This Row],[3]]-Множество_202207112140401240[[#This Row],[5]]</f>
        <v>0</v>
      </c>
      <c r="M119" s="208">
        <f>Множество_202207112140401240[[#This Row],[7]]+Множество_202207112140401240[[#This Row],[6]]</f>
        <v>0</v>
      </c>
      <c r="N119" s="208" t="str">
        <f>CONCATENATE(Множество_202207112140401240[[#This Row],[2]],Множество_202207112140401240[[#This Row],[3]])</f>
        <v/>
      </c>
      <c r="O119" s="208"/>
      <c r="P119" s="208"/>
      <c r="Q119">
        <v>2.9666666666666699</v>
      </c>
      <c r="R119">
        <v>-14.366666666666699</v>
      </c>
      <c r="S119" s="208">
        <v>10</v>
      </c>
      <c r="T119" s="208">
        <v>-12.5</v>
      </c>
      <c r="U119" s="208">
        <f>ABS(Множество_202207112140401240[[#This Row],[10]]-Множество_202207112140401240[[#This Row],[12]])</f>
        <v>7.0333333333333297</v>
      </c>
      <c r="V119" s="208">
        <f>ABS(Множество_202207112140401240[[#This Row],[11]]-Множество_202207112140401240[[#This Row],[13]])</f>
        <v>1.8666666666666991</v>
      </c>
      <c r="W119" s="208">
        <f>Множество_202207112140401240[[#This Row],[15]]+Множество_202207112140401240[[#This Row],[14]]</f>
        <v>8.9000000000000288</v>
      </c>
      <c r="X119" s="208">
        <f ca="1">IF(ROW()-ROW(Множество_202207112140401240[[#Headers],[17]])&gt;1,Множество_202207112140401240[[#This Row],[16]]-OFFSET(Множество_202207112140401240[[#This Row],[16]],-1,0),0)</f>
        <v>-7.4999999999942446E-2</v>
      </c>
      <c r="Y119" s="208">
        <v>4.7750000000000004</v>
      </c>
      <c r="Z119" s="208">
        <v>-16.233333333333299</v>
      </c>
      <c r="AA119" s="208">
        <f>ABS(Множество_202207112140401240[[#This Row],[18]]-Множество_202207112140401240[[#This Row],[12]])</f>
        <v>5.2249999999999996</v>
      </c>
      <c r="AB119" s="208">
        <f>ABS(Множество_202207112140401240[[#This Row],[19]]-Множество_202207112140401240[[#This Row],[13]])</f>
        <v>3.7333333333332988</v>
      </c>
      <c r="AC119" s="208">
        <f>Множество_202207112140401240[[#This Row],[20]]+Множество_202207112140401240[[#This Row],[21]]</f>
        <v>8.9583333333332984</v>
      </c>
    </row>
    <row r="120" spans="6:29" x14ac:dyDescent="0.25">
      <c r="F120" s="213"/>
      <c r="K120" s="208">
        <f>Множество_202207112140401240[[#This Row],[2]]-Множество_202207112140401240[[#This Row],[4]]</f>
        <v>0</v>
      </c>
      <c r="L120" s="208">
        <f>Множество_202207112140401240[[#This Row],[3]]-Множество_202207112140401240[[#This Row],[5]]</f>
        <v>0</v>
      </c>
      <c r="M120" s="208">
        <f>Множество_202207112140401240[[#This Row],[7]]+Множество_202207112140401240[[#This Row],[6]]</f>
        <v>0</v>
      </c>
      <c r="N120" s="208" t="str">
        <f>CONCATENATE(Множество_202207112140401240[[#This Row],[2]],Множество_202207112140401240[[#This Row],[3]])</f>
        <v/>
      </c>
      <c r="O120" s="208"/>
      <c r="P120" s="208"/>
      <c r="Q120">
        <v>4.8333333333333304</v>
      </c>
      <c r="R120">
        <v>-16.25</v>
      </c>
      <c r="S120" s="208">
        <v>10</v>
      </c>
      <c r="T120" s="208">
        <v>-12.5</v>
      </c>
      <c r="U120" s="208">
        <f>ABS(Множество_202207112140401240[[#This Row],[10]]-Множество_202207112140401240[[#This Row],[12]])</f>
        <v>5.1666666666666696</v>
      </c>
      <c r="V120" s="208">
        <f>ABS(Множество_202207112140401240[[#This Row],[11]]-Множество_202207112140401240[[#This Row],[13]])</f>
        <v>3.75</v>
      </c>
      <c r="W120" s="208">
        <f>Множество_202207112140401240[[#This Row],[15]]+Множество_202207112140401240[[#This Row],[14]]</f>
        <v>8.9166666666666696</v>
      </c>
      <c r="X120" s="208">
        <f ca="1">IF(ROW()-ROW(Множество_202207112140401240[[#Headers],[17]])&gt;1,Множество_202207112140401240[[#This Row],[16]]-OFFSET(Множество_202207112140401240[[#This Row],[16]],-1,0),0)</f>
        <v>1.666666666664085E-2</v>
      </c>
      <c r="Y120" s="208">
        <v>4.8333333333333304</v>
      </c>
      <c r="Z120" s="208">
        <v>-16.25</v>
      </c>
      <c r="AA120" s="208">
        <f>ABS(Множество_202207112140401240[[#This Row],[18]]-Множество_202207112140401240[[#This Row],[12]])</f>
        <v>5.1666666666666696</v>
      </c>
      <c r="AB120" s="208">
        <f>ABS(Множество_202207112140401240[[#This Row],[19]]-Множество_202207112140401240[[#This Row],[13]])</f>
        <v>3.75</v>
      </c>
      <c r="AC120" s="208">
        <f>Множество_202207112140401240[[#This Row],[20]]+Множество_202207112140401240[[#This Row],[21]]</f>
        <v>8.9166666666666696</v>
      </c>
    </row>
    <row r="121" spans="6:29" x14ac:dyDescent="0.25">
      <c r="F121" s="213"/>
      <c r="K121" s="208">
        <f>Множество_202207112140401240[[#This Row],[2]]-Множество_202207112140401240[[#This Row],[4]]</f>
        <v>0</v>
      </c>
      <c r="L121" s="208">
        <f>Множество_202207112140401240[[#This Row],[3]]-Множество_202207112140401240[[#This Row],[5]]</f>
        <v>0</v>
      </c>
      <c r="M121" s="208">
        <f>Множество_202207112140401240[[#This Row],[7]]+Множество_202207112140401240[[#This Row],[6]]</f>
        <v>0</v>
      </c>
      <c r="N121" s="208" t="str">
        <f>CONCATENATE(Множество_202207112140401240[[#This Row],[2]],Множество_202207112140401240[[#This Row],[3]])</f>
        <v/>
      </c>
      <c r="O121" s="208"/>
      <c r="P121" s="208"/>
      <c r="Q121">
        <v>4.7166666666666703</v>
      </c>
      <c r="R121">
        <v>-16.216666666666701</v>
      </c>
      <c r="S121" s="208">
        <v>10</v>
      </c>
      <c r="T121" s="208">
        <v>-12.5</v>
      </c>
      <c r="U121" s="208">
        <f>ABS(Множество_202207112140401240[[#This Row],[10]]-Множество_202207112140401240[[#This Row],[12]])</f>
        <v>5.2833333333333297</v>
      </c>
      <c r="V121" s="208">
        <f>ABS(Множество_202207112140401240[[#This Row],[11]]-Множество_202207112140401240[[#This Row],[13]])</f>
        <v>3.7166666666667005</v>
      </c>
      <c r="W121" s="208">
        <f>Множество_202207112140401240[[#This Row],[15]]+Множество_202207112140401240[[#This Row],[14]]</f>
        <v>9.0000000000000302</v>
      </c>
      <c r="X121" s="208">
        <f ca="1">IF(ROW()-ROW(Множество_202207112140401240[[#Headers],[17]])&gt;1,Множество_202207112140401240[[#This Row],[16]]-OFFSET(Множество_202207112140401240[[#This Row],[16]],-1,0),0)</f>
        <v>8.3333333333360571E-2</v>
      </c>
      <c r="Y121" s="208">
        <v>4.7166666666666703</v>
      </c>
      <c r="Z121" s="208">
        <v>-16.216666666666701</v>
      </c>
      <c r="AA121" s="208">
        <f>ABS(Множество_202207112140401240[[#This Row],[18]]-Множество_202207112140401240[[#This Row],[12]])</f>
        <v>5.2833333333333297</v>
      </c>
      <c r="AB121" s="208">
        <f>ABS(Множество_202207112140401240[[#This Row],[19]]-Множество_202207112140401240[[#This Row],[13]])</f>
        <v>3.7166666666667005</v>
      </c>
      <c r="AC121" s="208">
        <f>Множество_202207112140401240[[#This Row],[20]]+Множество_202207112140401240[[#This Row],[21]]</f>
        <v>9.0000000000000302</v>
      </c>
    </row>
    <row r="122" spans="6:29" x14ac:dyDescent="0.25">
      <c r="F122" s="213"/>
      <c r="K122" s="208">
        <f>Множество_202207112140401240[[#This Row],[2]]-Множество_202207112140401240[[#This Row],[4]]</f>
        <v>0</v>
      </c>
      <c r="L122" s="208">
        <f>Множество_202207112140401240[[#This Row],[3]]-Множество_202207112140401240[[#This Row],[5]]</f>
        <v>0</v>
      </c>
      <c r="M122" s="208">
        <f>Множество_202207112140401240[[#This Row],[7]]+Множество_202207112140401240[[#This Row],[6]]</f>
        <v>0</v>
      </c>
      <c r="N122" s="208" t="str">
        <f>CONCATENATE(Множество_202207112140401240[[#This Row],[2]],Множество_202207112140401240[[#This Row],[3]])</f>
        <v/>
      </c>
      <c r="O122" s="208"/>
      <c r="P122" s="208"/>
      <c r="Q122">
        <v>4.6583333333333297</v>
      </c>
      <c r="R122">
        <v>-16.216666666666701</v>
      </c>
      <c r="S122" s="208">
        <v>10</v>
      </c>
      <c r="T122" s="208">
        <v>-12.5</v>
      </c>
      <c r="U122" s="208">
        <f>ABS(Множество_202207112140401240[[#This Row],[10]]-Множество_202207112140401240[[#This Row],[12]])</f>
        <v>5.3416666666666703</v>
      </c>
      <c r="V122" s="208">
        <f>ABS(Множество_202207112140401240[[#This Row],[11]]-Множество_202207112140401240[[#This Row],[13]])</f>
        <v>3.7166666666667005</v>
      </c>
      <c r="W122" s="208">
        <f>Множество_202207112140401240[[#This Row],[15]]+Множество_202207112140401240[[#This Row],[14]]</f>
        <v>9.0583333333333709</v>
      </c>
      <c r="X122" s="208">
        <f ca="1">IF(ROW()-ROW(Множество_202207112140401240[[#Headers],[17]])&gt;1,Множество_202207112140401240[[#This Row],[16]]-OFFSET(Множество_202207112140401240[[#This Row],[16]],-1,0),0)</f>
        <v>5.8333333333340676E-2</v>
      </c>
      <c r="Y122" s="208">
        <v>4.6583333333333297</v>
      </c>
      <c r="Z122" s="208">
        <v>-16.216666666666701</v>
      </c>
      <c r="AA122" s="208">
        <f>ABS(Множество_202207112140401240[[#This Row],[18]]-Множество_202207112140401240[[#This Row],[12]])</f>
        <v>5.3416666666666703</v>
      </c>
      <c r="AB122" s="208">
        <f>ABS(Множество_202207112140401240[[#This Row],[19]]-Множество_202207112140401240[[#This Row],[13]])</f>
        <v>3.7166666666667005</v>
      </c>
      <c r="AC122" s="208">
        <f>Множество_202207112140401240[[#This Row],[20]]+Множество_202207112140401240[[#This Row],[21]]</f>
        <v>9.0583333333333709</v>
      </c>
    </row>
    <row r="123" spans="6:29" x14ac:dyDescent="0.25">
      <c r="F123" s="213"/>
      <c r="K123" s="208">
        <f>Множество_202207112140401240[[#This Row],[2]]-Множество_202207112140401240[[#This Row],[4]]</f>
        <v>0</v>
      </c>
      <c r="L123" s="208">
        <f>Множество_202207112140401240[[#This Row],[3]]-Множество_202207112140401240[[#This Row],[5]]</f>
        <v>0</v>
      </c>
      <c r="M123" s="208">
        <f>Множество_202207112140401240[[#This Row],[7]]+Множество_202207112140401240[[#This Row],[6]]</f>
        <v>0</v>
      </c>
      <c r="N123" s="208" t="str">
        <f>CONCATENATE(Множество_202207112140401240[[#This Row],[2]],Множество_202207112140401240[[#This Row],[3]])</f>
        <v/>
      </c>
      <c r="O123" s="208"/>
      <c r="P123" s="208"/>
      <c r="Q123">
        <v>2.85</v>
      </c>
      <c r="R123">
        <v>-14.4</v>
      </c>
      <c r="S123" s="208">
        <v>10</v>
      </c>
      <c r="T123" s="208">
        <v>-12.5</v>
      </c>
      <c r="U123" s="208">
        <f>ABS(Множество_202207112140401240[[#This Row],[10]]-Множество_202207112140401240[[#This Row],[12]])</f>
        <v>7.15</v>
      </c>
      <c r="V123" s="208">
        <f>ABS(Множество_202207112140401240[[#This Row],[11]]-Множество_202207112140401240[[#This Row],[13]])</f>
        <v>1.9000000000000004</v>
      </c>
      <c r="W123" s="208">
        <f>Множество_202207112140401240[[#This Row],[15]]+Множество_202207112140401240[[#This Row],[14]]</f>
        <v>9.0500000000000007</v>
      </c>
      <c r="X123" s="208">
        <f ca="1">IF(ROW()-ROW(Множество_202207112140401240[[#Headers],[17]])&gt;1,Множество_202207112140401240[[#This Row],[16]]-OFFSET(Множество_202207112140401240[[#This Row],[16]],-1,0),0)</f>
        <v>-8.3333333333701631E-3</v>
      </c>
      <c r="Y123" s="208">
        <v>2.85</v>
      </c>
      <c r="Z123" s="208">
        <v>-14.4</v>
      </c>
      <c r="AA123" s="208">
        <f>ABS(Множество_202207112140401240[[#This Row],[18]]-Множество_202207112140401240[[#This Row],[12]])</f>
        <v>7.15</v>
      </c>
      <c r="AB123" s="208">
        <f>ABS(Множество_202207112140401240[[#This Row],[19]]-Множество_202207112140401240[[#This Row],[13]])</f>
        <v>1.9000000000000004</v>
      </c>
      <c r="AC123" s="208">
        <f>Множество_202207112140401240[[#This Row],[20]]+Множество_202207112140401240[[#This Row],[21]]</f>
        <v>9.0500000000000007</v>
      </c>
    </row>
    <row r="124" spans="6:29" x14ac:dyDescent="0.25">
      <c r="F124" s="213"/>
      <c r="K124" s="208">
        <f>Множество_202207112140401240[[#This Row],[2]]-Множество_202207112140401240[[#This Row],[4]]</f>
        <v>0</v>
      </c>
      <c r="L124" s="208">
        <f>Множество_202207112140401240[[#This Row],[3]]-Множество_202207112140401240[[#This Row],[5]]</f>
        <v>0</v>
      </c>
      <c r="M124" s="208">
        <f>Множество_202207112140401240[[#This Row],[7]]+Множество_202207112140401240[[#This Row],[6]]</f>
        <v>0</v>
      </c>
      <c r="N124" s="208" t="str">
        <f>CONCATENATE(Множество_202207112140401240[[#This Row],[2]],Множество_202207112140401240[[#This Row],[3]])</f>
        <v/>
      </c>
      <c r="O124" s="208"/>
      <c r="P124" s="208"/>
      <c r="Q124">
        <v>2.7916666666666701</v>
      </c>
      <c r="R124">
        <v>-14.4333333333333</v>
      </c>
      <c r="S124" s="208">
        <v>10</v>
      </c>
      <c r="T124" s="208">
        <v>-12.5</v>
      </c>
      <c r="U124" s="208">
        <f>ABS(Множество_202207112140401240[[#This Row],[10]]-Множество_202207112140401240[[#This Row],[12]])</f>
        <v>7.2083333333333304</v>
      </c>
      <c r="V124" s="208">
        <f>ABS(Множество_202207112140401240[[#This Row],[11]]-Множество_202207112140401240[[#This Row],[13]])</f>
        <v>1.9333333333332998</v>
      </c>
      <c r="W124" s="208">
        <f>Множество_202207112140401240[[#This Row],[15]]+Множество_202207112140401240[[#This Row],[14]]</f>
        <v>9.1416666666666302</v>
      </c>
      <c r="X124" s="208">
        <f ca="1">IF(ROW()-ROW(Множество_202207112140401240[[#Headers],[17]])&gt;1,Множество_202207112140401240[[#This Row],[16]]-OFFSET(Множество_202207112140401240[[#This Row],[16]],-1,0),0)</f>
        <v>9.1666666666629482E-2</v>
      </c>
      <c r="Y124" s="208">
        <v>4.4833333333333298</v>
      </c>
      <c r="Z124" s="208">
        <v>-16.1666666666667</v>
      </c>
      <c r="AA124" s="208">
        <f>ABS(Множество_202207112140401240[[#This Row],[18]]-Множество_202207112140401240[[#This Row],[12]])</f>
        <v>5.5166666666666702</v>
      </c>
      <c r="AB124" s="208">
        <f>ABS(Множество_202207112140401240[[#This Row],[19]]-Множество_202207112140401240[[#This Row],[13]])</f>
        <v>3.6666666666666998</v>
      </c>
      <c r="AC124" s="208">
        <f>Множество_202207112140401240[[#This Row],[20]]+Множество_202207112140401240[[#This Row],[21]]</f>
        <v>9.1833333333333691</v>
      </c>
    </row>
    <row r="125" spans="6:29" x14ac:dyDescent="0.25">
      <c r="F125" s="213"/>
      <c r="K125" s="208">
        <f>Множество_202207112140401240[[#This Row],[2]]-Множество_202207112140401240[[#This Row],[4]]</f>
        <v>0</v>
      </c>
      <c r="L125" s="208">
        <f>Множество_202207112140401240[[#This Row],[3]]-Множество_202207112140401240[[#This Row],[5]]</f>
        <v>0</v>
      </c>
      <c r="M125" s="208">
        <f>Множество_202207112140401240[[#This Row],[7]]+Множество_202207112140401240[[#This Row],[6]]</f>
        <v>0</v>
      </c>
      <c r="N125" s="208" t="str">
        <f>CONCATENATE(Множество_202207112140401240[[#This Row],[2]],Множество_202207112140401240[[#This Row],[3]])</f>
        <v/>
      </c>
      <c r="O125" s="208"/>
      <c r="P125" s="208"/>
      <c r="Q125">
        <v>4.4833333333333298</v>
      </c>
      <c r="R125">
        <v>-16.1666666666667</v>
      </c>
      <c r="S125" s="208">
        <v>10</v>
      </c>
      <c r="T125" s="208">
        <v>-12.5</v>
      </c>
      <c r="U125" s="208">
        <f>ABS(Множество_202207112140401240[[#This Row],[10]]-Множество_202207112140401240[[#This Row],[12]])</f>
        <v>5.5166666666666702</v>
      </c>
      <c r="V125" s="208">
        <f>ABS(Множество_202207112140401240[[#This Row],[11]]-Множество_202207112140401240[[#This Row],[13]])</f>
        <v>3.6666666666666998</v>
      </c>
      <c r="W125" s="208">
        <f>Множество_202207112140401240[[#This Row],[15]]+Множество_202207112140401240[[#This Row],[14]]</f>
        <v>9.1833333333333691</v>
      </c>
      <c r="X125" s="208">
        <f ca="1">IF(ROW()-ROW(Множество_202207112140401240[[#Headers],[17]])&gt;1,Множество_202207112140401240[[#This Row],[16]]-OFFSET(Множество_202207112140401240[[#This Row],[16]],-1,0),0)</f>
        <v>4.1666666666738905E-2</v>
      </c>
      <c r="Y125" s="208">
        <v>2.7916666666666701</v>
      </c>
      <c r="Z125" s="208">
        <v>-14.4333333333333</v>
      </c>
      <c r="AA125" s="208">
        <f>ABS(Множество_202207112140401240[[#This Row],[18]]-Множество_202207112140401240[[#This Row],[12]])</f>
        <v>7.2083333333333304</v>
      </c>
      <c r="AB125" s="208">
        <f>ABS(Множество_202207112140401240[[#This Row],[19]]-Множество_202207112140401240[[#This Row],[13]])</f>
        <v>1.9333333333332998</v>
      </c>
      <c r="AC125" s="208">
        <f>Множество_202207112140401240[[#This Row],[20]]+Множество_202207112140401240[[#This Row],[21]]</f>
        <v>9.1416666666666302</v>
      </c>
    </row>
    <row r="126" spans="6:29" x14ac:dyDescent="0.25">
      <c r="F126" s="213"/>
      <c r="K126" s="208">
        <f>Множество_202207112140401240[[#This Row],[2]]-Множество_202207112140401240[[#This Row],[4]]</f>
        <v>0</v>
      </c>
      <c r="L126" s="208">
        <f>Множество_202207112140401240[[#This Row],[3]]-Множество_202207112140401240[[#This Row],[5]]</f>
        <v>0</v>
      </c>
      <c r="M126" s="208">
        <f>Множество_202207112140401240[[#This Row],[7]]+Множество_202207112140401240[[#This Row],[6]]</f>
        <v>0</v>
      </c>
      <c r="N126" s="208" t="str">
        <f>CONCATENATE(Множество_202207112140401240[[#This Row],[2]],Множество_202207112140401240[[#This Row],[3]])</f>
        <v/>
      </c>
      <c r="O126" s="208"/>
      <c r="P126" s="208"/>
      <c r="Q126">
        <v>6.7</v>
      </c>
      <c r="R126">
        <v>-18.3333333333333</v>
      </c>
      <c r="S126" s="208">
        <v>10</v>
      </c>
      <c r="T126" s="208">
        <v>-12.5</v>
      </c>
      <c r="U126" s="208">
        <f>ABS(Множество_202207112140401240[[#This Row],[10]]-Множество_202207112140401240[[#This Row],[12]])</f>
        <v>3.3</v>
      </c>
      <c r="V126" s="208">
        <f>ABS(Множество_202207112140401240[[#This Row],[11]]-Множество_202207112140401240[[#This Row],[13]])</f>
        <v>5.8333333333333002</v>
      </c>
      <c r="W126" s="208">
        <f>Множество_202207112140401240[[#This Row],[15]]+Множество_202207112140401240[[#This Row],[14]]</f>
        <v>9.1333333333333009</v>
      </c>
      <c r="X126" s="208">
        <f ca="1">IF(ROW()-ROW(Множество_202207112140401240[[#Headers],[17]])&gt;1,Множество_202207112140401240[[#This Row],[16]]-OFFSET(Множество_202207112140401240[[#This Row],[16]],-1,0),0)</f>
        <v>-5.0000000000068212E-2</v>
      </c>
      <c r="Y126" s="208">
        <v>4.5999999999999996</v>
      </c>
      <c r="Z126" s="208">
        <v>-16.2</v>
      </c>
      <c r="AA126" s="208">
        <f>ABS(Множество_202207112140401240[[#This Row],[18]]-Множество_202207112140401240[[#This Row],[12]])</f>
        <v>5.4</v>
      </c>
      <c r="AB126" s="208">
        <f>ABS(Множество_202207112140401240[[#This Row],[19]]-Множество_202207112140401240[[#This Row],[13]])</f>
        <v>3.6999999999999993</v>
      </c>
      <c r="AC126" s="208">
        <f>Множество_202207112140401240[[#This Row],[20]]+Множество_202207112140401240[[#This Row],[21]]</f>
        <v>9.1</v>
      </c>
    </row>
    <row r="127" spans="6:29" x14ac:dyDescent="0.25">
      <c r="F127" s="213"/>
      <c r="K127" s="208">
        <f>Множество_202207112140401240[[#This Row],[2]]-Множество_202207112140401240[[#This Row],[4]]</f>
        <v>0</v>
      </c>
      <c r="L127" s="208">
        <f>Множество_202207112140401240[[#This Row],[3]]-Множество_202207112140401240[[#This Row],[5]]</f>
        <v>0</v>
      </c>
      <c r="M127" s="208">
        <f>Множество_202207112140401240[[#This Row],[7]]+Множество_202207112140401240[[#This Row],[6]]</f>
        <v>0</v>
      </c>
      <c r="N127" s="208" t="str">
        <f>CONCATENATE(Множество_202207112140401240[[#This Row],[2]],Множество_202207112140401240[[#This Row],[3]])</f>
        <v/>
      </c>
      <c r="O127" s="208"/>
      <c r="P127" s="208"/>
      <c r="Q127">
        <v>4.5999999999999996</v>
      </c>
      <c r="R127">
        <v>-16.2</v>
      </c>
      <c r="S127" s="208">
        <v>10</v>
      </c>
      <c r="T127" s="208">
        <v>-12.5</v>
      </c>
      <c r="U127" s="208">
        <f>ABS(Множество_202207112140401240[[#This Row],[10]]-Множество_202207112140401240[[#This Row],[12]])</f>
        <v>5.4</v>
      </c>
      <c r="V127" s="208">
        <f>ABS(Множество_202207112140401240[[#This Row],[11]]-Множество_202207112140401240[[#This Row],[13]])</f>
        <v>3.6999999999999993</v>
      </c>
      <c r="W127" s="208">
        <f>Множество_202207112140401240[[#This Row],[15]]+Множество_202207112140401240[[#This Row],[14]]</f>
        <v>9.1</v>
      </c>
      <c r="X127" s="208">
        <f ca="1">IF(ROW()-ROW(Множество_202207112140401240[[#Headers],[17]])&gt;1,Множество_202207112140401240[[#This Row],[16]]-OFFSET(Множество_202207112140401240[[#This Row],[16]],-1,0),0)</f>
        <v>-3.333333333330124E-2</v>
      </c>
      <c r="Y127" s="208">
        <v>4.5416666666666696</v>
      </c>
      <c r="Z127" s="208">
        <v>-16.183333333333302</v>
      </c>
      <c r="AA127" s="208">
        <f>ABS(Множество_202207112140401240[[#This Row],[18]]-Множество_202207112140401240[[#This Row],[12]])</f>
        <v>5.4583333333333304</v>
      </c>
      <c r="AB127" s="208">
        <f>ABS(Множество_202207112140401240[[#This Row],[19]]-Множество_202207112140401240[[#This Row],[13]])</f>
        <v>3.6833333333333016</v>
      </c>
      <c r="AC127" s="208">
        <f>Множество_202207112140401240[[#This Row],[20]]+Множество_202207112140401240[[#This Row],[21]]</f>
        <v>9.141666666666632</v>
      </c>
    </row>
    <row r="128" spans="6:29" x14ac:dyDescent="0.25">
      <c r="F128" s="213"/>
      <c r="K128" s="208">
        <f>Множество_202207112140401240[[#This Row],[2]]-Множество_202207112140401240[[#This Row],[4]]</f>
        <v>0</v>
      </c>
      <c r="L128" s="208">
        <f>Множество_202207112140401240[[#This Row],[3]]-Множество_202207112140401240[[#This Row],[5]]</f>
        <v>0</v>
      </c>
      <c r="M128" s="208">
        <f>Множество_202207112140401240[[#This Row],[7]]+Множество_202207112140401240[[#This Row],[6]]</f>
        <v>0</v>
      </c>
      <c r="N128" s="208" t="str">
        <f>CONCATENATE(Множество_202207112140401240[[#This Row],[2]],Множество_202207112140401240[[#This Row],[3]])</f>
        <v/>
      </c>
      <c r="O128" s="208"/>
      <c r="P128" s="208"/>
      <c r="Q128">
        <v>4.5416666666666696</v>
      </c>
      <c r="R128">
        <v>-16.183333333333302</v>
      </c>
      <c r="S128" s="208">
        <v>10</v>
      </c>
      <c r="T128" s="208">
        <v>-12.5</v>
      </c>
      <c r="U128" s="208">
        <f>ABS(Множество_202207112140401240[[#This Row],[10]]-Множество_202207112140401240[[#This Row],[12]])</f>
        <v>5.4583333333333304</v>
      </c>
      <c r="V128" s="208">
        <f>ABS(Множество_202207112140401240[[#This Row],[11]]-Множество_202207112140401240[[#This Row],[13]])</f>
        <v>3.6833333333333016</v>
      </c>
      <c r="W128" s="208">
        <f>Множество_202207112140401240[[#This Row],[15]]+Множество_202207112140401240[[#This Row],[14]]</f>
        <v>9.141666666666632</v>
      </c>
      <c r="X128" s="208">
        <f ca="1">IF(ROW()-ROW(Множество_202207112140401240[[#Headers],[17]])&gt;1,Множество_202207112140401240[[#This Row],[16]]-OFFSET(Множество_202207112140401240[[#This Row],[16]],-1,0),0)</f>
        <v>4.1666666666632324E-2</v>
      </c>
      <c r="Y128" s="208">
        <v>6.7</v>
      </c>
      <c r="Z128" s="208">
        <v>-18.3333333333333</v>
      </c>
      <c r="AA128" s="208">
        <f>ABS(Множество_202207112140401240[[#This Row],[18]]-Множество_202207112140401240[[#This Row],[12]])</f>
        <v>3.3</v>
      </c>
      <c r="AB128" s="208">
        <f>ABS(Множество_202207112140401240[[#This Row],[19]]-Множество_202207112140401240[[#This Row],[13]])</f>
        <v>5.8333333333333002</v>
      </c>
      <c r="AC128" s="208">
        <f>Множество_202207112140401240[[#This Row],[20]]+Множество_202207112140401240[[#This Row],[21]]</f>
        <v>9.1333333333333009</v>
      </c>
    </row>
    <row r="129" spans="6:29" x14ac:dyDescent="0.25">
      <c r="F129" s="213"/>
      <c r="K129" s="208">
        <f>Множество_202207112140401240[[#This Row],[2]]-Множество_202207112140401240[[#This Row],[4]]</f>
        <v>0</v>
      </c>
      <c r="L129" s="208">
        <f>Множество_202207112140401240[[#This Row],[3]]-Множество_202207112140401240[[#This Row],[5]]</f>
        <v>0</v>
      </c>
      <c r="M129" s="208">
        <f>Множество_202207112140401240[[#This Row],[7]]+Множество_202207112140401240[[#This Row],[6]]</f>
        <v>0</v>
      </c>
      <c r="N129" s="208" t="str">
        <f>CONCATENATE(Множество_202207112140401240[[#This Row],[2]],Множество_202207112140401240[[#This Row],[3]])</f>
        <v/>
      </c>
      <c r="O129" s="208"/>
      <c r="P129" s="208"/>
      <c r="Q129">
        <v>4.3666666666666698</v>
      </c>
      <c r="R129">
        <v>-16.149999999999999</v>
      </c>
      <c r="S129" s="208">
        <v>10</v>
      </c>
      <c r="T129" s="208">
        <v>-12.5</v>
      </c>
      <c r="U129" s="208">
        <f>ABS(Множество_202207112140401240[[#This Row],[10]]-Множество_202207112140401240[[#This Row],[12]])</f>
        <v>5.6333333333333302</v>
      </c>
      <c r="V129" s="208">
        <f>ABS(Множество_202207112140401240[[#This Row],[11]]-Множество_202207112140401240[[#This Row],[13]])</f>
        <v>3.6499999999999986</v>
      </c>
      <c r="W129" s="208">
        <f>Множество_202207112140401240[[#This Row],[15]]+Множество_202207112140401240[[#This Row],[14]]</f>
        <v>9.2833333333333279</v>
      </c>
      <c r="X129" s="208">
        <f ca="1">IF(ROW()-ROW(Множество_202207112140401240[[#Headers],[17]])&gt;1,Множество_202207112140401240[[#This Row],[16]]-OFFSET(Множество_202207112140401240[[#This Row],[16]],-1,0),0)</f>
        <v>0.14166666666669592</v>
      </c>
      <c r="Y129" s="208">
        <v>4.3666666666666698</v>
      </c>
      <c r="Z129" s="208">
        <v>-16.149999999999999</v>
      </c>
      <c r="AA129" s="208">
        <f>ABS(Множество_202207112140401240[[#This Row],[18]]-Множество_202207112140401240[[#This Row],[12]])</f>
        <v>5.6333333333333302</v>
      </c>
      <c r="AB129" s="208">
        <f>ABS(Множество_202207112140401240[[#This Row],[19]]-Множество_202207112140401240[[#This Row],[13]])</f>
        <v>3.6499999999999986</v>
      </c>
      <c r="AC129" s="208">
        <f>Множество_202207112140401240[[#This Row],[20]]+Множество_202207112140401240[[#This Row],[21]]</f>
        <v>9.2833333333333279</v>
      </c>
    </row>
    <row r="130" spans="6:29" x14ac:dyDescent="0.25">
      <c r="F130" s="213"/>
      <c r="K130" s="208">
        <f>Множество_202207112140401240[[#This Row],[2]]-Множество_202207112140401240[[#This Row],[4]]</f>
        <v>0</v>
      </c>
      <c r="L130" s="208">
        <f>Множество_202207112140401240[[#This Row],[3]]-Множество_202207112140401240[[#This Row],[5]]</f>
        <v>0</v>
      </c>
      <c r="M130" s="208">
        <f>Множество_202207112140401240[[#This Row],[7]]+Множество_202207112140401240[[#This Row],[6]]</f>
        <v>0</v>
      </c>
      <c r="N130" s="208" t="str">
        <f>CONCATENATE(Множество_202207112140401240[[#This Row],[2]],Множество_202207112140401240[[#This Row],[3]])</f>
        <v/>
      </c>
      <c r="O130" s="208"/>
      <c r="P130" s="208"/>
      <c r="Q130">
        <v>2.7333333333333298</v>
      </c>
      <c r="R130">
        <v>-14.45</v>
      </c>
      <c r="S130" s="208">
        <v>10</v>
      </c>
      <c r="T130" s="208">
        <v>-12.5</v>
      </c>
      <c r="U130" s="208">
        <f>ABS(Множество_202207112140401240[[#This Row],[10]]-Множество_202207112140401240[[#This Row],[12]])</f>
        <v>7.2666666666666702</v>
      </c>
      <c r="V130" s="208">
        <f>ABS(Множество_202207112140401240[[#This Row],[11]]-Множество_202207112140401240[[#This Row],[13]])</f>
        <v>1.9499999999999993</v>
      </c>
      <c r="W130" s="208">
        <f>Множество_202207112140401240[[#This Row],[15]]+Множество_202207112140401240[[#This Row],[14]]</f>
        <v>9.2166666666666686</v>
      </c>
      <c r="X130" s="208">
        <f ca="1">IF(ROW()-ROW(Множество_202207112140401240[[#Headers],[17]])&gt;1,Множество_202207112140401240[[#This Row],[16]]-OFFSET(Множество_202207112140401240[[#This Row],[16]],-1,0),0)</f>
        <v>-6.6666666666659324E-2</v>
      </c>
      <c r="Y130" s="208">
        <v>4.4249999999999998</v>
      </c>
      <c r="Z130" s="208">
        <v>-16.1666666666667</v>
      </c>
      <c r="AA130" s="208">
        <f>ABS(Множество_202207112140401240[[#This Row],[18]]-Множество_202207112140401240[[#This Row],[12]])</f>
        <v>5.5750000000000002</v>
      </c>
      <c r="AB130" s="208">
        <f>ABS(Множество_202207112140401240[[#This Row],[19]]-Множество_202207112140401240[[#This Row],[13]])</f>
        <v>3.6666666666666998</v>
      </c>
      <c r="AC130" s="208">
        <f>Множество_202207112140401240[[#This Row],[20]]+Множество_202207112140401240[[#This Row],[21]]</f>
        <v>9.2416666666666991</v>
      </c>
    </row>
    <row r="131" spans="6:29" x14ac:dyDescent="0.25">
      <c r="F131" s="213"/>
      <c r="K131" s="208">
        <f>Множество_202207112140401240[[#This Row],[2]]-Множество_202207112140401240[[#This Row],[4]]</f>
        <v>0</v>
      </c>
      <c r="L131" s="208">
        <f>Множество_202207112140401240[[#This Row],[3]]-Множество_202207112140401240[[#This Row],[5]]</f>
        <v>0</v>
      </c>
      <c r="M131" s="208">
        <f>Множество_202207112140401240[[#This Row],[7]]+Множество_202207112140401240[[#This Row],[6]]</f>
        <v>0</v>
      </c>
      <c r="N131" s="208" t="str">
        <f>CONCATENATE(Множество_202207112140401240[[#This Row],[2]],Множество_202207112140401240[[#This Row],[3]])</f>
        <v/>
      </c>
      <c r="O131" s="208"/>
      <c r="P131" s="208"/>
      <c r="Q131">
        <v>4.4249999999999998</v>
      </c>
      <c r="R131">
        <v>-16.1666666666667</v>
      </c>
      <c r="S131" s="208">
        <v>10</v>
      </c>
      <c r="T131" s="208">
        <v>-12.5</v>
      </c>
      <c r="U131" s="208">
        <f>ABS(Множество_202207112140401240[[#This Row],[10]]-Множество_202207112140401240[[#This Row],[12]])</f>
        <v>5.5750000000000002</v>
      </c>
      <c r="V131" s="208">
        <f>ABS(Множество_202207112140401240[[#This Row],[11]]-Множество_202207112140401240[[#This Row],[13]])</f>
        <v>3.6666666666666998</v>
      </c>
      <c r="W131" s="208">
        <f>Множество_202207112140401240[[#This Row],[15]]+Множество_202207112140401240[[#This Row],[14]]</f>
        <v>9.2416666666666991</v>
      </c>
      <c r="X131" s="208">
        <f ca="1">IF(ROW()-ROW(Множество_202207112140401240[[#Headers],[17]])&gt;1,Множество_202207112140401240[[#This Row],[16]]-OFFSET(Множество_202207112140401240[[#This Row],[16]],-1,0),0)</f>
        <v>2.5000000000030553E-2</v>
      </c>
      <c r="Y131" s="208">
        <v>2.7333333333333298</v>
      </c>
      <c r="Z131" s="208">
        <v>-14.45</v>
      </c>
      <c r="AA131" s="208">
        <f>ABS(Множество_202207112140401240[[#This Row],[18]]-Множество_202207112140401240[[#This Row],[12]])</f>
        <v>7.2666666666666702</v>
      </c>
      <c r="AB131" s="208">
        <f>ABS(Множество_202207112140401240[[#This Row],[19]]-Множество_202207112140401240[[#This Row],[13]])</f>
        <v>1.9499999999999993</v>
      </c>
      <c r="AC131" s="208">
        <f>Множество_202207112140401240[[#This Row],[20]]+Множество_202207112140401240[[#This Row],[21]]</f>
        <v>9.2166666666666686</v>
      </c>
    </row>
    <row r="132" spans="6:29" x14ac:dyDescent="0.25">
      <c r="F132" s="213"/>
      <c r="K132" s="208">
        <f>Множество_202207112140401240[[#This Row],[2]]-Множество_202207112140401240[[#This Row],[4]]</f>
        <v>0</v>
      </c>
      <c r="L132" s="208">
        <f>Множество_202207112140401240[[#This Row],[3]]-Множество_202207112140401240[[#This Row],[5]]</f>
        <v>0</v>
      </c>
      <c r="M132" s="208">
        <f>Множество_202207112140401240[[#This Row],[7]]+Множество_202207112140401240[[#This Row],[6]]</f>
        <v>0</v>
      </c>
      <c r="N132" s="208" t="str">
        <f>CONCATENATE(Множество_202207112140401240[[#This Row],[2]],Множество_202207112140401240[[#This Row],[3]])</f>
        <v/>
      </c>
      <c r="O132" s="208"/>
      <c r="P132" s="208"/>
      <c r="Q132">
        <v>2.6749999999999998</v>
      </c>
      <c r="R132">
        <v>-14.466666666666701</v>
      </c>
      <c r="S132" s="208">
        <v>10</v>
      </c>
      <c r="T132" s="208">
        <v>-12.5</v>
      </c>
      <c r="U132" s="208">
        <f>ABS(Множество_202207112140401240[[#This Row],[10]]-Множество_202207112140401240[[#This Row],[12]])</f>
        <v>7.3250000000000002</v>
      </c>
      <c r="V132" s="208">
        <f>ABS(Множество_202207112140401240[[#This Row],[11]]-Множество_202207112140401240[[#This Row],[13]])</f>
        <v>1.9666666666667005</v>
      </c>
      <c r="W132" s="208">
        <f>Множество_202207112140401240[[#This Row],[15]]+Множество_202207112140401240[[#This Row],[14]]</f>
        <v>9.2916666666666998</v>
      </c>
      <c r="X132" s="208">
        <f ca="1">IF(ROW()-ROW(Множество_202207112140401240[[#Headers],[17]])&gt;1,Множество_202207112140401240[[#This Row],[16]]-OFFSET(Множество_202207112140401240[[#This Row],[16]],-1,0),0)</f>
        <v>5.0000000000000711E-2</v>
      </c>
      <c r="Y132" s="208">
        <v>2.6749999999999998</v>
      </c>
      <c r="Z132" s="208">
        <v>-14.466666666666701</v>
      </c>
      <c r="AA132" s="208">
        <f>ABS(Множество_202207112140401240[[#This Row],[18]]-Множество_202207112140401240[[#This Row],[12]])</f>
        <v>7.3250000000000002</v>
      </c>
      <c r="AB132" s="208">
        <f>ABS(Множество_202207112140401240[[#This Row],[19]]-Множество_202207112140401240[[#This Row],[13]])</f>
        <v>1.9666666666667005</v>
      </c>
      <c r="AC132" s="208">
        <f>Множество_202207112140401240[[#This Row],[20]]+Множество_202207112140401240[[#This Row],[21]]</f>
        <v>9.2916666666666998</v>
      </c>
    </row>
    <row r="133" spans="6:29" x14ac:dyDescent="0.25">
      <c r="F133" s="213"/>
      <c r="K133" s="208">
        <f>Множество_202207112140401240[[#This Row],[2]]-Множество_202207112140401240[[#This Row],[4]]</f>
        <v>0</v>
      </c>
      <c r="L133" s="208">
        <f>Множество_202207112140401240[[#This Row],[3]]-Множество_202207112140401240[[#This Row],[5]]</f>
        <v>0</v>
      </c>
      <c r="M133" s="208">
        <f>Множество_202207112140401240[[#This Row],[7]]+Множество_202207112140401240[[#This Row],[6]]</f>
        <v>0</v>
      </c>
      <c r="N133" s="208" t="str">
        <f>CONCATENATE(Множество_202207112140401240[[#This Row],[2]],Множество_202207112140401240[[#This Row],[3]])</f>
        <v/>
      </c>
      <c r="O133" s="208"/>
      <c r="P133" s="208"/>
      <c r="Q133">
        <v>4.25</v>
      </c>
      <c r="R133">
        <v>-16.100000000000001</v>
      </c>
      <c r="S133" s="208">
        <v>10</v>
      </c>
      <c r="T133" s="208">
        <v>-12.5</v>
      </c>
      <c r="U133" s="208">
        <f>ABS(Множество_202207112140401240[[#This Row],[10]]-Множество_202207112140401240[[#This Row],[12]])</f>
        <v>5.75</v>
      </c>
      <c r="V133" s="208">
        <f>ABS(Множество_202207112140401240[[#This Row],[11]]-Множество_202207112140401240[[#This Row],[13]])</f>
        <v>3.6000000000000014</v>
      </c>
      <c r="W133" s="208">
        <f>Множество_202207112140401240[[#This Row],[15]]+Множество_202207112140401240[[#This Row],[14]]</f>
        <v>9.3500000000000014</v>
      </c>
      <c r="X133" s="208">
        <f ca="1">IF(ROW()-ROW(Множество_202207112140401240[[#Headers],[17]])&gt;1,Множество_202207112140401240[[#This Row],[16]]-OFFSET(Множество_202207112140401240[[#This Row],[16]],-1,0),0)</f>
        <v>5.8333333333301596E-2</v>
      </c>
      <c r="Y133" s="208">
        <v>2.6166666666666698</v>
      </c>
      <c r="Z133" s="208">
        <v>-14.483333333333301</v>
      </c>
      <c r="AA133" s="208">
        <f>ABS(Множество_202207112140401240[[#This Row],[18]]-Множество_202207112140401240[[#This Row],[12]])</f>
        <v>7.3833333333333302</v>
      </c>
      <c r="AB133" s="208">
        <f>ABS(Множество_202207112140401240[[#This Row],[19]]-Множество_202207112140401240[[#This Row],[13]])</f>
        <v>1.9833333333333005</v>
      </c>
      <c r="AC133" s="208">
        <f>Множество_202207112140401240[[#This Row],[20]]+Множество_202207112140401240[[#This Row],[21]]</f>
        <v>9.3666666666666316</v>
      </c>
    </row>
    <row r="134" spans="6:29" x14ac:dyDescent="0.25">
      <c r="F134" s="213"/>
      <c r="K134" s="208">
        <f>Множество_202207112140401240[[#This Row],[2]]-Множество_202207112140401240[[#This Row],[4]]</f>
        <v>0</v>
      </c>
      <c r="L134" s="208">
        <f>Множество_202207112140401240[[#This Row],[3]]-Множество_202207112140401240[[#This Row],[5]]</f>
        <v>0</v>
      </c>
      <c r="M134" s="208">
        <f>Множество_202207112140401240[[#This Row],[7]]+Множество_202207112140401240[[#This Row],[6]]</f>
        <v>0</v>
      </c>
      <c r="N134" s="208" t="str">
        <f>CONCATENATE(Множество_202207112140401240[[#This Row],[2]],Множество_202207112140401240[[#This Row],[3]])</f>
        <v/>
      </c>
      <c r="O134" s="208"/>
      <c r="P134" s="208"/>
      <c r="Q134">
        <v>2.6166666666666698</v>
      </c>
      <c r="R134">
        <v>-14.483333333333301</v>
      </c>
      <c r="S134" s="208">
        <v>10</v>
      </c>
      <c r="T134" s="208">
        <v>-12.5</v>
      </c>
      <c r="U134" s="208">
        <f>ABS(Множество_202207112140401240[[#This Row],[10]]-Множество_202207112140401240[[#This Row],[12]])</f>
        <v>7.3833333333333302</v>
      </c>
      <c r="V134" s="208">
        <f>ABS(Множество_202207112140401240[[#This Row],[11]]-Множество_202207112140401240[[#This Row],[13]])</f>
        <v>1.9833333333333005</v>
      </c>
      <c r="W134" s="208">
        <f>Множество_202207112140401240[[#This Row],[15]]+Множество_202207112140401240[[#This Row],[14]]</f>
        <v>9.3666666666666316</v>
      </c>
      <c r="X134" s="208">
        <f ca="1">IF(ROW()-ROW(Множество_202207112140401240[[#Headers],[17]])&gt;1,Множество_202207112140401240[[#This Row],[16]]-OFFSET(Множество_202207112140401240[[#This Row],[16]],-1,0),0)</f>
        <v>1.6666666666630192E-2</v>
      </c>
      <c r="Y134" s="208">
        <v>4.25</v>
      </c>
      <c r="Z134" s="208">
        <v>-16.100000000000001</v>
      </c>
      <c r="AA134" s="208">
        <f>ABS(Множество_202207112140401240[[#This Row],[18]]-Множество_202207112140401240[[#This Row],[12]])</f>
        <v>5.75</v>
      </c>
      <c r="AB134" s="208">
        <f>ABS(Множество_202207112140401240[[#This Row],[19]]-Множество_202207112140401240[[#This Row],[13]])</f>
        <v>3.6000000000000014</v>
      </c>
      <c r="AC134" s="208">
        <f>Множество_202207112140401240[[#This Row],[20]]+Множество_202207112140401240[[#This Row],[21]]</f>
        <v>9.3500000000000014</v>
      </c>
    </row>
    <row r="135" spans="6:29" x14ac:dyDescent="0.25">
      <c r="F135" s="213"/>
      <c r="K135" s="208">
        <f>Множество_202207112140401240[[#This Row],[2]]-Множество_202207112140401240[[#This Row],[4]]</f>
        <v>0</v>
      </c>
      <c r="L135" s="208">
        <f>Множество_202207112140401240[[#This Row],[3]]-Множество_202207112140401240[[#This Row],[5]]</f>
        <v>0</v>
      </c>
      <c r="M135" s="208">
        <f>Множество_202207112140401240[[#This Row],[7]]+Множество_202207112140401240[[#This Row],[6]]</f>
        <v>0</v>
      </c>
      <c r="N135" s="208" t="str">
        <f>CONCATENATE(Множество_202207112140401240[[#This Row],[2]],Множество_202207112140401240[[#This Row],[3]])</f>
        <v/>
      </c>
      <c r="O135" s="208"/>
      <c r="P135" s="208"/>
      <c r="Q135">
        <v>4.30833333333333</v>
      </c>
      <c r="R135">
        <v>-16.133333333333301</v>
      </c>
      <c r="S135" s="208">
        <v>10</v>
      </c>
      <c r="T135" s="208">
        <v>-12.5</v>
      </c>
      <c r="U135" s="208">
        <f>ABS(Множество_202207112140401240[[#This Row],[10]]-Множество_202207112140401240[[#This Row],[12]])</f>
        <v>5.69166666666667</v>
      </c>
      <c r="V135" s="208">
        <f>ABS(Множество_202207112140401240[[#This Row],[11]]-Множество_202207112140401240[[#This Row],[13]])</f>
        <v>3.6333333333333009</v>
      </c>
      <c r="W135" s="208">
        <f>Множество_202207112140401240[[#This Row],[15]]+Множество_202207112140401240[[#This Row],[14]]</f>
        <v>9.3249999999999709</v>
      </c>
      <c r="X135" s="208">
        <f ca="1">IF(ROW()-ROW(Множество_202207112140401240[[#Headers],[17]])&gt;1,Множество_202207112140401240[[#This Row],[16]]-OFFSET(Множество_202207112140401240[[#This Row],[16]],-1,0),0)</f>
        <v>-4.1666666666660745E-2</v>
      </c>
      <c r="Y135" s="208">
        <v>4.30833333333333</v>
      </c>
      <c r="Z135" s="208">
        <v>-16.133333333333301</v>
      </c>
      <c r="AA135" s="208">
        <f>ABS(Множество_202207112140401240[[#This Row],[18]]-Множество_202207112140401240[[#This Row],[12]])</f>
        <v>5.69166666666667</v>
      </c>
      <c r="AB135" s="208">
        <f>ABS(Множество_202207112140401240[[#This Row],[19]]-Множество_202207112140401240[[#This Row],[13]])</f>
        <v>3.6333333333333009</v>
      </c>
      <c r="AC135" s="208">
        <f>Множество_202207112140401240[[#This Row],[20]]+Множество_202207112140401240[[#This Row],[21]]</f>
        <v>9.3249999999999709</v>
      </c>
    </row>
    <row r="136" spans="6:29" x14ac:dyDescent="0.25">
      <c r="F136" s="213"/>
      <c r="K136" s="208">
        <f>Множество_202207112140401240[[#This Row],[2]]-Множество_202207112140401240[[#This Row],[4]]</f>
        <v>0</v>
      </c>
      <c r="L136" s="208">
        <f>Множество_202207112140401240[[#This Row],[3]]-Множество_202207112140401240[[#This Row],[5]]</f>
        <v>0</v>
      </c>
      <c r="M136" s="208">
        <f>Множество_202207112140401240[[#This Row],[7]]+Множество_202207112140401240[[#This Row],[6]]</f>
        <v>0</v>
      </c>
      <c r="N136" s="208" t="str">
        <f>CONCATENATE(Множество_202207112140401240[[#This Row],[2]],Множество_202207112140401240[[#This Row],[3]])</f>
        <v/>
      </c>
      <c r="O136" s="208"/>
      <c r="P136" s="208"/>
      <c r="Q136">
        <v>4.0750000000000002</v>
      </c>
      <c r="R136">
        <v>-16.033333333333299</v>
      </c>
      <c r="S136" s="208">
        <v>10</v>
      </c>
      <c r="T136" s="208">
        <v>-12.5</v>
      </c>
      <c r="U136" s="208">
        <f>ABS(Множество_202207112140401240[[#This Row],[10]]-Множество_202207112140401240[[#This Row],[12]])</f>
        <v>5.9249999999999998</v>
      </c>
      <c r="V136" s="208">
        <f>ABS(Множество_202207112140401240[[#This Row],[11]]-Множество_202207112140401240[[#This Row],[13]])</f>
        <v>3.5333333333332995</v>
      </c>
      <c r="W136" s="208">
        <f>Множество_202207112140401240[[#This Row],[15]]+Множество_202207112140401240[[#This Row],[14]]</f>
        <v>9.4583333333333002</v>
      </c>
      <c r="X136" s="208">
        <f ca="1">IF(ROW()-ROW(Множество_202207112140401240[[#Headers],[17]])&gt;1,Множество_202207112140401240[[#This Row],[16]]-OFFSET(Множество_202207112140401240[[#This Row],[16]],-1,0),0)</f>
        <v>0.13333333333332931</v>
      </c>
      <c r="Y136" s="208">
        <v>4.0750000000000002</v>
      </c>
      <c r="Z136" s="208">
        <v>-16.033333333333299</v>
      </c>
      <c r="AA136" s="208">
        <f>ABS(Множество_202207112140401240[[#This Row],[18]]-Множество_202207112140401240[[#This Row],[12]])</f>
        <v>5.9249999999999998</v>
      </c>
      <c r="AB136" s="208">
        <f>ABS(Множество_202207112140401240[[#This Row],[19]]-Множество_202207112140401240[[#This Row],[13]])</f>
        <v>3.5333333333332995</v>
      </c>
      <c r="AC136" s="208">
        <f>Множество_202207112140401240[[#This Row],[20]]+Множество_202207112140401240[[#This Row],[21]]</f>
        <v>9.4583333333333002</v>
      </c>
    </row>
    <row r="137" spans="6:29" x14ac:dyDescent="0.25">
      <c r="F137" s="213"/>
      <c r="K137" s="208">
        <f>Множество_202207112140401240[[#This Row],[2]]-Множество_202207112140401240[[#This Row],[4]]</f>
        <v>0</v>
      </c>
      <c r="L137" s="208">
        <f>Множество_202207112140401240[[#This Row],[3]]-Множество_202207112140401240[[#This Row],[5]]</f>
        <v>0</v>
      </c>
      <c r="M137" s="208">
        <f>Множество_202207112140401240[[#This Row],[7]]+Множество_202207112140401240[[#This Row],[6]]</f>
        <v>0</v>
      </c>
      <c r="N137" s="208" t="str">
        <f>CONCATENATE(Множество_202207112140401240[[#This Row],[2]],Множество_202207112140401240[[#This Row],[3]])</f>
        <v/>
      </c>
      <c r="O137" s="208"/>
      <c r="P137" s="208"/>
      <c r="Q137">
        <v>7.1666666666666696</v>
      </c>
      <c r="R137">
        <v>-19.133333333333301</v>
      </c>
      <c r="S137" s="208">
        <v>10</v>
      </c>
      <c r="T137" s="208">
        <v>-12.5</v>
      </c>
      <c r="U137" s="208">
        <f>ABS(Множество_202207112140401240[[#This Row],[10]]-Множество_202207112140401240[[#This Row],[12]])</f>
        <v>2.8333333333333304</v>
      </c>
      <c r="V137" s="208">
        <f>ABS(Множество_202207112140401240[[#This Row],[11]]-Множество_202207112140401240[[#This Row],[13]])</f>
        <v>6.6333333333333009</v>
      </c>
      <c r="W137" s="208">
        <f>Множество_202207112140401240[[#This Row],[15]]+Множество_202207112140401240[[#This Row],[14]]</f>
        <v>9.4666666666666313</v>
      </c>
      <c r="X137" s="208">
        <f ca="1">IF(ROW()-ROW(Множество_202207112140401240[[#Headers],[17]])&gt;1,Множество_202207112140401240[[#This Row],[16]]-OFFSET(Множество_202207112140401240[[#This Row],[16]],-1,0),0)</f>
        <v>8.3333333333310833E-3</v>
      </c>
      <c r="Y137" s="208">
        <v>4.19166666666667</v>
      </c>
      <c r="Z137" s="208">
        <v>-16.0833333333333</v>
      </c>
      <c r="AA137" s="208">
        <f>ABS(Множество_202207112140401240[[#This Row],[18]]-Множество_202207112140401240[[#This Row],[12]])</f>
        <v>5.80833333333333</v>
      </c>
      <c r="AB137" s="208">
        <f>ABS(Множество_202207112140401240[[#This Row],[19]]-Множество_202207112140401240[[#This Row],[13]])</f>
        <v>3.5833333333333002</v>
      </c>
      <c r="AC137" s="208">
        <f>Множество_202207112140401240[[#This Row],[20]]+Множество_202207112140401240[[#This Row],[21]]</f>
        <v>9.3916666666666302</v>
      </c>
    </row>
    <row r="138" spans="6:29" x14ac:dyDescent="0.25">
      <c r="F138" s="213"/>
      <c r="K138" s="208">
        <f>Множество_202207112140401240[[#This Row],[2]]-Множество_202207112140401240[[#This Row],[4]]</f>
        <v>0</v>
      </c>
      <c r="L138" s="208">
        <f>Множество_202207112140401240[[#This Row],[3]]-Множество_202207112140401240[[#This Row],[5]]</f>
        <v>0</v>
      </c>
      <c r="M138" s="208">
        <f>Множество_202207112140401240[[#This Row],[7]]+Множество_202207112140401240[[#This Row],[6]]</f>
        <v>0</v>
      </c>
      <c r="N138" s="208" t="str">
        <f>CONCATENATE(Множество_202207112140401240[[#This Row],[2]],Множество_202207112140401240[[#This Row],[3]])</f>
        <v/>
      </c>
      <c r="O138" s="208"/>
      <c r="P138" s="208"/>
      <c r="Q138">
        <v>4.19166666666667</v>
      </c>
      <c r="R138">
        <v>-16.0833333333333</v>
      </c>
      <c r="S138" s="208">
        <v>10</v>
      </c>
      <c r="T138" s="208">
        <v>-12.5</v>
      </c>
      <c r="U138" s="208">
        <f>ABS(Множество_202207112140401240[[#This Row],[10]]-Множество_202207112140401240[[#This Row],[12]])</f>
        <v>5.80833333333333</v>
      </c>
      <c r="V138" s="208">
        <f>ABS(Множество_202207112140401240[[#This Row],[11]]-Множество_202207112140401240[[#This Row],[13]])</f>
        <v>3.5833333333333002</v>
      </c>
      <c r="W138" s="208">
        <f>Множество_202207112140401240[[#This Row],[15]]+Множество_202207112140401240[[#This Row],[14]]</f>
        <v>9.3916666666666302</v>
      </c>
      <c r="X138" s="208">
        <f ca="1">IF(ROW()-ROW(Множество_202207112140401240[[#Headers],[17]])&gt;1,Множество_202207112140401240[[#This Row],[16]]-OFFSET(Множество_202207112140401240[[#This Row],[16]],-1,0),0)</f>
        <v>-7.5000000000001066E-2</v>
      </c>
      <c r="Y138" s="208">
        <v>4.1333333333333302</v>
      </c>
      <c r="Z138" s="208">
        <v>-16.066666666666698</v>
      </c>
      <c r="AA138" s="208">
        <f>ABS(Множество_202207112140401240[[#This Row],[18]]-Множество_202207112140401240[[#This Row],[12]])</f>
        <v>5.8666666666666698</v>
      </c>
      <c r="AB138" s="208">
        <f>ABS(Множество_202207112140401240[[#This Row],[19]]-Множество_202207112140401240[[#This Row],[13]])</f>
        <v>3.5666666666666984</v>
      </c>
      <c r="AC138" s="208">
        <f>Множество_202207112140401240[[#This Row],[20]]+Множество_202207112140401240[[#This Row],[21]]</f>
        <v>9.4333333333333691</v>
      </c>
    </row>
    <row r="139" spans="6:29" x14ac:dyDescent="0.25">
      <c r="F139" s="213"/>
      <c r="K139" s="208">
        <f>Множество_202207112140401240[[#This Row],[2]]-Множество_202207112140401240[[#This Row],[4]]</f>
        <v>0</v>
      </c>
      <c r="L139" s="208">
        <f>Множество_202207112140401240[[#This Row],[3]]-Множество_202207112140401240[[#This Row],[5]]</f>
        <v>0</v>
      </c>
      <c r="M139" s="208">
        <f>Множество_202207112140401240[[#This Row],[7]]+Множество_202207112140401240[[#This Row],[6]]</f>
        <v>0</v>
      </c>
      <c r="N139" s="208" t="str">
        <f>CONCATENATE(Множество_202207112140401240[[#This Row],[2]],Множество_202207112140401240[[#This Row],[3]])</f>
        <v/>
      </c>
      <c r="O139" s="208"/>
      <c r="P139" s="208"/>
      <c r="Q139">
        <v>4.1333333333333302</v>
      </c>
      <c r="R139">
        <v>-16.066666666666698</v>
      </c>
      <c r="S139" s="208">
        <v>10</v>
      </c>
      <c r="T139" s="208">
        <v>-12.5</v>
      </c>
      <c r="U139" s="208">
        <f>ABS(Множество_202207112140401240[[#This Row],[10]]-Множество_202207112140401240[[#This Row],[12]])</f>
        <v>5.8666666666666698</v>
      </c>
      <c r="V139" s="208">
        <f>ABS(Множество_202207112140401240[[#This Row],[11]]-Множество_202207112140401240[[#This Row],[13]])</f>
        <v>3.5666666666666984</v>
      </c>
      <c r="W139" s="208">
        <f>Множество_202207112140401240[[#This Row],[15]]+Множество_202207112140401240[[#This Row],[14]]</f>
        <v>9.4333333333333691</v>
      </c>
      <c r="X139" s="208">
        <f ca="1">IF(ROW()-ROW(Множество_202207112140401240[[#Headers],[17]])&gt;1,Множество_202207112140401240[[#This Row],[16]]-OFFSET(Множество_202207112140401240[[#This Row],[16]],-1,0),0)</f>
        <v>4.1666666666738905E-2</v>
      </c>
      <c r="Y139" s="208">
        <v>7.1666666666666696</v>
      </c>
      <c r="Z139" s="208">
        <v>-19.133333333333301</v>
      </c>
      <c r="AA139" s="208">
        <f>ABS(Множество_202207112140401240[[#This Row],[18]]-Множество_202207112140401240[[#This Row],[12]])</f>
        <v>2.8333333333333304</v>
      </c>
      <c r="AB139" s="208">
        <f>ABS(Множество_202207112140401240[[#This Row],[19]]-Множество_202207112140401240[[#This Row],[13]])</f>
        <v>6.6333333333333009</v>
      </c>
      <c r="AC139" s="208">
        <f>Множество_202207112140401240[[#This Row],[20]]+Множество_202207112140401240[[#This Row],[21]]</f>
        <v>9.4666666666666313</v>
      </c>
    </row>
    <row r="140" spans="6:29" x14ac:dyDescent="0.25">
      <c r="F140" s="213"/>
      <c r="K140" s="208">
        <f>Множество_202207112140401240[[#This Row],[2]]-Множество_202207112140401240[[#This Row],[4]]</f>
        <v>0</v>
      </c>
      <c r="L140" s="208">
        <f>Множество_202207112140401240[[#This Row],[3]]-Множество_202207112140401240[[#This Row],[5]]</f>
        <v>0</v>
      </c>
      <c r="M140" s="208">
        <f>Множество_202207112140401240[[#This Row],[7]]+Множество_202207112140401240[[#This Row],[6]]</f>
        <v>0</v>
      </c>
      <c r="N140" s="208" t="str">
        <f>CONCATENATE(Множество_202207112140401240[[#This Row],[2]],Множество_202207112140401240[[#This Row],[3]])</f>
        <v/>
      </c>
      <c r="O140" s="208"/>
      <c r="P140" s="208"/>
      <c r="Q140">
        <v>7.05</v>
      </c>
      <c r="R140">
        <v>-19.033333333333299</v>
      </c>
      <c r="S140" s="208">
        <v>10</v>
      </c>
      <c r="T140" s="208">
        <v>-12.5</v>
      </c>
      <c r="U140" s="208">
        <f>ABS(Множество_202207112140401240[[#This Row],[10]]-Множество_202207112140401240[[#This Row],[12]])</f>
        <v>2.95</v>
      </c>
      <c r="V140" s="208">
        <f>ABS(Множество_202207112140401240[[#This Row],[11]]-Множество_202207112140401240[[#This Row],[13]])</f>
        <v>6.5333333333332995</v>
      </c>
      <c r="W140" s="208">
        <f>Множество_202207112140401240[[#This Row],[15]]+Множество_202207112140401240[[#This Row],[14]]</f>
        <v>9.4833333333332988</v>
      </c>
      <c r="X140" s="208">
        <f ca="1">IF(ROW()-ROW(Множество_202207112140401240[[#Headers],[17]])&gt;1,Множество_202207112140401240[[#This Row],[16]]-OFFSET(Множество_202207112140401240[[#This Row],[16]],-1,0),0)</f>
        <v>4.9999999999929656E-2</v>
      </c>
      <c r="Y140" s="208">
        <v>2.55833333333333</v>
      </c>
      <c r="Z140" s="208">
        <v>-14.516666666666699</v>
      </c>
      <c r="AA140" s="208">
        <f>ABS(Множество_202207112140401240[[#This Row],[18]]-Множество_202207112140401240[[#This Row],[12]])</f>
        <v>7.44166666666667</v>
      </c>
      <c r="AB140" s="208">
        <f>ABS(Множество_202207112140401240[[#This Row],[19]]-Множество_202207112140401240[[#This Row],[13]])</f>
        <v>2.0166666666666995</v>
      </c>
      <c r="AC140" s="208">
        <f>Множество_202207112140401240[[#This Row],[20]]+Множество_202207112140401240[[#This Row],[21]]</f>
        <v>9.4583333333333695</v>
      </c>
    </row>
    <row r="141" spans="6:29" x14ac:dyDescent="0.25">
      <c r="F141" s="213"/>
      <c r="K141" s="208">
        <f>Множество_202207112140401240[[#This Row],[2]]-Множество_202207112140401240[[#This Row],[4]]</f>
        <v>0</v>
      </c>
      <c r="L141" s="208">
        <f>Множество_202207112140401240[[#This Row],[3]]-Множество_202207112140401240[[#This Row],[5]]</f>
        <v>0</v>
      </c>
      <c r="M141" s="208">
        <f>Множество_202207112140401240[[#This Row],[7]]+Множество_202207112140401240[[#This Row],[6]]</f>
        <v>0</v>
      </c>
      <c r="N141" s="208" t="str">
        <f>CONCATENATE(Множество_202207112140401240[[#This Row],[2]],Множество_202207112140401240[[#This Row],[3]])</f>
        <v/>
      </c>
      <c r="O141" s="208"/>
      <c r="P141" s="208"/>
      <c r="Q141">
        <v>2.55833333333333</v>
      </c>
      <c r="R141">
        <v>-14.516666666666699</v>
      </c>
      <c r="S141" s="208">
        <v>10</v>
      </c>
      <c r="T141" s="208">
        <v>-12.5</v>
      </c>
      <c r="U141" s="208">
        <f>ABS(Множество_202207112140401240[[#This Row],[10]]-Множество_202207112140401240[[#This Row],[12]])</f>
        <v>7.44166666666667</v>
      </c>
      <c r="V141" s="208">
        <f>ABS(Множество_202207112140401240[[#This Row],[11]]-Множество_202207112140401240[[#This Row],[13]])</f>
        <v>2.0166666666666995</v>
      </c>
      <c r="W141" s="208">
        <f>Множество_202207112140401240[[#This Row],[15]]+Множество_202207112140401240[[#This Row],[14]]</f>
        <v>9.4583333333333695</v>
      </c>
      <c r="X141" s="208">
        <f ca="1">IF(ROW()-ROW(Множество_202207112140401240[[#Headers],[17]])&gt;1,Множество_202207112140401240[[#This Row],[16]]-OFFSET(Множество_202207112140401240[[#This Row],[16]],-1,0),0)</f>
        <v>-2.4999999999929301E-2</v>
      </c>
      <c r="Y141" s="208">
        <v>7.2249999999999996</v>
      </c>
      <c r="Z141" s="208">
        <v>-19.1666666666667</v>
      </c>
      <c r="AA141" s="208">
        <f>ABS(Множество_202207112140401240[[#This Row],[18]]-Множество_202207112140401240[[#This Row],[12]])</f>
        <v>2.7750000000000004</v>
      </c>
      <c r="AB141" s="208">
        <f>ABS(Множество_202207112140401240[[#This Row],[19]]-Множество_202207112140401240[[#This Row],[13]])</f>
        <v>6.6666666666666998</v>
      </c>
      <c r="AC141" s="208">
        <f>Множество_202207112140401240[[#This Row],[20]]+Множество_202207112140401240[[#This Row],[21]]</f>
        <v>9.4416666666667002</v>
      </c>
    </row>
    <row r="142" spans="6:29" x14ac:dyDescent="0.25">
      <c r="F142" s="213"/>
      <c r="K142" s="208">
        <f>Множество_202207112140401240[[#This Row],[2]]-Множество_202207112140401240[[#This Row],[4]]</f>
        <v>0</v>
      </c>
      <c r="L142" s="208">
        <f>Множество_202207112140401240[[#This Row],[3]]-Множество_202207112140401240[[#This Row],[5]]</f>
        <v>0</v>
      </c>
      <c r="M142" s="208">
        <f>Множество_202207112140401240[[#This Row],[7]]+Множество_202207112140401240[[#This Row],[6]]</f>
        <v>0</v>
      </c>
      <c r="N142" s="208" t="str">
        <f>CONCATENATE(Множество_202207112140401240[[#This Row],[2]],Множество_202207112140401240[[#This Row],[3]])</f>
        <v/>
      </c>
      <c r="O142" s="208"/>
      <c r="P142" s="208"/>
      <c r="Q142">
        <v>7.2249999999999996</v>
      </c>
      <c r="R142">
        <v>-19.1666666666667</v>
      </c>
      <c r="S142" s="208">
        <v>10</v>
      </c>
      <c r="T142" s="208">
        <v>-12.5</v>
      </c>
      <c r="U142" s="208">
        <f>ABS(Множество_202207112140401240[[#This Row],[10]]-Множество_202207112140401240[[#This Row],[12]])</f>
        <v>2.7750000000000004</v>
      </c>
      <c r="V142" s="208">
        <f>ABS(Множество_202207112140401240[[#This Row],[11]]-Множество_202207112140401240[[#This Row],[13]])</f>
        <v>6.6666666666666998</v>
      </c>
      <c r="W142" s="208">
        <f>Множество_202207112140401240[[#This Row],[15]]+Множество_202207112140401240[[#This Row],[14]]</f>
        <v>9.4416666666667002</v>
      </c>
      <c r="X142" s="208">
        <f ca="1">IF(ROW()-ROW(Множество_202207112140401240[[#Headers],[17]])&gt;1,Множество_202207112140401240[[#This Row],[16]]-OFFSET(Множество_202207112140401240[[#This Row],[16]],-1,0),0)</f>
        <v>-1.6666666666669272E-2</v>
      </c>
      <c r="Y142" s="208">
        <v>7.05</v>
      </c>
      <c r="Z142" s="208">
        <v>-19.033333333333299</v>
      </c>
      <c r="AA142" s="208">
        <f>ABS(Множество_202207112140401240[[#This Row],[18]]-Множество_202207112140401240[[#This Row],[12]])</f>
        <v>2.95</v>
      </c>
      <c r="AB142" s="208">
        <f>ABS(Множество_202207112140401240[[#This Row],[19]]-Множество_202207112140401240[[#This Row],[13]])</f>
        <v>6.5333333333332995</v>
      </c>
      <c r="AC142" s="208">
        <f>Множество_202207112140401240[[#This Row],[20]]+Множество_202207112140401240[[#This Row],[21]]</f>
        <v>9.4833333333332988</v>
      </c>
    </row>
    <row r="143" spans="6:29" x14ac:dyDescent="0.25">
      <c r="F143" s="213"/>
      <c r="K143" s="208">
        <f>Множество_202207112140401240[[#This Row],[2]]-Множество_202207112140401240[[#This Row],[4]]</f>
        <v>0</v>
      </c>
      <c r="L143" s="208">
        <f>Множество_202207112140401240[[#This Row],[3]]-Множество_202207112140401240[[#This Row],[5]]</f>
        <v>0</v>
      </c>
      <c r="M143" s="208">
        <f>Множество_202207112140401240[[#This Row],[7]]+Множество_202207112140401240[[#This Row],[6]]</f>
        <v>0</v>
      </c>
      <c r="N143" s="208" t="str">
        <f>CONCATENATE(Множество_202207112140401240[[#This Row],[2]],Множество_202207112140401240[[#This Row],[3]])</f>
        <v/>
      </c>
      <c r="O143" s="208"/>
      <c r="P143" s="208"/>
      <c r="Q143">
        <v>4.0166666666666702</v>
      </c>
      <c r="R143">
        <v>-16.016666666666701</v>
      </c>
      <c r="S143" s="208">
        <v>10</v>
      </c>
      <c r="T143" s="208">
        <v>-12.5</v>
      </c>
      <c r="U143" s="208">
        <f>ABS(Множество_202207112140401240[[#This Row],[10]]-Множество_202207112140401240[[#This Row],[12]])</f>
        <v>5.9833333333333298</v>
      </c>
      <c r="V143" s="208">
        <f>ABS(Множество_202207112140401240[[#This Row],[11]]-Множество_202207112140401240[[#This Row],[13]])</f>
        <v>3.5166666666667012</v>
      </c>
      <c r="W143" s="208">
        <f>Множество_202207112140401240[[#This Row],[15]]+Множество_202207112140401240[[#This Row],[14]]</f>
        <v>9.500000000000032</v>
      </c>
      <c r="X143" s="208">
        <f ca="1">IF(ROW()-ROW(Множество_202207112140401240[[#Headers],[17]])&gt;1,Множество_202207112140401240[[#This Row],[16]]-OFFSET(Множество_202207112140401240[[#This Row],[16]],-1,0),0)</f>
        <v>5.8333333333331794E-2</v>
      </c>
      <c r="Y143" s="208">
        <v>6.7583333333333302</v>
      </c>
      <c r="Z143" s="208">
        <v>-18.816666666666698</v>
      </c>
      <c r="AA143" s="208">
        <f>ABS(Множество_202207112140401240[[#This Row],[18]]-Множество_202207112140401240[[#This Row],[12]])</f>
        <v>3.2416666666666698</v>
      </c>
      <c r="AB143" s="208">
        <f>ABS(Множество_202207112140401240[[#This Row],[19]]-Множество_202207112140401240[[#This Row],[13]])</f>
        <v>6.3166666666666984</v>
      </c>
      <c r="AC143" s="208">
        <f>Множество_202207112140401240[[#This Row],[20]]+Множество_202207112140401240[[#This Row],[21]]</f>
        <v>9.5583333333333691</v>
      </c>
    </row>
    <row r="144" spans="6:29" x14ac:dyDescent="0.25">
      <c r="F144" s="213"/>
      <c r="K144" s="208">
        <f>Множество_202207112140401240[[#This Row],[2]]-Множество_202207112140401240[[#This Row],[4]]</f>
        <v>0</v>
      </c>
      <c r="L144" s="208">
        <f>Множество_202207112140401240[[#This Row],[3]]-Множество_202207112140401240[[#This Row],[5]]</f>
        <v>0</v>
      </c>
      <c r="M144" s="208">
        <f>Множество_202207112140401240[[#This Row],[7]]+Множество_202207112140401240[[#This Row],[6]]</f>
        <v>0</v>
      </c>
      <c r="N144" s="208" t="str">
        <f>CONCATENATE(Множество_202207112140401240[[#This Row],[2]],Множество_202207112140401240[[#This Row],[3]])</f>
        <v/>
      </c>
      <c r="O144" s="208"/>
      <c r="P144" s="208"/>
      <c r="Q144">
        <v>6.7583333333333302</v>
      </c>
      <c r="R144">
        <v>-18.816666666666698</v>
      </c>
      <c r="S144" s="208">
        <v>10</v>
      </c>
      <c r="T144" s="208">
        <v>-12.5</v>
      </c>
      <c r="U144" s="208">
        <f>ABS(Множество_202207112140401240[[#This Row],[10]]-Множество_202207112140401240[[#This Row],[12]])</f>
        <v>3.2416666666666698</v>
      </c>
      <c r="V144" s="208">
        <f>ABS(Множество_202207112140401240[[#This Row],[11]]-Множество_202207112140401240[[#This Row],[13]])</f>
        <v>6.3166666666666984</v>
      </c>
      <c r="W144" s="208">
        <f>Множество_202207112140401240[[#This Row],[15]]+Множество_202207112140401240[[#This Row],[14]]</f>
        <v>9.5583333333333691</v>
      </c>
      <c r="X144" s="208">
        <f ca="1">IF(ROW()-ROW(Множество_202207112140401240[[#Headers],[17]])&gt;1,Множество_202207112140401240[[#This Row],[16]]-OFFSET(Множество_202207112140401240[[#This Row],[16]],-1,0),0)</f>
        <v>5.8333333333337123E-2</v>
      </c>
      <c r="Y144" s="208">
        <v>6.875</v>
      </c>
      <c r="Z144" s="208">
        <v>-18.9166666666667</v>
      </c>
      <c r="AA144" s="208">
        <f>ABS(Множество_202207112140401240[[#This Row],[18]]-Множество_202207112140401240[[#This Row],[12]])</f>
        <v>3.125</v>
      </c>
      <c r="AB144" s="208">
        <f>ABS(Множество_202207112140401240[[#This Row],[19]]-Множество_202207112140401240[[#This Row],[13]])</f>
        <v>6.4166666666666998</v>
      </c>
      <c r="AC144" s="208">
        <f>Множество_202207112140401240[[#This Row],[20]]+Множество_202207112140401240[[#This Row],[21]]</f>
        <v>9.5416666666666998</v>
      </c>
    </row>
    <row r="145" spans="6:29" x14ac:dyDescent="0.25">
      <c r="F145" s="213"/>
      <c r="K145" s="208">
        <f>Множество_202207112140401240[[#This Row],[2]]-Множество_202207112140401240[[#This Row],[4]]</f>
        <v>0</v>
      </c>
      <c r="L145" s="208">
        <f>Множество_202207112140401240[[#This Row],[3]]-Множество_202207112140401240[[#This Row],[5]]</f>
        <v>0</v>
      </c>
      <c r="M145" s="208">
        <f>Множество_202207112140401240[[#This Row],[7]]+Множество_202207112140401240[[#This Row],[6]]</f>
        <v>0</v>
      </c>
      <c r="N145" s="208" t="str">
        <f>CONCATENATE(Множество_202207112140401240[[#This Row],[2]],Множество_202207112140401240[[#This Row],[3]])</f>
        <v/>
      </c>
      <c r="O145" s="208"/>
      <c r="P145" s="208"/>
      <c r="Q145">
        <v>3.9583333333333299</v>
      </c>
      <c r="R145">
        <v>-16</v>
      </c>
      <c r="S145" s="208">
        <v>10</v>
      </c>
      <c r="T145" s="208">
        <v>-12.5</v>
      </c>
      <c r="U145" s="208">
        <f>ABS(Множество_202207112140401240[[#This Row],[10]]-Множество_202207112140401240[[#This Row],[12]])</f>
        <v>6.0416666666666696</v>
      </c>
      <c r="V145" s="208">
        <f>ABS(Множество_202207112140401240[[#This Row],[11]]-Множество_202207112140401240[[#This Row],[13]])</f>
        <v>3.5</v>
      </c>
      <c r="W145" s="208">
        <f>Множество_202207112140401240[[#This Row],[15]]+Множество_202207112140401240[[#This Row],[14]]</f>
        <v>9.5416666666666696</v>
      </c>
      <c r="X145" s="208">
        <f ca="1">IF(ROW()-ROW(Множество_202207112140401240[[#Headers],[17]])&gt;1,Множество_202207112140401240[[#This Row],[16]]-OFFSET(Множество_202207112140401240[[#This Row],[16]],-1,0),0)</f>
        <v>-1.666666666669947E-2</v>
      </c>
      <c r="Y145" s="208">
        <v>4.0166666666666702</v>
      </c>
      <c r="Z145" s="208">
        <v>-16.016666666666701</v>
      </c>
      <c r="AA145" s="208">
        <f>ABS(Множество_202207112140401240[[#This Row],[18]]-Множество_202207112140401240[[#This Row],[12]])</f>
        <v>5.9833333333333298</v>
      </c>
      <c r="AB145" s="208">
        <f>ABS(Множество_202207112140401240[[#This Row],[19]]-Множество_202207112140401240[[#This Row],[13]])</f>
        <v>3.5166666666667012</v>
      </c>
      <c r="AC145" s="208">
        <f>Множество_202207112140401240[[#This Row],[20]]+Множество_202207112140401240[[#This Row],[21]]</f>
        <v>9.500000000000032</v>
      </c>
    </row>
    <row r="146" spans="6:29" x14ac:dyDescent="0.25">
      <c r="F146" s="213"/>
      <c r="K146" s="208">
        <f>Множество_202207112140401240[[#This Row],[2]]-Множество_202207112140401240[[#This Row],[4]]</f>
        <v>0</v>
      </c>
      <c r="L146" s="208">
        <f>Множество_202207112140401240[[#This Row],[3]]-Множество_202207112140401240[[#This Row],[5]]</f>
        <v>0</v>
      </c>
      <c r="M146" s="208">
        <f>Множество_202207112140401240[[#This Row],[7]]+Множество_202207112140401240[[#This Row],[6]]</f>
        <v>0</v>
      </c>
      <c r="N146" s="208" t="str">
        <f>CONCATENATE(Множество_202207112140401240[[#This Row],[2]],Множество_202207112140401240[[#This Row],[3]])</f>
        <v/>
      </c>
      <c r="O146" s="208"/>
      <c r="P146" s="208"/>
      <c r="Q146">
        <v>2.5</v>
      </c>
      <c r="R146">
        <v>-14.533333333333299</v>
      </c>
      <c r="S146" s="208">
        <v>10</v>
      </c>
      <c r="T146" s="208">
        <v>-12.5</v>
      </c>
      <c r="U146" s="208">
        <f>ABS(Множество_202207112140401240[[#This Row],[10]]-Множество_202207112140401240[[#This Row],[12]])</f>
        <v>7.5</v>
      </c>
      <c r="V146" s="208">
        <f>ABS(Множество_202207112140401240[[#This Row],[11]]-Множество_202207112140401240[[#This Row],[13]])</f>
        <v>2.0333333333332995</v>
      </c>
      <c r="W146" s="208">
        <f>Множество_202207112140401240[[#This Row],[15]]+Множество_202207112140401240[[#This Row],[14]]</f>
        <v>9.5333333333332995</v>
      </c>
      <c r="X146" s="208">
        <f ca="1">IF(ROW()-ROW(Множество_202207112140401240[[#Headers],[17]])&gt;1,Множество_202207112140401240[[#This Row],[16]]-OFFSET(Множество_202207112140401240[[#This Row],[16]],-1,0),0)</f>
        <v>-8.3333333333701631E-3</v>
      </c>
      <c r="Y146" s="208">
        <v>6.93333333333333</v>
      </c>
      <c r="Z146" s="208">
        <v>-18.95</v>
      </c>
      <c r="AA146" s="208">
        <f>ABS(Множество_202207112140401240[[#This Row],[18]]-Множество_202207112140401240[[#This Row],[12]])</f>
        <v>3.06666666666667</v>
      </c>
      <c r="AB146" s="208">
        <f>ABS(Множество_202207112140401240[[#This Row],[19]]-Множество_202207112140401240[[#This Row],[13]])</f>
        <v>6.4499999999999993</v>
      </c>
      <c r="AC146" s="208">
        <f>Множество_202207112140401240[[#This Row],[20]]+Множество_202207112140401240[[#This Row],[21]]</f>
        <v>9.5166666666666693</v>
      </c>
    </row>
    <row r="147" spans="6:29" x14ac:dyDescent="0.25">
      <c r="F147" s="213"/>
      <c r="K147" s="208">
        <f>Множество_202207112140401240[[#This Row],[2]]-Множество_202207112140401240[[#This Row],[4]]</f>
        <v>0</v>
      </c>
      <c r="L147" s="208">
        <f>Множество_202207112140401240[[#This Row],[3]]-Множество_202207112140401240[[#This Row],[5]]</f>
        <v>0</v>
      </c>
      <c r="M147" s="208">
        <f>Множество_202207112140401240[[#This Row],[7]]+Множество_202207112140401240[[#This Row],[6]]</f>
        <v>0</v>
      </c>
      <c r="N147" s="208" t="str">
        <f>CONCATENATE(Множество_202207112140401240[[#This Row],[2]],Множество_202207112140401240[[#This Row],[3]])</f>
        <v/>
      </c>
      <c r="O147" s="208"/>
      <c r="P147" s="208"/>
      <c r="Q147">
        <v>6.875</v>
      </c>
      <c r="R147">
        <v>-18.9166666666667</v>
      </c>
      <c r="S147" s="208">
        <v>10</v>
      </c>
      <c r="T147" s="208">
        <v>-12.5</v>
      </c>
      <c r="U147" s="208">
        <f>ABS(Множество_202207112140401240[[#This Row],[10]]-Множество_202207112140401240[[#This Row],[12]])</f>
        <v>3.125</v>
      </c>
      <c r="V147" s="208">
        <f>ABS(Множество_202207112140401240[[#This Row],[11]]-Множество_202207112140401240[[#This Row],[13]])</f>
        <v>6.4166666666666998</v>
      </c>
      <c r="W147" s="208">
        <f>Множество_202207112140401240[[#This Row],[15]]+Множество_202207112140401240[[#This Row],[14]]</f>
        <v>9.5416666666666998</v>
      </c>
      <c r="X147" s="208">
        <f ca="1">IF(ROW()-ROW(Множество_202207112140401240[[#Headers],[17]])&gt;1,Множество_202207112140401240[[#This Row],[16]]-OFFSET(Множество_202207112140401240[[#This Row],[16]],-1,0),0)</f>
        <v>8.3333333334003612E-3</v>
      </c>
      <c r="Y147" s="208">
        <v>3.9583333333333299</v>
      </c>
      <c r="Z147" s="208">
        <v>-16</v>
      </c>
      <c r="AA147" s="208">
        <f>ABS(Множество_202207112140401240[[#This Row],[18]]-Множество_202207112140401240[[#This Row],[12]])</f>
        <v>6.0416666666666696</v>
      </c>
      <c r="AB147" s="208">
        <f>ABS(Множество_202207112140401240[[#This Row],[19]]-Множество_202207112140401240[[#This Row],[13]])</f>
        <v>3.5</v>
      </c>
      <c r="AC147" s="208">
        <f>Множество_202207112140401240[[#This Row],[20]]+Множество_202207112140401240[[#This Row],[21]]</f>
        <v>9.5416666666666696</v>
      </c>
    </row>
    <row r="148" spans="6:29" x14ac:dyDescent="0.25">
      <c r="F148" s="213"/>
      <c r="K148" s="208">
        <f>Множество_202207112140401240[[#This Row],[2]]-Множество_202207112140401240[[#This Row],[4]]</f>
        <v>0</v>
      </c>
      <c r="L148" s="208">
        <f>Множество_202207112140401240[[#This Row],[3]]-Множество_202207112140401240[[#This Row],[5]]</f>
        <v>0</v>
      </c>
      <c r="M148" s="208">
        <f>Множество_202207112140401240[[#This Row],[7]]+Множество_202207112140401240[[#This Row],[6]]</f>
        <v>0</v>
      </c>
      <c r="N148" s="208" t="str">
        <f>CONCATENATE(Множество_202207112140401240[[#This Row],[2]],Множество_202207112140401240[[#This Row],[3]])</f>
        <v/>
      </c>
      <c r="O148" s="208"/>
      <c r="P148" s="208"/>
      <c r="Q148">
        <v>6.93333333333333</v>
      </c>
      <c r="R148">
        <v>-18.95</v>
      </c>
      <c r="S148" s="208">
        <v>10</v>
      </c>
      <c r="T148" s="208">
        <v>-12.5</v>
      </c>
      <c r="U148" s="208">
        <f>ABS(Множество_202207112140401240[[#This Row],[10]]-Множество_202207112140401240[[#This Row],[12]])</f>
        <v>3.06666666666667</v>
      </c>
      <c r="V148" s="208">
        <f>ABS(Множество_202207112140401240[[#This Row],[11]]-Множество_202207112140401240[[#This Row],[13]])</f>
        <v>6.4499999999999993</v>
      </c>
      <c r="W148" s="208">
        <f>Множество_202207112140401240[[#This Row],[15]]+Множество_202207112140401240[[#This Row],[14]]</f>
        <v>9.5166666666666693</v>
      </c>
      <c r="X148" s="208">
        <f ca="1">IF(ROW()-ROW(Множество_202207112140401240[[#Headers],[17]])&gt;1,Множество_202207112140401240[[#This Row],[16]]-OFFSET(Множество_202207112140401240[[#This Row],[16]],-1,0),0)</f>
        <v>-2.5000000000030553E-2</v>
      </c>
      <c r="Y148" s="208">
        <v>2.5</v>
      </c>
      <c r="Z148" s="208">
        <v>-14.533333333333299</v>
      </c>
      <c r="AA148" s="208">
        <f>ABS(Множество_202207112140401240[[#This Row],[18]]-Множество_202207112140401240[[#This Row],[12]])</f>
        <v>7.5</v>
      </c>
      <c r="AB148" s="208">
        <f>ABS(Множество_202207112140401240[[#This Row],[19]]-Множество_202207112140401240[[#This Row],[13]])</f>
        <v>2.0333333333332995</v>
      </c>
      <c r="AC148" s="208">
        <f>Множество_202207112140401240[[#This Row],[20]]+Множество_202207112140401240[[#This Row],[21]]</f>
        <v>9.5333333333332995</v>
      </c>
    </row>
    <row r="149" spans="6:29" x14ac:dyDescent="0.25">
      <c r="F149" s="213"/>
      <c r="K149" s="208">
        <f>Множество_202207112140401240[[#This Row],[2]]-Множество_202207112140401240[[#This Row],[4]]</f>
        <v>0</v>
      </c>
      <c r="L149" s="208">
        <f>Множество_202207112140401240[[#This Row],[3]]-Множество_202207112140401240[[#This Row],[5]]</f>
        <v>0</v>
      </c>
      <c r="M149" s="208">
        <f>Множество_202207112140401240[[#This Row],[7]]+Множество_202207112140401240[[#This Row],[6]]</f>
        <v>0</v>
      </c>
      <c r="N149" s="208" t="str">
        <f>CONCATENATE(Множество_202207112140401240[[#This Row],[2]],Множество_202207112140401240[[#This Row],[3]])</f>
        <v/>
      </c>
      <c r="O149" s="208"/>
      <c r="P149" s="208"/>
      <c r="Q149">
        <v>2.5</v>
      </c>
      <c r="R149">
        <v>-14.533333333333299</v>
      </c>
      <c r="S149" s="208">
        <v>10</v>
      </c>
      <c r="T149" s="208">
        <v>-12.5</v>
      </c>
      <c r="U149" s="208">
        <f>ABS(Множество_202207112140401240[[#This Row],[10]]-Множество_202207112140401240[[#This Row],[12]])</f>
        <v>7.5</v>
      </c>
      <c r="V149" s="208">
        <f>ABS(Множество_202207112140401240[[#This Row],[11]]-Множество_202207112140401240[[#This Row],[13]])</f>
        <v>2.0333333333332995</v>
      </c>
      <c r="W149" s="208">
        <f>Множество_202207112140401240[[#This Row],[15]]+Множество_202207112140401240[[#This Row],[14]]</f>
        <v>9.5333333333332995</v>
      </c>
      <c r="X149" s="208">
        <f ca="1">IF(ROW()-ROW(Множество_202207112140401240[[#Headers],[17]])&gt;1,Множество_202207112140401240[[#This Row],[16]]-OFFSET(Множество_202207112140401240[[#This Row],[16]],-1,0),0)</f>
        <v>1.6666666666630192E-2</v>
      </c>
      <c r="Y149" s="208">
        <v>2.5</v>
      </c>
      <c r="Z149" s="208">
        <v>-14.533333333333299</v>
      </c>
      <c r="AA149" s="208">
        <f>ABS(Множество_202207112140401240[[#This Row],[18]]-Множество_202207112140401240[[#This Row],[12]])</f>
        <v>7.5</v>
      </c>
      <c r="AB149" s="208">
        <f>ABS(Множество_202207112140401240[[#This Row],[19]]-Множество_202207112140401240[[#This Row],[13]])</f>
        <v>2.0333333333332995</v>
      </c>
      <c r="AC149" s="208">
        <f>Множество_202207112140401240[[#This Row],[20]]+Множество_202207112140401240[[#This Row],[21]]</f>
        <v>9.5333333333332995</v>
      </c>
    </row>
    <row r="150" spans="6:29" x14ac:dyDescent="0.25">
      <c r="F150" s="213"/>
      <c r="K150" s="208">
        <f>Множество_202207112140401240[[#This Row],[2]]-Множество_202207112140401240[[#This Row],[4]]</f>
        <v>0</v>
      </c>
      <c r="L150" s="208">
        <f>Множество_202207112140401240[[#This Row],[3]]-Множество_202207112140401240[[#This Row],[5]]</f>
        <v>0</v>
      </c>
      <c r="M150" s="208">
        <f>Множество_202207112140401240[[#This Row],[7]]+Множество_202207112140401240[[#This Row],[6]]</f>
        <v>0</v>
      </c>
      <c r="N150" s="208" t="str">
        <f>CONCATENATE(Множество_202207112140401240[[#This Row],[2]],Множество_202207112140401240[[#This Row],[3]])</f>
        <v/>
      </c>
      <c r="O150" s="208"/>
      <c r="P150" s="208"/>
      <c r="Q150">
        <v>7.1083333333333298</v>
      </c>
      <c r="R150">
        <v>-19.0833333333333</v>
      </c>
      <c r="S150" s="208">
        <v>10</v>
      </c>
      <c r="T150" s="208">
        <v>-12.5</v>
      </c>
      <c r="U150" s="208">
        <f>ABS(Множество_202207112140401240[[#This Row],[10]]-Множество_202207112140401240[[#This Row],[12]])</f>
        <v>2.8916666666666702</v>
      </c>
      <c r="V150" s="208">
        <f>ABS(Множество_202207112140401240[[#This Row],[11]]-Множество_202207112140401240[[#This Row],[13]])</f>
        <v>6.5833333333333002</v>
      </c>
      <c r="W150" s="208">
        <f>Множество_202207112140401240[[#This Row],[15]]+Множество_202207112140401240[[#This Row],[14]]</f>
        <v>9.4749999999999694</v>
      </c>
      <c r="X150" s="208">
        <f ca="1">IF(ROW()-ROW(Множество_202207112140401240[[#Headers],[17]])&gt;1,Множество_202207112140401240[[#This Row],[16]]-OFFSET(Множество_202207112140401240[[#This Row],[16]],-1,0),0)</f>
        <v>-5.8333333333330017E-2</v>
      </c>
      <c r="Y150" s="208">
        <v>7.1083333333333298</v>
      </c>
      <c r="Z150" s="208">
        <v>-19.0833333333333</v>
      </c>
      <c r="AA150" s="208">
        <f>ABS(Множество_202207112140401240[[#This Row],[18]]-Множество_202207112140401240[[#This Row],[12]])</f>
        <v>2.8916666666666702</v>
      </c>
      <c r="AB150" s="208">
        <f>ABS(Множество_202207112140401240[[#This Row],[19]]-Множество_202207112140401240[[#This Row],[13]])</f>
        <v>6.5833333333333002</v>
      </c>
      <c r="AC150" s="208">
        <f>Множество_202207112140401240[[#This Row],[20]]+Множество_202207112140401240[[#This Row],[21]]</f>
        <v>9.4749999999999694</v>
      </c>
    </row>
    <row r="151" spans="6:29" x14ac:dyDescent="0.25">
      <c r="F151" s="213"/>
      <c r="K151" s="208">
        <f>Множество_202207112140401240[[#This Row],[2]]-Множество_202207112140401240[[#This Row],[4]]</f>
        <v>0</v>
      </c>
      <c r="L151" s="208">
        <f>Множество_202207112140401240[[#This Row],[3]]-Множество_202207112140401240[[#This Row],[5]]</f>
        <v>0</v>
      </c>
      <c r="M151" s="208">
        <f>Множество_202207112140401240[[#This Row],[7]]+Множество_202207112140401240[[#This Row],[6]]</f>
        <v>0</v>
      </c>
      <c r="N151" s="208" t="str">
        <f>CONCATENATE(Множество_202207112140401240[[#This Row],[2]],Множество_202207112140401240[[#This Row],[3]])</f>
        <v/>
      </c>
      <c r="O151" s="208"/>
      <c r="P151" s="208"/>
      <c r="Q151">
        <v>3.8416666666666699</v>
      </c>
      <c r="R151">
        <v>-15.95</v>
      </c>
      <c r="S151" s="208">
        <v>10</v>
      </c>
      <c r="T151" s="208">
        <v>-12.5</v>
      </c>
      <c r="U151" s="208">
        <f>ABS(Множество_202207112140401240[[#This Row],[10]]-Множество_202207112140401240[[#This Row],[12]])</f>
        <v>6.1583333333333297</v>
      </c>
      <c r="V151" s="208">
        <f>ABS(Множество_202207112140401240[[#This Row],[11]]-Множество_202207112140401240[[#This Row],[13]])</f>
        <v>3.4499999999999993</v>
      </c>
      <c r="W151" s="208">
        <f>Множество_202207112140401240[[#This Row],[15]]+Множество_202207112140401240[[#This Row],[14]]</f>
        <v>9.608333333333329</v>
      </c>
      <c r="X151" s="208">
        <f ca="1">IF(ROW()-ROW(Множество_202207112140401240[[#Headers],[17]])&gt;1,Множество_202207112140401240[[#This Row],[16]]-OFFSET(Множество_202207112140401240[[#This Row],[16]],-1,0),0)</f>
        <v>0.1333333333333595</v>
      </c>
      <c r="Y151" s="208">
        <v>6.9916666666666698</v>
      </c>
      <c r="Z151" s="208">
        <v>-19</v>
      </c>
      <c r="AA151" s="208">
        <f>ABS(Множество_202207112140401240[[#This Row],[18]]-Множество_202207112140401240[[#This Row],[12]])</f>
        <v>3.0083333333333302</v>
      </c>
      <c r="AB151" s="208">
        <f>ABS(Множество_202207112140401240[[#This Row],[19]]-Множество_202207112140401240[[#This Row],[13]])</f>
        <v>6.5</v>
      </c>
      <c r="AC151" s="208">
        <f>Множество_202207112140401240[[#This Row],[20]]+Множество_202207112140401240[[#This Row],[21]]</f>
        <v>9.5083333333333293</v>
      </c>
    </row>
    <row r="152" spans="6:29" x14ac:dyDescent="0.25">
      <c r="F152" s="213"/>
      <c r="K152" s="208">
        <f>Множество_202207112140401240[[#This Row],[2]]-Множество_202207112140401240[[#This Row],[4]]</f>
        <v>0</v>
      </c>
      <c r="L152" s="208">
        <f>Множество_202207112140401240[[#This Row],[3]]-Множество_202207112140401240[[#This Row],[5]]</f>
        <v>0</v>
      </c>
      <c r="M152" s="208">
        <f>Множество_202207112140401240[[#This Row],[7]]+Множество_202207112140401240[[#This Row],[6]]</f>
        <v>0</v>
      </c>
      <c r="N152" s="208" t="str">
        <f>CONCATENATE(Множество_202207112140401240[[#This Row],[2]],Множество_202207112140401240[[#This Row],[3]])</f>
        <v/>
      </c>
      <c r="O152" s="208"/>
      <c r="P152" s="208"/>
      <c r="Q152">
        <v>6.9916666666666698</v>
      </c>
      <c r="R152">
        <v>-19</v>
      </c>
      <c r="S152" s="208">
        <v>10</v>
      </c>
      <c r="T152" s="208">
        <v>-12.5</v>
      </c>
      <c r="U152" s="208">
        <f>ABS(Множество_202207112140401240[[#This Row],[10]]-Множество_202207112140401240[[#This Row],[12]])</f>
        <v>3.0083333333333302</v>
      </c>
      <c r="V152" s="208">
        <f>ABS(Множество_202207112140401240[[#This Row],[11]]-Множество_202207112140401240[[#This Row],[13]])</f>
        <v>6.5</v>
      </c>
      <c r="W152" s="208">
        <f>Множество_202207112140401240[[#This Row],[15]]+Множество_202207112140401240[[#This Row],[14]]</f>
        <v>9.5083333333333293</v>
      </c>
      <c r="X152" s="208">
        <f ca="1">IF(ROW()-ROW(Множество_202207112140401240[[#Headers],[17]])&gt;1,Множество_202207112140401240[[#This Row],[16]]-OFFSET(Множество_202207112140401240[[#This Row],[16]],-1,0),0)</f>
        <v>-9.9999999999999645E-2</v>
      </c>
      <c r="Y152" s="208">
        <v>6.81666666666667</v>
      </c>
      <c r="Z152" s="208">
        <v>-18.866666666666699</v>
      </c>
      <c r="AA152" s="208">
        <f>ABS(Множество_202207112140401240[[#This Row],[18]]-Множество_202207112140401240[[#This Row],[12]])</f>
        <v>3.18333333333333</v>
      </c>
      <c r="AB152" s="208">
        <f>ABS(Множество_202207112140401240[[#This Row],[19]]-Множество_202207112140401240[[#This Row],[13]])</f>
        <v>6.3666666666666991</v>
      </c>
      <c r="AC152" s="208">
        <f>Множество_202207112140401240[[#This Row],[20]]+Множество_202207112140401240[[#This Row],[21]]</f>
        <v>9.5500000000000291</v>
      </c>
    </row>
    <row r="153" spans="6:29" x14ac:dyDescent="0.25">
      <c r="F153" s="213"/>
      <c r="K153" s="208">
        <f>Множество_202207112140401240[[#This Row],[2]]-Множество_202207112140401240[[#This Row],[4]]</f>
        <v>0</v>
      </c>
      <c r="L153" s="208">
        <f>Множество_202207112140401240[[#This Row],[3]]-Множество_202207112140401240[[#This Row],[5]]</f>
        <v>0</v>
      </c>
      <c r="M153" s="208">
        <f>Множество_202207112140401240[[#This Row],[7]]+Множество_202207112140401240[[#This Row],[6]]</f>
        <v>0</v>
      </c>
      <c r="N153" s="208" t="str">
        <f>CONCATENATE(Множество_202207112140401240[[#This Row],[2]],Множество_202207112140401240[[#This Row],[3]])</f>
        <v/>
      </c>
      <c r="O153" s="208"/>
      <c r="P153" s="208"/>
      <c r="Q153">
        <v>6.81666666666667</v>
      </c>
      <c r="R153">
        <v>-18.866666666666699</v>
      </c>
      <c r="S153" s="208">
        <v>10</v>
      </c>
      <c r="T153" s="208">
        <v>-12.5</v>
      </c>
      <c r="U153" s="208">
        <f>ABS(Множество_202207112140401240[[#This Row],[10]]-Множество_202207112140401240[[#This Row],[12]])</f>
        <v>3.18333333333333</v>
      </c>
      <c r="V153" s="208">
        <f>ABS(Множество_202207112140401240[[#This Row],[11]]-Множество_202207112140401240[[#This Row],[13]])</f>
        <v>6.3666666666666991</v>
      </c>
      <c r="W153" s="208">
        <f>Множество_202207112140401240[[#This Row],[15]]+Множество_202207112140401240[[#This Row],[14]]</f>
        <v>9.5500000000000291</v>
      </c>
      <c r="X153" s="208">
        <f ca="1">IF(ROW()-ROW(Множество_202207112140401240[[#Headers],[17]])&gt;1,Множество_202207112140401240[[#This Row],[16]]-OFFSET(Множество_202207112140401240[[#This Row],[16]],-1,0),0)</f>
        <v>4.1666666666699825E-2</v>
      </c>
      <c r="Y153" s="208">
        <v>3.8416666666666699</v>
      </c>
      <c r="Z153" s="208">
        <v>-15.95</v>
      </c>
      <c r="AA153" s="208">
        <f>ABS(Множество_202207112140401240[[#This Row],[18]]-Множество_202207112140401240[[#This Row],[12]])</f>
        <v>6.1583333333333297</v>
      </c>
      <c r="AB153" s="208">
        <f>ABS(Множество_202207112140401240[[#This Row],[19]]-Множество_202207112140401240[[#This Row],[13]])</f>
        <v>3.4499999999999993</v>
      </c>
      <c r="AC153" s="208">
        <f>Множество_202207112140401240[[#This Row],[20]]+Множество_202207112140401240[[#This Row],[21]]</f>
        <v>9.608333333333329</v>
      </c>
    </row>
    <row r="154" spans="6:29" x14ac:dyDescent="0.25">
      <c r="F154" s="213"/>
      <c r="K154" s="208">
        <f>Множество_202207112140401240[[#This Row],[2]]-Множество_202207112140401240[[#This Row],[4]]</f>
        <v>0</v>
      </c>
      <c r="L154" s="208">
        <f>Множество_202207112140401240[[#This Row],[3]]-Множество_202207112140401240[[#This Row],[5]]</f>
        <v>0</v>
      </c>
      <c r="M154" s="208">
        <f>Множество_202207112140401240[[#This Row],[7]]+Множество_202207112140401240[[#This Row],[6]]</f>
        <v>0</v>
      </c>
      <c r="N154" s="208" t="str">
        <f>CONCATENATE(Множество_202207112140401240[[#This Row],[2]],Множество_202207112140401240[[#This Row],[3]])</f>
        <v/>
      </c>
      <c r="O154" s="208"/>
      <c r="P154" s="208"/>
      <c r="Q154">
        <v>2.4249999999999998</v>
      </c>
      <c r="R154">
        <v>-14.516666666666699</v>
      </c>
      <c r="S154" s="208">
        <v>10</v>
      </c>
      <c r="T154" s="208">
        <v>-12.5</v>
      </c>
      <c r="U154" s="208">
        <f>ABS(Множество_202207112140401240[[#This Row],[10]]-Множество_202207112140401240[[#This Row],[12]])</f>
        <v>7.5750000000000002</v>
      </c>
      <c r="V154" s="208">
        <f>ABS(Множество_202207112140401240[[#This Row],[11]]-Множество_202207112140401240[[#This Row],[13]])</f>
        <v>2.0166666666666995</v>
      </c>
      <c r="W154" s="208">
        <f>Множество_202207112140401240[[#This Row],[15]]+Множество_202207112140401240[[#This Row],[14]]</f>
        <v>9.5916666666667005</v>
      </c>
      <c r="X154" s="208">
        <f ca="1">IF(ROW()-ROW(Множество_202207112140401240[[#Headers],[17]])&gt;1,Множество_202207112140401240[[#This Row],[16]]-OFFSET(Множество_202207112140401240[[#This Row],[16]],-1,0),0)</f>
        <v>4.1666666666671404E-2</v>
      </c>
      <c r="Y154" s="208">
        <v>2.35</v>
      </c>
      <c r="Z154" s="208">
        <v>-14.483333333333301</v>
      </c>
      <c r="AA154" s="208">
        <f>ABS(Множество_202207112140401240[[#This Row],[18]]-Множество_202207112140401240[[#This Row],[12]])</f>
        <v>7.65</v>
      </c>
      <c r="AB154" s="208">
        <f>ABS(Множество_202207112140401240[[#This Row],[19]]-Множество_202207112140401240[[#This Row],[13]])</f>
        <v>1.9833333333333005</v>
      </c>
      <c r="AC154" s="208">
        <f>Множество_202207112140401240[[#This Row],[20]]+Множество_202207112140401240[[#This Row],[21]]</f>
        <v>9.6333333333333009</v>
      </c>
    </row>
    <row r="155" spans="6:29" x14ac:dyDescent="0.25">
      <c r="F155" s="213"/>
      <c r="K155" s="208">
        <f>Множество_202207112140401240[[#This Row],[2]]-Множество_202207112140401240[[#This Row],[4]]</f>
        <v>0</v>
      </c>
      <c r="L155" s="208">
        <f>Множество_202207112140401240[[#This Row],[3]]-Множество_202207112140401240[[#This Row],[5]]</f>
        <v>0</v>
      </c>
      <c r="M155" s="208">
        <f>Множество_202207112140401240[[#This Row],[7]]+Множество_202207112140401240[[#This Row],[6]]</f>
        <v>0</v>
      </c>
      <c r="N155" s="208" t="str">
        <f>CONCATENATE(Множество_202207112140401240[[#This Row],[2]],Множество_202207112140401240[[#This Row],[3]])</f>
        <v/>
      </c>
      <c r="O155" s="208"/>
      <c r="P155" s="208"/>
      <c r="Q155">
        <v>3.9</v>
      </c>
      <c r="R155">
        <v>-15.983333333333301</v>
      </c>
      <c r="S155" s="208">
        <v>10</v>
      </c>
      <c r="T155" s="208">
        <v>-12.5</v>
      </c>
      <c r="U155" s="208">
        <f>ABS(Множество_202207112140401240[[#This Row],[10]]-Множество_202207112140401240[[#This Row],[12]])</f>
        <v>6.1</v>
      </c>
      <c r="V155" s="208">
        <f>ABS(Множество_202207112140401240[[#This Row],[11]]-Множество_202207112140401240[[#This Row],[13]])</f>
        <v>3.4833333333333005</v>
      </c>
      <c r="W155" s="208">
        <f>Множество_202207112140401240[[#This Row],[15]]+Множество_202207112140401240[[#This Row],[14]]</f>
        <v>9.5833333333333002</v>
      </c>
      <c r="X155" s="208">
        <f ca="1">IF(ROW()-ROW(Множество_202207112140401240[[#Headers],[17]])&gt;1,Множество_202207112140401240[[#This Row],[16]]-OFFSET(Множество_202207112140401240[[#This Row],[16]],-1,0),0)</f>
        <v>-8.3333333334003612E-3</v>
      </c>
      <c r="Y155" s="208">
        <v>3.9</v>
      </c>
      <c r="Z155" s="208">
        <v>-15.983333333333301</v>
      </c>
      <c r="AA155" s="208">
        <f>ABS(Множество_202207112140401240[[#This Row],[18]]-Множество_202207112140401240[[#This Row],[12]])</f>
        <v>6.1</v>
      </c>
      <c r="AB155" s="208">
        <f>ABS(Множество_202207112140401240[[#This Row],[19]]-Множество_202207112140401240[[#This Row],[13]])</f>
        <v>3.4833333333333005</v>
      </c>
      <c r="AC155" s="208">
        <f>Множество_202207112140401240[[#This Row],[20]]+Множество_202207112140401240[[#This Row],[21]]</f>
        <v>9.5833333333333002</v>
      </c>
    </row>
    <row r="156" spans="6:29" x14ac:dyDescent="0.25">
      <c r="F156" s="213"/>
      <c r="K156" s="208">
        <f>Множество_202207112140401240[[#This Row],[2]]-Множество_202207112140401240[[#This Row],[4]]</f>
        <v>0</v>
      </c>
      <c r="L156" s="208">
        <f>Множество_202207112140401240[[#This Row],[3]]-Множество_202207112140401240[[#This Row],[5]]</f>
        <v>0</v>
      </c>
      <c r="M156" s="208">
        <f>Множество_202207112140401240[[#This Row],[7]]+Множество_202207112140401240[[#This Row],[6]]</f>
        <v>0</v>
      </c>
      <c r="N156" s="208" t="str">
        <f>CONCATENATE(Множество_202207112140401240[[#This Row],[2]],Множество_202207112140401240[[#This Row],[3]])</f>
        <v/>
      </c>
      <c r="O156" s="208"/>
      <c r="P156" s="208"/>
      <c r="Q156">
        <v>2.35</v>
      </c>
      <c r="R156">
        <v>-14.483333333333301</v>
      </c>
      <c r="S156" s="208">
        <v>10</v>
      </c>
      <c r="T156" s="208">
        <v>-12.5</v>
      </c>
      <c r="U156" s="208">
        <f>ABS(Множество_202207112140401240[[#This Row],[10]]-Множество_202207112140401240[[#This Row],[12]])</f>
        <v>7.65</v>
      </c>
      <c r="V156" s="208">
        <f>ABS(Множество_202207112140401240[[#This Row],[11]]-Множество_202207112140401240[[#This Row],[13]])</f>
        <v>1.9833333333333005</v>
      </c>
      <c r="W156" s="208">
        <f>Множество_202207112140401240[[#This Row],[15]]+Множество_202207112140401240[[#This Row],[14]]</f>
        <v>9.6333333333333009</v>
      </c>
      <c r="X156" s="208">
        <f ca="1">IF(ROW()-ROW(Множество_202207112140401240[[#Headers],[17]])&gt;1,Множество_202207112140401240[[#This Row],[16]]-OFFSET(Множество_202207112140401240[[#This Row],[16]],-1,0),0)</f>
        <v>5.0000000000000711E-2</v>
      </c>
      <c r="Y156" s="208">
        <v>2.4249999999999998</v>
      </c>
      <c r="Z156" s="208">
        <v>-14.516666666666699</v>
      </c>
      <c r="AA156" s="208">
        <f>ABS(Множество_202207112140401240[[#This Row],[18]]-Множество_202207112140401240[[#This Row],[12]])</f>
        <v>7.5750000000000002</v>
      </c>
      <c r="AB156" s="208">
        <f>ABS(Множество_202207112140401240[[#This Row],[19]]-Множество_202207112140401240[[#This Row],[13]])</f>
        <v>2.0166666666666995</v>
      </c>
      <c r="AC156" s="208">
        <f>Множество_202207112140401240[[#This Row],[20]]+Множество_202207112140401240[[#This Row],[21]]</f>
        <v>9.5916666666667005</v>
      </c>
    </row>
    <row r="157" spans="6:29" x14ac:dyDescent="0.25">
      <c r="F157" s="213"/>
      <c r="K157" s="208">
        <f>Множество_202207112140401240[[#This Row],[2]]-Множество_202207112140401240[[#This Row],[4]]</f>
        <v>0</v>
      </c>
      <c r="L157" s="208">
        <f>Множество_202207112140401240[[#This Row],[3]]-Множество_202207112140401240[[#This Row],[5]]</f>
        <v>0</v>
      </c>
      <c r="M157" s="208">
        <f>Множество_202207112140401240[[#This Row],[7]]+Множество_202207112140401240[[#This Row],[6]]</f>
        <v>0</v>
      </c>
      <c r="N157" s="208" t="str">
        <f>CONCATENATE(Множество_202207112140401240[[#This Row],[2]],Множество_202207112140401240[[#This Row],[3]])</f>
        <v/>
      </c>
      <c r="O157" s="208"/>
      <c r="P157" s="208"/>
      <c r="Q157">
        <v>3.6666666666666701</v>
      </c>
      <c r="R157">
        <v>-15.9</v>
      </c>
      <c r="S157" s="208">
        <v>10</v>
      </c>
      <c r="T157" s="208">
        <v>-12.5</v>
      </c>
      <c r="U157" s="208">
        <f>ABS(Множество_202207112140401240[[#This Row],[10]]-Множество_202207112140401240[[#This Row],[12]])</f>
        <v>6.3333333333333304</v>
      </c>
      <c r="V157" s="208">
        <f>ABS(Множество_202207112140401240[[#This Row],[11]]-Множество_202207112140401240[[#This Row],[13]])</f>
        <v>3.4000000000000004</v>
      </c>
      <c r="W157" s="208">
        <f>Множество_202207112140401240[[#This Row],[15]]+Множество_202207112140401240[[#This Row],[14]]</f>
        <v>9.7333333333333307</v>
      </c>
      <c r="X157" s="208">
        <f ca="1">IF(ROW()-ROW(Множество_202207112140401240[[#Headers],[17]])&gt;1,Множество_202207112140401240[[#This Row],[16]]-OFFSET(Множество_202207112140401240[[#This Row],[16]],-1,0),0)</f>
        <v>0.10000000000002984</v>
      </c>
      <c r="Y157" s="208">
        <v>3.6666666666666701</v>
      </c>
      <c r="Z157" s="208">
        <v>-15.9</v>
      </c>
      <c r="AA157" s="208">
        <f>ABS(Множество_202207112140401240[[#This Row],[18]]-Множество_202207112140401240[[#This Row],[12]])</f>
        <v>6.3333333333333304</v>
      </c>
      <c r="AB157" s="208">
        <f>ABS(Множество_202207112140401240[[#This Row],[19]]-Множество_202207112140401240[[#This Row],[13]])</f>
        <v>3.4000000000000004</v>
      </c>
      <c r="AC157" s="208">
        <f>Множество_202207112140401240[[#This Row],[20]]+Множество_202207112140401240[[#This Row],[21]]</f>
        <v>9.7333333333333307</v>
      </c>
    </row>
    <row r="158" spans="6:29" x14ac:dyDescent="0.25">
      <c r="F158" s="213"/>
      <c r="K158" s="208">
        <f>Множество_202207112140401240[[#This Row],[2]]-Множество_202207112140401240[[#This Row],[4]]</f>
        <v>0</v>
      </c>
      <c r="L158" s="208">
        <f>Множество_202207112140401240[[#This Row],[3]]-Множество_202207112140401240[[#This Row],[5]]</f>
        <v>0</v>
      </c>
      <c r="M158" s="208">
        <f>Множество_202207112140401240[[#This Row],[7]]+Множество_202207112140401240[[#This Row],[6]]</f>
        <v>0</v>
      </c>
      <c r="N158" s="208" t="str">
        <f>CONCATENATE(Множество_202207112140401240[[#This Row],[2]],Множество_202207112140401240[[#This Row],[3]])</f>
        <v/>
      </c>
      <c r="O158" s="208"/>
      <c r="P158" s="208"/>
      <c r="Q158">
        <v>3.7250000000000001</v>
      </c>
      <c r="R158">
        <v>-15.9166666666667</v>
      </c>
      <c r="S158" s="208">
        <v>10</v>
      </c>
      <c r="T158" s="208">
        <v>-12.5</v>
      </c>
      <c r="U158" s="208">
        <f>ABS(Множество_202207112140401240[[#This Row],[10]]-Множество_202207112140401240[[#This Row],[12]])</f>
        <v>6.2750000000000004</v>
      </c>
      <c r="V158" s="208">
        <f>ABS(Множество_202207112140401240[[#This Row],[11]]-Множество_202207112140401240[[#This Row],[13]])</f>
        <v>3.4166666666666998</v>
      </c>
      <c r="W158" s="208">
        <f>Множество_202207112140401240[[#This Row],[15]]+Множество_202207112140401240[[#This Row],[14]]</f>
        <v>9.6916666666667002</v>
      </c>
      <c r="X158" s="208">
        <f ca="1">IF(ROW()-ROW(Множество_202207112140401240[[#Headers],[17]])&gt;1,Множество_202207112140401240[[#This Row],[16]]-OFFSET(Множество_202207112140401240[[#This Row],[16]],-1,0),0)</f>
        <v>-4.1666666666630547E-2</v>
      </c>
      <c r="Y158" s="208">
        <v>3.7250000000000001</v>
      </c>
      <c r="Z158" s="208">
        <v>-15.9166666666667</v>
      </c>
      <c r="AA158" s="208">
        <f>ABS(Множество_202207112140401240[[#This Row],[18]]-Множество_202207112140401240[[#This Row],[12]])</f>
        <v>6.2750000000000004</v>
      </c>
      <c r="AB158" s="208">
        <f>ABS(Множество_202207112140401240[[#This Row],[19]]-Множество_202207112140401240[[#This Row],[13]])</f>
        <v>3.4166666666666998</v>
      </c>
      <c r="AC158" s="208">
        <f>Множество_202207112140401240[[#This Row],[20]]+Множество_202207112140401240[[#This Row],[21]]</f>
        <v>9.6916666666667002</v>
      </c>
    </row>
    <row r="159" spans="6:29" x14ac:dyDescent="0.25">
      <c r="F159" s="213"/>
      <c r="K159" s="208">
        <f>Множество_202207112140401240[[#This Row],[2]]-Множество_202207112140401240[[#This Row],[4]]</f>
        <v>0</v>
      </c>
      <c r="L159" s="208">
        <f>Множество_202207112140401240[[#This Row],[3]]-Множество_202207112140401240[[#This Row],[5]]</f>
        <v>0</v>
      </c>
      <c r="M159" s="208">
        <f>Множество_202207112140401240[[#This Row],[7]]+Множество_202207112140401240[[#This Row],[6]]</f>
        <v>0</v>
      </c>
      <c r="N159" s="208" t="str">
        <f>CONCATENATE(Множество_202207112140401240[[#This Row],[2]],Множество_202207112140401240[[#This Row],[3]])</f>
        <v/>
      </c>
      <c r="O159" s="208"/>
      <c r="P159" s="208"/>
      <c r="Q159">
        <v>3.7833333333333301</v>
      </c>
      <c r="R159">
        <v>-15.9333333333333</v>
      </c>
      <c r="S159" s="208">
        <v>10</v>
      </c>
      <c r="T159" s="208">
        <v>-12.5</v>
      </c>
      <c r="U159" s="208">
        <f>ABS(Множество_202207112140401240[[#This Row],[10]]-Множество_202207112140401240[[#This Row],[12]])</f>
        <v>6.2166666666666703</v>
      </c>
      <c r="V159" s="208">
        <f>ABS(Множество_202207112140401240[[#This Row],[11]]-Множество_202207112140401240[[#This Row],[13]])</f>
        <v>3.4333333333332998</v>
      </c>
      <c r="W159" s="208">
        <f>Множество_202207112140401240[[#This Row],[15]]+Множество_202207112140401240[[#This Row],[14]]</f>
        <v>9.6499999999999702</v>
      </c>
      <c r="X159" s="208">
        <f ca="1">IF(ROW()-ROW(Множество_202207112140401240[[#Headers],[17]])&gt;1,Множество_202207112140401240[[#This Row],[16]]-OFFSET(Множество_202207112140401240[[#This Row],[16]],-1,0),0)</f>
        <v>-4.1666666666730023E-2</v>
      </c>
      <c r="Y159" s="208">
        <v>3.7833333333333301</v>
      </c>
      <c r="Z159" s="208">
        <v>-15.9333333333333</v>
      </c>
      <c r="AA159" s="208">
        <f>ABS(Множество_202207112140401240[[#This Row],[18]]-Множество_202207112140401240[[#This Row],[12]])</f>
        <v>6.2166666666666703</v>
      </c>
      <c r="AB159" s="208">
        <f>ABS(Множество_202207112140401240[[#This Row],[19]]-Множество_202207112140401240[[#This Row],[13]])</f>
        <v>3.4333333333332998</v>
      </c>
      <c r="AC159" s="208">
        <f>Множество_202207112140401240[[#This Row],[20]]+Множество_202207112140401240[[#This Row],[21]]</f>
        <v>9.6499999999999702</v>
      </c>
    </row>
    <row r="160" spans="6:29" x14ac:dyDescent="0.25">
      <c r="F160" s="213"/>
      <c r="K160" s="208">
        <f>Множество_202207112140401240[[#This Row],[2]]-Множество_202207112140401240[[#This Row],[4]]</f>
        <v>0</v>
      </c>
      <c r="L160" s="208">
        <f>Множество_202207112140401240[[#This Row],[3]]-Множество_202207112140401240[[#This Row],[5]]</f>
        <v>0</v>
      </c>
      <c r="M160" s="208">
        <f>Множество_202207112140401240[[#This Row],[7]]+Множество_202207112140401240[[#This Row],[6]]</f>
        <v>0</v>
      </c>
      <c r="N160" s="208" t="str">
        <f>CONCATENATE(Множество_202207112140401240[[#This Row],[2]],Множество_202207112140401240[[#This Row],[3]])</f>
        <v/>
      </c>
      <c r="O160" s="208"/>
      <c r="P160" s="208"/>
      <c r="Q160">
        <v>2.2749999999999999</v>
      </c>
      <c r="R160">
        <v>-14.466666666666701</v>
      </c>
      <c r="S160" s="208">
        <v>10</v>
      </c>
      <c r="T160" s="208">
        <v>-12.5</v>
      </c>
      <c r="U160" s="208">
        <f>ABS(Множество_202207112140401240[[#This Row],[10]]-Множество_202207112140401240[[#This Row],[12]])</f>
        <v>7.7249999999999996</v>
      </c>
      <c r="V160" s="208">
        <f>ABS(Множество_202207112140401240[[#This Row],[11]]-Множество_202207112140401240[[#This Row],[13]])</f>
        <v>1.9666666666667005</v>
      </c>
      <c r="W160" s="208">
        <f>Множество_202207112140401240[[#This Row],[15]]+Множество_202207112140401240[[#This Row],[14]]</f>
        <v>9.6916666666667002</v>
      </c>
      <c r="X160" s="208">
        <f ca="1">IF(ROW()-ROW(Множество_202207112140401240[[#Headers],[17]])&gt;1,Множество_202207112140401240[[#This Row],[16]]-OFFSET(Множество_202207112140401240[[#This Row],[16]],-1,0),0)</f>
        <v>4.1666666666730023E-2</v>
      </c>
      <c r="Y160" s="208">
        <v>2.2749999999999999</v>
      </c>
      <c r="Z160" s="208">
        <v>-14.466666666666701</v>
      </c>
      <c r="AA160" s="208">
        <f>ABS(Множество_202207112140401240[[#This Row],[18]]-Множество_202207112140401240[[#This Row],[12]])</f>
        <v>7.7249999999999996</v>
      </c>
      <c r="AB160" s="208">
        <f>ABS(Множество_202207112140401240[[#This Row],[19]]-Множество_202207112140401240[[#This Row],[13]])</f>
        <v>1.9666666666667005</v>
      </c>
      <c r="AC160" s="208">
        <f>Множество_202207112140401240[[#This Row],[20]]+Множество_202207112140401240[[#This Row],[21]]</f>
        <v>9.6916666666667002</v>
      </c>
    </row>
    <row r="161" spans="6:29" x14ac:dyDescent="0.25">
      <c r="F161" s="213"/>
      <c r="K161" s="208">
        <f>Множество_202207112140401240[[#This Row],[2]]-Множество_202207112140401240[[#This Row],[4]]</f>
        <v>0</v>
      </c>
      <c r="L161" s="208">
        <f>Множество_202207112140401240[[#This Row],[3]]-Множество_202207112140401240[[#This Row],[5]]</f>
        <v>0</v>
      </c>
      <c r="M161" s="208">
        <f>Множество_202207112140401240[[#This Row],[7]]+Множество_202207112140401240[[#This Row],[6]]</f>
        <v>0</v>
      </c>
      <c r="N161" s="208" t="str">
        <f>CONCATENATE(Множество_202207112140401240[[#This Row],[2]],Множество_202207112140401240[[#This Row],[3]])</f>
        <v/>
      </c>
      <c r="O161" s="208"/>
      <c r="P161" s="208"/>
      <c r="Q161">
        <v>3.55</v>
      </c>
      <c r="R161">
        <v>-15.85</v>
      </c>
      <c r="S161" s="208">
        <v>10</v>
      </c>
      <c r="T161" s="208">
        <v>-12.5</v>
      </c>
      <c r="U161" s="208">
        <f>ABS(Множество_202207112140401240[[#This Row],[10]]-Множество_202207112140401240[[#This Row],[12]])</f>
        <v>6.45</v>
      </c>
      <c r="V161" s="208">
        <f>ABS(Множество_202207112140401240[[#This Row],[11]]-Множество_202207112140401240[[#This Row],[13]])</f>
        <v>3.3499999999999996</v>
      </c>
      <c r="W161" s="208">
        <f>Множество_202207112140401240[[#This Row],[15]]+Множество_202207112140401240[[#This Row],[14]]</f>
        <v>9.8000000000000007</v>
      </c>
      <c r="X161" s="208">
        <f ca="1">IF(ROW()-ROW(Множество_202207112140401240[[#Headers],[17]])&gt;1,Множество_202207112140401240[[#This Row],[16]]-OFFSET(Множество_202207112140401240[[#This Row],[16]],-1,0),0)</f>
        <v>0.10833333333330053</v>
      </c>
      <c r="Y161" s="208">
        <v>3.55</v>
      </c>
      <c r="Z161" s="208">
        <v>-15.85</v>
      </c>
      <c r="AA161" s="208">
        <f>ABS(Множество_202207112140401240[[#This Row],[18]]-Множество_202207112140401240[[#This Row],[12]])</f>
        <v>6.45</v>
      </c>
      <c r="AB161" s="208">
        <f>ABS(Множество_202207112140401240[[#This Row],[19]]-Множество_202207112140401240[[#This Row],[13]])</f>
        <v>3.3499999999999996</v>
      </c>
      <c r="AC161" s="208">
        <f>Множество_202207112140401240[[#This Row],[20]]+Множество_202207112140401240[[#This Row],[21]]</f>
        <v>9.8000000000000007</v>
      </c>
    </row>
    <row r="162" spans="6:29" x14ac:dyDescent="0.25">
      <c r="F162" s="213"/>
      <c r="K162" s="208">
        <f>Множество_202207112140401240[[#This Row],[2]]-Множество_202207112140401240[[#This Row],[4]]</f>
        <v>0</v>
      </c>
      <c r="L162" s="208">
        <f>Множество_202207112140401240[[#This Row],[3]]-Множество_202207112140401240[[#This Row],[5]]</f>
        <v>0</v>
      </c>
      <c r="M162" s="208">
        <f>Множество_202207112140401240[[#This Row],[7]]+Множество_202207112140401240[[#This Row],[6]]</f>
        <v>0</v>
      </c>
      <c r="N162" s="208" t="str">
        <f>CONCATENATE(Множество_202207112140401240[[#This Row],[2]],Множество_202207112140401240[[#This Row],[3]])</f>
        <v/>
      </c>
      <c r="O162" s="208"/>
      <c r="P162" s="208"/>
      <c r="Q162">
        <v>3.6083333333333298</v>
      </c>
      <c r="R162">
        <v>-15.866666666666699</v>
      </c>
      <c r="S162" s="208">
        <v>10</v>
      </c>
      <c r="T162" s="208">
        <v>-12.5</v>
      </c>
      <c r="U162" s="208">
        <f>ABS(Множество_202207112140401240[[#This Row],[10]]-Множество_202207112140401240[[#This Row],[12]])</f>
        <v>6.3916666666666702</v>
      </c>
      <c r="V162" s="208">
        <f>ABS(Множество_202207112140401240[[#This Row],[11]]-Множество_202207112140401240[[#This Row],[13]])</f>
        <v>3.3666666666666991</v>
      </c>
      <c r="W162" s="208">
        <f>Множество_202207112140401240[[#This Row],[15]]+Множество_202207112140401240[[#This Row],[14]]</f>
        <v>9.7583333333333684</v>
      </c>
      <c r="X162" s="208">
        <f ca="1">IF(ROW()-ROW(Множество_202207112140401240[[#Headers],[17]])&gt;1,Множество_202207112140401240[[#This Row],[16]]-OFFSET(Множество_202207112140401240[[#This Row],[16]],-1,0),0)</f>
        <v>-4.1666666666632324E-2</v>
      </c>
      <c r="Y162" s="208">
        <v>3.6083333333333298</v>
      </c>
      <c r="Z162" s="208">
        <v>-15.866666666666699</v>
      </c>
      <c r="AA162" s="208">
        <f>ABS(Множество_202207112140401240[[#This Row],[18]]-Множество_202207112140401240[[#This Row],[12]])</f>
        <v>6.3916666666666702</v>
      </c>
      <c r="AB162" s="208">
        <f>ABS(Множество_202207112140401240[[#This Row],[19]]-Множество_202207112140401240[[#This Row],[13]])</f>
        <v>3.3666666666666991</v>
      </c>
      <c r="AC162" s="208">
        <f>Множество_202207112140401240[[#This Row],[20]]+Множество_202207112140401240[[#This Row],[21]]</f>
        <v>9.7583333333333684</v>
      </c>
    </row>
    <row r="163" spans="6:29" x14ac:dyDescent="0.25">
      <c r="F163" s="213"/>
      <c r="K163" s="208">
        <f>Множество_202207112140401240[[#This Row],[2]]-Множество_202207112140401240[[#This Row],[4]]</f>
        <v>0</v>
      </c>
      <c r="L163" s="208">
        <f>Множество_202207112140401240[[#This Row],[3]]-Множество_202207112140401240[[#This Row],[5]]</f>
        <v>0</v>
      </c>
      <c r="M163" s="208">
        <f>Множество_202207112140401240[[#This Row],[7]]+Множество_202207112140401240[[#This Row],[6]]</f>
        <v>0</v>
      </c>
      <c r="N163" s="208" t="str">
        <f>CONCATENATE(Множество_202207112140401240[[#This Row],[2]],Множество_202207112140401240[[#This Row],[3]])</f>
        <v/>
      </c>
      <c r="O163" s="208"/>
      <c r="P163" s="208"/>
      <c r="Q163">
        <v>2.2000000000000002</v>
      </c>
      <c r="R163">
        <v>-14.45</v>
      </c>
      <c r="S163" s="208">
        <v>10</v>
      </c>
      <c r="T163" s="208">
        <v>-12.5</v>
      </c>
      <c r="U163" s="208">
        <f>ABS(Множество_202207112140401240[[#This Row],[10]]-Множество_202207112140401240[[#This Row],[12]])</f>
        <v>7.8</v>
      </c>
      <c r="V163" s="208">
        <f>ABS(Множество_202207112140401240[[#This Row],[11]]-Множество_202207112140401240[[#This Row],[13]])</f>
        <v>1.9499999999999993</v>
      </c>
      <c r="W163" s="208">
        <f>Множество_202207112140401240[[#This Row],[15]]+Множество_202207112140401240[[#This Row],[14]]</f>
        <v>9.75</v>
      </c>
      <c r="X163" s="208">
        <f ca="1">IF(ROW()-ROW(Множество_202207112140401240[[#Headers],[17]])&gt;1,Множество_202207112140401240[[#This Row],[16]]-OFFSET(Множество_202207112140401240[[#This Row],[16]],-1,0),0)</f>
        <v>-8.3333333333683868E-3</v>
      </c>
      <c r="Y163" s="208">
        <v>2.125</v>
      </c>
      <c r="Z163" s="208">
        <v>-14.4333333333333</v>
      </c>
      <c r="AA163" s="208">
        <f>ABS(Множество_202207112140401240[[#This Row],[18]]-Множество_202207112140401240[[#This Row],[12]])</f>
        <v>7.875</v>
      </c>
      <c r="AB163" s="208">
        <f>ABS(Множество_202207112140401240[[#This Row],[19]]-Множество_202207112140401240[[#This Row],[13]])</f>
        <v>1.9333333333332998</v>
      </c>
      <c r="AC163" s="208">
        <f>Множество_202207112140401240[[#This Row],[20]]+Множество_202207112140401240[[#This Row],[21]]</f>
        <v>9.8083333333332998</v>
      </c>
    </row>
    <row r="164" spans="6:29" x14ac:dyDescent="0.25">
      <c r="F164" s="213"/>
      <c r="K164" s="208">
        <f>Множество_202207112140401240[[#This Row],[2]]-Множество_202207112140401240[[#This Row],[4]]</f>
        <v>0</v>
      </c>
      <c r="L164" s="208">
        <f>Множество_202207112140401240[[#This Row],[3]]-Множество_202207112140401240[[#This Row],[5]]</f>
        <v>0</v>
      </c>
      <c r="M164" s="208">
        <f>Множество_202207112140401240[[#This Row],[7]]+Множество_202207112140401240[[#This Row],[6]]</f>
        <v>0</v>
      </c>
      <c r="N164" s="208" t="str">
        <f>CONCATENATE(Множество_202207112140401240[[#This Row],[2]],Множество_202207112140401240[[#This Row],[3]])</f>
        <v/>
      </c>
      <c r="O164" s="208"/>
      <c r="P164" s="208"/>
      <c r="Q164">
        <v>2.125</v>
      </c>
      <c r="R164">
        <v>-14.4333333333333</v>
      </c>
      <c r="S164" s="208">
        <v>10</v>
      </c>
      <c r="T164" s="208">
        <v>-12.5</v>
      </c>
      <c r="U164" s="208">
        <f>ABS(Множество_202207112140401240[[#This Row],[10]]-Множество_202207112140401240[[#This Row],[12]])</f>
        <v>7.875</v>
      </c>
      <c r="V164" s="208">
        <f>ABS(Множество_202207112140401240[[#This Row],[11]]-Множество_202207112140401240[[#This Row],[13]])</f>
        <v>1.9333333333332998</v>
      </c>
      <c r="W164" s="208">
        <f>Множество_202207112140401240[[#This Row],[15]]+Множество_202207112140401240[[#This Row],[14]]</f>
        <v>9.8083333333332998</v>
      </c>
      <c r="X164" s="208">
        <f ca="1">IF(ROW()-ROW(Множество_202207112140401240[[#Headers],[17]])&gt;1,Множество_202207112140401240[[#This Row],[16]]-OFFSET(Множество_202207112140401240[[#This Row],[16]],-1,0),0)</f>
        <v>5.8333333333299819E-2</v>
      </c>
      <c r="Y164" s="208">
        <v>2.2000000000000002</v>
      </c>
      <c r="Z164" s="208">
        <v>-14.45</v>
      </c>
      <c r="AA164" s="208">
        <f>ABS(Множество_202207112140401240[[#This Row],[18]]-Множество_202207112140401240[[#This Row],[12]])</f>
        <v>7.8</v>
      </c>
      <c r="AB164" s="208">
        <f>ABS(Множество_202207112140401240[[#This Row],[19]]-Множество_202207112140401240[[#This Row],[13]])</f>
        <v>1.9499999999999993</v>
      </c>
      <c r="AC164" s="208">
        <f>Множество_202207112140401240[[#This Row],[20]]+Множество_202207112140401240[[#This Row],[21]]</f>
        <v>9.75</v>
      </c>
    </row>
    <row r="165" spans="6:29" x14ac:dyDescent="0.25">
      <c r="F165" s="213"/>
      <c r="K165" s="208">
        <f>Множество_202207112140401240[[#This Row],[2]]-Множество_202207112140401240[[#This Row],[4]]</f>
        <v>0</v>
      </c>
      <c r="L165" s="208">
        <f>Множество_202207112140401240[[#This Row],[3]]-Множество_202207112140401240[[#This Row],[5]]</f>
        <v>0</v>
      </c>
      <c r="M165" s="208">
        <f>Множество_202207112140401240[[#This Row],[7]]+Множество_202207112140401240[[#This Row],[6]]</f>
        <v>0</v>
      </c>
      <c r="N165" s="208" t="str">
        <f>CONCATENATE(Множество_202207112140401240[[#This Row],[2]],Множество_202207112140401240[[#This Row],[3]])</f>
        <v/>
      </c>
      <c r="O165" s="208"/>
      <c r="P165" s="208"/>
      <c r="Q165">
        <v>3.43333333333333</v>
      </c>
      <c r="R165">
        <v>-15.8</v>
      </c>
      <c r="S165" s="208">
        <v>10</v>
      </c>
      <c r="T165" s="208">
        <v>-12.5</v>
      </c>
      <c r="U165" s="208">
        <f>ABS(Множество_202207112140401240[[#This Row],[10]]-Множество_202207112140401240[[#This Row],[12]])</f>
        <v>6.56666666666667</v>
      </c>
      <c r="V165" s="208">
        <f>ABS(Множество_202207112140401240[[#This Row],[11]]-Множество_202207112140401240[[#This Row],[13]])</f>
        <v>3.3000000000000007</v>
      </c>
      <c r="W165" s="208">
        <f>Множество_202207112140401240[[#This Row],[15]]+Множество_202207112140401240[[#This Row],[14]]</f>
        <v>9.8666666666666707</v>
      </c>
      <c r="X165" s="208">
        <f ca="1">IF(ROW()-ROW(Множество_202207112140401240[[#Headers],[17]])&gt;1,Множество_202207112140401240[[#This Row],[16]]-OFFSET(Множество_202207112140401240[[#This Row],[16]],-1,0),0)</f>
        <v>5.8333333333370874E-2</v>
      </c>
      <c r="Y165" s="208">
        <v>3.43333333333333</v>
      </c>
      <c r="Z165" s="208">
        <v>-15.8</v>
      </c>
      <c r="AA165" s="208">
        <f>ABS(Множество_202207112140401240[[#This Row],[18]]-Множество_202207112140401240[[#This Row],[12]])</f>
        <v>6.56666666666667</v>
      </c>
      <c r="AB165" s="208">
        <f>ABS(Множество_202207112140401240[[#This Row],[19]]-Множество_202207112140401240[[#This Row],[13]])</f>
        <v>3.3000000000000007</v>
      </c>
      <c r="AC165" s="208">
        <f>Множество_202207112140401240[[#This Row],[20]]+Множество_202207112140401240[[#This Row],[21]]</f>
        <v>9.8666666666666707</v>
      </c>
    </row>
    <row r="166" spans="6:29" x14ac:dyDescent="0.25">
      <c r="F166" s="213"/>
      <c r="K166" s="208">
        <f>Множество_202207112140401240[[#This Row],[2]]-Множество_202207112140401240[[#This Row],[4]]</f>
        <v>0</v>
      </c>
      <c r="L166" s="208">
        <f>Множество_202207112140401240[[#This Row],[3]]-Множество_202207112140401240[[#This Row],[5]]</f>
        <v>0</v>
      </c>
      <c r="M166" s="208">
        <f>Множество_202207112140401240[[#This Row],[7]]+Множество_202207112140401240[[#This Row],[6]]</f>
        <v>0</v>
      </c>
      <c r="N166" s="208" t="str">
        <f>CONCATENATE(Множество_202207112140401240[[#This Row],[2]],Множество_202207112140401240[[#This Row],[3]])</f>
        <v/>
      </c>
      <c r="O166" s="208"/>
      <c r="P166" s="208"/>
      <c r="Q166">
        <v>3.4916666666666698</v>
      </c>
      <c r="R166">
        <v>-15.8333333333333</v>
      </c>
      <c r="S166" s="208">
        <v>10</v>
      </c>
      <c r="T166" s="208">
        <v>-12.5</v>
      </c>
      <c r="U166" s="208">
        <f>ABS(Множество_202207112140401240[[#This Row],[10]]-Множество_202207112140401240[[#This Row],[12]])</f>
        <v>6.5083333333333302</v>
      </c>
      <c r="V166" s="208">
        <f>ABS(Множество_202207112140401240[[#This Row],[11]]-Множество_202207112140401240[[#This Row],[13]])</f>
        <v>3.3333333333333002</v>
      </c>
      <c r="W166" s="208">
        <f>Множество_202207112140401240[[#This Row],[15]]+Множество_202207112140401240[[#This Row],[14]]</f>
        <v>9.8416666666666295</v>
      </c>
      <c r="X166" s="208">
        <f ca="1">IF(ROW()-ROW(Множество_202207112140401240[[#Headers],[17]])&gt;1,Множество_202207112140401240[[#This Row],[16]]-OFFSET(Множество_202207112140401240[[#This Row],[16]],-1,0),0)</f>
        <v>-2.5000000000041211E-2</v>
      </c>
      <c r="Y166" s="208">
        <v>1.9750000000000001</v>
      </c>
      <c r="Z166" s="208">
        <v>-14.383333333333301</v>
      </c>
      <c r="AA166" s="208">
        <f>ABS(Множество_202207112140401240[[#This Row],[18]]-Множество_202207112140401240[[#This Row],[12]])</f>
        <v>8.0250000000000004</v>
      </c>
      <c r="AB166" s="208">
        <f>ABS(Множество_202207112140401240[[#This Row],[19]]-Множество_202207112140401240[[#This Row],[13]])</f>
        <v>1.8833333333333009</v>
      </c>
      <c r="AC166" s="208">
        <f>Множество_202207112140401240[[#This Row],[20]]+Множество_202207112140401240[[#This Row],[21]]</f>
        <v>9.9083333333333012</v>
      </c>
    </row>
    <row r="167" spans="6:29" x14ac:dyDescent="0.25">
      <c r="F167" s="213"/>
      <c r="K167" s="208">
        <f>Множество_202207112140401240[[#This Row],[2]]-Множество_202207112140401240[[#This Row],[4]]</f>
        <v>0</v>
      </c>
      <c r="L167" s="208">
        <f>Множество_202207112140401240[[#This Row],[3]]-Множество_202207112140401240[[#This Row],[5]]</f>
        <v>0</v>
      </c>
      <c r="M167" s="208">
        <f>Множество_202207112140401240[[#This Row],[7]]+Множество_202207112140401240[[#This Row],[6]]</f>
        <v>0</v>
      </c>
      <c r="N167" s="208" t="str">
        <f>CONCATENATE(Множество_202207112140401240[[#This Row],[2]],Множество_202207112140401240[[#This Row],[3]])</f>
        <v/>
      </c>
      <c r="O167" s="208"/>
      <c r="P167" s="208"/>
      <c r="Q167">
        <v>1.9750000000000001</v>
      </c>
      <c r="R167">
        <v>-14.383333333333301</v>
      </c>
      <c r="S167" s="208">
        <v>10</v>
      </c>
      <c r="T167" s="208">
        <v>-12.5</v>
      </c>
      <c r="U167" s="208">
        <f>ABS(Множество_202207112140401240[[#This Row],[10]]-Множество_202207112140401240[[#This Row],[12]])</f>
        <v>8.0250000000000004</v>
      </c>
      <c r="V167" s="208">
        <f>ABS(Множество_202207112140401240[[#This Row],[11]]-Множество_202207112140401240[[#This Row],[13]])</f>
        <v>1.8833333333333009</v>
      </c>
      <c r="W167" s="208">
        <f>Множество_202207112140401240[[#This Row],[15]]+Множество_202207112140401240[[#This Row],[14]]</f>
        <v>9.9083333333333012</v>
      </c>
      <c r="X167" s="208">
        <f ca="1">IF(ROW()-ROW(Множество_202207112140401240[[#Headers],[17]])&gt;1,Множество_202207112140401240[[#This Row],[16]]-OFFSET(Множество_202207112140401240[[#This Row],[16]],-1,0),0)</f>
        <v>6.6666666666671759E-2</v>
      </c>
      <c r="Y167" s="208">
        <v>3.4916666666666698</v>
      </c>
      <c r="Z167" s="208">
        <v>-15.8333333333333</v>
      </c>
      <c r="AA167" s="208">
        <f>ABS(Множество_202207112140401240[[#This Row],[18]]-Множество_202207112140401240[[#This Row],[12]])</f>
        <v>6.5083333333333302</v>
      </c>
      <c r="AB167" s="208">
        <f>ABS(Множество_202207112140401240[[#This Row],[19]]-Множество_202207112140401240[[#This Row],[13]])</f>
        <v>3.3333333333333002</v>
      </c>
      <c r="AC167" s="208">
        <f>Множество_202207112140401240[[#This Row],[20]]+Множество_202207112140401240[[#This Row],[21]]</f>
        <v>9.8416666666666295</v>
      </c>
    </row>
    <row r="168" spans="6:29" x14ac:dyDescent="0.25">
      <c r="F168" s="213"/>
      <c r="K168" s="208">
        <f>Множество_202207112140401240[[#This Row],[2]]-Множество_202207112140401240[[#This Row],[4]]</f>
        <v>0</v>
      </c>
      <c r="L168" s="208">
        <f>Множество_202207112140401240[[#This Row],[3]]-Множество_202207112140401240[[#This Row],[5]]</f>
        <v>0</v>
      </c>
      <c r="M168" s="208">
        <f>Множество_202207112140401240[[#This Row],[7]]+Множество_202207112140401240[[#This Row],[6]]</f>
        <v>0</v>
      </c>
      <c r="N168" s="208" t="str">
        <f>CONCATENATE(Множество_202207112140401240[[#This Row],[2]],Множество_202207112140401240[[#This Row],[3]])</f>
        <v/>
      </c>
      <c r="O168" s="208"/>
      <c r="P168" s="208"/>
      <c r="Q168">
        <v>2.0499999999999998</v>
      </c>
      <c r="R168">
        <v>-14.4</v>
      </c>
      <c r="S168" s="208">
        <v>10</v>
      </c>
      <c r="T168" s="208">
        <v>-12.5</v>
      </c>
      <c r="U168" s="208">
        <f>ABS(Множество_202207112140401240[[#This Row],[10]]-Множество_202207112140401240[[#This Row],[12]])</f>
        <v>7.95</v>
      </c>
      <c r="V168" s="208">
        <f>ABS(Множество_202207112140401240[[#This Row],[11]]-Множество_202207112140401240[[#This Row],[13]])</f>
        <v>1.9000000000000004</v>
      </c>
      <c r="W168" s="208">
        <f>Множество_202207112140401240[[#This Row],[15]]+Множество_202207112140401240[[#This Row],[14]]</f>
        <v>9.8500000000000014</v>
      </c>
      <c r="X168" s="208">
        <f ca="1">IF(ROW()-ROW(Множество_202207112140401240[[#Headers],[17]])&gt;1,Множество_202207112140401240[[#This Row],[16]]-OFFSET(Множество_202207112140401240[[#This Row],[16]],-1,0),0)</f>
        <v>-5.8333333333299819E-2</v>
      </c>
      <c r="Y168" s="208">
        <v>2.0499999999999998</v>
      </c>
      <c r="Z168" s="208">
        <v>-14.4</v>
      </c>
      <c r="AA168" s="208">
        <f>ABS(Множество_202207112140401240[[#This Row],[18]]-Множество_202207112140401240[[#This Row],[12]])</f>
        <v>7.95</v>
      </c>
      <c r="AB168" s="208">
        <f>ABS(Множество_202207112140401240[[#This Row],[19]]-Множество_202207112140401240[[#This Row],[13]])</f>
        <v>1.9000000000000004</v>
      </c>
      <c r="AC168" s="208">
        <f>Множество_202207112140401240[[#This Row],[20]]+Множество_202207112140401240[[#This Row],[21]]</f>
        <v>9.8500000000000014</v>
      </c>
    </row>
    <row r="169" spans="6:29" x14ac:dyDescent="0.25">
      <c r="F169" s="213"/>
      <c r="K169" s="208">
        <f>Множество_202207112140401240[[#This Row],[2]]-Множество_202207112140401240[[#This Row],[4]]</f>
        <v>0</v>
      </c>
      <c r="L169" s="208">
        <f>Множество_202207112140401240[[#This Row],[3]]-Множество_202207112140401240[[#This Row],[5]]</f>
        <v>0</v>
      </c>
      <c r="M169" s="208">
        <f>Множество_202207112140401240[[#This Row],[7]]+Множество_202207112140401240[[#This Row],[6]]</f>
        <v>0</v>
      </c>
      <c r="N169" s="208" t="str">
        <f>CONCATENATE(Множество_202207112140401240[[#This Row],[2]],Множество_202207112140401240[[#This Row],[3]])</f>
        <v/>
      </c>
      <c r="O169" s="208"/>
      <c r="P169" s="208"/>
      <c r="Q169">
        <v>3.31666666666667</v>
      </c>
      <c r="R169">
        <v>-15.766666666666699</v>
      </c>
      <c r="S169" s="208">
        <v>10</v>
      </c>
      <c r="T169" s="208">
        <v>-12.5</v>
      </c>
      <c r="U169" s="208">
        <f>ABS(Множество_202207112140401240[[#This Row],[10]]-Множество_202207112140401240[[#This Row],[12]])</f>
        <v>6.68333333333333</v>
      </c>
      <c r="V169" s="208">
        <f>ABS(Множество_202207112140401240[[#This Row],[11]]-Множество_202207112140401240[[#This Row],[13]])</f>
        <v>3.2666666666666995</v>
      </c>
      <c r="W169" s="208">
        <f>Множество_202207112140401240[[#This Row],[15]]+Множество_202207112140401240[[#This Row],[14]]</f>
        <v>9.9500000000000295</v>
      </c>
      <c r="X169" s="208">
        <f ca="1">IF(ROW()-ROW(Множество_202207112140401240[[#Headers],[17]])&gt;1,Множество_202207112140401240[[#This Row],[16]]-OFFSET(Множество_202207112140401240[[#This Row],[16]],-1,0),0)</f>
        <v>0.10000000000002807</v>
      </c>
      <c r="Y169" s="208">
        <v>3.31666666666667</v>
      </c>
      <c r="Z169" s="208">
        <v>-15.766666666666699</v>
      </c>
      <c r="AA169" s="208">
        <f>ABS(Множество_202207112140401240[[#This Row],[18]]-Множество_202207112140401240[[#This Row],[12]])</f>
        <v>6.68333333333333</v>
      </c>
      <c r="AB169" s="208">
        <f>ABS(Множество_202207112140401240[[#This Row],[19]]-Множество_202207112140401240[[#This Row],[13]])</f>
        <v>3.2666666666666995</v>
      </c>
      <c r="AC169" s="208">
        <f>Множество_202207112140401240[[#This Row],[20]]+Множество_202207112140401240[[#This Row],[21]]</f>
        <v>9.9500000000000295</v>
      </c>
    </row>
    <row r="170" spans="6:29" x14ac:dyDescent="0.25">
      <c r="F170" s="213"/>
      <c r="K170" s="208">
        <f>Множество_202207112140401240[[#This Row],[2]]-Множество_202207112140401240[[#This Row],[4]]</f>
        <v>0</v>
      </c>
      <c r="L170" s="208">
        <f>Множество_202207112140401240[[#This Row],[3]]-Множество_202207112140401240[[#This Row],[5]]</f>
        <v>0</v>
      </c>
      <c r="M170" s="208">
        <f>Множество_202207112140401240[[#This Row],[7]]+Множество_202207112140401240[[#This Row],[6]]</f>
        <v>0</v>
      </c>
      <c r="N170" s="208" t="str">
        <f>CONCATENATE(Множество_202207112140401240[[#This Row],[2]],Множество_202207112140401240[[#This Row],[3]])</f>
        <v/>
      </c>
      <c r="O170" s="208"/>
      <c r="P170" s="208"/>
      <c r="Q170">
        <v>1.825</v>
      </c>
      <c r="R170">
        <v>-14.35</v>
      </c>
      <c r="S170" s="208">
        <v>10</v>
      </c>
      <c r="T170" s="208">
        <v>-12.5</v>
      </c>
      <c r="U170" s="208">
        <f>ABS(Множество_202207112140401240[[#This Row],[10]]-Множество_202207112140401240[[#This Row],[12]])</f>
        <v>8.1750000000000007</v>
      </c>
      <c r="V170" s="208">
        <f>ABS(Множество_202207112140401240[[#This Row],[11]]-Множество_202207112140401240[[#This Row],[13]])</f>
        <v>1.8499999999999996</v>
      </c>
      <c r="W170" s="208">
        <f>Множество_202207112140401240[[#This Row],[15]]+Множество_202207112140401240[[#This Row],[14]]</f>
        <v>10.025</v>
      </c>
      <c r="X170" s="208">
        <f ca="1">IF(ROW()-ROW(Множество_202207112140401240[[#Headers],[17]])&gt;1,Множество_202207112140401240[[#This Row],[16]]-OFFSET(Множество_202207112140401240[[#This Row],[16]],-1,0),0)</f>
        <v>7.4999999999970868E-2</v>
      </c>
      <c r="Y170" s="208">
        <v>3.375</v>
      </c>
      <c r="Z170" s="208">
        <v>-15.783333333333299</v>
      </c>
      <c r="AA170" s="208">
        <f>ABS(Множество_202207112140401240[[#This Row],[18]]-Множество_202207112140401240[[#This Row],[12]])</f>
        <v>6.625</v>
      </c>
      <c r="AB170" s="208">
        <f>ABS(Множество_202207112140401240[[#This Row],[19]]-Множество_202207112140401240[[#This Row],[13]])</f>
        <v>3.2833333333332995</v>
      </c>
      <c r="AC170" s="208">
        <f>Множество_202207112140401240[[#This Row],[20]]+Множество_202207112140401240[[#This Row],[21]]</f>
        <v>9.9083333333332995</v>
      </c>
    </row>
    <row r="171" spans="6:29" x14ac:dyDescent="0.25">
      <c r="F171" s="213"/>
      <c r="K171" s="208">
        <f>Множество_202207112140401240[[#This Row],[2]]-Множество_202207112140401240[[#This Row],[4]]</f>
        <v>0</v>
      </c>
      <c r="L171" s="208">
        <f>Множество_202207112140401240[[#This Row],[3]]-Множество_202207112140401240[[#This Row],[5]]</f>
        <v>0</v>
      </c>
      <c r="M171" s="208">
        <f>Множество_202207112140401240[[#This Row],[7]]+Множество_202207112140401240[[#This Row],[6]]</f>
        <v>0</v>
      </c>
      <c r="N171" s="208" t="str">
        <f>CONCATENATE(Множество_202207112140401240[[#This Row],[2]],Множество_202207112140401240[[#This Row],[3]])</f>
        <v/>
      </c>
      <c r="O171" s="208"/>
      <c r="P171" s="208"/>
      <c r="Q171">
        <v>3.375</v>
      </c>
      <c r="R171">
        <v>-15.783333333333299</v>
      </c>
      <c r="S171" s="208">
        <v>10</v>
      </c>
      <c r="T171" s="208">
        <v>-12.5</v>
      </c>
      <c r="U171" s="208">
        <f>ABS(Множество_202207112140401240[[#This Row],[10]]-Множество_202207112140401240[[#This Row],[12]])</f>
        <v>6.625</v>
      </c>
      <c r="V171" s="208">
        <f>ABS(Множество_202207112140401240[[#This Row],[11]]-Множество_202207112140401240[[#This Row],[13]])</f>
        <v>3.2833333333332995</v>
      </c>
      <c r="W171" s="208">
        <f>Множество_202207112140401240[[#This Row],[15]]+Множество_202207112140401240[[#This Row],[14]]</f>
        <v>9.9083333333332995</v>
      </c>
      <c r="X171" s="208">
        <f ca="1">IF(ROW()-ROW(Множество_202207112140401240[[#Headers],[17]])&gt;1,Множество_202207112140401240[[#This Row],[16]]-OFFSET(Множество_202207112140401240[[#This Row],[16]],-1,0),0)</f>
        <v>-0.11666666666670089</v>
      </c>
      <c r="Y171" s="208">
        <v>1.825</v>
      </c>
      <c r="Z171" s="208">
        <v>-14.35</v>
      </c>
      <c r="AA171" s="208">
        <f>ABS(Множество_202207112140401240[[#This Row],[18]]-Множество_202207112140401240[[#This Row],[12]])</f>
        <v>8.1750000000000007</v>
      </c>
      <c r="AB171" s="208">
        <f>ABS(Множество_202207112140401240[[#This Row],[19]]-Множество_202207112140401240[[#This Row],[13]])</f>
        <v>1.8499999999999996</v>
      </c>
      <c r="AC171" s="208">
        <f>Множество_202207112140401240[[#This Row],[20]]+Множество_202207112140401240[[#This Row],[21]]</f>
        <v>10.025</v>
      </c>
    </row>
    <row r="172" spans="6:29" x14ac:dyDescent="0.25">
      <c r="F172" s="213"/>
      <c r="K172" s="208">
        <f>Множество_202207112140401240[[#This Row],[2]]-Множество_202207112140401240[[#This Row],[4]]</f>
        <v>0</v>
      </c>
      <c r="L172" s="208">
        <f>Множество_202207112140401240[[#This Row],[3]]-Множество_202207112140401240[[#This Row],[5]]</f>
        <v>0</v>
      </c>
      <c r="M172" s="208">
        <f>Множество_202207112140401240[[#This Row],[7]]+Множество_202207112140401240[[#This Row],[6]]</f>
        <v>0</v>
      </c>
      <c r="N172" s="208" t="str">
        <f>CONCATENATE(Множество_202207112140401240[[#This Row],[2]],Множество_202207112140401240[[#This Row],[3]])</f>
        <v/>
      </c>
      <c r="O172" s="208"/>
      <c r="P172" s="208"/>
      <c r="Q172">
        <v>3.1416666666666702</v>
      </c>
      <c r="R172">
        <v>-15.7</v>
      </c>
      <c r="S172" s="208">
        <v>10</v>
      </c>
      <c r="T172" s="208">
        <v>-12.5</v>
      </c>
      <c r="U172" s="208">
        <f>ABS(Множество_202207112140401240[[#This Row],[10]]-Множество_202207112140401240[[#This Row],[12]])</f>
        <v>6.8583333333333298</v>
      </c>
      <c r="V172" s="208">
        <f>ABS(Множество_202207112140401240[[#This Row],[11]]-Множество_202207112140401240[[#This Row],[13]])</f>
        <v>3.1999999999999993</v>
      </c>
      <c r="W172" s="208">
        <f>Множество_202207112140401240[[#This Row],[15]]+Множество_202207112140401240[[#This Row],[14]]</f>
        <v>10.05833333333333</v>
      </c>
      <c r="X172" s="208">
        <f ca="1">IF(ROW()-ROW(Множество_202207112140401240[[#Headers],[17]])&gt;1,Множество_202207112140401240[[#This Row],[16]]-OFFSET(Множество_202207112140401240[[#This Row],[16]],-1,0),0)</f>
        <v>0.15000000000003055</v>
      </c>
      <c r="Y172" s="208">
        <v>3.1416666666666702</v>
      </c>
      <c r="Z172" s="208">
        <v>-15.7</v>
      </c>
      <c r="AA172" s="208">
        <f>ABS(Множество_202207112140401240[[#This Row],[18]]-Множество_202207112140401240[[#This Row],[12]])</f>
        <v>6.8583333333333298</v>
      </c>
      <c r="AB172" s="208">
        <f>ABS(Множество_202207112140401240[[#This Row],[19]]-Множество_202207112140401240[[#This Row],[13]])</f>
        <v>3.1999999999999993</v>
      </c>
      <c r="AC172" s="208">
        <f>Множество_202207112140401240[[#This Row],[20]]+Множество_202207112140401240[[#This Row],[21]]</f>
        <v>10.05833333333333</v>
      </c>
    </row>
    <row r="173" spans="6:29" x14ac:dyDescent="0.25">
      <c r="F173" s="213"/>
      <c r="K173" s="208">
        <f>Множество_202207112140401240[[#This Row],[2]]-Множество_202207112140401240[[#This Row],[4]]</f>
        <v>0</v>
      </c>
      <c r="L173" s="208">
        <f>Множество_202207112140401240[[#This Row],[3]]-Множество_202207112140401240[[#This Row],[5]]</f>
        <v>0</v>
      </c>
      <c r="M173" s="208">
        <f>Множество_202207112140401240[[#This Row],[7]]+Множество_202207112140401240[[#This Row],[6]]</f>
        <v>0</v>
      </c>
      <c r="N173" s="208" t="str">
        <f>CONCATENATE(Множество_202207112140401240[[#This Row],[2]],Множество_202207112140401240[[#This Row],[3]])</f>
        <v/>
      </c>
      <c r="O173" s="208"/>
      <c r="P173" s="208"/>
      <c r="Q173">
        <v>1.9</v>
      </c>
      <c r="R173">
        <v>-14.366666666666699</v>
      </c>
      <c r="S173" s="208">
        <v>10</v>
      </c>
      <c r="T173" s="208">
        <v>-12.5</v>
      </c>
      <c r="U173" s="208">
        <f>ABS(Множество_202207112140401240[[#This Row],[10]]-Множество_202207112140401240[[#This Row],[12]])</f>
        <v>8.1</v>
      </c>
      <c r="V173" s="208">
        <f>ABS(Множество_202207112140401240[[#This Row],[11]]-Множество_202207112140401240[[#This Row],[13]])</f>
        <v>1.8666666666666991</v>
      </c>
      <c r="W173" s="208">
        <f>Множество_202207112140401240[[#This Row],[15]]+Множество_202207112140401240[[#This Row],[14]]</f>
        <v>9.9666666666666988</v>
      </c>
      <c r="X173" s="208">
        <f ca="1">IF(ROW()-ROW(Множество_202207112140401240[[#Headers],[17]])&gt;1,Множество_202207112140401240[[#This Row],[16]]-OFFSET(Множество_202207112140401240[[#This Row],[16]],-1,0),0)</f>
        <v>-9.1666666666631258E-2</v>
      </c>
      <c r="Y173" s="208">
        <v>1.9</v>
      </c>
      <c r="Z173" s="208">
        <v>-14.366666666666699</v>
      </c>
      <c r="AA173" s="208">
        <f>ABS(Множество_202207112140401240[[#This Row],[18]]-Множество_202207112140401240[[#This Row],[12]])</f>
        <v>8.1</v>
      </c>
      <c r="AB173" s="208">
        <f>ABS(Множество_202207112140401240[[#This Row],[19]]-Множество_202207112140401240[[#This Row],[13]])</f>
        <v>1.8666666666666991</v>
      </c>
      <c r="AC173" s="208">
        <f>Множество_202207112140401240[[#This Row],[20]]+Множество_202207112140401240[[#This Row],[21]]</f>
        <v>9.9666666666666988</v>
      </c>
    </row>
    <row r="174" spans="6:29" x14ac:dyDescent="0.25">
      <c r="F174" s="213"/>
      <c r="K174" s="208">
        <f>Множество_202207112140401240[[#This Row],[2]]-Множество_202207112140401240[[#This Row],[4]]</f>
        <v>0</v>
      </c>
      <c r="L174" s="208">
        <f>Множество_202207112140401240[[#This Row],[3]]-Множество_202207112140401240[[#This Row],[5]]</f>
        <v>0</v>
      </c>
      <c r="M174" s="208">
        <f>Множество_202207112140401240[[#This Row],[7]]+Множество_202207112140401240[[#This Row],[6]]</f>
        <v>0</v>
      </c>
      <c r="N174" s="208" t="str">
        <f>CONCATENATE(Множество_202207112140401240[[#This Row],[2]],Множество_202207112140401240[[#This Row],[3]])</f>
        <v/>
      </c>
      <c r="O174" s="208"/>
      <c r="P174" s="208"/>
      <c r="Q174">
        <v>3.2</v>
      </c>
      <c r="R174">
        <v>-15.716666666666701</v>
      </c>
      <c r="S174" s="208">
        <v>10</v>
      </c>
      <c r="T174" s="208">
        <v>-12.5</v>
      </c>
      <c r="U174" s="208">
        <f>ABS(Множество_202207112140401240[[#This Row],[10]]-Множество_202207112140401240[[#This Row],[12]])</f>
        <v>6.8</v>
      </c>
      <c r="V174" s="208">
        <f>ABS(Множество_202207112140401240[[#This Row],[11]]-Множество_202207112140401240[[#This Row],[13]])</f>
        <v>3.2166666666667005</v>
      </c>
      <c r="W174" s="208">
        <f>Множество_202207112140401240[[#This Row],[15]]+Множество_202207112140401240[[#This Row],[14]]</f>
        <v>10.016666666666701</v>
      </c>
      <c r="X174" s="208">
        <f ca="1">IF(ROW()-ROW(Множество_202207112140401240[[#Headers],[17]])&gt;1,Множество_202207112140401240[[#This Row],[16]]-OFFSET(Множество_202207112140401240[[#This Row],[16]],-1,0),0)</f>
        <v>5.0000000000002487E-2</v>
      </c>
      <c r="Y174" s="208">
        <v>3.2583333333333302</v>
      </c>
      <c r="Z174" s="208">
        <v>-15.75</v>
      </c>
      <c r="AA174" s="208">
        <f>ABS(Множество_202207112140401240[[#This Row],[18]]-Множество_202207112140401240[[#This Row],[12]])</f>
        <v>6.7416666666666698</v>
      </c>
      <c r="AB174" s="208">
        <f>ABS(Множество_202207112140401240[[#This Row],[19]]-Множество_202207112140401240[[#This Row],[13]])</f>
        <v>3.25</v>
      </c>
      <c r="AC174" s="208">
        <f>Множество_202207112140401240[[#This Row],[20]]+Множество_202207112140401240[[#This Row],[21]]</f>
        <v>9.9916666666666707</v>
      </c>
    </row>
    <row r="175" spans="6:29" x14ac:dyDescent="0.25">
      <c r="F175" s="213"/>
      <c r="K175" s="208">
        <f>Множество_202207112140401240[[#This Row],[2]]-Множество_202207112140401240[[#This Row],[4]]</f>
        <v>0</v>
      </c>
      <c r="L175" s="208">
        <f>Множество_202207112140401240[[#This Row],[3]]-Множество_202207112140401240[[#This Row],[5]]</f>
        <v>0</v>
      </c>
      <c r="M175" s="208">
        <f>Множество_202207112140401240[[#This Row],[7]]+Множество_202207112140401240[[#This Row],[6]]</f>
        <v>0</v>
      </c>
      <c r="N175" s="208" t="str">
        <f>CONCATENATE(Множество_202207112140401240[[#This Row],[2]],Множество_202207112140401240[[#This Row],[3]])</f>
        <v/>
      </c>
      <c r="O175" s="208"/>
      <c r="P175" s="208"/>
      <c r="Q175">
        <v>3.2583333333333302</v>
      </c>
      <c r="R175">
        <v>-15.75</v>
      </c>
      <c r="S175" s="208">
        <v>10</v>
      </c>
      <c r="T175" s="208">
        <v>-12.5</v>
      </c>
      <c r="U175" s="208">
        <f>ABS(Множество_202207112140401240[[#This Row],[10]]-Множество_202207112140401240[[#This Row],[12]])</f>
        <v>6.7416666666666698</v>
      </c>
      <c r="V175" s="208">
        <f>ABS(Множество_202207112140401240[[#This Row],[11]]-Множество_202207112140401240[[#This Row],[13]])</f>
        <v>3.25</v>
      </c>
      <c r="W175" s="208">
        <f>Множество_202207112140401240[[#This Row],[15]]+Множество_202207112140401240[[#This Row],[14]]</f>
        <v>9.9916666666666707</v>
      </c>
      <c r="X175" s="208">
        <f ca="1">IF(ROW()-ROW(Множество_202207112140401240[[#Headers],[17]])&gt;1,Множество_202207112140401240[[#This Row],[16]]-OFFSET(Множество_202207112140401240[[#This Row],[16]],-1,0),0)</f>
        <v>-2.5000000000030553E-2</v>
      </c>
      <c r="Y175" s="208">
        <v>3.2</v>
      </c>
      <c r="Z175" s="208">
        <v>-15.716666666666701</v>
      </c>
      <c r="AA175" s="208">
        <f>ABS(Множество_202207112140401240[[#This Row],[18]]-Множество_202207112140401240[[#This Row],[12]])</f>
        <v>6.8</v>
      </c>
      <c r="AB175" s="208">
        <f>ABS(Множество_202207112140401240[[#This Row],[19]]-Множество_202207112140401240[[#This Row],[13]])</f>
        <v>3.2166666666667005</v>
      </c>
      <c r="AC175" s="208">
        <f>Множество_202207112140401240[[#This Row],[20]]+Множество_202207112140401240[[#This Row],[21]]</f>
        <v>10.016666666666701</v>
      </c>
    </row>
    <row r="176" spans="6:29" x14ac:dyDescent="0.25">
      <c r="F176" s="213"/>
      <c r="K176" s="208">
        <f>Множество_202207112140401240[[#This Row],[2]]-Множество_202207112140401240[[#This Row],[4]]</f>
        <v>0</v>
      </c>
      <c r="L176" s="208">
        <f>Множество_202207112140401240[[#This Row],[3]]-Множество_202207112140401240[[#This Row],[5]]</f>
        <v>0</v>
      </c>
      <c r="M176" s="208">
        <f>Множество_202207112140401240[[#This Row],[7]]+Множество_202207112140401240[[#This Row],[6]]</f>
        <v>0</v>
      </c>
      <c r="N176" s="208" t="str">
        <f>CONCATENATE(Множество_202207112140401240[[#This Row],[2]],Множество_202207112140401240[[#This Row],[3]])</f>
        <v/>
      </c>
      <c r="O176" s="208"/>
      <c r="P176" s="208"/>
      <c r="Q176">
        <v>1.675</v>
      </c>
      <c r="R176">
        <v>-14.3</v>
      </c>
      <c r="S176" s="208">
        <v>10</v>
      </c>
      <c r="T176" s="208">
        <v>-12.5</v>
      </c>
      <c r="U176" s="208">
        <f>ABS(Множество_202207112140401240[[#This Row],[10]]-Множество_202207112140401240[[#This Row],[12]])</f>
        <v>8.3249999999999993</v>
      </c>
      <c r="V176" s="208">
        <f>ABS(Множество_202207112140401240[[#This Row],[11]]-Множество_202207112140401240[[#This Row],[13]])</f>
        <v>1.8000000000000007</v>
      </c>
      <c r="W176" s="208">
        <f>Множество_202207112140401240[[#This Row],[15]]+Множество_202207112140401240[[#This Row],[14]]</f>
        <v>10.125</v>
      </c>
      <c r="X176" s="208">
        <f ca="1">IF(ROW()-ROW(Множество_202207112140401240[[#Headers],[17]])&gt;1,Множество_202207112140401240[[#This Row],[16]]-OFFSET(Множество_202207112140401240[[#This Row],[16]],-1,0),0)</f>
        <v>0.13333333333332931</v>
      </c>
      <c r="Y176" s="208">
        <v>1.675</v>
      </c>
      <c r="Z176" s="208">
        <v>-14.3</v>
      </c>
      <c r="AA176" s="208">
        <f>ABS(Множество_202207112140401240[[#This Row],[18]]-Множество_202207112140401240[[#This Row],[12]])</f>
        <v>8.3249999999999993</v>
      </c>
      <c r="AB176" s="208">
        <f>ABS(Множество_202207112140401240[[#This Row],[19]]-Множество_202207112140401240[[#This Row],[13]])</f>
        <v>1.8000000000000007</v>
      </c>
      <c r="AC176" s="208">
        <f>Множество_202207112140401240[[#This Row],[20]]+Множество_202207112140401240[[#This Row],[21]]</f>
        <v>10.125</v>
      </c>
    </row>
    <row r="177" spans="6:29" x14ac:dyDescent="0.25">
      <c r="F177" s="213"/>
      <c r="K177" s="208">
        <f>Множество_202207112140401240[[#This Row],[2]]-Множество_202207112140401240[[#This Row],[4]]</f>
        <v>0</v>
      </c>
      <c r="L177" s="208">
        <f>Множество_202207112140401240[[#This Row],[3]]-Множество_202207112140401240[[#This Row],[5]]</f>
        <v>0</v>
      </c>
      <c r="M177" s="208">
        <f>Множество_202207112140401240[[#This Row],[7]]+Множество_202207112140401240[[#This Row],[6]]</f>
        <v>0</v>
      </c>
      <c r="N177" s="208" t="str">
        <f>CONCATENATE(Множество_202207112140401240[[#This Row],[2]],Множество_202207112140401240[[#This Row],[3]])</f>
        <v/>
      </c>
      <c r="O177" s="208"/>
      <c r="P177" s="208"/>
      <c r="Q177">
        <v>1.75</v>
      </c>
      <c r="R177">
        <v>-14.3166666666667</v>
      </c>
      <c r="S177" s="208">
        <v>10</v>
      </c>
      <c r="T177" s="208">
        <v>-12.5</v>
      </c>
      <c r="U177" s="208">
        <f>ABS(Множество_202207112140401240[[#This Row],[10]]-Множество_202207112140401240[[#This Row],[12]])</f>
        <v>8.25</v>
      </c>
      <c r="V177" s="208">
        <f>ABS(Множество_202207112140401240[[#This Row],[11]]-Множество_202207112140401240[[#This Row],[13]])</f>
        <v>1.8166666666667002</v>
      </c>
      <c r="W177" s="208">
        <f>Множество_202207112140401240[[#This Row],[15]]+Множество_202207112140401240[[#This Row],[14]]</f>
        <v>10.0666666666667</v>
      </c>
      <c r="X177" s="208">
        <f ca="1">IF(ROW()-ROW(Множество_202207112140401240[[#Headers],[17]])&gt;1,Множество_202207112140401240[[#This Row],[16]]-OFFSET(Множество_202207112140401240[[#This Row],[16]],-1,0),0)</f>
        <v>-5.8333333333299819E-2</v>
      </c>
      <c r="Y177" s="208">
        <v>1.75</v>
      </c>
      <c r="Z177" s="208">
        <v>-14.3166666666667</v>
      </c>
      <c r="AA177" s="208">
        <f>ABS(Множество_202207112140401240[[#This Row],[18]]-Множество_202207112140401240[[#This Row],[12]])</f>
        <v>8.25</v>
      </c>
      <c r="AB177" s="208">
        <f>ABS(Множество_202207112140401240[[#This Row],[19]]-Множество_202207112140401240[[#This Row],[13]])</f>
        <v>1.8166666666667002</v>
      </c>
      <c r="AC177" s="208">
        <f>Множество_202207112140401240[[#This Row],[20]]+Множество_202207112140401240[[#This Row],[21]]</f>
        <v>10.0666666666667</v>
      </c>
    </row>
    <row r="178" spans="6:29" x14ac:dyDescent="0.25">
      <c r="F178" s="213"/>
      <c r="K178" s="208">
        <f>Множество_202207112140401240[[#This Row],[2]]-Множество_202207112140401240[[#This Row],[4]]</f>
        <v>0</v>
      </c>
      <c r="L178" s="208">
        <f>Множество_202207112140401240[[#This Row],[3]]-Множество_202207112140401240[[#This Row],[5]]</f>
        <v>0</v>
      </c>
      <c r="M178" s="208">
        <f>Множество_202207112140401240[[#This Row],[7]]+Множество_202207112140401240[[#This Row],[6]]</f>
        <v>0</v>
      </c>
      <c r="N178" s="208" t="str">
        <f>CONCATENATE(Множество_202207112140401240[[#This Row],[2]],Множество_202207112140401240[[#This Row],[3]])</f>
        <v/>
      </c>
      <c r="O178" s="208"/>
      <c r="P178" s="208"/>
      <c r="Q178">
        <v>3.0833333333333299</v>
      </c>
      <c r="R178">
        <v>-15.6833333333333</v>
      </c>
      <c r="S178" s="208">
        <v>10</v>
      </c>
      <c r="T178" s="208">
        <v>-12.5</v>
      </c>
      <c r="U178" s="208">
        <f>ABS(Множество_202207112140401240[[#This Row],[10]]-Множество_202207112140401240[[#This Row],[12]])</f>
        <v>6.9166666666666696</v>
      </c>
      <c r="V178" s="208">
        <f>ABS(Множество_202207112140401240[[#This Row],[11]]-Множество_202207112140401240[[#This Row],[13]])</f>
        <v>3.1833333333332998</v>
      </c>
      <c r="W178" s="208">
        <f>Множество_202207112140401240[[#This Row],[15]]+Множество_202207112140401240[[#This Row],[14]]</f>
        <v>10.099999999999969</v>
      </c>
      <c r="X178" s="208">
        <f ca="1">IF(ROW()-ROW(Множество_202207112140401240[[#Headers],[17]])&gt;1,Множество_202207112140401240[[#This Row],[16]]-OFFSET(Множество_202207112140401240[[#This Row],[16]],-1,0),0)</f>
        <v>3.3333333333269266E-2</v>
      </c>
      <c r="Y178" s="208">
        <v>3.0833333333333299</v>
      </c>
      <c r="Z178" s="208">
        <v>-15.6833333333333</v>
      </c>
      <c r="AA178" s="208">
        <f>ABS(Множество_202207112140401240[[#This Row],[18]]-Множество_202207112140401240[[#This Row],[12]])</f>
        <v>6.9166666666666696</v>
      </c>
      <c r="AB178" s="208">
        <f>ABS(Множество_202207112140401240[[#This Row],[19]]-Множество_202207112140401240[[#This Row],[13]])</f>
        <v>3.1833333333332998</v>
      </c>
      <c r="AC178" s="208">
        <f>Множество_202207112140401240[[#This Row],[20]]+Множество_202207112140401240[[#This Row],[21]]</f>
        <v>10.099999999999969</v>
      </c>
    </row>
    <row r="179" spans="6:29" x14ac:dyDescent="0.25">
      <c r="F179" s="213"/>
      <c r="K179" s="208">
        <f>Множество_202207112140401240[[#This Row],[2]]-Множество_202207112140401240[[#This Row],[4]]</f>
        <v>0</v>
      </c>
      <c r="L179" s="208">
        <f>Множество_202207112140401240[[#This Row],[3]]-Множество_202207112140401240[[#This Row],[5]]</f>
        <v>0</v>
      </c>
      <c r="M179" s="208">
        <f>Множество_202207112140401240[[#This Row],[7]]+Множество_202207112140401240[[#This Row],[6]]</f>
        <v>0</v>
      </c>
      <c r="N179" s="208" t="str">
        <f>CONCATENATE(Множество_202207112140401240[[#This Row],[2]],Множество_202207112140401240[[#This Row],[3]])</f>
        <v/>
      </c>
      <c r="O179" s="208"/>
      <c r="P179" s="208"/>
      <c r="Q179">
        <v>3.0249999999999999</v>
      </c>
      <c r="R179">
        <v>-15.65</v>
      </c>
      <c r="S179" s="208">
        <v>10</v>
      </c>
      <c r="T179" s="208">
        <v>-12.5</v>
      </c>
      <c r="U179" s="208">
        <f>ABS(Множество_202207112140401240[[#This Row],[10]]-Множество_202207112140401240[[#This Row],[12]])</f>
        <v>6.9749999999999996</v>
      </c>
      <c r="V179" s="208">
        <f>ABS(Множество_202207112140401240[[#This Row],[11]]-Множество_202207112140401240[[#This Row],[13]])</f>
        <v>3.1500000000000004</v>
      </c>
      <c r="W179" s="208">
        <f>Множество_202207112140401240[[#This Row],[15]]+Множество_202207112140401240[[#This Row],[14]]</f>
        <v>10.125</v>
      </c>
      <c r="X179" s="208">
        <f ca="1">IF(ROW()-ROW(Множество_202207112140401240[[#Headers],[17]])&gt;1,Множество_202207112140401240[[#This Row],[16]]-OFFSET(Множество_202207112140401240[[#This Row],[16]],-1,0),0)</f>
        <v>2.5000000000030553E-2</v>
      </c>
      <c r="Y179" s="208">
        <v>3.0249999999999999</v>
      </c>
      <c r="Z179" s="208">
        <v>-15.65</v>
      </c>
      <c r="AA179" s="208">
        <f>ABS(Множество_202207112140401240[[#This Row],[18]]-Множество_202207112140401240[[#This Row],[12]])</f>
        <v>6.9749999999999996</v>
      </c>
      <c r="AB179" s="208">
        <f>ABS(Множество_202207112140401240[[#This Row],[19]]-Множество_202207112140401240[[#This Row],[13]])</f>
        <v>3.1500000000000004</v>
      </c>
      <c r="AC179" s="208">
        <f>Множество_202207112140401240[[#This Row],[20]]+Множество_202207112140401240[[#This Row],[21]]</f>
        <v>10.125</v>
      </c>
    </row>
    <row r="180" spans="6:29" x14ac:dyDescent="0.25">
      <c r="F180" s="213"/>
      <c r="K180" s="208">
        <f>Множество_202207112140401240[[#This Row],[2]]-Множество_202207112140401240[[#This Row],[4]]</f>
        <v>0</v>
      </c>
      <c r="L180" s="208">
        <f>Множество_202207112140401240[[#This Row],[3]]-Множество_202207112140401240[[#This Row],[5]]</f>
        <v>0</v>
      </c>
      <c r="M180" s="208">
        <f>Множество_202207112140401240[[#This Row],[7]]+Множество_202207112140401240[[#This Row],[6]]</f>
        <v>0</v>
      </c>
      <c r="N180" s="208" t="str">
        <f>CONCATENATE(Множество_202207112140401240[[#This Row],[2]],Множество_202207112140401240[[#This Row],[3]])</f>
        <v/>
      </c>
      <c r="O180" s="208"/>
      <c r="P180" s="208"/>
      <c r="Q180">
        <v>2.9083333333333301</v>
      </c>
      <c r="R180">
        <v>-15.616666666666699</v>
      </c>
      <c r="S180" s="208">
        <v>10</v>
      </c>
      <c r="T180" s="208">
        <v>-12.5</v>
      </c>
      <c r="U180" s="208">
        <f>ABS(Множество_202207112140401240[[#This Row],[10]]-Множество_202207112140401240[[#This Row],[12]])</f>
        <v>7.0916666666666703</v>
      </c>
      <c r="V180" s="208">
        <f>ABS(Множество_202207112140401240[[#This Row],[11]]-Множество_202207112140401240[[#This Row],[13]])</f>
        <v>3.1166666666666991</v>
      </c>
      <c r="W180" s="208">
        <f>Множество_202207112140401240[[#This Row],[15]]+Множество_202207112140401240[[#This Row],[14]]</f>
        <v>10.208333333333369</v>
      </c>
      <c r="X180" s="208">
        <f ca="1">IF(ROW()-ROW(Множество_202207112140401240[[#Headers],[17]])&gt;1,Множество_202207112140401240[[#This Row],[16]]-OFFSET(Множество_202207112140401240[[#This Row],[16]],-1,0),0)</f>
        <v>8.3333333333369453E-2</v>
      </c>
      <c r="Y180" s="208">
        <v>2.9083333333333301</v>
      </c>
      <c r="Z180" s="208">
        <v>-15.616666666666699</v>
      </c>
      <c r="AA180" s="208">
        <f>ABS(Множество_202207112140401240[[#This Row],[18]]-Множество_202207112140401240[[#This Row],[12]])</f>
        <v>7.0916666666666703</v>
      </c>
      <c r="AB180" s="208">
        <f>ABS(Множество_202207112140401240[[#This Row],[19]]-Множество_202207112140401240[[#This Row],[13]])</f>
        <v>3.1166666666666991</v>
      </c>
      <c r="AC180" s="208">
        <f>Множество_202207112140401240[[#This Row],[20]]+Множество_202207112140401240[[#This Row],[21]]</f>
        <v>10.208333333333369</v>
      </c>
    </row>
    <row r="181" spans="6:29" x14ac:dyDescent="0.25">
      <c r="F181" s="213"/>
      <c r="K181" s="208">
        <f>Множество_202207112140401240[[#This Row],[2]]-Множество_202207112140401240[[#This Row],[4]]</f>
        <v>0</v>
      </c>
      <c r="L181" s="208">
        <f>Множество_202207112140401240[[#This Row],[3]]-Множество_202207112140401240[[#This Row],[5]]</f>
        <v>0</v>
      </c>
      <c r="M181" s="208">
        <f>Множество_202207112140401240[[#This Row],[7]]+Множество_202207112140401240[[#This Row],[6]]</f>
        <v>0</v>
      </c>
      <c r="N181" s="208" t="str">
        <f>CONCATENATE(Множество_202207112140401240[[#This Row],[2]],Множество_202207112140401240[[#This Row],[3]])</f>
        <v/>
      </c>
      <c r="O181" s="208"/>
      <c r="P181" s="208"/>
      <c r="Q181">
        <v>1.6</v>
      </c>
      <c r="R181">
        <v>-14.283333333333299</v>
      </c>
      <c r="S181" s="208">
        <v>10</v>
      </c>
      <c r="T181" s="208">
        <v>-12.5</v>
      </c>
      <c r="U181" s="208">
        <f>ABS(Множество_202207112140401240[[#This Row],[10]]-Множество_202207112140401240[[#This Row],[12]])</f>
        <v>8.4</v>
      </c>
      <c r="V181" s="208">
        <f>ABS(Множество_202207112140401240[[#This Row],[11]]-Множество_202207112140401240[[#This Row],[13]])</f>
        <v>1.7833333333332995</v>
      </c>
      <c r="W181" s="208">
        <f>Множество_202207112140401240[[#This Row],[15]]+Множество_202207112140401240[[#This Row],[14]]</f>
        <v>10.1833333333333</v>
      </c>
      <c r="X181" s="208">
        <f ca="1">IF(ROW()-ROW(Множество_202207112140401240[[#Headers],[17]])&gt;1,Множество_202207112140401240[[#This Row],[16]]-OFFSET(Множество_202207112140401240[[#This Row],[16]],-1,0),0)</f>
        <v>-2.5000000000069633E-2</v>
      </c>
      <c r="Y181" s="208">
        <v>2.9666666666666699</v>
      </c>
      <c r="Z181" s="208">
        <v>-15.633333333333301</v>
      </c>
      <c r="AA181" s="208">
        <f>ABS(Множество_202207112140401240[[#This Row],[18]]-Множество_202207112140401240[[#This Row],[12]])</f>
        <v>7.0333333333333297</v>
      </c>
      <c r="AB181" s="208">
        <f>ABS(Множество_202207112140401240[[#This Row],[19]]-Множество_202207112140401240[[#This Row],[13]])</f>
        <v>3.1333333333333009</v>
      </c>
      <c r="AC181" s="208">
        <f>Множество_202207112140401240[[#This Row],[20]]+Множество_202207112140401240[[#This Row],[21]]</f>
        <v>10.166666666666631</v>
      </c>
    </row>
    <row r="182" spans="6:29" x14ac:dyDescent="0.25">
      <c r="F182" s="213"/>
      <c r="K182" s="208">
        <f>Множество_202207112140401240[[#This Row],[2]]-Множество_202207112140401240[[#This Row],[4]]</f>
        <v>0</v>
      </c>
      <c r="L182" s="208">
        <f>Множество_202207112140401240[[#This Row],[3]]-Множество_202207112140401240[[#This Row],[5]]</f>
        <v>0</v>
      </c>
      <c r="M182" s="208">
        <f>Множество_202207112140401240[[#This Row],[7]]+Множество_202207112140401240[[#This Row],[6]]</f>
        <v>0</v>
      </c>
      <c r="N182" s="208" t="str">
        <f>CONCATENATE(Множество_202207112140401240[[#This Row],[2]],Множество_202207112140401240[[#This Row],[3]])</f>
        <v/>
      </c>
      <c r="O182" s="208"/>
      <c r="P182" s="208"/>
      <c r="Q182">
        <v>2.9666666666666699</v>
      </c>
      <c r="R182">
        <v>-15.633333333333301</v>
      </c>
      <c r="S182" s="208">
        <v>10</v>
      </c>
      <c r="T182" s="208">
        <v>-12.5</v>
      </c>
      <c r="U182" s="208">
        <f>ABS(Множество_202207112140401240[[#This Row],[10]]-Множество_202207112140401240[[#This Row],[12]])</f>
        <v>7.0333333333333297</v>
      </c>
      <c r="V182" s="208">
        <f>ABS(Множество_202207112140401240[[#This Row],[11]]-Множество_202207112140401240[[#This Row],[13]])</f>
        <v>3.1333333333333009</v>
      </c>
      <c r="W182" s="208">
        <f>Множество_202207112140401240[[#This Row],[15]]+Множество_202207112140401240[[#This Row],[14]]</f>
        <v>10.166666666666631</v>
      </c>
      <c r="X182" s="208">
        <f ca="1">IF(ROW()-ROW(Множество_202207112140401240[[#Headers],[17]])&gt;1,Множество_202207112140401240[[#This Row],[16]]-OFFSET(Множество_202207112140401240[[#This Row],[16]],-1,0),0)</f>
        <v>-1.6666666666669272E-2</v>
      </c>
      <c r="Y182" s="208">
        <v>1.6</v>
      </c>
      <c r="Z182" s="208">
        <v>-14.283333333333299</v>
      </c>
      <c r="AA182" s="208">
        <f>ABS(Множество_202207112140401240[[#This Row],[18]]-Множество_202207112140401240[[#This Row],[12]])</f>
        <v>8.4</v>
      </c>
      <c r="AB182" s="208">
        <f>ABS(Множество_202207112140401240[[#This Row],[19]]-Множество_202207112140401240[[#This Row],[13]])</f>
        <v>1.7833333333332995</v>
      </c>
      <c r="AC182" s="208">
        <f>Множество_202207112140401240[[#This Row],[20]]+Множество_202207112140401240[[#This Row],[21]]</f>
        <v>10.1833333333333</v>
      </c>
    </row>
    <row r="183" spans="6:29" x14ac:dyDescent="0.25">
      <c r="F183" s="213"/>
      <c r="K183" s="208">
        <f>Множество_202207112140401240[[#This Row],[2]]-Множество_202207112140401240[[#This Row],[4]]</f>
        <v>0</v>
      </c>
      <c r="L183" s="208">
        <f>Множество_202207112140401240[[#This Row],[3]]-Множество_202207112140401240[[#This Row],[5]]</f>
        <v>0</v>
      </c>
      <c r="M183" s="208">
        <f>Множество_202207112140401240[[#This Row],[7]]+Множество_202207112140401240[[#This Row],[6]]</f>
        <v>0</v>
      </c>
      <c r="N183" s="208" t="str">
        <f>CONCATENATE(Множество_202207112140401240[[#This Row],[2]],Множество_202207112140401240[[#This Row],[3]])</f>
        <v/>
      </c>
      <c r="O183" s="208"/>
      <c r="P183" s="208"/>
      <c r="Q183">
        <v>1.45</v>
      </c>
      <c r="R183">
        <v>-14.233333333333301</v>
      </c>
      <c r="S183" s="208">
        <v>10</v>
      </c>
      <c r="T183" s="208">
        <v>-12.5</v>
      </c>
      <c r="U183" s="208">
        <f>ABS(Множество_202207112140401240[[#This Row],[10]]-Множество_202207112140401240[[#This Row],[12]])</f>
        <v>8.5500000000000007</v>
      </c>
      <c r="V183" s="208">
        <f>ABS(Множество_202207112140401240[[#This Row],[11]]-Множество_202207112140401240[[#This Row],[13]])</f>
        <v>1.7333333333333005</v>
      </c>
      <c r="W183" s="208">
        <f>Множество_202207112140401240[[#This Row],[15]]+Множество_202207112140401240[[#This Row],[14]]</f>
        <v>10.283333333333301</v>
      </c>
      <c r="X183" s="208">
        <f ca="1">IF(ROW()-ROW(Множество_202207112140401240[[#Headers],[17]])&gt;1,Множество_202207112140401240[[#This Row],[16]]-OFFSET(Множество_202207112140401240[[#This Row],[16]],-1,0),0)</f>
        <v>0.11666666666667069</v>
      </c>
      <c r="Y183" s="208">
        <v>2.7916666666666701</v>
      </c>
      <c r="Z183" s="208">
        <v>-15.5666666666667</v>
      </c>
      <c r="AA183" s="208">
        <f>ABS(Множество_202207112140401240[[#This Row],[18]]-Множество_202207112140401240[[#This Row],[12]])</f>
        <v>7.2083333333333304</v>
      </c>
      <c r="AB183" s="208">
        <f>ABS(Множество_202207112140401240[[#This Row],[19]]-Множество_202207112140401240[[#This Row],[13]])</f>
        <v>3.0666666666667002</v>
      </c>
      <c r="AC183" s="208">
        <f>Множество_202207112140401240[[#This Row],[20]]+Множество_202207112140401240[[#This Row],[21]]</f>
        <v>10.275000000000031</v>
      </c>
    </row>
    <row r="184" spans="6:29" x14ac:dyDescent="0.25">
      <c r="F184" s="213"/>
      <c r="K184" s="208">
        <f>Множество_202207112140401240[[#This Row],[2]]-Множество_202207112140401240[[#This Row],[4]]</f>
        <v>0</v>
      </c>
      <c r="L184" s="208">
        <f>Множество_202207112140401240[[#This Row],[3]]-Множество_202207112140401240[[#This Row],[5]]</f>
        <v>0</v>
      </c>
      <c r="M184" s="208">
        <f>Множество_202207112140401240[[#This Row],[7]]+Множество_202207112140401240[[#This Row],[6]]</f>
        <v>0</v>
      </c>
      <c r="N184" s="208" t="str">
        <f>CONCATENATE(Множество_202207112140401240[[#This Row],[2]],Множество_202207112140401240[[#This Row],[3]])</f>
        <v/>
      </c>
      <c r="O184" s="208"/>
      <c r="P184" s="208"/>
      <c r="Q184">
        <v>2.7916666666666701</v>
      </c>
      <c r="R184">
        <v>-15.5666666666667</v>
      </c>
      <c r="S184" s="208">
        <v>10</v>
      </c>
      <c r="T184" s="208">
        <v>-12.5</v>
      </c>
      <c r="U184" s="208">
        <f>ABS(Множество_202207112140401240[[#This Row],[10]]-Множество_202207112140401240[[#This Row],[12]])</f>
        <v>7.2083333333333304</v>
      </c>
      <c r="V184" s="208">
        <f>ABS(Множество_202207112140401240[[#This Row],[11]]-Множество_202207112140401240[[#This Row],[13]])</f>
        <v>3.0666666666667002</v>
      </c>
      <c r="W184" s="208">
        <f>Множество_202207112140401240[[#This Row],[15]]+Множество_202207112140401240[[#This Row],[14]]</f>
        <v>10.275000000000031</v>
      </c>
      <c r="X184" s="208">
        <f ca="1">IF(ROW()-ROW(Множество_202207112140401240[[#Headers],[17]])&gt;1,Множество_202207112140401240[[#This Row],[16]]-OFFSET(Множество_202207112140401240[[#This Row],[16]],-1,0),0)</f>
        <v>-8.3333333332706871E-3</v>
      </c>
      <c r="Y184" s="208">
        <v>1.45</v>
      </c>
      <c r="Z184" s="208">
        <v>-14.233333333333301</v>
      </c>
      <c r="AA184" s="208">
        <f>ABS(Множество_202207112140401240[[#This Row],[18]]-Множество_202207112140401240[[#This Row],[12]])</f>
        <v>8.5500000000000007</v>
      </c>
      <c r="AB184" s="208">
        <f>ABS(Множество_202207112140401240[[#This Row],[19]]-Множество_202207112140401240[[#This Row],[13]])</f>
        <v>1.7333333333333005</v>
      </c>
      <c r="AC184" s="208">
        <f>Множество_202207112140401240[[#This Row],[20]]+Множество_202207112140401240[[#This Row],[21]]</f>
        <v>10.283333333333301</v>
      </c>
    </row>
    <row r="185" spans="6:29" x14ac:dyDescent="0.25">
      <c r="F185" s="213"/>
      <c r="K185" s="208">
        <f>Множество_202207112140401240[[#This Row],[2]]-Множество_202207112140401240[[#This Row],[4]]</f>
        <v>0</v>
      </c>
      <c r="L185" s="208">
        <f>Множество_202207112140401240[[#This Row],[3]]-Множество_202207112140401240[[#This Row],[5]]</f>
        <v>0</v>
      </c>
      <c r="M185" s="208">
        <f>Множество_202207112140401240[[#This Row],[7]]+Множество_202207112140401240[[#This Row],[6]]</f>
        <v>0</v>
      </c>
      <c r="N185" s="208" t="str">
        <f>CONCATENATE(Множество_202207112140401240[[#This Row],[2]],Множество_202207112140401240[[#This Row],[3]])</f>
        <v/>
      </c>
      <c r="O185" s="208"/>
      <c r="P185" s="208"/>
      <c r="Q185">
        <v>1.5249999999999999</v>
      </c>
      <c r="R185">
        <v>-14.25</v>
      </c>
      <c r="S185" s="208">
        <v>10</v>
      </c>
      <c r="T185" s="208">
        <v>-12.5</v>
      </c>
      <c r="U185" s="208">
        <f>ABS(Множество_202207112140401240[[#This Row],[10]]-Множество_202207112140401240[[#This Row],[12]])</f>
        <v>8.4749999999999996</v>
      </c>
      <c r="V185" s="208">
        <f>ABS(Множество_202207112140401240[[#This Row],[11]]-Множество_202207112140401240[[#This Row],[13]])</f>
        <v>1.75</v>
      </c>
      <c r="W185" s="208">
        <f>Множество_202207112140401240[[#This Row],[15]]+Множество_202207112140401240[[#This Row],[14]]</f>
        <v>10.225</v>
      </c>
      <c r="X185" s="208">
        <f ca="1">IF(ROW()-ROW(Множество_202207112140401240[[#Headers],[17]])&gt;1,Множество_202207112140401240[[#This Row],[16]]-OFFSET(Множество_202207112140401240[[#This Row],[16]],-1,0),0)</f>
        <v>-5.0000000000030909E-2</v>
      </c>
      <c r="Y185" s="208">
        <v>1.5249999999999999</v>
      </c>
      <c r="Z185" s="208">
        <v>-14.25</v>
      </c>
      <c r="AA185" s="208">
        <f>ABS(Множество_202207112140401240[[#This Row],[18]]-Множество_202207112140401240[[#This Row],[12]])</f>
        <v>8.4749999999999996</v>
      </c>
      <c r="AB185" s="208">
        <f>ABS(Множество_202207112140401240[[#This Row],[19]]-Множество_202207112140401240[[#This Row],[13]])</f>
        <v>1.75</v>
      </c>
      <c r="AC185" s="208">
        <f>Множество_202207112140401240[[#This Row],[20]]+Множество_202207112140401240[[#This Row],[21]]</f>
        <v>10.225</v>
      </c>
    </row>
    <row r="186" spans="6:29" x14ac:dyDescent="0.25">
      <c r="F186" s="213"/>
      <c r="K186" s="208">
        <f>Множество_202207112140401240[[#This Row],[2]]-Множество_202207112140401240[[#This Row],[4]]</f>
        <v>0</v>
      </c>
      <c r="L186" s="208">
        <f>Множество_202207112140401240[[#This Row],[3]]-Множество_202207112140401240[[#This Row],[5]]</f>
        <v>0</v>
      </c>
      <c r="M186" s="208">
        <f>Множество_202207112140401240[[#This Row],[7]]+Множество_202207112140401240[[#This Row],[6]]</f>
        <v>0</v>
      </c>
      <c r="N186" s="208" t="str">
        <f>CONCATENATE(Множество_202207112140401240[[#This Row],[2]],Множество_202207112140401240[[#This Row],[3]])</f>
        <v/>
      </c>
      <c r="O186" s="208"/>
      <c r="P186" s="208"/>
      <c r="Q186">
        <v>2.85</v>
      </c>
      <c r="R186">
        <v>-15.6</v>
      </c>
      <c r="S186" s="208">
        <v>10</v>
      </c>
      <c r="T186" s="208">
        <v>-12.5</v>
      </c>
      <c r="U186" s="208">
        <f>ABS(Множество_202207112140401240[[#This Row],[10]]-Множество_202207112140401240[[#This Row],[12]])</f>
        <v>7.15</v>
      </c>
      <c r="V186" s="208">
        <f>ABS(Множество_202207112140401240[[#This Row],[11]]-Множество_202207112140401240[[#This Row],[13]])</f>
        <v>3.0999999999999996</v>
      </c>
      <c r="W186" s="208">
        <f>Множество_202207112140401240[[#This Row],[15]]+Множество_202207112140401240[[#This Row],[14]]</f>
        <v>10.25</v>
      </c>
      <c r="X186" s="208">
        <f ca="1">IF(ROW()-ROW(Множество_202207112140401240[[#Headers],[17]])&gt;1,Множество_202207112140401240[[#This Row],[16]]-OFFSET(Множество_202207112140401240[[#This Row],[16]],-1,0),0)</f>
        <v>2.5000000000000355E-2</v>
      </c>
      <c r="Y186" s="208">
        <v>2.85</v>
      </c>
      <c r="Z186" s="208">
        <v>-15.6</v>
      </c>
      <c r="AA186" s="208">
        <f>ABS(Множество_202207112140401240[[#This Row],[18]]-Множество_202207112140401240[[#This Row],[12]])</f>
        <v>7.15</v>
      </c>
      <c r="AB186" s="208">
        <f>ABS(Множество_202207112140401240[[#This Row],[19]]-Множество_202207112140401240[[#This Row],[13]])</f>
        <v>3.0999999999999996</v>
      </c>
      <c r="AC186" s="208">
        <f>Множество_202207112140401240[[#This Row],[20]]+Множество_202207112140401240[[#This Row],[21]]</f>
        <v>10.25</v>
      </c>
    </row>
    <row r="187" spans="6:29" x14ac:dyDescent="0.25">
      <c r="F187" s="213"/>
      <c r="K187" s="208">
        <f>Множество_202207112140401240[[#This Row],[2]]-Множество_202207112140401240[[#This Row],[4]]</f>
        <v>0</v>
      </c>
      <c r="L187" s="208">
        <f>Множество_202207112140401240[[#This Row],[3]]-Множество_202207112140401240[[#This Row],[5]]</f>
        <v>0</v>
      </c>
      <c r="M187" s="208">
        <f>Множество_202207112140401240[[#This Row],[7]]+Множество_202207112140401240[[#This Row],[6]]</f>
        <v>0</v>
      </c>
      <c r="N187" s="208" t="str">
        <f>CONCATENATE(Множество_202207112140401240[[#This Row],[2]],Множество_202207112140401240[[#This Row],[3]])</f>
        <v/>
      </c>
      <c r="O187" s="208"/>
      <c r="P187" s="208"/>
      <c r="Q187">
        <v>2.6749999999999998</v>
      </c>
      <c r="R187">
        <v>-15.533333333333299</v>
      </c>
      <c r="S187" s="208">
        <v>10</v>
      </c>
      <c r="T187" s="208">
        <v>-12.5</v>
      </c>
      <c r="U187" s="208">
        <f>ABS(Множество_202207112140401240[[#This Row],[10]]-Множество_202207112140401240[[#This Row],[12]])</f>
        <v>7.3250000000000002</v>
      </c>
      <c r="V187" s="208">
        <f>ABS(Множество_202207112140401240[[#This Row],[11]]-Множество_202207112140401240[[#This Row],[13]])</f>
        <v>3.0333333333332995</v>
      </c>
      <c r="W187" s="208">
        <f>Множество_202207112140401240[[#This Row],[15]]+Множество_202207112140401240[[#This Row],[14]]</f>
        <v>10.358333333333299</v>
      </c>
      <c r="X187" s="208">
        <f ca="1">IF(ROW()-ROW(Множество_202207112140401240[[#Headers],[17]])&gt;1,Множество_202207112140401240[[#This Row],[16]]-OFFSET(Множество_202207112140401240[[#This Row],[16]],-1,0),0)</f>
        <v>0.10833333333329875</v>
      </c>
      <c r="Y187" s="208">
        <v>1.375</v>
      </c>
      <c r="Z187" s="208">
        <v>-14.216666666666701</v>
      </c>
      <c r="AA187" s="208">
        <f>ABS(Множество_202207112140401240[[#This Row],[18]]-Множество_202207112140401240[[#This Row],[12]])</f>
        <v>8.625</v>
      </c>
      <c r="AB187" s="208">
        <f>ABS(Множество_202207112140401240[[#This Row],[19]]-Множество_202207112140401240[[#This Row],[13]])</f>
        <v>1.7166666666667005</v>
      </c>
      <c r="AC187" s="208">
        <f>Множество_202207112140401240[[#This Row],[20]]+Множество_202207112140401240[[#This Row],[21]]</f>
        <v>10.341666666666701</v>
      </c>
    </row>
    <row r="188" spans="6:29" x14ac:dyDescent="0.25">
      <c r="F188" s="213"/>
      <c r="K188" s="208">
        <f>Множество_202207112140401240[[#This Row],[2]]-Множество_202207112140401240[[#This Row],[4]]</f>
        <v>0</v>
      </c>
      <c r="L188" s="208">
        <f>Множество_202207112140401240[[#This Row],[3]]-Множество_202207112140401240[[#This Row],[5]]</f>
        <v>0</v>
      </c>
      <c r="M188" s="208">
        <f>Множество_202207112140401240[[#This Row],[7]]+Множество_202207112140401240[[#This Row],[6]]</f>
        <v>0</v>
      </c>
      <c r="N188" s="208" t="str">
        <f>CONCATENATE(Множество_202207112140401240[[#This Row],[2]],Множество_202207112140401240[[#This Row],[3]])</f>
        <v/>
      </c>
      <c r="O188" s="208"/>
      <c r="P188" s="208"/>
      <c r="Q188">
        <v>2.6166666666666698</v>
      </c>
      <c r="R188">
        <v>-15.516666666666699</v>
      </c>
      <c r="S188" s="208">
        <v>10</v>
      </c>
      <c r="T188" s="208">
        <v>-12.5</v>
      </c>
      <c r="U188" s="208">
        <f>ABS(Множество_202207112140401240[[#This Row],[10]]-Множество_202207112140401240[[#This Row],[12]])</f>
        <v>7.3833333333333302</v>
      </c>
      <c r="V188" s="208">
        <f>ABS(Множество_202207112140401240[[#This Row],[11]]-Множество_202207112140401240[[#This Row],[13]])</f>
        <v>3.0166666666666995</v>
      </c>
      <c r="W188" s="208">
        <f>Множество_202207112140401240[[#This Row],[15]]+Множество_202207112140401240[[#This Row],[14]]</f>
        <v>10.400000000000031</v>
      </c>
      <c r="X188" s="208">
        <f ca="1">IF(ROW()-ROW(Множество_202207112140401240[[#Headers],[17]])&gt;1,Множество_202207112140401240[[#This Row],[16]]-OFFSET(Множество_202207112140401240[[#This Row],[16]],-1,0),0)</f>
        <v>4.16666666667318E-2</v>
      </c>
      <c r="Y188" s="208">
        <v>1.3</v>
      </c>
      <c r="Z188" s="208">
        <v>-14.2</v>
      </c>
      <c r="AA188" s="208">
        <f>ABS(Множество_202207112140401240[[#This Row],[18]]-Множество_202207112140401240[[#This Row],[12]])</f>
        <v>8.6999999999999993</v>
      </c>
      <c r="AB188" s="208">
        <f>ABS(Множество_202207112140401240[[#This Row],[19]]-Множество_202207112140401240[[#This Row],[13]])</f>
        <v>1.6999999999999993</v>
      </c>
      <c r="AC188" s="208">
        <f>Множество_202207112140401240[[#This Row],[20]]+Множество_202207112140401240[[#This Row],[21]]</f>
        <v>10.399999999999999</v>
      </c>
    </row>
    <row r="189" spans="6:29" x14ac:dyDescent="0.25">
      <c r="F189" s="213"/>
      <c r="K189" s="208">
        <f>Множество_202207112140401240[[#This Row],[2]]-Множество_202207112140401240[[#This Row],[4]]</f>
        <v>0</v>
      </c>
      <c r="L189" s="208">
        <f>Множество_202207112140401240[[#This Row],[3]]-Множество_202207112140401240[[#This Row],[5]]</f>
        <v>0</v>
      </c>
      <c r="M189" s="208">
        <f>Множество_202207112140401240[[#This Row],[7]]+Множество_202207112140401240[[#This Row],[6]]</f>
        <v>0</v>
      </c>
      <c r="N189" s="208" t="str">
        <f>CONCATENATE(Множество_202207112140401240[[#This Row],[2]],Множество_202207112140401240[[#This Row],[3]])</f>
        <v/>
      </c>
      <c r="O189" s="208"/>
      <c r="P189" s="208"/>
      <c r="Q189">
        <v>1.3</v>
      </c>
      <c r="R189">
        <v>-14.2</v>
      </c>
      <c r="S189" s="208">
        <v>10</v>
      </c>
      <c r="T189" s="208">
        <v>-12.5</v>
      </c>
      <c r="U189" s="208">
        <f>ABS(Множество_202207112140401240[[#This Row],[10]]-Множество_202207112140401240[[#This Row],[12]])</f>
        <v>8.6999999999999993</v>
      </c>
      <c r="V189" s="208">
        <f>ABS(Множество_202207112140401240[[#This Row],[11]]-Множество_202207112140401240[[#This Row],[13]])</f>
        <v>1.6999999999999993</v>
      </c>
      <c r="W189" s="208">
        <f>Множество_202207112140401240[[#This Row],[15]]+Множество_202207112140401240[[#This Row],[14]]</f>
        <v>10.399999999999999</v>
      </c>
      <c r="X189" s="208">
        <f ca="1">IF(ROW()-ROW(Множество_202207112140401240[[#Headers],[17]])&gt;1,Множество_202207112140401240[[#This Row],[16]]-OFFSET(Множество_202207112140401240[[#This Row],[16]],-1,0),0)</f>
        <v>-3.1974423109204508E-14</v>
      </c>
      <c r="Y189" s="208">
        <v>2.6166666666666698</v>
      </c>
      <c r="Z189" s="208">
        <v>-15.516666666666699</v>
      </c>
      <c r="AA189" s="208">
        <f>ABS(Множество_202207112140401240[[#This Row],[18]]-Множество_202207112140401240[[#This Row],[12]])</f>
        <v>7.3833333333333302</v>
      </c>
      <c r="AB189" s="208">
        <f>ABS(Множество_202207112140401240[[#This Row],[19]]-Множество_202207112140401240[[#This Row],[13]])</f>
        <v>3.0166666666666995</v>
      </c>
      <c r="AC189" s="208">
        <f>Множество_202207112140401240[[#This Row],[20]]+Множество_202207112140401240[[#This Row],[21]]</f>
        <v>10.400000000000031</v>
      </c>
    </row>
    <row r="190" spans="6:29" x14ac:dyDescent="0.25">
      <c r="F190" s="213"/>
      <c r="K190" s="208">
        <f>Множество_202207112140401240[[#This Row],[2]]-Множество_202207112140401240[[#This Row],[4]]</f>
        <v>0</v>
      </c>
      <c r="L190" s="208">
        <f>Множество_202207112140401240[[#This Row],[3]]-Множество_202207112140401240[[#This Row],[5]]</f>
        <v>0</v>
      </c>
      <c r="M190" s="208">
        <f>Множество_202207112140401240[[#This Row],[7]]+Множество_202207112140401240[[#This Row],[6]]</f>
        <v>0</v>
      </c>
      <c r="N190" s="208" t="str">
        <f>CONCATENATE(Множество_202207112140401240[[#This Row],[2]],Множество_202207112140401240[[#This Row],[3]])</f>
        <v/>
      </c>
      <c r="O190" s="208"/>
      <c r="P190" s="208"/>
      <c r="Q190">
        <v>1.375</v>
      </c>
      <c r="R190">
        <v>-14.216666666666701</v>
      </c>
      <c r="S190" s="208">
        <v>10</v>
      </c>
      <c r="T190" s="208">
        <v>-12.5</v>
      </c>
      <c r="U190" s="208">
        <f>ABS(Множество_202207112140401240[[#This Row],[10]]-Множество_202207112140401240[[#This Row],[12]])</f>
        <v>8.625</v>
      </c>
      <c r="V190" s="208">
        <f>ABS(Множество_202207112140401240[[#This Row],[11]]-Множество_202207112140401240[[#This Row],[13]])</f>
        <v>1.7166666666667005</v>
      </c>
      <c r="W190" s="208">
        <f>Множество_202207112140401240[[#This Row],[15]]+Множество_202207112140401240[[#This Row],[14]]</f>
        <v>10.341666666666701</v>
      </c>
      <c r="X190" s="208">
        <f ca="1">IF(ROW()-ROW(Множество_202207112140401240[[#Headers],[17]])&gt;1,Множество_202207112140401240[[#This Row],[16]]-OFFSET(Множество_202207112140401240[[#This Row],[16]],-1,0),0)</f>
        <v>-5.8333333333298043E-2</v>
      </c>
      <c r="Y190" s="208">
        <v>2.6749999999999998</v>
      </c>
      <c r="Z190" s="208">
        <v>-15.533333333333299</v>
      </c>
      <c r="AA190" s="208">
        <f>ABS(Множество_202207112140401240[[#This Row],[18]]-Множество_202207112140401240[[#This Row],[12]])</f>
        <v>7.3250000000000002</v>
      </c>
      <c r="AB190" s="208">
        <f>ABS(Множество_202207112140401240[[#This Row],[19]]-Множество_202207112140401240[[#This Row],[13]])</f>
        <v>3.0333333333332995</v>
      </c>
      <c r="AC190" s="208">
        <f>Множество_202207112140401240[[#This Row],[20]]+Множество_202207112140401240[[#This Row],[21]]</f>
        <v>10.358333333333299</v>
      </c>
    </row>
    <row r="191" spans="6:29" x14ac:dyDescent="0.25">
      <c r="F191" s="213"/>
      <c r="K191" s="208">
        <f>Множество_202207112140401240[[#This Row],[2]]-Множество_202207112140401240[[#This Row],[4]]</f>
        <v>0</v>
      </c>
      <c r="L191" s="208">
        <f>Множество_202207112140401240[[#This Row],[3]]-Множество_202207112140401240[[#This Row],[5]]</f>
        <v>0</v>
      </c>
      <c r="M191" s="208">
        <f>Множество_202207112140401240[[#This Row],[7]]+Множество_202207112140401240[[#This Row],[6]]</f>
        <v>0</v>
      </c>
      <c r="N191" s="208" t="str">
        <f>CONCATENATE(Множество_202207112140401240[[#This Row],[2]],Множество_202207112140401240[[#This Row],[3]])</f>
        <v/>
      </c>
      <c r="O191" s="208"/>
      <c r="P191" s="208"/>
      <c r="Q191">
        <v>2.7333333333333298</v>
      </c>
      <c r="R191">
        <v>-15.55</v>
      </c>
      <c r="S191" s="208">
        <v>10</v>
      </c>
      <c r="T191" s="208">
        <v>-12.5</v>
      </c>
      <c r="U191" s="208">
        <f>ABS(Множество_202207112140401240[[#This Row],[10]]-Множество_202207112140401240[[#This Row],[12]])</f>
        <v>7.2666666666666702</v>
      </c>
      <c r="V191" s="208">
        <f>ABS(Множество_202207112140401240[[#This Row],[11]]-Множество_202207112140401240[[#This Row],[13]])</f>
        <v>3.0500000000000007</v>
      </c>
      <c r="W191" s="208">
        <f>Множество_202207112140401240[[#This Row],[15]]+Множество_202207112140401240[[#This Row],[14]]</f>
        <v>10.31666666666667</v>
      </c>
      <c r="X191" s="208">
        <f ca="1">IF(ROW()-ROW(Множество_202207112140401240[[#Headers],[17]])&gt;1,Множество_202207112140401240[[#This Row],[16]]-OFFSET(Множество_202207112140401240[[#This Row],[16]],-1,0),0)</f>
        <v>-2.5000000000030553E-2</v>
      </c>
      <c r="Y191" s="208">
        <v>2.7333333333333298</v>
      </c>
      <c r="Z191" s="208">
        <v>-15.55</v>
      </c>
      <c r="AA191" s="208">
        <f>ABS(Множество_202207112140401240[[#This Row],[18]]-Множество_202207112140401240[[#This Row],[12]])</f>
        <v>7.2666666666666702</v>
      </c>
      <c r="AB191" s="208">
        <f>ABS(Множество_202207112140401240[[#This Row],[19]]-Множество_202207112140401240[[#This Row],[13]])</f>
        <v>3.0500000000000007</v>
      </c>
      <c r="AC191" s="208">
        <f>Множество_202207112140401240[[#This Row],[20]]+Множество_202207112140401240[[#This Row],[21]]</f>
        <v>10.31666666666667</v>
      </c>
    </row>
    <row r="192" spans="6:29" x14ac:dyDescent="0.25">
      <c r="F192" s="213"/>
      <c r="K192" s="208">
        <f>Множество_202207112140401240[[#This Row],[2]]-Множество_202207112140401240[[#This Row],[4]]</f>
        <v>0</v>
      </c>
      <c r="L192" s="208">
        <f>Множество_202207112140401240[[#This Row],[3]]-Множество_202207112140401240[[#This Row],[5]]</f>
        <v>0</v>
      </c>
      <c r="M192" s="208">
        <f>Множество_202207112140401240[[#This Row],[7]]+Множество_202207112140401240[[#This Row],[6]]</f>
        <v>0</v>
      </c>
      <c r="N192" s="208" t="str">
        <f>CONCATENATE(Множество_202207112140401240[[#This Row],[2]],Множество_202207112140401240[[#This Row],[3]])</f>
        <v/>
      </c>
      <c r="O192" s="208"/>
      <c r="P192" s="208"/>
      <c r="Q192">
        <v>1.1499999999999999</v>
      </c>
      <c r="R192">
        <v>-14.15</v>
      </c>
      <c r="S192" s="208">
        <v>10</v>
      </c>
      <c r="T192" s="208">
        <v>-12.5</v>
      </c>
      <c r="U192" s="208">
        <f>ABS(Множество_202207112140401240[[#This Row],[10]]-Множество_202207112140401240[[#This Row],[12]])</f>
        <v>8.85</v>
      </c>
      <c r="V192" s="208">
        <f>ABS(Множество_202207112140401240[[#This Row],[11]]-Множество_202207112140401240[[#This Row],[13]])</f>
        <v>1.6500000000000004</v>
      </c>
      <c r="W192" s="208">
        <f>Множество_202207112140401240[[#This Row],[15]]+Множество_202207112140401240[[#This Row],[14]]</f>
        <v>10.5</v>
      </c>
      <c r="X192" s="208">
        <f ca="1">IF(ROW()-ROW(Множество_202207112140401240[[#Headers],[17]])&gt;1,Множество_202207112140401240[[#This Row],[16]]-OFFSET(Множество_202207112140401240[[#This Row],[16]],-1,0),0)</f>
        <v>0.18333333333333002</v>
      </c>
      <c r="Y192" s="208">
        <v>2.5</v>
      </c>
      <c r="Z192" s="208">
        <v>-15.466666666666701</v>
      </c>
      <c r="AA192" s="208">
        <f>ABS(Множество_202207112140401240[[#This Row],[18]]-Множество_202207112140401240[[#This Row],[12]])</f>
        <v>7.5</v>
      </c>
      <c r="AB192" s="208">
        <f>ABS(Множество_202207112140401240[[#This Row],[19]]-Множество_202207112140401240[[#This Row],[13]])</f>
        <v>2.9666666666667005</v>
      </c>
      <c r="AC192" s="208">
        <f>Множество_202207112140401240[[#This Row],[20]]+Множество_202207112140401240[[#This Row],[21]]</f>
        <v>10.466666666666701</v>
      </c>
    </row>
    <row r="193" spans="6:29" x14ac:dyDescent="0.25">
      <c r="F193" s="213"/>
      <c r="K193" s="208">
        <f>Множество_202207112140401240[[#This Row],[2]]-Множество_202207112140401240[[#This Row],[4]]</f>
        <v>0</v>
      </c>
      <c r="L193" s="208">
        <f>Множество_202207112140401240[[#This Row],[3]]-Множество_202207112140401240[[#This Row],[5]]</f>
        <v>0</v>
      </c>
      <c r="M193" s="208">
        <f>Множество_202207112140401240[[#This Row],[7]]+Множество_202207112140401240[[#This Row],[6]]</f>
        <v>0</v>
      </c>
      <c r="N193" s="208" t="str">
        <f>CONCATENATE(Множество_202207112140401240[[#This Row],[2]],Множество_202207112140401240[[#This Row],[3]])</f>
        <v/>
      </c>
      <c r="O193" s="208"/>
      <c r="P193" s="208"/>
      <c r="Q193">
        <v>2.5</v>
      </c>
      <c r="R193">
        <v>-15.466666666666701</v>
      </c>
      <c r="S193" s="208">
        <v>10</v>
      </c>
      <c r="T193" s="208">
        <v>-12.5</v>
      </c>
      <c r="U193" s="208">
        <f>ABS(Множество_202207112140401240[[#This Row],[10]]-Множество_202207112140401240[[#This Row],[12]])</f>
        <v>7.5</v>
      </c>
      <c r="V193" s="208">
        <f>ABS(Множество_202207112140401240[[#This Row],[11]]-Множество_202207112140401240[[#This Row],[13]])</f>
        <v>2.9666666666667005</v>
      </c>
      <c r="W193" s="208">
        <f>Множество_202207112140401240[[#This Row],[15]]+Множество_202207112140401240[[#This Row],[14]]</f>
        <v>10.466666666666701</v>
      </c>
      <c r="X193" s="208">
        <f ca="1">IF(ROW()-ROW(Множество_202207112140401240[[#Headers],[17]])&gt;1,Множество_202207112140401240[[#This Row],[16]]-OFFSET(Множество_202207112140401240[[#This Row],[16]],-1,0),0)</f>
        <v>-3.3333333333299464E-2</v>
      </c>
      <c r="Y193" s="208">
        <v>1.1499999999999999</v>
      </c>
      <c r="Z193" s="208">
        <v>-14.15</v>
      </c>
      <c r="AA193" s="208">
        <f>ABS(Множество_202207112140401240[[#This Row],[18]]-Множество_202207112140401240[[#This Row],[12]])</f>
        <v>8.85</v>
      </c>
      <c r="AB193" s="208">
        <f>ABS(Множество_202207112140401240[[#This Row],[19]]-Множество_202207112140401240[[#This Row],[13]])</f>
        <v>1.6500000000000004</v>
      </c>
      <c r="AC193" s="208">
        <f>Множество_202207112140401240[[#This Row],[20]]+Множество_202207112140401240[[#This Row],[21]]</f>
        <v>10.5</v>
      </c>
    </row>
    <row r="194" spans="6:29" x14ac:dyDescent="0.25">
      <c r="F194" s="213"/>
      <c r="K194" s="208">
        <f>Множество_202207112140401240[[#This Row],[2]]-Множество_202207112140401240[[#This Row],[4]]</f>
        <v>0</v>
      </c>
      <c r="L194" s="208">
        <f>Множество_202207112140401240[[#This Row],[3]]-Множество_202207112140401240[[#This Row],[5]]</f>
        <v>0</v>
      </c>
      <c r="M194" s="208">
        <f>Множество_202207112140401240[[#This Row],[7]]+Множество_202207112140401240[[#This Row],[6]]</f>
        <v>0</v>
      </c>
      <c r="N194" s="208" t="str">
        <f>CONCATENATE(Множество_202207112140401240[[#This Row],[2]],Множество_202207112140401240[[#This Row],[3]])</f>
        <v/>
      </c>
      <c r="O194" s="208"/>
      <c r="P194" s="208"/>
      <c r="Q194">
        <v>1.2250000000000001</v>
      </c>
      <c r="R194">
        <v>-14.1666666666667</v>
      </c>
      <c r="S194" s="208">
        <v>10</v>
      </c>
      <c r="T194" s="208">
        <v>-12.5</v>
      </c>
      <c r="U194" s="208">
        <f>ABS(Множество_202207112140401240[[#This Row],[10]]-Множество_202207112140401240[[#This Row],[12]])</f>
        <v>8.7750000000000004</v>
      </c>
      <c r="V194" s="208">
        <f>ABS(Множество_202207112140401240[[#This Row],[11]]-Множество_202207112140401240[[#This Row],[13]])</f>
        <v>1.6666666666666998</v>
      </c>
      <c r="W194" s="208">
        <f>Множество_202207112140401240[[#This Row],[15]]+Множество_202207112140401240[[#This Row],[14]]</f>
        <v>10.4416666666667</v>
      </c>
      <c r="X194" s="208">
        <f ca="1">IF(ROW()-ROW(Множество_202207112140401240[[#Headers],[17]])&gt;1,Множество_202207112140401240[[#This Row],[16]]-OFFSET(Множество_202207112140401240[[#This Row],[16]],-1,0),0)</f>
        <v>-2.5000000000000355E-2</v>
      </c>
      <c r="Y194" s="208">
        <v>2.55833333333333</v>
      </c>
      <c r="Z194" s="208">
        <v>-15.483333333333301</v>
      </c>
      <c r="AA194" s="208">
        <f>ABS(Множество_202207112140401240[[#This Row],[18]]-Множество_202207112140401240[[#This Row],[12]])</f>
        <v>7.44166666666667</v>
      </c>
      <c r="AB194" s="208">
        <f>ABS(Множество_202207112140401240[[#This Row],[19]]-Множество_202207112140401240[[#This Row],[13]])</f>
        <v>2.9833333333333005</v>
      </c>
      <c r="AC194" s="208">
        <f>Множество_202207112140401240[[#This Row],[20]]+Множество_202207112140401240[[#This Row],[21]]</f>
        <v>10.424999999999971</v>
      </c>
    </row>
    <row r="195" spans="6:29" x14ac:dyDescent="0.25">
      <c r="F195" s="213"/>
      <c r="K195" s="208">
        <f>Множество_202207112140401240[[#This Row],[2]]-Множество_202207112140401240[[#This Row],[4]]</f>
        <v>0</v>
      </c>
      <c r="L195" s="208">
        <f>Множество_202207112140401240[[#This Row],[3]]-Множество_202207112140401240[[#This Row],[5]]</f>
        <v>0</v>
      </c>
      <c r="M195" s="208">
        <f>Множество_202207112140401240[[#This Row],[7]]+Множество_202207112140401240[[#This Row],[6]]</f>
        <v>0</v>
      </c>
      <c r="N195" s="208" t="str">
        <f>CONCATENATE(Множество_202207112140401240[[#This Row],[2]],Множество_202207112140401240[[#This Row],[3]])</f>
        <v/>
      </c>
      <c r="O195" s="208"/>
      <c r="P195" s="208"/>
      <c r="Q195">
        <v>2.55833333333333</v>
      </c>
      <c r="R195">
        <v>-15.483333333333301</v>
      </c>
      <c r="S195" s="208">
        <v>10</v>
      </c>
      <c r="T195" s="208">
        <v>-12.5</v>
      </c>
      <c r="U195" s="208">
        <f>ABS(Множество_202207112140401240[[#This Row],[10]]-Множество_202207112140401240[[#This Row],[12]])</f>
        <v>7.44166666666667</v>
      </c>
      <c r="V195" s="208">
        <f>ABS(Множество_202207112140401240[[#This Row],[11]]-Множество_202207112140401240[[#This Row],[13]])</f>
        <v>2.9833333333333005</v>
      </c>
      <c r="W195" s="208">
        <f>Множество_202207112140401240[[#This Row],[15]]+Множество_202207112140401240[[#This Row],[14]]</f>
        <v>10.424999999999971</v>
      </c>
      <c r="X195" s="208">
        <f ca="1">IF(ROW()-ROW(Множество_202207112140401240[[#Headers],[17]])&gt;1,Множество_202207112140401240[[#This Row],[16]]-OFFSET(Множество_202207112140401240[[#This Row],[16]],-1,0),0)</f>
        <v>-1.6666666666729668E-2</v>
      </c>
      <c r="Y195" s="208">
        <v>1.2250000000000001</v>
      </c>
      <c r="Z195" s="208">
        <v>-14.1666666666667</v>
      </c>
      <c r="AA195" s="208">
        <f>ABS(Множество_202207112140401240[[#This Row],[18]]-Множество_202207112140401240[[#This Row],[12]])</f>
        <v>8.7750000000000004</v>
      </c>
      <c r="AB195" s="208">
        <f>ABS(Множество_202207112140401240[[#This Row],[19]]-Множество_202207112140401240[[#This Row],[13]])</f>
        <v>1.6666666666666998</v>
      </c>
      <c r="AC195" s="208">
        <f>Множество_202207112140401240[[#This Row],[20]]+Множество_202207112140401240[[#This Row],[21]]</f>
        <v>10.4416666666667</v>
      </c>
    </row>
    <row r="196" spans="6:29" x14ac:dyDescent="0.25">
      <c r="F196" s="213"/>
      <c r="K196" s="208">
        <f>Множество_202207112140401240[[#This Row],[2]]-Множество_202207112140401240[[#This Row],[4]]</f>
        <v>0</v>
      </c>
      <c r="L196" s="208">
        <f>Множество_202207112140401240[[#This Row],[3]]-Множество_202207112140401240[[#This Row],[5]]</f>
        <v>0</v>
      </c>
      <c r="M196" s="208">
        <f>Множество_202207112140401240[[#This Row],[7]]+Множество_202207112140401240[[#This Row],[6]]</f>
        <v>0</v>
      </c>
      <c r="N196" s="208" t="str">
        <f>CONCATENATE(Множество_202207112140401240[[#This Row],[2]],Множество_202207112140401240[[#This Row],[3]])</f>
        <v/>
      </c>
      <c r="O196" s="208"/>
      <c r="P196" s="208"/>
      <c r="Q196">
        <v>1.075</v>
      </c>
      <c r="R196">
        <v>-14.133333333333301</v>
      </c>
      <c r="S196" s="208">
        <v>10</v>
      </c>
      <c r="T196" s="208">
        <v>-12.5</v>
      </c>
      <c r="U196" s="208">
        <f>ABS(Множество_202207112140401240[[#This Row],[10]]-Множество_202207112140401240[[#This Row],[12]])</f>
        <v>8.9250000000000007</v>
      </c>
      <c r="V196" s="208">
        <f>ABS(Множество_202207112140401240[[#This Row],[11]]-Множество_202207112140401240[[#This Row],[13]])</f>
        <v>1.6333333333333009</v>
      </c>
      <c r="W196" s="208">
        <f>Множество_202207112140401240[[#This Row],[15]]+Множество_202207112140401240[[#This Row],[14]]</f>
        <v>10.558333333333302</v>
      </c>
      <c r="X196" s="208">
        <f ca="1">IF(ROW()-ROW(Множество_202207112140401240[[#Headers],[17]])&gt;1,Множество_202207112140401240[[#This Row],[16]]-OFFSET(Множество_202207112140401240[[#This Row],[16]],-1,0),0)</f>
        <v>0.13333333333333108</v>
      </c>
      <c r="Y196" s="208">
        <v>1.075</v>
      </c>
      <c r="Z196" s="208">
        <v>-14.133333333333301</v>
      </c>
      <c r="AA196" s="208">
        <f>ABS(Множество_202207112140401240[[#This Row],[18]]-Множество_202207112140401240[[#This Row],[12]])</f>
        <v>8.9250000000000007</v>
      </c>
      <c r="AB196" s="208">
        <f>ABS(Множество_202207112140401240[[#This Row],[19]]-Множество_202207112140401240[[#This Row],[13]])</f>
        <v>1.6333333333333009</v>
      </c>
      <c r="AC196" s="208">
        <f>Множество_202207112140401240[[#This Row],[20]]+Множество_202207112140401240[[#This Row],[21]]</f>
        <v>10.558333333333302</v>
      </c>
    </row>
    <row r="197" spans="6:29" x14ac:dyDescent="0.25">
      <c r="F197" s="213"/>
      <c r="K197" s="208">
        <f>Множество_202207112140401240[[#This Row],[2]]-Множество_202207112140401240[[#This Row],[4]]</f>
        <v>0</v>
      </c>
      <c r="L197" s="208">
        <f>Множество_202207112140401240[[#This Row],[3]]-Множество_202207112140401240[[#This Row],[5]]</f>
        <v>0</v>
      </c>
      <c r="M197" s="208">
        <f>Множество_202207112140401240[[#This Row],[7]]+Множество_202207112140401240[[#This Row],[6]]</f>
        <v>0</v>
      </c>
      <c r="N197" s="208" t="str">
        <f>CONCATENATE(Множество_202207112140401240[[#This Row],[2]],Множество_202207112140401240[[#This Row],[3]])</f>
        <v/>
      </c>
      <c r="O197" s="208"/>
      <c r="P197" s="208"/>
      <c r="Q197">
        <v>2.4249999999999998</v>
      </c>
      <c r="R197">
        <v>-15.483333333333301</v>
      </c>
      <c r="S197" s="208">
        <v>10</v>
      </c>
      <c r="T197" s="208">
        <v>-12.5</v>
      </c>
      <c r="U197" s="208">
        <f>ABS(Множество_202207112140401240[[#This Row],[10]]-Множество_202207112140401240[[#This Row],[12]])</f>
        <v>7.5750000000000002</v>
      </c>
      <c r="V197" s="208">
        <f>ABS(Множество_202207112140401240[[#This Row],[11]]-Множество_202207112140401240[[#This Row],[13]])</f>
        <v>2.9833333333333005</v>
      </c>
      <c r="W197" s="208">
        <f>Множество_202207112140401240[[#This Row],[15]]+Множество_202207112140401240[[#This Row],[14]]</f>
        <v>10.558333333333302</v>
      </c>
      <c r="X197" s="208">
        <f ca="1">IF(ROW()-ROW(Множество_202207112140401240[[#Headers],[17]])&gt;1,Множество_202207112140401240[[#This Row],[16]]-OFFSET(Множество_202207112140401240[[#This Row],[16]],-1,0),0)</f>
        <v>0</v>
      </c>
      <c r="Y197" s="208">
        <v>2.4249999999999998</v>
      </c>
      <c r="Z197" s="208">
        <v>-15.483333333333301</v>
      </c>
      <c r="AA197" s="208">
        <f>ABS(Множество_202207112140401240[[#This Row],[18]]-Множество_202207112140401240[[#This Row],[12]])</f>
        <v>7.5750000000000002</v>
      </c>
      <c r="AB197" s="208">
        <f>ABS(Множество_202207112140401240[[#This Row],[19]]-Множество_202207112140401240[[#This Row],[13]])</f>
        <v>2.9833333333333005</v>
      </c>
      <c r="AC197" s="208">
        <f>Множество_202207112140401240[[#This Row],[20]]+Множество_202207112140401240[[#This Row],[21]]</f>
        <v>10.558333333333302</v>
      </c>
    </row>
    <row r="198" spans="6:29" x14ac:dyDescent="0.25">
      <c r="F198" s="213"/>
      <c r="K198" s="208">
        <f>Множество_202207112140401240[[#This Row],[2]]-Множество_202207112140401240[[#This Row],[4]]</f>
        <v>0</v>
      </c>
      <c r="L198" s="208">
        <f>Множество_202207112140401240[[#This Row],[3]]-Множество_202207112140401240[[#This Row],[5]]</f>
        <v>0</v>
      </c>
      <c r="M198" s="208">
        <f>Множество_202207112140401240[[#This Row],[7]]+Множество_202207112140401240[[#This Row],[6]]</f>
        <v>0</v>
      </c>
      <c r="N198" s="208" t="str">
        <f>CONCATENATE(Множество_202207112140401240[[#This Row],[2]],Множество_202207112140401240[[#This Row],[3]])</f>
        <v/>
      </c>
      <c r="O198" s="208"/>
      <c r="P198" s="208"/>
      <c r="Q198">
        <v>2.35</v>
      </c>
      <c r="R198">
        <v>-15.516666666666699</v>
      </c>
      <c r="S198" s="208">
        <v>10</v>
      </c>
      <c r="T198" s="208">
        <v>-12.5</v>
      </c>
      <c r="U198" s="208">
        <f>ABS(Множество_202207112140401240[[#This Row],[10]]-Множество_202207112140401240[[#This Row],[12]])</f>
        <v>7.65</v>
      </c>
      <c r="V198" s="208">
        <f>ABS(Множество_202207112140401240[[#This Row],[11]]-Множество_202207112140401240[[#This Row],[13]])</f>
        <v>3.0166666666666995</v>
      </c>
      <c r="W198" s="208">
        <f>Множество_202207112140401240[[#This Row],[15]]+Множество_202207112140401240[[#This Row],[14]]</f>
        <v>10.6666666666667</v>
      </c>
      <c r="X198" s="208">
        <f ca="1">IF(ROW()-ROW(Множество_202207112140401240[[#Headers],[17]])&gt;1,Множество_202207112140401240[[#This Row],[16]]-OFFSET(Множество_202207112140401240[[#This Row],[16]],-1,0),0)</f>
        <v>0.10833333333339823</v>
      </c>
      <c r="Y198" s="208">
        <v>2.35</v>
      </c>
      <c r="Z198" s="208">
        <v>-15.516666666666699</v>
      </c>
      <c r="AA198" s="208">
        <f>ABS(Множество_202207112140401240[[#This Row],[18]]-Множество_202207112140401240[[#This Row],[12]])</f>
        <v>7.65</v>
      </c>
      <c r="AB198" s="208">
        <f>ABS(Множество_202207112140401240[[#This Row],[19]]-Множество_202207112140401240[[#This Row],[13]])</f>
        <v>3.0166666666666995</v>
      </c>
      <c r="AC198" s="208">
        <f>Множество_202207112140401240[[#This Row],[20]]+Множество_202207112140401240[[#This Row],[21]]</f>
        <v>10.6666666666667</v>
      </c>
    </row>
    <row r="199" spans="6:29" x14ac:dyDescent="0.25">
      <c r="F199" s="213"/>
      <c r="K199" s="208">
        <f>Множество_202207112140401240[[#This Row],[2]]-Множество_202207112140401240[[#This Row],[4]]</f>
        <v>0</v>
      </c>
      <c r="L199" s="208">
        <f>Множество_202207112140401240[[#This Row],[3]]-Множество_202207112140401240[[#This Row],[5]]</f>
        <v>0</v>
      </c>
      <c r="M199" s="208">
        <f>Множество_202207112140401240[[#This Row],[7]]+Множество_202207112140401240[[#This Row],[6]]</f>
        <v>0</v>
      </c>
      <c r="N199" s="208" t="str">
        <f>CONCATENATE(Множество_202207112140401240[[#This Row],[2]],Множество_202207112140401240[[#This Row],[3]])</f>
        <v/>
      </c>
      <c r="O199" s="208"/>
      <c r="P199" s="208"/>
      <c r="Q199">
        <v>0.999999999999996</v>
      </c>
      <c r="R199">
        <v>-14.1</v>
      </c>
      <c r="S199" s="208">
        <v>10</v>
      </c>
      <c r="T199" s="208">
        <v>-12.5</v>
      </c>
      <c r="U199" s="208">
        <f>ABS(Множество_202207112140401240[[#This Row],[10]]-Множество_202207112140401240[[#This Row],[12]])</f>
        <v>9.0000000000000036</v>
      </c>
      <c r="V199" s="208">
        <f>ABS(Множество_202207112140401240[[#This Row],[11]]-Множество_202207112140401240[[#This Row],[13]])</f>
        <v>1.5999999999999996</v>
      </c>
      <c r="W199" s="208">
        <f>Множество_202207112140401240[[#This Row],[15]]+Множество_202207112140401240[[#This Row],[14]]</f>
        <v>10.600000000000003</v>
      </c>
      <c r="X199" s="208">
        <f ca="1">IF(ROW()-ROW(Множество_202207112140401240[[#Headers],[17]])&gt;1,Множество_202207112140401240[[#This Row],[16]]-OFFSET(Множество_202207112140401240[[#This Row],[16]],-1,0),0)</f>
        <v>-6.6666666666696628E-2</v>
      </c>
      <c r="Y199" s="208">
        <v>0.999999999999996</v>
      </c>
      <c r="Z199" s="208">
        <v>-14.1</v>
      </c>
      <c r="AA199" s="208">
        <f>ABS(Множество_202207112140401240[[#This Row],[18]]-Множество_202207112140401240[[#This Row],[12]])</f>
        <v>9.0000000000000036</v>
      </c>
      <c r="AB199" s="208">
        <f>ABS(Множество_202207112140401240[[#This Row],[19]]-Множество_202207112140401240[[#This Row],[13]])</f>
        <v>1.5999999999999996</v>
      </c>
      <c r="AC199" s="208">
        <f>Множество_202207112140401240[[#This Row],[20]]+Множество_202207112140401240[[#This Row],[21]]</f>
        <v>10.600000000000003</v>
      </c>
    </row>
    <row r="200" spans="6:29" x14ac:dyDescent="0.25">
      <c r="F200" s="213"/>
      <c r="K200" s="208">
        <f>Множество_202207112140401240[[#This Row],[2]]-Множество_202207112140401240[[#This Row],[4]]</f>
        <v>0</v>
      </c>
      <c r="L200" s="208">
        <f>Множество_202207112140401240[[#This Row],[3]]-Множество_202207112140401240[[#This Row],[5]]</f>
        <v>0</v>
      </c>
      <c r="M200" s="208">
        <f>Множество_202207112140401240[[#This Row],[7]]+Множество_202207112140401240[[#This Row],[6]]</f>
        <v>0</v>
      </c>
      <c r="N200" s="208" t="str">
        <f>CONCATENATE(Множество_202207112140401240[[#This Row],[2]],Множество_202207112140401240[[#This Row],[3]])</f>
        <v/>
      </c>
      <c r="O200" s="208"/>
      <c r="P200" s="208"/>
      <c r="Q200">
        <v>0.92500000000000104</v>
      </c>
      <c r="R200">
        <v>-14.0833333333333</v>
      </c>
      <c r="S200" s="208">
        <v>10</v>
      </c>
      <c r="T200" s="208">
        <v>-12.5</v>
      </c>
      <c r="U200" s="208">
        <f>ABS(Множество_202207112140401240[[#This Row],[10]]-Множество_202207112140401240[[#This Row],[12]])</f>
        <v>9.0749999999999993</v>
      </c>
      <c r="V200" s="208">
        <f>ABS(Множество_202207112140401240[[#This Row],[11]]-Множество_202207112140401240[[#This Row],[13]])</f>
        <v>1.5833333333333002</v>
      </c>
      <c r="W200" s="208">
        <f>Множество_202207112140401240[[#This Row],[15]]+Множество_202207112140401240[[#This Row],[14]]</f>
        <v>10.658333333333299</v>
      </c>
      <c r="X200" s="208">
        <f ca="1">IF(ROW()-ROW(Множество_202207112140401240[[#Headers],[17]])&gt;1,Множество_202207112140401240[[#This Row],[16]]-OFFSET(Множество_202207112140401240[[#This Row],[16]],-1,0),0)</f>
        <v>5.8333333333296267E-2</v>
      </c>
      <c r="Y200" s="208">
        <v>0.92500000000000104</v>
      </c>
      <c r="Z200" s="208">
        <v>-14.0833333333333</v>
      </c>
      <c r="AA200" s="208">
        <f>ABS(Множество_202207112140401240[[#This Row],[18]]-Множество_202207112140401240[[#This Row],[12]])</f>
        <v>9.0749999999999993</v>
      </c>
      <c r="AB200" s="208">
        <f>ABS(Множество_202207112140401240[[#This Row],[19]]-Множество_202207112140401240[[#This Row],[13]])</f>
        <v>1.5833333333333002</v>
      </c>
      <c r="AC200" s="208">
        <f>Множество_202207112140401240[[#This Row],[20]]+Множество_202207112140401240[[#This Row],[21]]</f>
        <v>10.658333333333299</v>
      </c>
    </row>
    <row r="201" spans="6:29" x14ac:dyDescent="0.25">
      <c r="F201" s="213"/>
      <c r="K201" s="208">
        <f>Множество_202207112140401240[[#This Row],[2]]-Множество_202207112140401240[[#This Row],[4]]</f>
        <v>0</v>
      </c>
      <c r="L201" s="208">
        <f>Множество_202207112140401240[[#This Row],[3]]-Множество_202207112140401240[[#This Row],[5]]</f>
        <v>0</v>
      </c>
      <c r="M201" s="208">
        <f>Множество_202207112140401240[[#This Row],[7]]+Множество_202207112140401240[[#This Row],[6]]</f>
        <v>0</v>
      </c>
      <c r="N201" s="208" t="str">
        <f>CONCATENATE(Множество_202207112140401240[[#This Row],[2]],Множество_202207112140401240[[#This Row],[3]])</f>
        <v/>
      </c>
      <c r="O201" s="208"/>
      <c r="P201" s="208"/>
      <c r="Q201">
        <v>2.2749999999999999</v>
      </c>
      <c r="R201">
        <v>-15.533333333333299</v>
      </c>
      <c r="S201" s="208">
        <v>10</v>
      </c>
      <c r="T201" s="208">
        <v>-12.5</v>
      </c>
      <c r="U201" s="208">
        <f>ABS(Множество_202207112140401240[[#This Row],[10]]-Множество_202207112140401240[[#This Row],[12]])</f>
        <v>7.7249999999999996</v>
      </c>
      <c r="V201" s="208">
        <f>ABS(Множество_202207112140401240[[#This Row],[11]]-Множество_202207112140401240[[#This Row],[13]])</f>
        <v>3.0333333333332995</v>
      </c>
      <c r="W201" s="208">
        <f>Множество_202207112140401240[[#This Row],[15]]+Множество_202207112140401240[[#This Row],[14]]</f>
        <v>10.758333333333299</v>
      </c>
      <c r="X201" s="208">
        <f ca="1">IF(ROW()-ROW(Множество_202207112140401240[[#Headers],[17]])&gt;1,Множество_202207112140401240[[#This Row],[16]]-OFFSET(Множество_202207112140401240[[#This Row],[16]],-1,0),0)</f>
        <v>9.9999999999999645E-2</v>
      </c>
      <c r="Y201" s="208">
        <v>0.84999999999999798</v>
      </c>
      <c r="Z201" s="208">
        <v>-14.0666666666667</v>
      </c>
      <c r="AA201" s="208">
        <f>ABS(Множество_202207112140401240[[#This Row],[18]]-Множество_202207112140401240[[#This Row],[12]])</f>
        <v>9.1500000000000021</v>
      </c>
      <c r="AB201" s="208">
        <f>ABS(Множество_202207112140401240[[#This Row],[19]]-Множество_202207112140401240[[#This Row],[13]])</f>
        <v>1.5666666666667002</v>
      </c>
      <c r="AC201" s="208">
        <f>Множество_202207112140401240[[#This Row],[20]]+Множество_202207112140401240[[#This Row],[21]]</f>
        <v>10.716666666666702</v>
      </c>
    </row>
    <row r="202" spans="6:29" x14ac:dyDescent="0.25">
      <c r="F202" s="213"/>
      <c r="K202" s="208">
        <f>Множество_202207112140401240[[#This Row],[2]]-Множество_202207112140401240[[#This Row],[4]]</f>
        <v>0</v>
      </c>
      <c r="L202" s="208">
        <f>Множество_202207112140401240[[#This Row],[3]]-Множество_202207112140401240[[#This Row],[5]]</f>
        <v>0</v>
      </c>
      <c r="M202" s="208">
        <f>Множество_202207112140401240[[#This Row],[7]]+Множество_202207112140401240[[#This Row],[6]]</f>
        <v>0</v>
      </c>
      <c r="N202" s="208" t="str">
        <f>CONCATENATE(Множество_202207112140401240[[#This Row],[2]],Множество_202207112140401240[[#This Row],[3]])</f>
        <v/>
      </c>
      <c r="O202" s="208"/>
      <c r="P202" s="208"/>
      <c r="Q202">
        <v>0.77499999999999902</v>
      </c>
      <c r="R202">
        <v>-14.05</v>
      </c>
      <c r="S202" s="208">
        <v>10</v>
      </c>
      <c r="T202" s="208">
        <v>-12.5</v>
      </c>
      <c r="U202" s="208">
        <f>ABS(Множество_202207112140401240[[#This Row],[10]]-Множество_202207112140401240[[#This Row],[12]])</f>
        <v>9.2250000000000014</v>
      </c>
      <c r="V202" s="208">
        <f>ABS(Множество_202207112140401240[[#This Row],[11]]-Множество_202207112140401240[[#This Row],[13]])</f>
        <v>1.5500000000000007</v>
      </c>
      <c r="W202" s="208">
        <f>Множество_202207112140401240[[#This Row],[15]]+Множество_202207112140401240[[#This Row],[14]]</f>
        <v>10.775000000000002</v>
      </c>
      <c r="X202" s="208">
        <f ca="1">IF(ROW()-ROW(Множество_202207112140401240[[#Headers],[17]])&gt;1,Множество_202207112140401240[[#This Row],[16]]-OFFSET(Множество_202207112140401240[[#This Row],[16]],-1,0),0)</f>
        <v>1.6666666666703023E-2</v>
      </c>
      <c r="Y202" s="208">
        <v>0.77499999999999902</v>
      </c>
      <c r="Z202" s="208">
        <v>-14.05</v>
      </c>
      <c r="AA202" s="208">
        <f>ABS(Множество_202207112140401240[[#This Row],[18]]-Множество_202207112140401240[[#This Row],[12]])</f>
        <v>9.2250000000000014</v>
      </c>
      <c r="AB202" s="208">
        <f>ABS(Множество_202207112140401240[[#This Row],[19]]-Множество_202207112140401240[[#This Row],[13]])</f>
        <v>1.5500000000000007</v>
      </c>
      <c r="AC202" s="208">
        <f>Множество_202207112140401240[[#This Row],[20]]+Множество_202207112140401240[[#This Row],[21]]</f>
        <v>10.775000000000002</v>
      </c>
    </row>
    <row r="203" spans="6:29" x14ac:dyDescent="0.25">
      <c r="F203" s="213"/>
      <c r="K203" s="208">
        <f>Множество_202207112140401240[[#This Row],[2]]-Множество_202207112140401240[[#This Row],[4]]</f>
        <v>0</v>
      </c>
      <c r="L203" s="208">
        <f>Множество_202207112140401240[[#This Row],[3]]-Множество_202207112140401240[[#This Row],[5]]</f>
        <v>0</v>
      </c>
      <c r="M203" s="208">
        <f>Множество_202207112140401240[[#This Row],[7]]+Множество_202207112140401240[[#This Row],[6]]</f>
        <v>0</v>
      </c>
      <c r="N203" s="208" t="str">
        <f>CONCATENATE(Множество_202207112140401240[[#This Row],[2]],Множество_202207112140401240[[#This Row],[3]])</f>
        <v/>
      </c>
      <c r="O203" s="208"/>
      <c r="P203" s="208"/>
      <c r="Q203">
        <v>0.84999999999999798</v>
      </c>
      <c r="R203">
        <v>-14.0666666666667</v>
      </c>
      <c r="S203" s="208">
        <v>10</v>
      </c>
      <c r="T203" s="208">
        <v>-12.5</v>
      </c>
      <c r="U203" s="208">
        <f>ABS(Множество_202207112140401240[[#This Row],[10]]-Множество_202207112140401240[[#This Row],[12]])</f>
        <v>9.1500000000000021</v>
      </c>
      <c r="V203" s="208">
        <f>ABS(Множество_202207112140401240[[#This Row],[11]]-Множество_202207112140401240[[#This Row],[13]])</f>
        <v>1.5666666666667002</v>
      </c>
      <c r="W203" s="208">
        <f>Множество_202207112140401240[[#This Row],[15]]+Множество_202207112140401240[[#This Row],[14]]</f>
        <v>10.716666666666702</v>
      </c>
      <c r="X203" s="208">
        <f ca="1">IF(ROW()-ROW(Множество_202207112140401240[[#Headers],[17]])&gt;1,Множество_202207112140401240[[#This Row],[16]]-OFFSET(Множество_202207112140401240[[#This Row],[16]],-1,0),0)</f>
        <v>-5.8333333333299819E-2</v>
      </c>
      <c r="Y203" s="208">
        <v>2.2749999999999999</v>
      </c>
      <c r="Z203" s="208">
        <v>-15.533333333333299</v>
      </c>
      <c r="AA203" s="208">
        <f>ABS(Множество_202207112140401240[[#This Row],[18]]-Множество_202207112140401240[[#This Row],[12]])</f>
        <v>7.7249999999999996</v>
      </c>
      <c r="AB203" s="208">
        <f>ABS(Множество_202207112140401240[[#This Row],[19]]-Множество_202207112140401240[[#This Row],[13]])</f>
        <v>3.0333333333332995</v>
      </c>
      <c r="AC203" s="208">
        <f>Множество_202207112140401240[[#This Row],[20]]+Множество_202207112140401240[[#This Row],[21]]</f>
        <v>10.758333333333299</v>
      </c>
    </row>
    <row r="204" spans="6:29" x14ac:dyDescent="0.25">
      <c r="F204" s="213"/>
      <c r="K204" s="208">
        <f>Множество_202207112140401240[[#This Row],[2]]-Множество_202207112140401240[[#This Row],[4]]</f>
        <v>0</v>
      </c>
      <c r="L204" s="208">
        <f>Множество_202207112140401240[[#This Row],[3]]-Множество_202207112140401240[[#This Row],[5]]</f>
        <v>0</v>
      </c>
      <c r="M204" s="208">
        <f>Множество_202207112140401240[[#This Row],[7]]+Множество_202207112140401240[[#This Row],[6]]</f>
        <v>0</v>
      </c>
      <c r="N204" s="208" t="str">
        <f>CONCATENATE(Множество_202207112140401240[[#This Row],[2]],Множество_202207112140401240[[#This Row],[3]])</f>
        <v/>
      </c>
      <c r="O204" s="208"/>
      <c r="P204" s="208"/>
      <c r="Q204">
        <v>0.625</v>
      </c>
      <c r="R204">
        <v>-14</v>
      </c>
      <c r="S204" s="208">
        <v>10</v>
      </c>
      <c r="T204" s="208">
        <v>-12.5</v>
      </c>
      <c r="U204" s="208">
        <f>ABS(Множество_202207112140401240[[#This Row],[10]]-Множество_202207112140401240[[#This Row],[12]])</f>
        <v>9.375</v>
      </c>
      <c r="V204" s="208">
        <f>ABS(Множество_202207112140401240[[#This Row],[11]]-Множество_202207112140401240[[#This Row],[13]])</f>
        <v>1.5</v>
      </c>
      <c r="W204" s="208">
        <f>Множество_202207112140401240[[#This Row],[15]]+Множество_202207112140401240[[#This Row],[14]]</f>
        <v>10.875</v>
      </c>
      <c r="X204" s="208">
        <f ca="1">IF(ROW()-ROW(Множество_202207112140401240[[#Headers],[17]])&gt;1,Множество_202207112140401240[[#This Row],[16]]-OFFSET(Множество_202207112140401240[[#This Row],[16]],-1,0),0)</f>
        <v>0.15833333333329769</v>
      </c>
      <c r="Y204" s="208">
        <v>0.625</v>
      </c>
      <c r="Z204" s="208">
        <v>-14</v>
      </c>
      <c r="AA204" s="208">
        <f>ABS(Множество_202207112140401240[[#This Row],[18]]-Множество_202207112140401240[[#This Row],[12]])</f>
        <v>9.375</v>
      </c>
      <c r="AB204" s="208">
        <f>ABS(Множество_202207112140401240[[#This Row],[19]]-Множество_202207112140401240[[#This Row],[13]])</f>
        <v>1.5</v>
      </c>
      <c r="AC204" s="208">
        <f>Множество_202207112140401240[[#This Row],[20]]+Множество_202207112140401240[[#This Row],[21]]</f>
        <v>10.875</v>
      </c>
    </row>
    <row r="205" spans="6:29" x14ac:dyDescent="0.25">
      <c r="F205" s="213"/>
      <c r="K205" s="208">
        <f>Множество_202207112140401240[[#This Row],[2]]-Множество_202207112140401240[[#This Row],[4]]</f>
        <v>0</v>
      </c>
      <c r="L205" s="208">
        <f>Множество_202207112140401240[[#This Row],[3]]-Множество_202207112140401240[[#This Row],[5]]</f>
        <v>0</v>
      </c>
      <c r="M205" s="208">
        <f>Множество_202207112140401240[[#This Row],[7]]+Множество_202207112140401240[[#This Row],[6]]</f>
        <v>0</v>
      </c>
      <c r="N205" s="208" t="str">
        <f>CONCATENATE(Множество_202207112140401240[[#This Row],[2]],Множество_202207112140401240[[#This Row],[3]])</f>
        <v/>
      </c>
      <c r="O205" s="208"/>
      <c r="P205" s="208"/>
      <c r="Q205">
        <v>0.69999999999999896</v>
      </c>
      <c r="R205">
        <v>-14.016666666666699</v>
      </c>
      <c r="S205" s="208">
        <v>10</v>
      </c>
      <c r="T205" s="208">
        <v>-12.5</v>
      </c>
      <c r="U205" s="208">
        <f>ABS(Множество_202207112140401240[[#This Row],[10]]-Множество_202207112140401240[[#This Row],[12]])</f>
        <v>9.3000000000000007</v>
      </c>
      <c r="V205" s="208">
        <f>ABS(Множество_202207112140401240[[#This Row],[11]]-Множество_202207112140401240[[#This Row],[13]])</f>
        <v>1.5166666666666995</v>
      </c>
      <c r="W205" s="208">
        <f>Множество_202207112140401240[[#This Row],[15]]+Множество_202207112140401240[[#This Row],[14]]</f>
        <v>10.8166666666667</v>
      </c>
      <c r="X205" s="208">
        <f ca="1">IF(ROW()-ROW(Множество_202207112140401240[[#Headers],[17]])&gt;1,Множество_202207112140401240[[#This Row],[16]]-OFFSET(Множество_202207112140401240[[#This Row],[16]],-1,0),0)</f>
        <v>-5.8333333333299819E-2</v>
      </c>
      <c r="Y205" s="208">
        <v>0.69999999999999896</v>
      </c>
      <c r="Z205" s="208">
        <v>-14.016666666666699</v>
      </c>
      <c r="AA205" s="208">
        <f>ABS(Множество_202207112140401240[[#This Row],[18]]-Множество_202207112140401240[[#This Row],[12]])</f>
        <v>9.3000000000000007</v>
      </c>
      <c r="AB205" s="208">
        <f>ABS(Множество_202207112140401240[[#This Row],[19]]-Множество_202207112140401240[[#This Row],[13]])</f>
        <v>1.5166666666666995</v>
      </c>
      <c r="AC205" s="208">
        <f>Множество_202207112140401240[[#This Row],[20]]+Множество_202207112140401240[[#This Row],[21]]</f>
        <v>10.8166666666667</v>
      </c>
    </row>
    <row r="206" spans="6:29" x14ac:dyDescent="0.25">
      <c r="F206" s="213"/>
      <c r="K206" s="208">
        <f>Множество_202207112140401240[[#This Row],[2]]-Множество_202207112140401240[[#This Row],[4]]</f>
        <v>0</v>
      </c>
      <c r="L206" s="208">
        <f>Множество_202207112140401240[[#This Row],[3]]-Множество_202207112140401240[[#This Row],[5]]</f>
        <v>0</v>
      </c>
      <c r="M206" s="208">
        <f>Множество_202207112140401240[[#This Row],[7]]+Множество_202207112140401240[[#This Row],[6]]</f>
        <v>0</v>
      </c>
      <c r="N206" s="208" t="str">
        <f>CONCATENATE(Множество_202207112140401240[[#This Row],[2]],Множество_202207112140401240[[#This Row],[3]])</f>
        <v/>
      </c>
      <c r="O206" s="208"/>
      <c r="P206" s="208"/>
      <c r="Q206">
        <v>2.2000000000000002</v>
      </c>
      <c r="R206">
        <v>-15.55</v>
      </c>
      <c r="S206" s="208">
        <v>10</v>
      </c>
      <c r="T206" s="208">
        <v>-12.5</v>
      </c>
      <c r="U206" s="208">
        <f>ABS(Множество_202207112140401240[[#This Row],[10]]-Множество_202207112140401240[[#This Row],[12]])</f>
        <v>7.8</v>
      </c>
      <c r="V206" s="208">
        <f>ABS(Множество_202207112140401240[[#This Row],[11]]-Множество_202207112140401240[[#This Row],[13]])</f>
        <v>3.0500000000000007</v>
      </c>
      <c r="W206" s="208">
        <f>Множество_202207112140401240[[#This Row],[15]]+Множество_202207112140401240[[#This Row],[14]]</f>
        <v>10.850000000000001</v>
      </c>
      <c r="X206" s="208">
        <f ca="1">IF(ROW()-ROW(Множество_202207112140401240[[#Headers],[17]])&gt;1,Множество_202207112140401240[[#This Row],[16]]-OFFSET(Множество_202207112140401240[[#This Row],[16]],-1,0),0)</f>
        <v>3.333333333330124E-2</v>
      </c>
      <c r="Y206" s="208">
        <v>2.2000000000000002</v>
      </c>
      <c r="Z206" s="208">
        <v>-15.55</v>
      </c>
      <c r="AA206" s="208">
        <f>ABS(Множество_202207112140401240[[#This Row],[18]]-Множество_202207112140401240[[#This Row],[12]])</f>
        <v>7.8</v>
      </c>
      <c r="AB206" s="208">
        <f>ABS(Множество_202207112140401240[[#This Row],[19]]-Множество_202207112140401240[[#This Row],[13]])</f>
        <v>3.0500000000000007</v>
      </c>
      <c r="AC206" s="208">
        <f>Множество_202207112140401240[[#This Row],[20]]+Множество_202207112140401240[[#This Row],[21]]</f>
        <v>10.850000000000001</v>
      </c>
    </row>
    <row r="207" spans="6:29" x14ac:dyDescent="0.25">
      <c r="F207" s="213"/>
      <c r="K207" s="208">
        <f>Множество_202207112140401240[[#This Row],[2]]-Множество_202207112140401240[[#This Row],[4]]</f>
        <v>0</v>
      </c>
      <c r="L207" s="208">
        <f>Множество_202207112140401240[[#This Row],[3]]-Множество_202207112140401240[[#This Row],[5]]</f>
        <v>0</v>
      </c>
      <c r="M207" s="208">
        <f>Множество_202207112140401240[[#This Row],[7]]+Множество_202207112140401240[[#This Row],[6]]</f>
        <v>0</v>
      </c>
      <c r="N207" s="208" t="str">
        <f>CONCATENATE(Множество_202207112140401240[[#This Row],[2]],Множество_202207112140401240[[#This Row],[3]])</f>
        <v/>
      </c>
      <c r="O207" s="208"/>
      <c r="P207" s="208"/>
      <c r="Q207">
        <v>2.125</v>
      </c>
      <c r="R207">
        <v>-15.5666666666667</v>
      </c>
      <c r="S207" s="208">
        <v>10</v>
      </c>
      <c r="T207" s="208">
        <v>-12.5</v>
      </c>
      <c r="U207" s="208">
        <f>ABS(Множество_202207112140401240[[#This Row],[10]]-Множество_202207112140401240[[#This Row],[12]])</f>
        <v>7.875</v>
      </c>
      <c r="V207" s="208">
        <f>ABS(Множество_202207112140401240[[#This Row],[11]]-Множество_202207112140401240[[#This Row],[13]])</f>
        <v>3.0666666666667002</v>
      </c>
      <c r="W207" s="208">
        <f>Множество_202207112140401240[[#This Row],[15]]+Множество_202207112140401240[[#This Row],[14]]</f>
        <v>10.9416666666667</v>
      </c>
      <c r="X207" s="208">
        <f ca="1">IF(ROW()-ROW(Множество_202207112140401240[[#Headers],[17]])&gt;1,Множество_202207112140401240[[#This Row],[16]]-OFFSET(Множество_202207112140401240[[#This Row],[16]],-1,0),0)</f>
        <v>9.166666666669876E-2</v>
      </c>
      <c r="Y207" s="208">
        <v>2.125</v>
      </c>
      <c r="Z207" s="208">
        <v>-15.5666666666667</v>
      </c>
      <c r="AA207" s="208">
        <f>ABS(Множество_202207112140401240[[#This Row],[18]]-Множество_202207112140401240[[#This Row],[12]])</f>
        <v>7.875</v>
      </c>
      <c r="AB207" s="208">
        <f>ABS(Множество_202207112140401240[[#This Row],[19]]-Множество_202207112140401240[[#This Row],[13]])</f>
        <v>3.0666666666667002</v>
      </c>
      <c r="AC207" s="208">
        <f>Множество_202207112140401240[[#This Row],[20]]+Множество_202207112140401240[[#This Row],[21]]</f>
        <v>10.9416666666667</v>
      </c>
    </row>
    <row r="208" spans="6:29" x14ac:dyDescent="0.25">
      <c r="F208" s="213"/>
      <c r="K208" s="208">
        <f>Множество_202207112140401240[[#This Row],[2]]-Множество_202207112140401240[[#This Row],[4]]</f>
        <v>0</v>
      </c>
      <c r="L208" s="208">
        <f>Множество_202207112140401240[[#This Row],[3]]-Множество_202207112140401240[[#This Row],[5]]</f>
        <v>0</v>
      </c>
      <c r="M208" s="208">
        <f>Множество_202207112140401240[[#This Row],[7]]+Множество_202207112140401240[[#This Row],[6]]</f>
        <v>0</v>
      </c>
      <c r="N208" s="208" t="str">
        <f>CONCATENATE(Множество_202207112140401240[[#This Row],[2]],Множество_202207112140401240[[#This Row],[3]])</f>
        <v/>
      </c>
      <c r="O208" s="208"/>
      <c r="P208" s="208"/>
      <c r="Q208">
        <v>0.47500000000000098</v>
      </c>
      <c r="R208">
        <v>-13.966666666666701</v>
      </c>
      <c r="S208" s="208">
        <v>10</v>
      </c>
      <c r="T208" s="208">
        <v>-12.5</v>
      </c>
      <c r="U208" s="208">
        <f>ABS(Множество_202207112140401240[[#This Row],[10]]-Множество_202207112140401240[[#This Row],[12]])</f>
        <v>9.5249999999999986</v>
      </c>
      <c r="V208" s="208">
        <f>ABS(Множество_202207112140401240[[#This Row],[11]]-Множество_202207112140401240[[#This Row],[13]])</f>
        <v>1.4666666666667005</v>
      </c>
      <c r="W208" s="208">
        <f>Множество_202207112140401240[[#This Row],[15]]+Множество_202207112140401240[[#This Row],[14]]</f>
        <v>10.991666666666699</v>
      </c>
      <c r="X208" s="208">
        <f ca="1">IF(ROW()-ROW(Множество_202207112140401240[[#Headers],[17]])&gt;1,Множество_202207112140401240[[#This Row],[16]]-OFFSET(Множество_202207112140401240[[#This Row],[16]],-1,0),0)</f>
        <v>4.9999999999998934E-2</v>
      </c>
      <c r="Y208" s="208">
        <v>0.47500000000000098</v>
      </c>
      <c r="Z208" s="208">
        <v>-13.966666666666701</v>
      </c>
      <c r="AA208" s="208">
        <f>ABS(Множество_202207112140401240[[#This Row],[18]]-Множество_202207112140401240[[#This Row],[12]])</f>
        <v>9.5249999999999986</v>
      </c>
      <c r="AB208" s="208">
        <f>ABS(Множество_202207112140401240[[#This Row],[19]]-Множество_202207112140401240[[#This Row],[13]])</f>
        <v>1.4666666666667005</v>
      </c>
      <c r="AC208" s="208">
        <f>Множество_202207112140401240[[#This Row],[20]]+Множество_202207112140401240[[#This Row],[21]]</f>
        <v>10.991666666666699</v>
      </c>
    </row>
    <row r="209" spans="6:29" x14ac:dyDescent="0.25">
      <c r="F209" s="213"/>
      <c r="K209" s="208">
        <f>Множество_202207112140401240[[#This Row],[2]]-Множество_202207112140401240[[#This Row],[4]]</f>
        <v>0</v>
      </c>
      <c r="L209" s="208">
        <f>Множество_202207112140401240[[#This Row],[3]]-Множество_202207112140401240[[#This Row],[5]]</f>
        <v>0</v>
      </c>
      <c r="M209" s="208">
        <f>Множество_202207112140401240[[#This Row],[7]]+Множество_202207112140401240[[#This Row],[6]]</f>
        <v>0</v>
      </c>
      <c r="N209" s="208" t="str">
        <f>CONCATENATE(Множество_202207112140401240[[#This Row],[2]],Множество_202207112140401240[[#This Row],[3]])</f>
        <v/>
      </c>
      <c r="O209" s="208"/>
      <c r="P209" s="208"/>
      <c r="Q209">
        <v>0.55000000000000104</v>
      </c>
      <c r="R209">
        <v>-13.983333333333301</v>
      </c>
      <c r="S209" s="208">
        <v>10</v>
      </c>
      <c r="T209" s="208">
        <v>-12.5</v>
      </c>
      <c r="U209" s="208">
        <f>ABS(Множество_202207112140401240[[#This Row],[10]]-Множество_202207112140401240[[#This Row],[12]])</f>
        <v>9.4499999999999993</v>
      </c>
      <c r="V209" s="208">
        <f>ABS(Множество_202207112140401240[[#This Row],[11]]-Множество_202207112140401240[[#This Row],[13]])</f>
        <v>1.4833333333333005</v>
      </c>
      <c r="W209" s="208">
        <f>Множество_202207112140401240[[#This Row],[15]]+Множество_202207112140401240[[#This Row],[14]]</f>
        <v>10.9333333333333</v>
      </c>
      <c r="X209" s="208">
        <f ca="1">IF(ROW()-ROW(Множество_202207112140401240[[#Headers],[17]])&gt;1,Множество_202207112140401240[[#This Row],[16]]-OFFSET(Множество_202207112140401240[[#This Row],[16]],-1,0),0)</f>
        <v>-5.8333333333399295E-2</v>
      </c>
      <c r="Y209" s="208">
        <v>0.55000000000000104</v>
      </c>
      <c r="Z209" s="208">
        <v>-13.983333333333301</v>
      </c>
      <c r="AA209" s="208">
        <f>ABS(Множество_202207112140401240[[#This Row],[18]]-Множество_202207112140401240[[#This Row],[12]])</f>
        <v>9.4499999999999993</v>
      </c>
      <c r="AB209" s="208">
        <f>ABS(Множество_202207112140401240[[#This Row],[19]]-Множество_202207112140401240[[#This Row],[13]])</f>
        <v>1.4833333333333005</v>
      </c>
      <c r="AC209" s="208">
        <f>Множество_202207112140401240[[#This Row],[20]]+Множество_202207112140401240[[#This Row],[21]]</f>
        <v>10.9333333333333</v>
      </c>
    </row>
    <row r="210" spans="6:29" x14ac:dyDescent="0.25">
      <c r="F210" s="213"/>
      <c r="K210" s="208">
        <f>Множество_202207112140401240[[#This Row],[2]]-Множество_202207112140401240[[#This Row],[4]]</f>
        <v>0</v>
      </c>
      <c r="L210" s="208">
        <f>Множество_202207112140401240[[#This Row],[3]]-Множество_202207112140401240[[#This Row],[5]]</f>
        <v>0</v>
      </c>
      <c r="M210" s="208">
        <f>Множество_202207112140401240[[#This Row],[7]]+Множество_202207112140401240[[#This Row],[6]]</f>
        <v>0</v>
      </c>
      <c r="N210" s="208" t="str">
        <f>CONCATENATE(Множество_202207112140401240[[#This Row],[2]],Множество_202207112140401240[[#This Row],[3]])</f>
        <v/>
      </c>
      <c r="O210" s="208"/>
      <c r="P210" s="208"/>
      <c r="Q210">
        <v>0.40000000000000202</v>
      </c>
      <c r="R210">
        <v>-13.9333333333333</v>
      </c>
      <c r="S210" s="208">
        <v>10</v>
      </c>
      <c r="T210" s="208">
        <v>-12.5</v>
      </c>
      <c r="U210" s="208">
        <f>ABS(Множество_202207112140401240[[#This Row],[10]]-Множество_202207112140401240[[#This Row],[12]])</f>
        <v>9.5999999999999979</v>
      </c>
      <c r="V210" s="208">
        <f>ABS(Множество_202207112140401240[[#This Row],[11]]-Множество_202207112140401240[[#This Row],[13]])</f>
        <v>1.4333333333332998</v>
      </c>
      <c r="W210" s="208">
        <f>Множество_202207112140401240[[#This Row],[15]]+Множество_202207112140401240[[#This Row],[14]]</f>
        <v>11.033333333333298</v>
      </c>
      <c r="X210" s="208">
        <f ca="1">IF(ROW()-ROW(Множество_202207112140401240[[#Headers],[17]])&gt;1,Множество_202207112140401240[[#This Row],[16]]-OFFSET(Множество_202207112140401240[[#This Row],[16]],-1,0),0)</f>
        <v>9.9999999999997868E-2</v>
      </c>
      <c r="Y210" s="208">
        <v>0.40000000000000202</v>
      </c>
      <c r="Z210" s="208">
        <v>-13.9333333333333</v>
      </c>
      <c r="AA210" s="208">
        <f>ABS(Множество_202207112140401240[[#This Row],[18]]-Множество_202207112140401240[[#This Row],[12]])</f>
        <v>9.5999999999999979</v>
      </c>
      <c r="AB210" s="208">
        <f>ABS(Множество_202207112140401240[[#This Row],[19]]-Множество_202207112140401240[[#This Row],[13]])</f>
        <v>1.4333333333332998</v>
      </c>
      <c r="AC210" s="208">
        <f>Множество_202207112140401240[[#This Row],[20]]+Множество_202207112140401240[[#This Row],[21]]</f>
        <v>11.033333333333298</v>
      </c>
    </row>
    <row r="211" spans="6:29" x14ac:dyDescent="0.25">
      <c r="F211" s="213"/>
      <c r="K211" s="208">
        <f>Множество_202207112140401240[[#This Row],[2]]-Множество_202207112140401240[[#This Row],[4]]</f>
        <v>0</v>
      </c>
      <c r="L211" s="208">
        <f>Множество_202207112140401240[[#This Row],[3]]-Множество_202207112140401240[[#This Row],[5]]</f>
        <v>0</v>
      </c>
      <c r="M211" s="208">
        <f>Множество_202207112140401240[[#This Row],[7]]+Множество_202207112140401240[[#This Row],[6]]</f>
        <v>0</v>
      </c>
      <c r="N211" s="208" t="str">
        <f>CONCATENATE(Множество_202207112140401240[[#This Row],[2]],Множество_202207112140401240[[#This Row],[3]])</f>
        <v/>
      </c>
      <c r="O211" s="208"/>
      <c r="P211" s="208"/>
      <c r="Q211">
        <v>1.9750000000000001</v>
      </c>
      <c r="R211">
        <v>-15.616666666666699</v>
      </c>
      <c r="S211" s="208">
        <v>10</v>
      </c>
      <c r="T211" s="208">
        <v>-12.5</v>
      </c>
      <c r="U211" s="208">
        <f>ABS(Множество_202207112140401240[[#This Row],[10]]-Множество_202207112140401240[[#This Row],[12]])</f>
        <v>8.0250000000000004</v>
      </c>
      <c r="V211" s="208">
        <f>ABS(Множество_202207112140401240[[#This Row],[11]]-Множество_202207112140401240[[#This Row],[13]])</f>
        <v>3.1166666666666991</v>
      </c>
      <c r="W211" s="208">
        <f>Множество_202207112140401240[[#This Row],[15]]+Множество_202207112140401240[[#This Row],[14]]</f>
        <v>11.141666666666699</v>
      </c>
      <c r="X211" s="208">
        <f ca="1">IF(ROW()-ROW(Множество_202207112140401240[[#Headers],[17]])&gt;1,Множество_202207112140401240[[#This Row],[16]]-OFFSET(Множество_202207112140401240[[#This Row],[16]],-1,0),0)</f>
        <v>0.10833333333340178</v>
      </c>
      <c r="Y211" s="208">
        <v>1.9750000000000001</v>
      </c>
      <c r="Z211" s="208">
        <v>-15.616666666666699</v>
      </c>
      <c r="AA211" s="208">
        <f>ABS(Множество_202207112140401240[[#This Row],[18]]-Множество_202207112140401240[[#This Row],[12]])</f>
        <v>8.0250000000000004</v>
      </c>
      <c r="AB211" s="208">
        <f>ABS(Множество_202207112140401240[[#This Row],[19]]-Множество_202207112140401240[[#This Row],[13]])</f>
        <v>3.1166666666666991</v>
      </c>
      <c r="AC211" s="208">
        <f>Множество_202207112140401240[[#This Row],[20]]+Множество_202207112140401240[[#This Row],[21]]</f>
        <v>11.141666666666699</v>
      </c>
    </row>
    <row r="212" spans="6:29" x14ac:dyDescent="0.25">
      <c r="F212" s="213"/>
      <c r="K212" s="208">
        <f>Множество_202207112140401240[[#This Row],[2]]-Множество_202207112140401240[[#This Row],[4]]</f>
        <v>0</v>
      </c>
      <c r="L212" s="208">
        <f>Множество_202207112140401240[[#This Row],[3]]-Множество_202207112140401240[[#This Row],[5]]</f>
        <v>0</v>
      </c>
      <c r="M212" s="208">
        <f>Множество_202207112140401240[[#This Row],[7]]+Множество_202207112140401240[[#This Row],[6]]</f>
        <v>0</v>
      </c>
      <c r="N212" s="208" t="str">
        <f>CONCATENATE(Множество_202207112140401240[[#This Row],[2]],Множество_202207112140401240[[#This Row],[3]])</f>
        <v/>
      </c>
      <c r="O212" s="208"/>
      <c r="P212" s="208"/>
      <c r="Q212">
        <v>2.0499999999999998</v>
      </c>
      <c r="R212">
        <v>-15.6</v>
      </c>
      <c r="S212" s="208">
        <v>10</v>
      </c>
      <c r="T212" s="208">
        <v>-12.5</v>
      </c>
      <c r="U212" s="208">
        <f>ABS(Множество_202207112140401240[[#This Row],[10]]-Множество_202207112140401240[[#This Row],[12]])</f>
        <v>7.95</v>
      </c>
      <c r="V212" s="208">
        <f>ABS(Множество_202207112140401240[[#This Row],[11]]-Множество_202207112140401240[[#This Row],[13]])</f>
        <v>3.0999999999999996</v>
      </c>
      <c r="W212" s="208">
        <f>Множество_202207112140401240[[#This Row],[15]]+Множество_202207112140401240[[#This Row],[14]]</f>
        <v>11.05</v>
      </c>
      <c r="X212" s="208">
        <f ca="1">IF(ROW()-ROW(Множество_202207112140401240[[#Headers],[17]])&gt;1,Множество_202207112140401240[[#This Row],[16]]-OFFSET(Множество_202207112140401240[[#This Row],[16]],-1,0),0)</f>
        <v>-9.166666666669876E-2</v>
      </c>
      <c r="Y212" s="208">
        <v>2.0499999999999998</v>
      </c>
      <c r="Z212" s="208">
        <v>-15.6</v>
      </c>
      <c r="AA212" s="208">
        <f>ABS(Множество_202207112140401240[[#This Row],[18]]-Множество_202207112140401240[[#This Row],[12]])</f>
        <v>7.95</v>
      </c>
      <c r="AB212" s="208">
        <f>ABS(Множество_202207112140401240[[#This Row],[19]]-Множество_202207112140401240[[#This Row],[13]])</f>
        <v>3.0999999999999996</v>
      </c>
      <c r="AC212" s="208">
        <f>Множество_202207112140401240[[#This Row],[20]]+Множество_202207112140401240[[#This Row],[21]]</f>
        <v>11.05</v>
      </c>
    </row>
    <row r="213" spans="6:29" x14ac:dyDescent="0.25">
      <c r="F213" s="213"/>
      <c r="K213" s="208">
        <f>Множество_202207112140401240[[#This Row],[2]]-Множество_202207112140401240[[#This Row],[4]]</f>
        <v>0</v>
      </c>
      <c r="L213" s="208">
        <f>Множество_202207112140401240[[#This Row],[3]]-Множество_202207112140401240[[#This Row],[5]]</f>
        <v>0</v>
      </c>
      <c r="M213" s="208">
        <f>Множество_202207112140401240[[#This Row],[7]]+Множество_202207112140401240[[#This Row],[6]]</f>
        <v>0</v>
      </c>
      <c r="N213" s="208" t="str">
        <f>CONCATENATE(Множество_202207112140401240[[#This Row],[2]],Множество_202207112140401240[[#This Row],[3]])</f>
        <v/>
      </c>
      <c r="O213" s="208"/>
      <c r="P213" s="208"/>
      <c r="Q213">
        <v>0.32499999999999901</v>
      </c>
      <c r="R213">
        <v>-13.9166666666667</v>
      </c>
      <c r="S213" s="208">
        <v>10</v>
      </c>
      <c r="T213" s="208">
        <v>-12.5</v>
      </c>
      <c r="U213" s="208">
        <f>ABS(Множество_202207112140401240[[#This Row],[10]]-Множество_202207112140401240[[#This Row],[12]])</f>
        <v>9.6750000000000007</v>
      </c>
      <c r="V213" s="208">
        <f>ABS(Множество_202207112140401240[[#This Row],[11]]-Множество_202207112140401240[[#This Row],[13]])</f>
        <v>1.4166666666666998</v>
      </c>
      <c r="W213" s="208">
        <f>Множество_202207112140401240[[#This Row],[15]]+Множество_202207112140401240[[#This Row],[14]]</f>
        <v>11.091666666666701</v>
      </c>
      <c r="X213" s="208">
        <f ca="1">IF(ROW()-ROW(Множество_202207112140401240[[#Headers],[17]])&gt;1,Множество_202207112140401240[[#This Row],[16]]-OFFSET(Множество_202207112140401240[[#This Row],[16]],-1,0),0)</f>
        <v>4.1666666666699825E-2</v>
      </c>
      <c r="Y213" s="208">
        <v>0.32499999999999901</v>
      </c>
      <c r="Z213" s="208">
        <v>-13.9166666666667</v>
      </c>
      <c r="AA213" s="208">
        <f>ABS(Множество_202207112140401240[[#This Row],[18]]-Множество_202207112140401240[[#This Row],[12]])</f>
        <v>9.6750000000000007</v>
      </c>
      <c r="AB213" s="208">
        <f>ABS(Множество_202207112140401240[[#This Row],[19]]-Множество_202207112140401240[[#This Row],[13]])</f>
        <v>1.4166666666666998</v>
      </c>
      <c r="AC213" s="208">
        <f>Множество_202207112140401240[[#This Row],[20]]+Множество_202207112140401240[[#This Row],[21]]</f>
        <v>11.091666666666701</v>
      </c>
    </row>
    <row r="214" spans="6:29" x14ac:dyDescent="0.25">
      <c r="F214" s="213"/>
      <c r="K214" s="208">
        <f>Множество_202207112140401240[[#This Row],[2]]-Множество_202207112140401240[[#This Row],[4]]</f>
        <v>0</v>
      </c>
      <c r="L214" s="208">
        <f>Множество_202207112140401240[[#This Row],[3]]-Множество_202207112140401240[[#This Row],[5]]</f>
        <v>0</v>
      </c>
      <c r="M214" s="208">
        <f>Множество_202207112140401240[[#This Row],[7]]+Множество_202207112140401240[[#This Row],[6]]</f>
        <v>0</v>
      </c>
      <c r="N214" s="208" t="str">
        <f>CONCATENATE(Множество_202207112140401240[[#This Row],[2]],Множество_202207112140401240[[#This Row],[3]])</f>
        <v/>
      </c>
      <c r="O214" s="208"/>
      <c r="P214" s="208"/>
      <c r="Q214">
        <v>0.25</v>
      </c>
      <c r="R214">
        <v>-13.9</v>
      </c>
      <c r="S214" s="208">
        <v>10</v>
      </c>
      <c r="T214" s="208">
        <v>-12.5</v>
      </c>
      <c r="U214" s="208">
        <f>ABS(Множество_202207112140401240[[#This Row],[10]]-Множество_202207112140401240[[#This Row],[12]])</f>
        <v>9.75</v>
      </c>
      <c r="V214" s="208">
        <f>ABS(Множество_202207112140401240[[#This Row],[11]]-Множество_202207112140401240[[#This Row],[13]])</f>
        <v>1.4000000000000004</v>
      </c>
      <c r="W214" s="208">
        <f>Множество_202207112140401240[[#This Row],[15]]+Множество_202207112140401240[[#This Row],[14]]</f>
        <v>11.15</v>
      </c>
      <c r="X214" s="208">
        <f ca="1">IF(ROW()-ROW(Множество_202207112140401240[[#Headers],[17]])&gt;1,Множество_202207112140401240[[#This Row],[16]]-OFFSET(Множество_202207112140401240[[#This Row],[16]],-1,0),0)</f>
        <v>5.8333333333299819E-2</v>
      </c>
      <c r="Y214" s="208">
        <v>0.25</v>
      </c>
      <c r="Z214" s="208">
        <v>-13.9</v>
      </c>
      <c r="AA214" s="208">
        <f>ABS(Множество_202207112140401240[[#This Row],[18]]-Множество_202207112140401240[[#This Row],[12]])</f>
        <v>9.75</v>
      </c>
      <c r="AB214" s="208">
        <f>ABS(Множество_202207112140401240[[#This Row],[19]]-Множество_202207112140401240[[#This Row],[13]])</f>
        <v>1.4000000000000004</v>
      </c>
      <c r="AC214" s="208">
        <f>Множество_202207112140401240[[#This Row],[20]]+Множество_202207112140401240[[#This Row],[21]]</f>
        <v>11.15</v>
      </c>
    </row>
    <row r="215" spans="6:29" x14ac:dyDescent="0.25">
      <c r="F215" s="213"/>
      <c r="K215" s="208">
        <f>Множество_202207112140401240[[#This Row],[2]]-Множество_202207112140401240[[#This Row],[4]]</f>
        <v>0</v>
      </c>
      <c r="L215" s="208">
        <f>Множество_202207112140401240[[#This Row],[3]]-Множество_202207112140401240[[#This Row],[5]]</f>
        <v>0</v>
      </c>
      <c r="M215" s="208">
        <f>Множество_202207112140401240[[#This Row],[7]]+Множество_202207112140401240[[#This Row],[6]]</f>
        <v>0</v>
      </c>
      <c r="N215" s="208" t="str">
        <f>CONCATENATE(Множество_202207112140401240[[#This Row],[2]],Множество_202207112140401240[[#This Row],[3]])</f>
        <v/>
      </c>
      <c r="O215" s="208"/>
      <c r="P215" s="208"/>
      <c r="Q215">
        <v>0.17499999999999699</v>
      </c>
      <c r="R215">
        <v>-13.866666666666699</v>
      </c>
      <c r="S215" s="208">
        <v>10</v>
      </c>
      <c r="T215" s="208">
        <v>-12.5</v>
      </c>
      <c r="U215" s="208">
        <f>ABS(Множество_202207112140401240[[#This Row],[10]]-Множество_202207112140401240[[#This Row],[12]])</f>
        <v>9.8250000000000028</v>
      </c>
      <c r="V215" s="208">
        <f>ABS(Множество_202207112140401240[[#This Row],[11]]-Множество_202207112140401240[[#This Row],[13]])</f>
        <v>1.3666666666666991</v>
      </c>
      <c r="W215" s="208">
        <f>Множество_202207112140401240[[#This Row],[15]]+Множество_202207112140401240[[#This Row],[14]]</f>
        <v>11.191666666666702</v>
      </c>
      <c r="X215" s="208">
        <f ca="1">IF(ROW()-ROW(Множество_202207112140401240[[#Headers],[17]])&gt;1,Множество_202207112140401240[[#This Row],[16]]-OFFSET(Множество_202207112140401240[[#This Row],[16]],-1,0),0)</f>
        <v>4.1666666666701602E-2</v>
      </c>
      <c r="Y215" s="208">
        <v>0.17499999999999699</v>
      </c>
      <c r="Z215" s="208">
        <v>-13.866666666666699</v>
      </c>
      <c r="AA215" s="208">
        <f>ABS(Множество_202207112140401240[[#This Row],[18]]-Множество_202207112140401240[[#This Row],[12]])</f>
        <v>9.8250000000000028</v>
      </c>
      <c r="AB215" s="208">
        <f>ABS(Множество_202207112140401240[[#This Row],[19]]-Множество_202207112140401240[[#This Row],[13]])</f>
        <v>1.3666666666666991</v>
      </c>
      <c r="AC215" s="208">
        <f>Множество_202207112140401240[[#This Row],[20]]+Множество_202207112140401240[[#This Row],[21]]</f>
        <v>11.191666666666702</v>
      </c>
    </row>
    <row r="216" spans="6:29" x14ac:dyDescent="0.25">
      <c r="F216" s="213"/>
      <c r="K216" s="208">
        <f>Множество_202207112140401240[[#This Row],[2]]-Множество_202207112140401240[[#This Row],[4]]</f>
        <v>0</v>
      </c>
      <c r="L216" s="208">
        <f>Множество_202207112140401240[[#This Row],[3]]-Множество_202207112140401240[[#This Row],[5]]</f>
        <v>0</v>
      </c>
      <c r="M216" s="208">
        <f>Множество_202207112140401240[[#This Row],[7]]+Множество_202207112140401240[[#This Row],[6]]</f>
        <v>0</v>
      </c>
      <c r="N216" s="208" t="str">
        <f>CONCATENATE(Множество_202207112140401240[[#This Row],[2]],Множество_202207112140401240[[#This Row],[3]])</f>
        <v/>
      </c>
      <c r="O216" s="208"/>
      <c r="P216" s="208"/>
      <c r="Q216">
        <v>0.100000000000001</v>
      </c>
      <c r="R216">
        <v>-13.85</v>
      </c>
      <c r="S216" s="208">
        <v>10</v>
      </c>
      <c r="T216" s="208">
        <v>-12.5</v>
      </c>
      <c r="U216" s="208">
        <f>ABS(Множество_202207112140401240[[#This Row],[10]]-Множество_202207112140401240[[#This Row],[12]])</f>
        <v>9.8999999999999986</v>
      </c>
      <c r="V216" s="208">
        <f>ABS(Множество_202207112140401240[[#This Row],[11]]-Множество_202207112140401240[[#This Row],[13]])</f>
        <v>1.3499999999999996</v>
      </c>
      <c r="W216" s="208">
        <f>Множество_202207112140401240[[#This Row],[15]]+Множество_202207112140401240[[#This Row],[14]]</f>
        <v>11.249999999999998</v>
      </c>
      <c r="X216" s="208">
        <f ca="1">IF(ROW()-ROW(Множество_202207112140401240[[#Headers],[17]])&gt;1,Множество_202207112140401240[[#This Row],[16]]-OFFSET(Множество_202207112140401240[[#This Row],[16]],-1,0),0)</f>
        <v>5.8333333333296267E-2</v>
      </c>
      <c r="Y216" s="208">
        <v>0.100000000000001</v>
      </c>
      <c r="Z216" s="208">
        <v>-13.85</v>
      </c>
      <c r="AA216" s="208">
        <f>ABS(Множество_202207112140401240[[#This Row],[18]]-Множество_202207112140401240[[#This Row],[12]])</f>
        <v>9.8999999999999986</v>
      </c>
      <c r="AB216" s="208">
        <f>ABS(Множество_202207112140401240[[#This Row],[19]]-Множество_202207112140401240[[#This Row],[13]])</f>
        <v>1.3499999999999996</v>
      </c>
      <c r="AC216" s="208">
        <f>Множество_202207112140401240[[#This Row],[20]]+Множество_202207112140401240[[#This Row],[21]]</f>
        <v>11.249999999999998</v>
      </c>
    </row>
    <row r="217" spans="6:29" x14ac:dyDescent="0.25">
      <c r="F217" s="213"/>
      <c r="K217" s="208">
        <f>Множество_202207112140401240[[#This Row],[2]]-Множество_202207112140401240[[#This Row],[4]]</f>
        <v>0</v>
      </c>
      <c r="L217" s="208">
        <f>Множество_202207112140401240[[#This Row],[3]]-Множество_202207112140401240[[#This Row],[5]]</f>
        <v>0</v>
      </c>
      <c r="M217" s="208">
        <f>Множество_202207112140401240[[#This Row],[7]]+Множество_202207112140401240[[#This Row],[6]]</f>
        <v>0</v>
      </c>
      <c r="N217" s="208" t="str">
        <f>CONCATENATE(Множество_202207112140401240[[#This Row],[2]],Множество_202207112140401240[[#This Row],[3]])</f>
        <v/>
      </c>
      <c r="O217" s="208"/>
      <c r="P217" s="208"/>
      <c r="Q217">
        <v>1.9</v>
      </c>
      <c r="R217">
        <v>-15.633333333333301</v>
      </c>
      <c r="S217" s="208">
        <v>10</v>
      </c>
      <c r="T217" s="208">
        <v>-12.5</v>
      </c>
      <c r="U217" s="208">
        <f>ABS(Множество_202207112140401240[[#This Row],[10]]-Множество_202207112140401240[[#This Row],[12]])</f>
        <v>8.1</v>
      </c>
      <c r="V217" s="208">
        <f>ABS(Множество_202207112140401240[[#This Row],[11]]-Множество_202207112140401240[[#This Row],[13]])</f>
        <v>3.1333333333333009</v>
      </c>
      <c r="W217" s="208">
        <f>Множество_202207112140401240[[#This Row],[15]]+Множество_202207112140401240[[#This Row],[14]]</f>
        <v>11.233333333333301</v>
      </c>
      <c r="X217" s="208">
        <f ca="1">IF(ROW()-ROW(Множество_202207112140401240[[#Headers],[17]])&gt;1,Множество_202207112140401240[[#This Row],[16]]-OFFSET(Множество_202207112140401240[[#This Row],[16]],-1,0),0)</f>
        <v>-1.6666666666697694E-2</v>
      </c>
      <c r="Y217" s="208">
        <v>1.9</v>
      </c>
      <c r="Z217" s="208">
        <v>-15.633333333333301</v>
      </c>
      <c r="AA217" s="208">
        <f>ABS(Множество_202207112140401240[[#This Row],[18]]-Множество_202207112140401240[[#This Row],[12]])</f>
        <v>8.1</v>
      </c>
      <c r="AB217" s="208">
        <f>ABS(Множество_202207112140401240[[#This Row],[19]]-Множество_202207112140401240[[#This Row],[13]])</f>
        <v>3.1333333333333009</v>
      </c>
      <c r="AC217" s="208">
        <f>Множество_202207112140401240[[#This Row],[20]]+Множество_202207112140401240[[#This Row],[21]]</f>
        <v>11.233333333333301</v>
      </c>
    </row>
    <row r="218" spans="6:29" x14ac:dyDescent="0.25">
      <c r="F218" s="213"/>
      <c r="K218" s="208">
        <f>Множество_202207112140401240[[#This Row],[2]]-Множество_202207112140401240[[#This Row],[4]]</f>
        <v>0</v>
      </c>
      <c r="L218" s="208">
        <f>Множество_202207112140401240[[#This Row],[3]]-Множество_202207112140401240[[#This Row],[5]]</f>
        <v>0</v>
      </c>
      <c r="M218" s="208">
        <f>Множество_202207112140401240[[#This Row],[7]]+Множество_202207112140401240[[#This Row],[6]]</f>
        <v>0</v>
      </c>
      <c r="N218" s="208" t="str">
        <f>CONCATENATE(Множество_202207112140401240[[#This Row],[2]],Множество_202207112140401240[[#This Row],[3]])</f>
        <v/>
      </c>
      <c r="O218" s="208"/>
      <c r="P218" s="208"/>
      <c r="Q218">
        <v>1.825</v>
      </c>
      <c r="R218">
        <v>-15.65</v>
      </c>
      <c r="S218" s="208">
        <v>10</v>
      </c>
      <c r="T218" s="208">
        <v>-12.5</v>
      </c>
      <c r="U218" s="208">
        <f>ABS(Множество_202207112140401240[[#This Row],[10]]-Множество_202207112140401240[[#This Row],[12]])</f>
        <v>8.1750000000000007</v>
      </c>
      <c r="V218" s="208">
        <f>ABS(Множество_202207112140401240[[#This Row],[11]]-Множество_202207112140401240[[#This Row],[13]])</f>
        <v>3.1500000000000004</v>
      </c>
      <c r="W218" s="208">
        <f>Множество_202207112140401240[[#This Row],[15]]+Множество_202207112140401240[[#This Row],[14]]</f>
        <v>11.325000000000001</v>
      </c>
      <c r="X218" s="208">
        <f ca="1">IF(ROW()-ROW(Множество_202207112140401240[[#Headers],[17]])&gt;1,Множество_202207112140401240[[#This Row],[16]]-OFFSET(Множество_202207112140401240[[#This Row],[16]],-1,0),0)</f>
        <v>9.1666666666700536E-2</v>
      </c>
      <c r="Y218" s="208">
        <v>1.825</v>
      </c>
      <c r="Z218" s="208">
        <v>-15.65</v>
      </c>
      <c r="AA218" s="208">
        <f>ABS(Множество_202207112140401240[[#This Row],[18]]-Множество_202207112140401240[[#This Row],[12]])</f>
        <v>8.1750000000000007</v>
      </c>
      <c r="AB218" s="208">
        <f>ABS(Множество_202207112140401240[[#This Row],[19]]-Множество_202207112140401240[[#This Row],[13]])</f>
        <v>3.1500000000000004</v>
      </c>
      <c r="AC218" s="208">
        <f>Множество_202207112140401240[[#This Row],[20]]+Множество_202207112140401240[[#This Row],[21]]</f>
        <v>11.325000000000001</v>
      </c>
    </row>
    <row r="219" spans="6:29" x14ac:dyDescent="0.25">
      <c r="F219" s="213"/>
      <c r="K219" s="208">
        <f>Множество_202207112140401240[[#This Row],[2]]-Множество_202207112140401240[[#This Row],[4]]</f>
        <v>0</v>
      </c>
      <c r="L219" s="208">
        <f>Множество_202207112140401240[[#This Row],[3]]-Множество_202207112140401240[[#This Row],[5]]</f>
        <v>0</v>
      </c>
      <c r="M219" s="208">
        <f>Множество_202207112140401240[[#This Row],[7]]+Множество_202207112140401240[[#This Row],[6]]</f>
        <v>0</v>
      </c>
      <c r="N219" s="208" t="str">
        <f>CONCATENATE(Множество_202207112140401240[[#This Row],[2]],Множество_202207112140401240[[#This Row],[3]])</f>
        <v/>
      </c>
      <c r="O219" s="208"/>
      <c r="P219" s="208"/>
      <c r="Q219" s="234">
        <v>-4.9999999999997199E-2</v>
      </c>
      <c r="R219">
        <v>-13.8333333333333</v>
      </c>
      <c r="S219" s="208">
        <v>10</v>
      </c>
      <c r="T219" s="208">
        <v>-12.5</v>
      </c>
      <c r="U219" s="208">
        <f>ABS(Множество_202207112140401240[[#This Row],[10]]-Множество_202207112140401240[[#This Row],[12]])</f>
        <v>10.049999999999997</v>
      </c>
      <c r="V219" s="208">
        <f>ABS(Множество_202207112140401240[[#This Row],[11]]-Множество_202207112140401240[[#This Row],[13]])</f>
        <v>1.3333333333333002</v>
      </c>
      <c r="W219" s="208">
        <f>Множество_202207112140401240[[#This Row],[15]]+Множество_202207112140401240[[#This Row],[14]]</f>
        <v>11.383333333333297</v>
      </c>
      <c r="X219" s="208">
        <f ca="1">IF(ROW()-ROW(Множество_202207112140401240[[#Headers],[17]])&gt;1,Множество_202207112140401240[[#This Row],[16]]-OFFSET(Множество_202207112140401240[[#This Row],[16]],-1,0),0)</f>
        <v>5.8333333333296267E-2</v>
      </c>
      <c r="Y219" s="208">
        <v>-4.9999999999997199E-2</v>
      </c>
      <c r="Z219" s="208">
        <v>-13.8333333333333</v>
      </c>
      <c r="AA219" s="208">
        <f>ABS(Множество_202207112140401240[[#This Row],[18]]-Множество_202207112140401240[[#This Row],[12]])</f>
        <v>10.049999999999997</v>
      </c>
      <c r="AB219" s="208">
        <f>ABS(Множество_202207112140401240[[#This Row],[19]]-Множество_202207112140401240[[#This Row],[13]])</f>
        <v>1.3333333333333002</v>
      </c>
      <c r="AC219" s="208">
        <f>Множество_202207112140401240[[#This Row],[20]]+Множество_202207112140401240[[#This Row],[21]]</f>
        <v>11.383333333333297</v>
      </c>
    </row>
    <row r="220" spans="6:29" x14ac:dyDescent="0.25">
      <c r="F220" s="213"/>
      <c r="K220" s="208">
        <f>Множество_202207112140401240[[#This Row],[2]]-Множество_202207112140401240[[#This Row],[4]]</f>
        <v>0</v>
      </c>
      <c r="L220" s="208">
        <f>Множество_202207112140401240[[#This Row],[3]]-Множество_202207112140401240[[#This Row],[5]]</f>
        <v>0</v>
      </c>
      <c r="M220" s="208">
        <f>Множество_202207112140401240[[#This Row],[7]]+Множество_202207112140401240[[#This Row],[6]]</f>
        <v>0</v>
      </c>
      <c r="N220" s="208" t="str">
        <f>CONCATENATE(Множество_202207112140401240[[#This Row],[2]],Множество_202207112140401240[[#This Row],[3]])</f>
        <v/>
      </c>
      <c r="O220" s="208"/>
      <c r="P220" s="208"/>
      <c r="Q220" s="234">
        <v>2.49999999999986E-2</v>
      </c>
      <c r="R220">
        <v>-13.8333333333333</v>
      </c>
      <c r="S220" s="208">
        <v>10</v>
      </c>
      <c r="T220" s="208">
        <v>-12.5</v>
      </c>
      <c r="U220" s="208">
        <f>ABS(Множество_202207112140401240[[#This Row],[10]]-Множество_202207112140401240[[#This Row],[12]])</f>
        <v>9.9750000000000014</v>
      </c>
      <c r="V220" s="208">
        <f>ABS(Множество_202207112140401240[[#This Row],[11]]-Множество_202207112140401240[[#This Row],[13]])</f>
        <v>1.3333333333333002</v>
      </c>
      <c r="W220" s="208">
        <f>Множество_202207112140401240[[#This Row],[15]]+Множество_202207112140401240[[#This Row],[14]]</f>
        <v>11.308333333333302</v>
      </c>
      <c r="X220" s="208">
        <f ca="1">IF(ROW()-ROW(Множество_202207112140401240[[#Headers],[17]])&gt;1,Множество_202207112140401240[[#This Row],[16]]-OFFSET(Множество_202207112140401240[[#This Row],[16]],-1,0),0)</f>
        <v>-7.4999999999995737E-2</v>
      </c>
      <c r="Y220" s="208">
        <v>2.49999999999986E-2</v>
      </c>
      <c r="Z220" s="208">
        <v>-13.8333333333333</v>
      </c>
      <c r="AA220" s="208">
        <f>ABS(Множество_202207112140401240[[#This Row],[18]]-Множество_202207112140401240[[#This Row],[12]])</f>
        <v>9.9750000000000014</v>
      </c>
      <c r="AB220" s="208">
        <f>ABS(Множество_202207112140401240[[#This Row],[19]]-Множество_202207112140401240[[#This Row],[13]])</f>
        <v>1.3333333333333002</v>
      </c>
      <c r="AC220" s="208">
        <f>Множество_202207112140401240[[#This Row],[20]]+Множество_202207112140401240[[#This Row],[21]]</f>
        <v>11.308333333333302</v>
      </c>
    </row>
    <row r="221" spans="6:29" x14ac:dyDescent="0.25">
      <c r="F221" s="213"/>
      <c r="K221" s="208">
        <f>Множество_202207112140401240[[#This Row],[2]]-Множество_202207112140401240[[#This Row],[4]]</f>
        <v>0</v>
      </c>
      <c r="L221" s="208">
        <f>Множество_202207112140401240[[#This Row],[3]]-Множество_202207112140401240[[#This Row],[5]]</f>
        <v>0</v>
      </c>
      <c r="M221" s="208">
        <f>Множество_202207112140401240[[#This Row],[7]]+Множество_202207112140401240[[#This Row],[6]]</f>
        <v>0</v>
      </c>
      <c r="N221" s="208" t="str">
        <f>CONCATENATE(Множество_202207112140401240[[#This Row],[2]],Множество_202207112140401240[[#This Row],[3]])</f>
        <v/>
      </c>
      <c r="O221" s="208"/>
      <c r="P221" s="208"/>
      <c r="Q221">
        <v>-0.125</v>
      </c>
      <c r="R221">
        <v>-13.8166666666667</v>
      </c>
      <c r="S221" s="208">
        <v>10</v>
      </c>
      <c r="T221" s="208">
        <v>-12.5</v>
      </c>
      <c r="U221" s="208">
        <f>ABS(Множество_202207112140401240[[#This Row],[10]]-Множество_202207112140401240[[#This Row],[12]])</f>
        <v>10.125</v>
      </c>
      <c r="V221" s="208">
        <f>ABS(Множество_202207112140401240[[#This Row],[11]]-Множество_202207112140401240[[#This Row],[13]])</f>
        <v>1.3166666666667002</v>
      </c>
      <c r="W221" s="208">
        <f>Множество_202207112140401240[[#This Row],[15]]+Множество_202207112140401240[[#This Row],[14]]</f>
        <v>11.4416666666667</v>
      </c>
      <c r="X221" s="208">
        <f ca="1">IF(ROW()-ROW(Множество_202207112140401240[[#Headers],[17]])&gt;1,Множество_202207112140401240[[#This Row],[16]]-OFFSET(Множество_202207112140401240[[#This Row],[16]],-1,0),0)</f>
        <v>0.13333333333339858</v>
      </c>
      <c r="Y221" s="208">
        <v>1.75</v>
      </c>
      <c r="Z221" s="208">
        <v>-15.6833333333333</v>
      </c>
      <c r="AA221" s="208">
        <f>ABS(Множество_202207112140401240[[#This Row],[18]]-Множество_202207112140401240[[#This Row],[12]])</f>
        <v>8.25</v>
      </c>
      <c r="AB221" s="208">
        <f>ABS(Множество_202207112140401240[[#This Row],[19]]-Множество_202207112140401240[[#This Row],[13]])</f>
        <v>3.1833333333332998</v>
      </c>
      <c r="AC221" s="208">
        <f>Множество_202207112140401240[[#This Row],[20]]+Множество_202207112140401240[[#This Row],[21]]</f>
        <v>11.4333333333333</v>
      </c>
    </row>
    <row r="222" spans="6:29" x14ac:dyDescent="0.25">
      <c r="F222" s="213"/>
      <c r="K222" s="208">
        <f>Множество_202207112140401240[[#This Row],[2]]-Множество_202207112140401240[[#This Row],[4]]</f>
        <v>0</v>
      </c>
      <c r="L222" s="208">
        <f>Множество_202207112140401240[[#This Row],[3]]-Множество_202207112140401240[[#This Row],[5]]</f>
        <v>0</v>
      </c>
      <c r="M222" s="208">
        <f>Множество_202207112140401240[[#This Row],[7]]+Множество_202207112140401240[[#This Row],[6]]</f>
        <v>0</v>
      </c>
      <c r="N222" s="208" t="str">
        <f>CONCATENATE(Множество_202207112140401240[[#This Row],[2]],Множество_202207112140401240[[#This Row],[3]])</f>
        <v/>
      </c>
      <c r="O222" s="208"/>
      <c r="P222" s="208"/>
      <c r="Q222">
        <v>1.75</v>
      </c>
      <c r="R222">
        <v>-15.6833333333333</v>
      </c>
      <c r="S222" s="208">
        <v>10</v>
      </c>
      <c r="T222" s="208">
        <v>-12.5</v>
      </c>
      <c r="U222" s="208">
        <f>ABS(Множество_202207112140401240[[#This Row],[10]]-Множество_202207112140401240[[#This Row],[12]])</f>
        <v>8.25</v>
      </c>
      <c r="V222" s="208">
        <f>ABS(Множество_202207112140401240[[#This Row],[11]]-Множество_202207112140401240[[#This Row],[13]])</f>
        <v>3.1833333333332998</v>
      </c>
      <c r="W222" s="208">
        <f>Множество_202207112140401240[[#This Row],[15]]+Множество_202207112140401240[[#This Row],[14]]</f>
        <v>11.4333333333333</v>
      </c>
      <c r="X222" s="208">
        <f ca="1">IF(ROW()-ROW(Множество_202207112140401240[[#Headers],[17]])&gt;1,Множество_202207112140401240[[#This Row],[16]]-OFFSET(Множество_202207112140401240[[#This Row],[16]],-1,0),0)</f>
        <v>-8.3333333334003612E-3</v>
      </c>
      <c r="Y222" s="208">
        <v>-0.125</v>
      </c>
      <c r="Z222" s="208">
        <v>-13.8166666666667</v>
      </c>
      <c r="AA222" s="208">
        <f>ABS(Множество_202207112140401240[[#This Row],[18]]-Множество_202207112140401240[[#This Row],[12]])</f>
        <v>10.125</v>
      </c>
      <c r="AB222" s="208">
        <f>ABS(Множество_202207112140401240[[#This Row],[19]]-Множество_202207112140401240[[#This Row],[13]])</f>
        <v>1.3166666666667002</v>
      </c>
      <c r="AC222" s="208">
        <f>Множество_202207112140401240[[#This Row],[20]]+Множество_202207112140401240[[#This Row],[21]]</f>
        <v>11.4416666666667</v>
      </c>
    </row>
    <row r="223" spans="6:29" x14ac:dyDescent="0.25">
      <c r="F223" s="213"/>
      <c r="K223" s="208">
        <f>Множество_202207112140401240[[#This Row],[2]]-Множество_202207112140401240[[#This Row],[4]]</f>
        <v>0</v>
      </c>
      <c r="L223" s="208">
        <f>Множество_202207112140401240[[#This Row],[3]]-Множество_202207112140401240[[#This Row],[5]]</f>
        <v>0</v>
      </c>
      <c r="M223" s="208">
        <f>Множество_202207112140401240[[#This Row],[7]]+Множество_202207112140401240[[#This Row],[6]]</f>
        <v>0</v>
      </c>
      <c r="N223" s="208" t="str">
        <f>CONCATENATE(Множество_202207112140401240[[#This Row],[2]],Множество_202207112140401240[[#This Row],[3]])</f>
        <v/>
      </c>
      <c r="O223" s="208"/>
      <c r="P223" s="208"/>
      <c r="Q223">
        <v>1.675</v>
      </c>
      <c r="R223">
        <v>-15.7</v>
      </c>
      <c r="S223" s="208">
        <v>10</v>
      </c>
      <c r="T223" s="208">
        <v>-12.5</v>
      </c>
      <c r="U223" s="208">
        <f>ABS(Множество_202207112140401240[[#This Row],[10]]-Множество_202207112140401240[[#This Row],[12]])</f>
        <v>8.3249999999999993</v>
      </c>
      <c r="V223" s="208">
        <f>ABS(Множество_202207112140401240[[#This Row],[11]]-Множество_202207112140401240[[#This Row],[13]])</f>
        <v>3.1999999999999993</v>
      </c>
      <c r="W223" s="208">
        <f>Множество_202207112140401240[[#This Row],[15]]+Множество_202207112140401240[[#This Row],[14]]</f>
        <v>11.524999999999999</v>
      </c>
      <c r="X223" s="208">
        <f ca="1">IF(ROW()-ROW(Множество_202207112140401240[[#Headers],[17]])&gt;1,Множество_202207112140401240[[#This Row],[16]]-OFFSET(Множество_202207112140401240[[#This Row],[16]],-1,0),0)</f>
        <v>9.166666666669876E-2</v>
      </c>
      <c r="Y223" s="208">
        <v>1.675</v>
      </c>
      <c r="Z223" s="208">
        <v>-15.7</v>
      </c>
      <c r="AA223" s="208">
        <f>ABS(Множество_202207112140401240[[#This Row],[18]]-Множество_202207112140401240[[#This Row],[12]])</f>
        <v>8.3249999999999993</v>
      </c>
      <c r="AB223" s="208">
        <f>ABS(Множество_202207112140401240[[#This Row],[19]]-Множество_202207112140401240[[#This Row],[13]])</f>
        <v>3.1999999999999993</v>
      </c>
      <c r="AC223" s="208">
        <f>Множество_202207112140401240[[#This Row],[20]]+Множество_202207112140401240[[#This Row],[21]]</f>
        <v>11.524999999999999</v>
      </c>
    </row>
    <row r="224" spans="6:29" x14ac:dyDescent="0.25">
      <c r="F224" s="213"/>
      <c r="K224" s="208">
        <f>Множество_202207112140401240[[#This Row],[2]]-Множество_202207112140401240[[#This Row],[4]]</f>
        <v>0</v>
      </c>
      <c r="L224" s="208">
        <f>Множество_202207112140401240[[#This Row],[3]]-Множество_202207112140401240[[#This Row],[5]]</f>
        <v>0</v>
      </c>
      <c r="M224" s="208">
        <f>Множество_202207112140401240[[#This Row],[7]]+Множество_202207112140401240[[#This Row],[6]]</f>
        <v>0</v>
      </c>
      <c r="N224" s="208" t="str">
        <f>CONCATENATE(Множество_202207112140401240[[#This Row],[2]],Множество_202207112140401240[[#This Row],[3]])</f>
        <v/>
      </c>
      <c r="O224" s="208"/>
      <c r="P224" s="208"/>
      <c r="Q224">
        <v>-0.27500000000000202</v>
      </c>
      <c r="R224">
        <v>-13.783333333333299</v>
      </c>
      <c r="S224" s="208">
        <v>10</v>
      </c>
      <c r="T224" s="208">
        <v>-12.5</v>
      </c>
      <c r="U224" s="208">
        <f>ABS(Множество_202207112140401240[[#This Row],[10]]-Множество_202207112140401240[[#This Row],[12]])</f>
        <v>10.275000000000002</v>
      </c>
      <c r="V224" s="208">
        <f>ABS(Множество_202207112140401240[[#This Row],[11]]-Множество_202207112140401240[[#This Row],[13]])</f>
        <v>1.2833333333332995</v>
      </c>
      <c r="W224" s="208">
        <f>Множество_202207112140401240[[#This Row],[15]]+Множество_202207112140401240[[#This Row],[14]]</f>
        <v>11.558333333333302</v>
      </c>
      <c r="X224" s="208">
        <f ca="1">IF(ROW()-ROW(Множество_202207112140401240[[#Headers],[17]])&gt;1,Множество_202207112140401240[[#This Row],[16]]-OFFSET(Множество_202207112140401240[[#This Row],[16]],-1,0),0)</f>
        <v>3.3333333333303017E-2</v>
      </c>
      <c r="Y224" s="208">
        <v>-0.27500000000000202</v>
      </c>
      <c r="Z224" s="208">
        <v>-13.783333333333299</v>
      </c>
      <c r="AA224" s="208">
        <f>ABS(Множество_202207112140401240[[#This Row],[18]]-Множество_202207112140401240[[#This Row],[12]])</f>
        <v>10.275000000000002</v>
      </c>
      <c r="AB224" s="208">
        <f>ABS(Множество_202207112140401240[[#This Row],[19]]-Множество_202207112140401240[[#This Row],[13]])</f>
        <v>1.2833333333332995</v>
      </c>
      <c r="AC224" s="208">
        <f>Множество_202207112140401240[[#This Row],[20]]+Множество_202207112140401240[[#This Row],[21]]</f>
        <v>11.558333333333302</v>
      </c>
    </row>
    <row r="225" spans="6:29" x14ac:dyDescent="0.25">
      <c r="F225" s="213"/>
      <c r="K225" s="208">
        <f>Множество_202207112140401240[[#This Row],[2]]-Множество_202207112140401240[[#This Row],[4]]</f>
        <v>0</v>
      </c>
      <c r="L225" s="208">
        <f>Множество_202207112140401240[[#This Row],[3]]-Множество_202207112140401240[[#This Row],[5]]</f>
        <v>0</v>
      </c>
      <c r="M225" s="208">
        <f>Множество_202207112140401240[[#This Row],[7]]+Множество_202207112140401240[[#This Row],[6]]</f>
        <v>0</v>
      </c>
      <c r="N225" s="208" t="str">
        <f>CONCATENATE(Множество_202207112140401240[[#This Row],[2]],Множество_202207112140401240[[#This Row],[3]])</f>
        <v/>
      </c>
      <c r="O225" s="208"/>
      <c r="P225" s="208"/>
      <c r="Q225">
        <v>-0.19999999999999901</v>
      </c>
      <c r="R225">
        <v>-13.8</v>
      </c>
      <c r="S225" s="208">
        <v>10</v>
      </c>
      <c r="T225" s="208">
        <v>-12.5</v>
      </c>
      <c r="U225" s="208">
        <f>ABS(Множество_202207112140401240[[#This Row],[10]]-Множество_202207112140401240[[#This Row],[12]])</f>
        <v>10.199999999999999</v>
      </c>
      <c r="V225" s="208">
        <f>ABS(Множество_202207112140401240[[#This Row],[11]]-Множество_202207112140401240[[#This Row],[13]])</f>
        <v>1.3000000000000007</v>
      </c>
      <c r="W225" s="208">
        <f>Множество_202207112140401240[[#This Row],[15]]+Множество_202207112140401240[[#This Row],[14]]</f>
        <v>11.5</v>
      </c>
      <c r="X225" s="208">
        <f ca="1">IF(ROW()-ROW(Множество_202207112140401240[[#Headers],[17]])&gt;1,Множество_202207112140401240[[#This Row],[16]]-OFFSET(Множество_202207112140401240[[#This Row],[16]],-1,0),0)</f>
        <v>-5.8333333333301596E-2</v>
      </c>
      <c r="Y225" s="208">
        <v>-0.19999999999999901</v>
      </c>
      <c r="Z225" s="208">
        <v>-13.8</v>
      </c>
      <c r="AA225" s="208">
        <f>ABS(Множество_202207112140401240[[#This Row],[18]]-Множество_202207112140401240[[#This Row],[12]])</f>
        <v>10.199999999999999</v>
      </c>
      <c r="AB225" s="208">
        <f>ABS(Множество_202207112140401240[[#This Row],[19]]-Множество_202207112140401240[[#This Row],[13]])</f>
        <v>1.3000000000000007</v>
      </c>
      <c r="AC225" s="208">
        <f>Множество_202207112140401240[[#This Row],[20]]+Множество_202207112140401240[[#This Row],[21]]</f>
        <v>11.5</v>
      </c>
    </row>
    <row r="226" spans="6:29" x14ac:dyDescent="0.25">
      <c r="F226" s="213"/>
      <c r="K226" s="208">
        <f>Множество_202207112140401240[[#This Row],[2]]-Множество_202207112140401240[[#This Row],[4]]</f>
        <v>0</v>
      </c>
      <c r="L226" s="208">
        <f>Множество_202207112140401240[[#This Row],[3]]-Множество_202207112140401240[[#This Row],[5]]</f>
        <v>0</v>
      </c>
      <c r="M226" s="208">
        <f>Множество_202207112140401240[[#This Row],[7]]+Множество_202207112140401240[[#This Row],[6]]</f>
        <v>0</v>
      </c>
      <c r="N226" s="208" t="str">
        <f>CONCATENATE(Множество_202207112140401240[[#This Row],[2]],Множество_202207112140401240[[#This Row],[3]])</f>
        <v/>
      </c>
      <c r="O226" s="208"/>
      <c r="P226" s="208"/>
      <c r="Q226">
        <v>1.6</v>
      </c>
      <c r="R226">
        <v>-15.716666666666701</v>
      </c>
      <c r="S226" s="208">
        <v>10</v>
      </c>
      <c r="T226" s="208">
        <v>-12.5</v>
      </c>
      <c r="U226" s="208">
        <f>ABS(Множество_202207112140401240[[#This Row],[10]]-Множество_202207112140401240[[#This Row],[12]])</f>
        <v>8.4</v>
      </c>
      <c r="V226" s="208">
        <f>ABS(Множество_202207112140401240[[#This Row],[11]]-Множество_202207112140401240[[#This Row],[13]])</f>
        <v>3.2166666666667005</v>
      </c>
      <c r="W226" s="208">
        <f>Множество_202207112140401240[[#This Row],[15]]+Множество_202207112140401240[[#This Row],[14]]</f>
        <v>11.616666666666701</v>
      </c>
      <c r="X226" s="208">
        <f ca="1">IF(ROW()-ROW(Множество_202207112140401240[[#Headers],[17]])&gt;1,Множество_202207112140401240[[#This Row],[16]]-OFFSET(Множество_202207112140401240[[#This Row],[16]],-1,0),0)</f>
        <v>0.11666666666670089</v>
      </c>
      <c r="Y226" s="208">
        <v>1.6</v>
      </c>
      <c r="Z226" s="208">
        <v>-15.716666666666701</v>
      </c>
      <c r="AA226" s="208">
        <f>ABS(Множество_202207112140401240[[#This Row],[18]]-Множество_202207112140401240[[#This Row],[12]])</f>
        <v>8.4</v>
      </c>
      <c r="AB226" s="208">
        <f>ABS(Множество_202207112140401240[[#This Row],[19]]-Множество_202207112140401240[[#This Row],[13]])</f>
        <v>3.2166666666667005</v>
      </c>
      <c r="AC226" s="208">
        <f>Множество_202207112140401240[[#This Row],[20]]+Множество_202207112140401240[[#This Row],[21]]</f>
        <v>11.616666666666701</v>
      </c>
    </row>
    <row r="227" spans="6:29" x14ac:dyDescent="0.25">
      <c r="F227" s="213"/>
      <c r="K227" s="208">
        <f>Множество_202207112140401240[[#This Row],[2]]-Множество_202207112140401240[[#This Row],[4]]</f>
        <v>0</v>
      </c>
      <c r="L227" s="208">
        <f>Множество_202207112140401240[[#This Row],[3]]-Множество_202207112140401240[[#This Row],[5]]</f>
        <v>0</v>
      </c>
      <c r="M227" s="208">
        <f>Множество_202207112140401240[[#This Row],[7]]+Множество_202207112140401240[[#This Row],[6]]</f>
        <v>0</v>
      </c>
      <c r="N227" s="208" t="str">
        <f>CONCATENATE(Множество_202207112140401240[[#This Row],[2]],Множество_202207112140401240[[#This Row],[3]])</f>
        <v/>
      </c>
      <c r="O227" s="208"/>
      <c r="P227" s="208"/>
      <c r="Q227">
        <v>-0.42500000000000099</v>
      </c>
      <c r="R227">
        <v>-13.766666666666699</v>
      </c>
      <c r="S227" s="208">
        <v>10</v>
      </c>
      <c r="T227" s="208">
        <v>-12.5</v>
      </c>
      <c r="U227" s="208">
        <f>ABS(Множество_202207112140401240[[#This Row],[10]]-Множество_202207112140401240[[#This Row],[12]])</f>
        <v>10.425000000000001</v>
      </c>
      <c r="V227" s="208">
        <f>ABS(Множество_202207112140401240[[#This Row],[11]]-Множество_202207112140401240[[#This Row],[13]])</f>
        <v>1.2666666666666995</v>
      </c>
      <c r="W227" s="208">
        <f>Множество_202207112140401240[[#This Row],[15]]+Множество_202207112140401240[[#This Row],[14]]</f>
        <v>11.6916666666667</v>
      </c>
      <c r="X227" s="208">
        <f ca="1">IF(ROW()-ROW(Множество_202207112140401240[[#Headers],[17]])&gt;1,Множество_202207112140401240[[#This Row],[16]]-OFFSET(Множество_202207112140401240[[#This Row],[16]],-1,0),0)</f>
        <v>7.4999999999999289E-2</v>
      </c>
      <c r="Y227" s="208">
        <v>-0.42500000000000099</v>
      </c>
      <c r="Z227" s="208">
        <v>-13.766666666666699</v>
      </c>
      <c r="AA227" s="208">
        <f>ABS(Множество_202207112140401240[[#This Row],[18]]-Множество_202207112140401240[[#This Row],[12]])</f>
        <v>10.425000000000001</v>
      </c>
      <c r="AB227" s="208">
        <f>ABS(Множество_202207112140401240[[#This Row],[19]]-Множество_202207112140401240[[#This Row],[13]])</f>
        <v>1.2666666666666995</v>
      </c>
      <c r="AC227" s="208">
        <f>Множество_202207112140401240[[#This Row],[20]]+Множество_202207112140401240[[#This Row],[21]]</f>
        <v>11.6916666666667</v>
      </c>
    </row>
    <row r="228" spans="6:29" x14ac:dyDescent="0.25">
      <c r="F228" s="213"/>
      <c r="K228" s="208">
        <f>Множество_202207112140401240[[#This Row],[2]]-Множество_202207112140401240[[#This Row],[4]]</f>
        <v>0</v>
      </c>
      <c r="L228" s="208">
        <f>Множество_202207112140401240[[#This Row],[3]]-Множество_202207112140401240[[#This Row],[5]]</f>
        <v>0</v>
      </c>
      <c r="M228" s="208">
        <f>Множество_202207112140401240[[#This Row],[7]]+Множество_202207112140401240[[#This Row],[6]]</f>
        <v>0</v>
      </c>
      <c r="N228" s="208" t="str">
        <f>CONCATENATE(Множество_202207112140401240[[#This Row],[2]],Множество_202207112140401240[[#This Row],[3]])</f>
        <v/>
      </c>
      <c r="O228" s="208"/>
      <c r="P228" s="208"/>
      <c r="Q228">
        <v>-0.34999999999999798</v>
      </c>
      <c r="R228">
        <v>-13.783333333333299</v>
      </c>
      <c r="S228" s="208">
        <v>10</v>
      </c>
      <c r="T228" s="208">
        <v>-12.5</v>
      </c>
      <c r="U228" s="208">
        <f>ABS(Множество_202207112140401240[[#This Row],[10]]-Множество_202207112140401240[[#This Row],[12]])</f>
        <v>10.349999999999998</v>
      </c>
      <c r="V228" s="208">
        <f>ABS(Множество_202207112140401240[[#This Row],[11]]-Множество_202207112140401240[[#This Row],[13]])</f>
        <v>1.2833333333332995</v>
      </c>
      <c r="W228" s="208">
        <f>Множество_202207112140401240[[#This Row],[15]]+Множество_202207112140401240[[#This Row],[14]]</f>
        <v>11.633333333333297</v>
      </c>
      <c r="X228" s="208">
        <f ca="1">IF(ROW()-ROW(Множество_202207112140401240[[#Headers],[17]])&gt;1,Множество_202207112140401240[[#This Row],[16]]-OFFSET(Множество_202207112140401240[[#This Row],[16]],-1,0),0)</f>
        <v>-5.8333333333402848E-2</v>
      </c>
      <c r="Y228" s="208">
        <v>-0.34999999999999798</v>
      </c>
      <c r="Z228" s="208">
        <v>-13.783333333333299</v>
      </c>
      <c r="AA228" s="208">
        <f>ABS(Множество_202207112140401240[[#This Row],[18]]-Множество_202207112140401240[[#This Row],[12]])</f>
        <v>10.349999999999998</v>
      </c>
      <c r="AB228" s="208">
        <f>ABS(Множество_202207112140401240[[#This Row],[19]]-Множество_202207112140401240[[#This Row],[13]])</f>
        <v>1.2833333333332995</v>
      </c>
      <c r="AC228" s="208">
        <f>Множество_202207112140401240[[#This Row],[20]]+Множество_202207112140401240[[#This Row],[21]]</f>
        <v>11.633333333333297</v>
      </c>
    </row>
    <row r="229" spans="6:29" x14ac:dyDescent="0.25">
      <c r="F229" s="213"/>
      <c r="K229" s="208">
        <f>Множество_202207112140401240[[#This Row],[2]]-Множество_202207112140401240[[#This Row],[4]]</f>
        <v>0</v>
      </c>
      <c r="L229" s="208">
        <f>Множество_202207112140401240[[#This Row],[3]]-Множество_202207112140401240[[#This Row],[5]]</f>
        <v>0</v>
      </c>
      <c r="M229" s="208">
        <f>Множество_202207112140401240[[#This Row],[7]]+Множество_202207112140401240[[#This Row],[6]]</f>
        <v>0</v>
      </c>
      <c r="N229" s="208" t="str">
        <f>CONCATENATE(Множество_202207112140401240[[#This Row],[2]],Множество_202207112140401240[[#This Row],[3]])</f>
        <v/>
      </c>
      <c r="O229" s="208"/>
      <c r="P229" s="208"/>
      <c r="Q229">
        <v>-0.5</v>
      </c>
      <c r="R229">
        <v>-13.75</v>
      </c>
      <c r="S229" s="208">
        <v>10</v>
      </c>
      <c r="T229" s="208">
        <v>-12.5</v>
      </c>
      <c r="U229" s="208">
        <f>ABS(Множество_202207112140401240[[#This Row],[10]]-Множество_202207112140401240[[#This Row],[12]])</f>
        <v>10.5</v>
      </c>
      <c r="V229" s="208">
        <f>ABS(Множество_202207112140401240[[#This Row],[11]]-Множество_202207112140401240[[#This Row],[13]])</f>
        <v>1.25</v>
      </c>
      <c r="W229" s="208">
        <f>Множество_202207112140401240[[#This Row],[15]]+Множество_202207112140401240[[#This Row],[14]]</f>
        <v>11.75</v>
      </c>
      <c r="X229" s="208">
        <f ca="1">IF(ROW()-ROW(Множество_202207112140401240[[#Headers],[17]])&gt;1,Множество_202207112140401240[[#This Row],[16]]-OFFSET(Множество_202207112140401240[[#This Row],[16]],-1,0),0)</f>
        <v>0.11666666666670267</v>
      </c>
      <c r="Y229" s="208">
        <v>-0.5</v>
      </c>
      <c r="Z229" s="208">
        <v>-13.75</v>
      </c>
      <c r="AA229" s="208">
        <f>ABS(Множество_202207112140401240[[#This Row],[18]]-Множество_202207112140401240[[#This Row],[12]])</f>
        <v>10.5</v>
      </c>
      <c r="AB229" s="208">
        <f>ABS(Множество_202207112140401240[[#This Row],[19]]-Множество_202207112140401240[[#This Row],[13]])</f>
        <v>1.25</v>
      </c>
      <c r="AC229" s="208">
        <f>Множество_202207112140401240[[#This Row],[20]]+Множество_202207112140401240[[#This Row],[21]]</f>
        <v>11.75</v>
      </c>
    </row>
    <row r="230" spans="6:29" x14ac:dyDescent="0.25">
      <c r="F230" s="213"/>
      <c r="K230" s="208">
        <f>Множество_202207112140401240[[#This Row],[2]]-Множество_202207112140401240[[#This Row],[4]]</f>
        <v>0</v>
      </c>
      <c r="L230" s="208">
        <f>Множество_202207112140401240[[#This Row],[3]]-Множество_202207112140401240[[#This Row],[5]]</f>
        <v>0</v>
      </c>
      <c r="M230" s="208">
        <f>Множество_202207112140401240[[#This Row],[7]]+Множество_202207112140401240[[#This Row],[6]]</f>
        <v>0</v>
      </c>
      <c r="N230" s="208" t="str">
        <f>CONCATENATE(Множество_202207112140401240[[#This Row],[2]],Множество_202207112140401240[[#This Row],[3]])</f>
        <v/>
      </c>
      <c r="O230" s="208"/>
      <c r="P230" s="208"/>
      <c r="Q230">
        <v>1.5249999999999999</v>
      </c>
      <c r="R230">
        <v>-15.75</v>
      </c>
      <c r="S230" s="208">
        <v>10</v>
      </c>
      <c r="T230" s="208">
        <v>-12.5</v>
      </c>
      <c r="U230" s="208">
        <f>ABS(Множество_202207112140401240[[#This Row],[10]]-Множество_202207112140401240[[#This Row],[12]])</f>
        <v>8.4749999999999996</v>
      </c>
      <c r="V230" s="208">
        <f>ABS(Множество_202207112140401240[[#This Row],[11]]-Множество_202207112140401240[[#This Row],[13]])</f>
        <v>3.25</v>
      </c>
      <c r="W230" s="208">
        <f>Множество_202207112140401240[[#This Row],[15]]+Множество_202207112140401240[[#This Row],[14]]</f>
        <v>11.725</v>
      </c>
      <c r="X230" s="208">
        <f ca="1">IF(ROW()-ROW(Множество_202207112140401240[[#Headers],[17]])&gt;1,Множество_202207112140401240[[#This Row],[16]]-OFFSET(Множество_202207112140401240[[#This Row],[16]],-1,0),0)</f>
        <v>-2.5000000000000355E-2</v>
      </c>
      <c r="Y230" s="208">
        <v>1.5249999999999999</v>
      </c>
      <c r="Z230" s="208">
        <v>-15.75</v>
      </c>
      <c r="AA230" s="208">
        <f>ABS(Множество_202207112140401240[[#This Row],[18]]-Множество_202207112140401240[[#This Row],[12]])</f>
        <v>8.4749999999999996</v>
      </c>
      <c r="AB230" s="208">
        <f>ABS(Множество_202207112140401240[[#This Row],[19]]-Множество_202207112140401240[[#This Row],[13]])</f>
        <v>3.25</v>
      </c>
      <c r="AC230" s="208">
        <f>Множество_202207112140401240[[#This Row],[20]]+Множество_202207112140401240[[#This Row],[21]]</f>
        <v>11.725</v>
      </c>
    </row>
    <row r="231" spans="6:29" x14ac:dyDescent="0.25">
      <c r="F231" s="213"/>
      <c r="K231" s="208">
        <f>Множество_202207112140401240[[#This Row],[2]]-Множество_202207112140401240[[#This Row],[4]]</f>
        <v>0</v>
      </c>
      <c r="L231" s="208">
        <f>Множество_202207112140401240[[#This Row],[3]]-Множество_202207112140401240[[#This Row],[5]]</f>
        <v>0</v>
      </c>
      <c r="M231" s="208">
        <f>Множество_202207112140401240[[#This Row],[7]]+Множество_202207112140401240[[#This Row],[6]]</f>
        <v>0</v>
      </c>
      <c r="N231" s="208" t="str">
        <f>CONCATENATE(Множество_202207112140401240[[#This Row],[2]],Множество_202207112140401240[[#This Row],[3]])</f>
        <v/>
      </c>
      <c r="O231" s="208"/>
      <c r="P231" s="208"/>
      <c r="Q231">
        <v>-0.57500000000000295</v>
      </c>
      <c r="R231">
        <v>-13.733333333333301</v>
      </c>
      <c r="S231" s="208">
        <v>10</v>
      </c>
      <c r="T231" s="208">
        <v>-12.5</v>
      </c>
      <c r="U231" s="208">
        <f>ABS(Множество_202207112140401240[[#This Row],[10]]-Множество_202207112140401240[[#This Row],[12]])</f>
        <v>10.575000000000003</v>
      </c>
      <c r="V231" s="208">
        <f>ABS(Множество_202207112140401240[[#This Row],[11]]-Множество_202207112140401240[[#This Row],[13]])</f>
        <v>1.2333333333333005</v>
      </c>
      <c r="W231" s="208">
        <f>Множество_202207112140401240[[#This Row],[15]]+Множество_202207112140401240[[#This Row],[14]]</f>
        <v>11.808333333333303</v>
      </c>
      <c r="X231" s="208">
        <f ca="1">IF(ROW()-ROW(Множество_202207112140401240[[#Headers],[17]])&gt;1,Множество_202207112140401240[[#This Row],[16]]-OFFSET(Множество_202207112140401240[[#This Row],[16]],-1,0),0)</f>
        <v>8.3333333333303727E-2</v>
      </c>
      <c r="Y231" s="208">
        <v>-0.57500000000000295</v>
      </c>
      <c r="Z231" s="208">
        <v>-13.733333333333301</v>
      </c>
      <c r="AA231" s="208">
        <f>ABS(Множество_202207112140401240[[#This Row],[18]]-Множество_202207112140401240[[#This Row],[12]])</f>
        <v>10.575000000000003</v>
      </c>
      <c r="AB231" s="208">
        <f>ABS(Множество_202207112140401240[[#This Row],[19]]-Множество_202207112140401240[[#This Row],[13]])</f>
        <v>1.2333333333333005</v>
      </c>
      <c r="AC231" s="208">
        <f>Множество_202207112140401240[[#This Row],[20]]+Множество_202207112140401240[[#This Row],[21]]</f>
        <v>11.808333333333303</v>
      </c>
    </row>
    <row r="232" spans="6:29" x14ac:dyDescent="0.25">
      <c r="F232" s="213"/>
      <c r="K232" s="208">
        <f>Множество_202207112140401240[[#This Row],[2]]-Множество_202207112140401240[[#This Row],[4]]</f>
        <v>0</v>
      </c>
      <c r="L232" s="208">
        <f>Множество_202207112140401240[[#This Row],[3]]-Множество_202207112140401240[[#This Row],[5]]</f>
        <v>0</v>
      </c>
      <c r="M232" s="208">
        <f>Множество_202207112140401240[[#This Row],[7]]+Множество_202207112140401240[[#This Row],[6]]</f>
        <v>0</v>
      </c>
      <c r="N232" s="208" t="str">
        <f>CONCATENATE(Множество_202207112140401240[[#This Row],[2]],Множество_202207112140401240[[#This Row],[3]])</f>
        <v/>
      </c>
      <c r="O232" s="208"/>
      <c r="P232" s="208"/>
      <c r="Q232">
        <v>1.45</v>
      </c>
      <c r="R232">
        <v>-15.766666666666699</v>
      </c>
      <c r="S232" s="208">
        <v>10</v>
      </c>
      <c r="T232" s="208">
        <v>-12.5</v>
      </c>
      <c r="U232" s="208">
        <f>ABS(Множество_202207112140401240[[#This Row],[10]]-Множество_202207112140401240[[#This Row],[12]])</f>
        <v>8.5500000000000007</v>
      </c>
      <c r="V232" s="208">
        <f>ABS(Множество_202207112140401240[[#This Row],[11]]-Множество_202207112140401240[[#This Row],[13]])</f>
        <v>3.2666666666666995</v>
      </c>
      <c r="W232" s="208">
        <f>Множество_202207112140401240[[#This Row],[15]]+Множество_202207112140401240[[#This Row],[14]]</f>
        <v>11.8166666666667</v>
      </c>
      <c r="X232" s="208">
        <f ca="1">IF(ROW()-ROW(Множество_202207112140401240[[#Headers],[17]])&gt;1,Множество_202207112140401240[[#This Row],[16]]-OFFSET(Множество_202207112140401240[[#This Row],[16]],-1,0),0)</f>
        <v>8.3333333333968085E-3</v>
      </c>
      <c r="Y232" s="208">
        <v>1.45</v>
      </c>
      <c r="Z232" s="208">
        <v>-15.766666666666699</v>
      </c>
      <c r="AA232" s="208">
        <f>ABS(Множество_202207112140401240[[#This Row],[18]]-Множество_202207112140401240[[#This Row],[12]])</f>
        <v>8.5500000000000007</v>
      </c>
      <c r="AB232" s="208">
        <f>ABS(Множество_202207112140401240[[#This Row],[19]]-Множество_202207112140401240[[#This Row],[13]])</f>
        <v>3.2666666666666995</v>
      </c>
      <c r="AC232" s="208">
        <f>Множество_202207112140401240[[#This Row],[20]]+Множество_202207112140401240[[#This Row],[21]]</f>
        <v>11.8166666666667</v>
      </c>
    </row>
    <row r="233" spans="6:29" x14ac:dyDescent="0.25">
      <c r="F233" s="213"/>
      <c r="K233" s="208">
        <f>Множество_202207112140401240[[#This Row],[2]]-Множество_202207112140401240[[#This Row],[4]]</f>
        <v>0</v>
      </c>
      <c r="L233" s="208">
        <f>Множество_202207112140401240[[#This Row],[3]]-Множество_202207112140401240[[#This Row],[5]]</f>
        <v>0</v>
      </c>
      <c r="M233" s="208">
        <f>Множество_202207112140401240[[#This Row],[7]]+Множество_202207112140401240[[#This Row],[6]]</f>
        <v>0</v>
      </c>
      <c r="N233" s="208" t="str">
        <f>CONCATENATE(Множество_202207112140401240[[#This Row],[2]],Множество_202207112140401240[[#This Row],[3]])</f>
        <v/>
      </c>
      <c r="O233" s="208"/>
      <c r="P233" s="208"/>
      <c r="Q233">
        <v>-0.72500000000000098</v>
      </c>
      <c r="R233">
        <v>-13.716666666666701</v>
      </c>
      <c r="S233" s="208">
        <v>10</v>
      </c>
      <c r="T233" s="208">
        <v>-12.5</v>
      </c>
      <c r="U233" s="208">
        <f>ABS(Множество_202207112140401240[[#This Row],[10]]-Множество_202207112140401240[[#This Row],[12]])</f>
        <v>10.725000000000001</v>
      </c>
      <c r="V233" s="208">
        <f>ABS(Множество_202207112140401240[[#This Row],[11]]-Множество_202207112140401240[[#This Row],[13]])</f>
        <v>1.2166666666667005</v>
      </c>
      <c r="W233" s="208">
        <f>Множество_202207112140401240[[#This Row],[15]]+Множество_202207112140401240[[#This Row],[14]]</f>
        <v>11.941666666666702</v>
      </c>
      <c r="X233" s="208">
        <f ca="1">IF(ROW()-ROW(Множество_202207112140401240[[#Headers],[17]])&gt;1,Множество_202207112140401240[[#This Row],[16]]-OFFSET(Множество_202207112140401240[[#This Row],[16]],-1,0),0)</f>
        <v>0.12500000000000178</v>
      </c>
      <c r="Y233" s="208">
        <v>-0.72500000000000098</v>
      </c>
      <c r="Z233" s="208">
        <v>-13.716666666666701</v>
      </c>
      <c r="AA233" s="208">
        <f>ABS(Множество_202207112140401240[[#This Row],[18]]-Множество_202207112140401240[[#This Row],[12]])</f>
        <v>10.725000000000001</v>
      </c>
      <c r="AB233" s="208">
        <f>ABS(Множество_202207112140401240[[#This Row],[19]]-Множество_202207112140401240[[#This Row],[13]])</f>
        <v>1.2166666666667005</v>
      </c>
      <c r="AC233" s="208">
        <f>Множество_202207112140401240[[#This Row],[20]]+Множество_202207112140401240[[#This Row],[21]]</f>
        <v>11.941666666666702</v>
      </c>
    </row>
    <row r="234" spans="6:29" x14ac:dyDescent="0.25">
      <c r="F234" s="213"/>
      <c r="K234" s="208">
        <f>Множество_202207112140401240[[#This Row],[2]]-Множество_202207112140401240[[#This Row],[4]]</f>
        <v>0</v>
      </c>
      <c r="L234" s="208">
        <f>Множество_202207112140401240[[#This Row],[3]]-Множество_202207112140401240[[#This Row],[5]]</f>
        <v>0</v>
      </c>
      <c r="M234" s="208">
        <f>Множество_202207112140401240[[#This Row],[7]]+Множество_202207112140401240[[#This Row],[6]]</f>
        <v>0</v>
      </c>
      <c r="N234" s="208" t="str">
        <f>CONCATENATE(Множество_202207112140401240[[#This Row],[2]],Множество_202207112140401240[[#This Row],[3]])</f>
        <v/>
      </c>
      <c r="O234" s="208"/>
      <c r="P234" s="208"/>
      <c r="Q234">
        <v>-0.64999999999999902</v>
      </c>
      <c r="R234">
        <v>-13.716666666666701</v>
      </c>
      <c r="S234" s="208">
        <v>10</v>
      </c>
      <c r="T234" s="208">
        <v>-12.5</v>
      </c>
      <c r="U234" s="208">
        <f>ABS(Множество_202207112140401240[[#This Row],[10]]-Множество_202207112140401240[[#This Row],[12]])</f>
        <v>10.649999999999999</v>
      </c>
      <c r="V234" s="208">
        <f>ABS(Множество_202207112140401240[[#This Row],[11]]-Множество_202207112140401240[[#This Row],[13]])</f>
        <v>1.2166666666667005</v>
      </c>
      <c r="W234" s="208">
        <f>Множество_202207112140401240[[#This Row],[15]]+Множество_202207112140401240[[#This Row],[14]]</f>
        <v>11.866666666666699</v>
      </c>
      <c r="X234" s="208">
        <f ca="1">IF(ROW()-ROW(Множество_202207112140401240[[#Headers],[17]])&gt;1,Множество_202207112140401240[[#This Row],[16]]-OFFSET(Множество_202207112140401240[[#This Row],[16]],-1,0),0)</f>
        <v>-7.5000000000002842E-2</v>
      </c>
      <c r="Y234" s="208">
        <v>-0.64999999999999902</v>
      </c>
      <c r="Z234" s="208">
        <v>-13.716666666666701</v>
      </c>
      <c r="AA234" s="208">
        <f>ABS(Множество_202207112140401240[[#This Row],[18]]-Множество_202207112140401240[[#This Row],[12]])</f>
        <v>10.649999999999999</v>
      </c>
      <c r="AB234" s="208">
        <f>ABS(Множество_202207112140401240[[#This Row],[19]]-Множество_202207112140401240[[#This Row],[13]])</f>
        <v>1.2166666666667005</v>
      </c>
      <c r="AC234" s="208">
        <f>Множество_202207112140401240[[#This Row],[20]]+Множество_202207112140401240[[#This Row],[21]]</f>
        <v>11.866666666666699</v>
      </c>
    </row>
    <row r="235" spans="6:29" x14ac:dyDescent="0.25">
      <c r="F235" s="213"/>
      <c r="K235" s="208">
        <f>Множество_202207112140401240[[#This Row],[2]]-Множество_202207112140401240[[#This Row],[4]]</f>
        <v>0</v>
      </c>
      <c r="L235" s="208">
        <f>Множество_202207112140401240[[#This Row],[3]]-Множество_202207112140401240[[#This Row],[5]]</f>
        <v>0</v>
      </c>
      <c r="M235" s="208">
        <f>Множество_202207112140401240[[#This Row],[7]]+Множество_202207112140401240[[#This Row],[6]]</f>
        <v>0</v>
      </c>
      <c r="N235" s="208" t="str">
        <f>CONCATENATE(Множество_202207112140401240[[#This Row],[2]],Множество_202207112140401240[[#This Row],[3]])</f>
        <v/>
      </c>
      <c r="O235" s="208"/>
      <c r="P235" s="208"/>
      <c r="Q235">
        <v>1.3</v>
      </c>
      <c r="R235">
        <v>-15.8</v>
      </c>
      <c r="S235" s="208">
        <v>10</v>
      </c>
      <c r="T235" s="208">
        <v>-12.5</v>
      </c>
      <c r="U235" s="208">
        <f>ABS(Множество_202207112140401240[[#This Row],[10]]-Множество_202207112140401240[[#This Row],[12]])</f>
        <v>8.6999999999999993</v>
      </c>
      <c r="V235" s="208">
        <f>ABS(Множество_202207112140401240[[#This Row],[11]]-Множество_202207112140401240[[#This Row],[13]])</f>
        <v>3.3000000000000007</v>
      </c>
      <c r="W235" s="208">
        <f>Множество_202207112140401240[[#This Row],[15]]+Множество_202207112140401240[[#This Row],[14]]</f>
        <v>12</v>
      </c>
      <c r="X235" s="208">
        <f ca="1">IF(ROW()-ROW(Множество_202207112140401240[[#Headers],[17]])&gt;1,Множество_202207112140401240[[#This Row],[16]]-OFFSET(Множество_202207112140401240[[#This Row],[16]],-1,0),0)</f>
        <v>0.13333333333330089</v>
      </c>
      <c r="Y235" s="208">
        <v>1.3</v>
      </c>
      <c r="Z235" s="208">
        <v>-15.8</v>
      </c>
      <c r="AA235" s="208">
        <f>ABS(Множество_202207112140401240[[#This Row],[18]]-Множество_202207112140401240[[#This Row],[12]])</f>
        <v>8.6999999999999993</v>
      </c>
      <c r="AB235" s="208">
        <f>ABS(Множество_202207112140401240[[#This Row],[19]]-Множество_202207112140401240[[#This Row],[13]])</f>
        <v>3.3000000000000007</v>
      </c>
      <c r="AC235" s="208">
        <f>Множество_202207112140401240[[#This Row],[20]]+Множество_202207112140401240[[#This Row],[21]]</f>
        <v>12</v>
      </c>
    </row>
    <row r="236" spans="6:29" x14ac:dyDescent="0.25">
      <c r="F236" s="213"/>
      <c r="K236" s="208">
        <f>Множество_202207112140401240[[#This Row],[2]]-Множество_202207112140401240[[#This Row],[4]]</f>
        <v>0</v>
      </c>
      <c r="L236" s="208">
        <f>Множество_202207112140401240[[#This Row],[3]]-Множество_202207112140401240[[#This Row],[5]]</f>
        <v>0</v>
      </c>
      <c r="M236" s="208">
        <f>Множество_202207112140401240[[#This Row],[7]]+Множество_202207112140401240[[#This Row],[6]]</f>
        <v>0</v>
      </c>
      <c r="N236" s="208" t="str">
        <f>CONCATENATE(Множество_202207112140401240[[#This Row],[2]],Множество_202207112140401240[[#This Row],[3]])</f>
        <v/>
      </c>
      <c r="O236" s="208"/>
      <c r="P236" s="208"/>
      <c r="Q236">
        <v>1.375</v>
      </c>
      <c r="R236">
        <v>-15.783333333333299</v>
      </c>
      <c r="S236" s="208">
        <v>10</v>
      </c>
      <c r="T236" s="208">
        <v>-12.5</v>
      </c>
      <c r="U236" s="208">
        <f>ABS(Множество_202207112140401240[[#This Row],[10]]-Множество_202207112140401240[[#This Row],[12]])</f>
        <v>8.625</v>
      </c>
      <c r="V236" s="208">
        <f>ABS(Множество_202207112140401240[[#This Row],[11]]-Множество_202207112140401240[[#This Row],[13]])</f>
        <v>3.2833333333332995</v>
      </c>
      <c r="W236" s="208">
        <f>Множество_202207112140401240[[#This Row],[15]]+Множество_202207112140401240[[#This Row],[14]]</f>
        <v>11.908333333333299</v>
      </c>
      <c r="X236" s="208">
        <f ca="1">IF(ROW()-ROW(Множество_202207112140401240[[#Headers],[17]])&gt;1,Множество_202207112140401240[[#This Row],[16]]-OFFSET(Множество_202207112140401240[[#This Row],[16]],-1,0),0)</f>
        <v>-9.1666666666700536E-2</v>
      </c>
      <c r="Y236" s="208">
        <v>1.375</v>
      </c>
      <c r="Z236" s="208">
        <v>-15.783333333333299</v>
      </c>
      <c r="AA236" s="208">
        <f>ABS(Множество_202207112140401240[[#This Row],[18]]-Множество_202207112140401240[[#This Row],[12]])</f>
        <v>8.625</v>
      </c>
      <c r="AB236" s="208">
        <f>ABS(Множество_202207112140401240[[#This Row],[19]]-Множество_202207112140401240[[#This Row],[13]])</f>
        <v>3.2833333333332995</v>
      </c>
      <c r="AC236" s="208">
        <f>Множество_202207112140401240[[#This Row],[20]]+Множество_202207112140401240[[#This Row],[21]]</f>
        <v>11.908333333333299</v>
      </c>
    </row>
    <row r="237" spans="6:29" x14ac:dyDescent="0.25">
      <c r="F237" s="213"/>
      <c r="K237" s="208">
        <f>Множество_202207112140401240[[#This Row],[2]]-Множество_202207112140401240[[#This Row],[4]]</f>
        <v>0</v>
      </c>
      <c r="L237" s="208">
        <f>Множество_202207112140401240[[#This Row],[3]]-Множество_202207112140401240[[#This Row],[5]]</f>
        <v>0</v>
      </c>
      <c r="M237" s="208">
        <f>Множество_202207112140401240[[#This Row],[7]]+Множество_202207112140401240[[#This Row],[6]]</f>
        <v>0</v>
      </c>
      <c r="N237" s="208" t="str">
        <f>CONCATENATE(Множество_202207112140401240[[#This Row],[2]],Множество_202207112140401240[[#This Row],[3]])</f>
        <v/>
      </c>
      <c r="O237" s="208"/>
      <c r="P237" s="208"/>
      <c r="Q237">
        <v>-0.79999999999999705</v>
      </c>
      <c r="R237">
        <v>-13.7</v>
      </c>
      <c r="S237" s="208">
        <v>10</v>
      </c>
      <c r="T237" s="208">
        <v>-12.5</v>
      </c>
      <c r="U237" s="208">
        <f>ABS(Множество_202207112140401240[[#This Row],[10]]-Множество_202207112140401240[[#This Row],[12]])</f>
        <v>10.799999999999997</v>
      </c>
      <c r="V237" s="208">
        <f>ABS(Множество_202207112140401240[[#This Row],[11]]-Множество_202207112140401240[[#This Row],[13]])</f>
        <v>1.1999999999999993</v>
      </c>
      <c r="W237" s="208">
        <f>Множество_202207112140401240[[#This Row],[15]]+Множество_202207112140401240[[#This Row],[14]]</f>
        <v>11.999999999999996</v>
      </c>
      <c r="X237" s="208">
        <f ca="1">IF(ROW()-ROW(Множество_202207112140401240[[#Headers],[17]])&gt;1,Множество_202207112140401240[[#This Row],[16]]-OFFSET(Множество_202207112140401240[[#This Row],[16]],-1,0),0)</f>
        <v>9.1666666666696983E-2</v>
      </c>
      <c r="Y237" s="208">
        <v>-0.79999999999999705</v>
      </c>
      <c r="Z237" s="208">
        <v>-13.7</v>
      </c>
      <c r="AA237" s="208">
        <f>ABS(Множество_202207112140401240[[#This Row],[18]]-Множество_202207112140401240[[#This Row],[12]])</f>
        <v>10.799999999999997</v>
      </c>
      <c r="AB237" s="208">
        <f>ABS(Множество_202207112140401240[[#This Row],[19]]-Множество_202207112140401240[[#This Row],[13]])</f>
        <v>1.1999999999999993</v>
      </c>
      <c r="AC237" s="208">
        <f>Множество_202207112140401240[[#This Row],[20]]+Множество_202207112140401240[[#This Row],[21]]</f>
        <v>11.999999999999996</v>
      </c>
    </row>
    <row r="238" spans="6:29" x14ac:dyDescent="0.25">
      <c r="F238" s="213"/>
      <c r="K238" s="208">
        <f>Множество_202207112140401240[[#This Row],[2]]-Множество_202207112140401240[[#This Row],[4]]</f>
        <v>0</v>
      </c>
      <c r="L238" s="208">
        <f>Множество_202207112140401240[[#This Row],[3]]-Множество_202207112140401240[[#This Row],[5]]</f>
        <v>0</v>
      </c>
      <c r="M238" s="208">
        <f>Множество_202207112140401240[[#This Row],[7]]+Множество_202207112140401240[[#This Row],[6]]</f>
        <v>0</v>
      </c>
      <c r="N238" s="208" t="str">
        <f>CONCATENATE(Множество_202207112140401240[[#This Row],[2]],Множество_202207112140401240[[#This Row],[3]])</f>
        <v/>
      </c>
      <c r="O238" s="208"/>
      <c r="P238" s="208"/>
      <c r="Q238">
        <v>-0.875</v>
      </c>
      <c r="R238">
        <v>-13.6833333333333</v>
      </c>
      <c r="S238" s="208">
        <v>10</v>
      </c>
      <c r="T238" s="208">
        <v>-12.5</v>
      </c>
      <c r="U238" s="208">
        <f>ABS(Множество_202207112140401240[[#This Row],[10]]-Множество_202207112140401240[[#This Row],[12]])</f>
        <v>10.875</v>
      </c>
      <c r="V238" s="208">
        <f>ABS(Множество_202207112140401240[[#This Row],[11]]-Множество_202207112140401240[[#This Row],[13]])</f>
        <v>1.1833333333332998</v>
      </c>
      <c r="W238" s="208">
        <f>Множество_202207112140401240[[#This Row],[15]]+Множество_202207112140401240[[#This Row],[14]]</f>
        <v>12.0583333333333</v>
      </c>
      <c r="X238" s="208">
        <f ca="1">IF(ROW()-ROW(Множество_202207112140401240[[#Headers],[17]])&gt;1,Множество_202207112140401240[[#This Row],[16]]-OFFSET(Множество_202207112140401240[[#This Row],[16]],-1,0),0)</f>
        <v>5.8333333333303372E-2</v>
      </c>
      <c r="Y238" s="208">
        <v>-0.875</v>
      </c>
      <c r="Z238" s="208">
        <v>-13.6833333333333</v>
      </c>
      <c r="AA238" s="208">
        <f>ABS(Множество_202207112140401240[[#This Row],[18]]-Множество_202207112140401240[[#This Row],[12]])</f>
        <v>10.875</v>
      </c>
      <c r="AB238" s="208">
        <f>ABS(Множество_202207112140401240[[#This Row],[19]]-Множество_202207112140401240[[#This Row],[13]])</f>
        <v>1.1833333333332998</v>
      </c>
      <c r="AC238" s="208">
        <f>Множество_202207112140401240[[#This Row],[20]]+Множество_202207112140401240[[#This Row],[21]]</f>
        <v>12.0583333333333</v>
      </c>
    </row>
    <row r="239" spans="6:29" x14ac:dyDescent="0.25">
      <c r="F239" s="213"/>
      <c r="K239" s="208">
        <f>Множество_202207112140401240[[#This Row],[2]]-Множество_202207112140401240[[#This Row],[4]]</f>
        <v>0</v>
      </c>
      <c r="L239" s="208">
        <f>Множество_202207112140401240[[#This Row],[3]]-Множество_202207112140401240[[#This Row],[5]]</f>
        <v>0</v>
      </c>
      <c r="M239" s="208">
        <f>Множество_202207112140401240[[#This Row],[7]]+Множество_202207112140401240[[#This Row],[6]]</f>
        <v>0</v>
      </c>
      <c r="N239" s="208" t="str">
        <f>CONCATENATE(Множество_202207112140401240[[#This Row],[2]],Множество_202207112140401240[[#This Row],[3]])</f>
        <v/>
      </c>
      <c r="O239" s="208"/>
      <c r="P239" s="208"/>
      <c r="Q239">
        <v>-0.94999999999999896</v>
      </c>
      <c r="R239">
        <v>-13.6666666666667</v>
      </c>
      <c r="S239" s="208">
        <v>10</v>
      </c>
      <c r="T239" s="208">
        <v>-12.5</v>
      </c>
      <c r="U239" s="208">
        <f>ABS(Множество_202207112140401240[[#This Row],[10]]-Множество_202207112140401240[[#This Row],[12]])</f>
        <v>10.95</v>
      </c>
      <c r="V239" s="208">
        <f>ABS(Множество_202207112140401240[[#This Row],[11]]-Множество_202207112140401240[[#This Row],[13]])</f>
        <v>1.1666666666666998</v>
      </c>
      <c r="W239" s="208">
        <f>Множество_202207112140401240[[#This Row],[15]]+Множество_202207112140401240[[#This Row],[14]]</f>
        <v>12.116666666666699</v>
      </c>
      <c r="X239" s="208">
        <f ca="1">IF(ROW()-ROW(Множество_202207112140401240[[#Headers],[17]])&gt;1,Множество_202207112140401240[[#This Row],[16]]-OFFSET(Множество_202207112140401240[[#This Row],[16]],-1,0),0)</f>
        <v>5.8333333333399295E-2</v>
      </c>
      <c r="Y239" s="208">
        <v>-0.94999999999999896</v>
      </c>
      <c r="Z239" s="208">
        <v>-13.6666666666667</v>
      </c>
      <c r="AA239" s="208">
        <f>ABS(Множество_202207112140401240[[#This Row],[18]]-Множество_202207112140401240[[#This Row],[12]])</f>
        <v>10.95</v>
      </c>
      <c r="AB239" s="208">
        <f>ABS(Множество_202207112140401240[[#This Row],[19]]-Множество_202207112140401240[[#This Row],[13]])</f>
        <v>1.1666666666666998</v>
      </c>
      <c r="AC239" s="208">
        <f>Множество_202207112140401240[[#This Row],[20]]+Множество_202207112140401240[[#This Row],[21]]</f>
        <v>12.116666666666699</v>
      </c>
    </row>
    <row r="240" spans="6:29" x14ac:dyDescent="0.25">
      <c r="F240" s="213"/>
      <c r="K240" s="208">
        <f>Множество_202207112140401240[[#This Row],[2]]-Множество_202207112140401240[[#This Row],[4]]</f>
        <v>0</v>
      </c>
      <c r="L240" s="208">
        <f>Множество_202207112140401240[[#This Row],[3]]-Множество_202207112140401240[[#This Row],[5]]</f>
        <v>0</v>
      </c>
      <c r="M240" s="208">
        <f>Множество_202207112140401240[[#This Row],[7]]+Множество_202207112140401240[[#This Row],[6]]</f>
        <v>0</v>
      </c>
      <c r="N240" s="208" t="str">
        <f>CONCATENATE(Множество_202207112140401240[[#This Row],[2]],Множество_202207112140401240[[#This Row],[3]])</f>
        <v/>
      </c>
      <c r="O240" s="208"/>
      <c r="P240" s="208"/>
      <c r="Q240">
        <v>1.1499999999999999</v>
      </c>
      <c r="R240">
        <v>-15.85</v>
      </c>
      <c r="S240" s="208">
        <v>10</v>
      </c>
      <c r="T240" s="208">
        <v>-12.5</v>
      </c>
      <c r="U240" s="208">
        <f>ABS(Множество_202207112140401240[[#This Row],[10]]-Множество_202207112140401240[[#This Row],[12]])</f>
        <v>8.85</v>
      </c>
      <c r="V240" s="208">
        <f>ABS(Множество_202207112140401240[[#This Row],[11]]-Множество_202207112140401240[[#This Row],[13]])</f>
        <v>3.3499999999999996</v>
      </c>
      <c r="W240" s="208">
        <f>Множество_202207112140401240[[#This Row],[15]]+Множество_202207112140401240[[#This Row],[14]]</f>
        <v>12.2</v>
      </c>
      <c r="X240" s="208">
        <f ca="1">IF(ROW()-ROW(Множество_202207112140401240[[#Headers],[17]])&gt;1,Множество_202207112140401240[[#This Row],[16]]-OFFSET(Множество_202207112140401240[[#This Row],[16]],-1,0),0)</f>
        <v>8.3333333333300175E-2</v>
      </c>
      <c r="Y240" s="208">
        <v>1.1499999999999999</v>
      </c>
      <c r="Z240" s="208">
        <v>-15.85</v>
      </c>
      <c r="AA240" s="208">
        <f>ABS(Множество_202207112140401240[[#This Row],[18]]-Множество_202207112140401240[[#This Row],[12]])</f>
        <v>8.85</v>
      </c>
      <c r="AB240" s="208">
        <f>ABS(Множество_202207112140401240[[#This Row],[19]]-Множество_202207112140401240[[#This Row],[13]])</f>
        <v>3.3499999999999996</v>
      </c>
      <c r="AC240" s="208">
        <f>Множество_202207112140401240[[#This Row],[20]]+Множество_202207112140401240[[#This Row],[21]]</f>
        <v>12.2</v>
      </c>
    </row>
    <row r="241" spans="6:29" x14ac:dyDescent="0.25">
      <c r="F241" s="213"/>
      <c r="K241" s="208">
        <f>Множество_202207112140401240[[#This Row],[2]]-Множество_202207112140401240[[#This Row],[4]]</f>
        <v>0</v>
      </c>
      <c r="L241" s="208">
        <f>Множество_202207112140401240[[#This Row],[3]]-Множество_202207112140401240[[#This Row],[5]]</f>
        <v>0</v>
      </c>
      <c r="M241" s="208">
        <f>Множество_202207112140401240[[#This Row],[7]]+Множество_202207112140401240[[#This Row],[6]]</f>
        <v>0</v>
      </c>
      <c r="N241" s="208" t="str">
        <f>CONCATENATE(Множество_202207112140401240[[#This Row],[2]],Множество_202207112140401240[[#This Row],[3]])</f>
        <v/>
      </c>
      <c r="O241" s="208"/>
      <c r="P241" s="208"/>
      <c r="Q241">
        <v>1.2250000000000001</v>
      </c>
      <c r="R241">
        <v>-15.8333333333333</v>
      </c>
      <c r="S241" s="208">
        <v>10</v>
      </c>
      <c r="T241" s="208">
        <v>-12.5</v>
      </c>
      <c r="U241" s="208">
        <f>ABS(Множество_202207112140401240[[#This Row],[10]]-Множество_202207112140401240[[#This Row],[12]])</f>
        <v>8.7750000000000004</v>
      </c>
      <c r="V241" s="208">
        <f>ABS(Множество_202207112140401240[[#This Row],[11]]-Множество_202207112140401240[[#This Row],[13]])</f>
        <v>3.3333333333333002</v>
      </c>
      <c r="W241" s="208">
        <f>Множество_202207112140401240[[#This Row],[15]]+Множество_202207112140401240[[#This Row],[14]]</f>
        <v>12.108333333333301</v>
      </c>
      <c r="X241" s="208">
        <f ca="1">IF(ROW()-ROW(Множество_202207112140401240[[#Headers],[17]])&gt;1,Множество_202207112140401240[[#This Row],[16]]-OFFSET(Множество_202207112140401240[[#This Row],[16]],-1,0),0)</f>
        <v>-9.166666666669876E-2</v>
      </c>
      <c r="Y241" s="208">
        <v>1.2250000000000001</v>
      </c>
      <c r="Z241" s="208">
        <v>-15.8333333333333</v>
      </c>
      <c r="AA241" s="208">
        <f>ABS(Множество_202207112140401240[[#This Row],[18]]-Множество_202207112140401240[[#This Row],[12]])</f>
        <v>8.7750000000000004</v>
      </c>
      <c r="AB241" s="208">
        <f>ABS(Множество_202207112140401240[[#This Row],[19]]-Множество_202207112140401240[[#This Row],[13]])</f>
        <v>3.3333333333333002</v>
      </c>
      <c r="AC241" s="208">
        <f>Множество_202207112140401240[[#This Row],[20]]+Множество_202207112140401240[[#This Row],[21]]</f>
        <v>12.108333333333301</v>
      </c>
    </row>
    <row r="242" spans="6:29" x14ac:dyDescent="0.25">
      <c r="F242" s="213"/>
      <c r="K242" s="208">
        <f>Множество_202207112140401240[[#This Row],[2]]-Множество_202207112140401240[[#This Row],[4]]</f>
        <v>0</v>
      </c>
      <c r="L242" s="208">
        <f>Множество_202207112140401240[[#This Row],[3]]-Множество_202207112140401240[[#This Row],[5]]</f>
        <v>0</v>
      </c>
      <c r="M242" s="208">
        <f>Множество_202207112140401240[[#This Row],[7]]+Множество_202207112140401240[[#This Row],[6]]</f>
        <v>0</v>
      </c>
      <c r="N242" s="208" t="str">
        <f>CONCATENATE(Множество_202207112140401240[[#This Row],[2]],Множество_202207112140401240[[#This Row],[3]])</f>
        <v/>
      </c>
      <c r="O242" s="208"/>
      <c r="P242" s="208"/>
      <c r="Q242">
        <v>-1.1000000000000001</v>
      </c>
      <c r="R242">
        <v>-13.65</v>
      </c>
      <c r="S242" s="208">
        <v>10</v>
      </c>
      <c r="T242" s="208">
        <v>-12.5</v>
      </c>
      <c r="U242" s="208">
        <f>ABS(Множество_202207112140401240[[#This Row],[10]]-Множество_202207112140401240[[#This Row],[12]])</f>
        <v>11.1</v>
      </c>
      <c r="V242" s="208">
        <f>ABS(Множество_202207112140401240[[#This Row],[11]]-Множество_202207112140401240[[#This Row],[13]])</f>
        <v>1.1500000000000004</v>
      </c>
      <c r="W242" s="208">
        <f>Множество_202207112140401240[[#This Row],[15]]+Множество_202207112140401240[[#This Row],[14]]</f>
        <v>12.25</v>
      </c>
      <c r="X242" s="208">
        <f ca="1">IF(ROW()-ROW(Множество_202207112140401240[[#Headers],[17]])&gt;1,Множество_202207112140401240[[#This Row],[16]]-OFFSET(Множество_202207112140401240[[#This Row],[16]],-1,0),0)</f>
        <v>0.14166666666669947</v>
      </c>
      <c r="Y242" s="208">
        <v>-1.1000000000000001</v>
      </c>
      <c r="Z242" s="208">
        <v>-13.65</v>
      </c>
      <c r="AA242" s="208">
        <f>ABS(Множество_202207112140401240[[#This Row],[18]]-Множество_202207112140401240[[#This Row],[12]])</f>
        <v>11.1</v>
      </c>
      <c r="AB242" s="208">
        <f>ABS(Множество_202207112140401240[[#This Row],[19]]-Множество_202207112140401240[[#This Row],[13]])</f>
        <v>1.1500000000000004</v>
      </c>
      <c r="AC242" s="208">
        <f>Множество_202207112140401240[[#This Row],[20]]+Множество_202207112140401240[[#This Row],[21]]</f>
        <v>12.25</v>
      </c>
    </row>
    <row r="243" spans="6:29" x14ac:dyDescent="0.25">
      <c r="F243" s="213"/>
      <c r="K243" s="208">
        <f>Множество_202207112140401240[[#This Row],[2]]-Множество_202207112140401240[[#This Row],[4]]</f>
        <v>0</v>
      </c>
      <c r="L243" s="208">
        <f>Множество_202207112140401240[[#This Row],[3]]-Множество_202207112140401240[[#This Row],[5]]</f>
        <v>0</v>
      </c>
      <c r="M243" s="208">
        <f>Множество_202207112140401240[[#This Row],[7]]+Множество_202207112140401240[[#This Row],[6]]</f>
        <v>0</v>
      </c>
      <c r="N243" s="208" t="str">
        <f>CONCATENATE(Множество_202207112140401240[[#This Row],[2]],Множество_202207112140401240[[#This Row],[3]])</f>
        <v/>
      </c>
      <c r="O243" s="208"/>
      <c r="P243" s="208"/>
      <c r="Q243">
        <v>-1.25</v>
      </c>
      <c r="R243">
        <v>-13.616666666666699</v>
      </c>
      <c r="S243" s="208">
        <v>10</v>
      </c>
      <c r="T243" s="208">
        <v>-12.5</v>
      </c>
      <c r="U243" s="208">
        <f>ABS(Множество_202207112140401240[[#This Row],[10]]-Множество_202207112140401240[[#This Row],[12]])</f>
        <v>11.25</v>
      </c>
      <c r="V243" s="208">
        <f>ABS(Множество_202207112140401240[[#This Row],[11]]-Множество_202207112140401240[[#This Row],[13]])</f>
        <v>1.1166666666666991</v>
      </c>
      <c r="W243" s="208">
        <f>Множество_202207112140401240[[#This Row],[15]]+Множество_202207112140401240[[#This Row],[14]]</f>
        <v>12.366666666666699</v>
      </c>
      <c r="X243" s="208">
        <f ca="1">IF(ROW()-ROW(Множество_202207112140401240[[#Headers],[17]])&gt;1,Множество_202207112140401240[[#This Row],[16]]-OFFSET(Множество_202207112140401240[[#This Row],[16]],-1,0),0)</f>
        <v>0.11666666666669911</v>
      </c>
      <c r="Y243" s="208">
        <v>-1.25</v>
      </c>
      <c r="Z243" s="208">
        <v>-13.616666666666699</v>
      </c>
      <c r="AA243" s="208">
        <f>ABS(Множество_202207112140401240[[#This Row],[18]]-Множество_202207112140401240[[#This Row],[12]])</f>
        <v>11.25</v>
      </c>
      <c r="AB243" s="208">
        <f>ABS(Множество_202207112140401240[[#This Row],[19]]-Множество_202207112140401240[[#This Row],[13]])</f>
        <v>1.1166666666666991</v>
      </c>
      <c r="AC243" s="208">
        <f>Множество_202207112140401240[[#This Row],[20]]+Множество_202207112140401240[[#This Row],[21]]</f>
        <v>12.366666666666699</v>
      </c>
    </row>
    <row r="244" spans="6:29" x14ac:dyDescent="0.25">
      <c r="F244" s="213"/>
      <c r="K244" s="208">
        <f>Множество_202207112140401240[[#This Row],[2]]-Множество_202207112140401240[[#This Row],[4]]</f>
        <v>0</v>
      </c>
      <c r="L244" s="208">
        <f>Множество_202207112140401240[[#This Row],[3]]-Множество_202207112140401240[[#This Row],[5]]</f>
        <v>0</v>
      </c>
      <c r="M244" s="208">
        <f>Множество_202207112140401240[[#This Row],[7]]+Множество_202207112140401240[[#This Row],[6]]</f>
        <v>0</v>
      </c>
      <c r="N244" s="208" t="str">
        <f>CONCATENATE(Множество_202207112140401240[[#This Row],[2]],Множество_202207112140401240[[#This Row],[3]])</f>
        <v/>
      </c>
      <c r="O244" s="208"/>
      <c r="P244" s="208"/>
      <c r="Q244">
        <v>1.075</v>
      </c>
      <c r="R244">
        <v>-15.866666666666699</v>
      </c>
      <c r="S244" s="208">
        <v>10</v>
      </c>
      <c r="T244" s="208">
        <v>-12.5</v>
      </c>
      <c r="U244" s="208">
        <f>ABS(Множество_202207112140401240[[#This Row],[10]]-Множество_202207112140401240[[#This Row],[12]])</f>
        <v>8.9250000000000007</v>
      </c>
      <c r="V244" s="208">
        <f>ABS(Множество_202207112140401240[[#This Row],[11]]-Множество_202207112140401240[[#This Row],[13]])</f>
        <v>3.3666666666666991</v>
      </c>
      <c r="W244" s="208">
        <f>Множество_202207112140401240[[#This Row],[15]]+Множество_202207112140401240[[#This Row],[14]]</f>
        <v>12.2916666666667</v>
      </c>
      <c r="X244" s="208">
        <f ca="1">IF(ROW()-ROW(Множество_202207112140401240[[#Headers],[17]])&gt;1,Множество_202207112140401240[[#This Row],[16]]-OFFSET(Множество_202207112140401240[[#This Row],[16]],-1,0),0)</f>
        <v>-7.4999999999999289E-2</v>
      </c>
      <c r="Y244" s="208">
        <v>1.075</v>
      </c>
      <c r="Z244" s="208">
        <v>-15.866666666666699</v>
      </c>
      <c r="AA244" s="208">
        <f>ABS(Множество_202207112140401240[[#This Row],[18]]-Множество_202207112140401240[[#This Row],[12]])</f>
        <v>8.9250000000000007</v>
      </c>
      <c r="AB244" s="208">
        <f>ABS(Множество_202207112140401240[[#This Row],[19]]-Множество_202207112140401240[[#This Row],[13]])</f>
        <v>3.3666666666666991</v>
      </c>
      <c r="AC244" s="208">
        <f>Множество_202207112140401240[[#This Row],[20]]+Множество_202207112140401240[[#This Row],[21]]</f>
        <v>12.2916666666667</v>
      </c>
    </row>
    <row r="245" spans="6:29" x14ac:dyDescent="0.25">
      <c r="F245" s="213"/>
      <c r="K245" s="208">
        <f>Множество_202207112140401240[[#This Row],[2]]-Множество_202207112140401240[[#This Row],[4]]</f>
        <v>0</v>
      </c>
      <c r="L245" s="208">
        <f>Множество_202207112140401240[[#This Row],[3]]-Множество_202207112140401240[[#This Row],[5]]</f>
        <v>0</v>
      </c>
      <c r="M245" s="208">
        <f>Множество_202207112140401240[[#This Row],[7]]+Множество_202207112140401240[[#This Row],[6]]</f>
        <v>0</v>
      </c>
      <c r="N245" s="208" t="str">
        <f>CONCATENATE(Множество_202207112140401240[[#This Row],[2]],Множество_202207112140401240[[#This Row],[3]])</f>
        <v/>
      </c>
      <c r="O245" s="208"/>
      <c r="P245" s="208"/>
      <c r="Q245">
        <v>-1.175</v>
      </c>
      <c r="R245">
        <v>-13.633333333333301</v>
      </c>
      <c r="S245" s="208">
        <v>10</v>
      </c>
      <c r="T245" s="208">
        <v>-12.5</v>
      </c>
      <c r="U245" s="208">
        <f>ABS(Множество_202207112140401240[[#This Row],[10]]-Множество_202207112140401240[[#This Row],[12]])</f>
        <v>11.175000000000001</v>
      </c>
      <c r="V245" s="208">
        <f>ABS(Множество_202207112140401240[[#This Row],[11]]-Множество_202207112140401240[[#This Row],[13]])</f>
        <v>1.1333333333333009</v>
      </c>
      <c r="W245" s="208">
        <f>Множество_202207112140401240[[#This Row],[15]]+Множество_202207112140401240[[#This Row],[14]]</f>
        <v>12.308333333333302</v>
      </c>
      <c r="X245" s="208">
        <f ca="1">IF(ROW()-ROW(Множество_202207112140401240[[#Headers],[17]])&gt;1,Множество_202207112140401240[[#This Row],[16]]-OFFSET(Множество_202207112140401240[[#This Row],[16]],-1,0),0)</f>
        <v>1.666666666660177E-2</v>
      </c>
      <c r="Y245" s="208">
        <v>-1.175</v>
      </c>
      <c r="Z245" s="208">
        <v>-13.633333333333301</v>
      </c>
      <c r="AA245" s="208">
        <f>ABS(Множество_202207112140401240[[#This Row],[18]]-Множество_202207112140401240[[#This Row],[12]])</f>
        <v>11.175000000000001</v>
      </c>
      <c r="AB245" s="208">
        <f>ABS(Множество_202207112140401240[[#This Row],[19]]-Множество_202207112140401240[[#This Row],[13]])</f>
        <v>1.1333333333333009</v>
      </c>
      <c r="AC245" s="208">
        <f>Множество_202207112140401240[[#This Row],[20]]+Множество_202207112140401240[[#This Row],[21]]</f>
        <v>12.308333333333302</v>
      </c>
    </row>
    <row r="246" spans="6:29" x14ac:dyDescent="0.25">
      <c r="F246" s="213"/>
      <c r="K246" s="208">
        <f>Множество_202207112140401240[[#This Row],[2]]-Множество_202207112140401240[[#This Row],[4]]</f>
        <v>0</v>
      </c>
      <c r="L246" s="208">
        <f>Множество_202207112140401240[[#This Row],[3]]-Множество_202207112140401240[[#This Row],[5]]</f>
        <v>0</v>
      </c>
      <c r="M246" s="208">
        <f>Множество_202207112140401240[[#This Row],[7]]+Множество_202207112140401240[[#This Row],[6]]</f>
        <v>0</v>
      </c>
      <c r="N246" s="208" t="str">
        <f>CONCATENATE(Множество_202207112140401240[[#This Row],[2]],Множество_202207112140401240[[#This Row],[3]])</f>
        <v/>
      </c>
      <c r="O246" s="208"/>
      <c r="P246" s="208"/>
      <c r="Q246">
        <v>-1.4</v>
      </c>
      <c r="R246">
        <v>-13.6</v>
      </c>
      <c r="S246" s="208">
        <v>10</v>
      </c>
      <c r="T246" s="208">
        <v>-12.5</v>
      </c>
      <c r="U246" s="208">
        <f>ABS(Множество_202207112140401240[[#This Row],[10]]-Множество_202207112140401240[[#This Row],[12]])</f>
        <v>11.4</v>
      </c>
      <c r="V246" s="208">
        <f>ABS(Множество_202207112140401240[[#This Row],[11]]-Множество_202207112140401240[[#This Row],[13]])</f>
        <v>1.0999999999999996</v>
      </c>
      <c r="W246" s="208">
        <f>Множество_202207112140401240[[#This Row],[15]]+Множество_202207112140401240[[#This Row],[14]]</f>
        <v>12.5</v>
      </c>
      <c r="X246" s="208">
        <f ca="1">IF(ROW()-ROW(Множество_202207112140401240[[#Headers],[17]])&gt;1,Множество_202207112140401240[[#This Row],[16]]-OFFSET(Множество_202207112140401240[[#This Row],[16]],-1,0),0)</f>
        <v>0.1916666666666984</v>
      </c>
      <c r="Y246" s="208">
        <v>-1.4</v>
      </c>
      <c r="Z246" s="208">
        <v>-13.6</v>
      </c>
      <c r="AA246" s="208">
        <f>ABS(Множество_202207112140401240[[#This Row],[18]]-Множество_202207112140401240[[#This Row],[12]])</f>
        <v>11.4</v>
      </c>
      <c r="AB246" s="208">
        <f>ABS(Множество_202207112140401240[[#This Row],[19]]-Множество_202207112140401240[[#This Row],[13]])</f>
        <v>1.0999999999999996</v>
      </c>
      <c r="AC246" s="208">
        <f>Множество_202207112140401240[[#This Row],[20]]+Множество_202207112140401240[[#This Row],[21]]</f>
        <v>12.5</v>
      </c>
    </row>
    <row r="247" spans="6:29" x14ac:dyDescent="0.25">
      <c r="F247" s="213"/>
      <c r="K247" s="208">
        <f>Множество_202207112140401240[[#This Row],[2]]-Множество_202207112140401240[[#This Row],[4]]</f>
        <v>0</v>
      </c>
      <c r="L247" s="208">
        <f>Множество_202207112140401240[[#This Row],[3]]-Множество_202207112140401240[[#This Row],[5]]</f>
        <v>0</v>
      </c>
      <c r="M247" s="208">
        <f>Множество_202207112140401240[[#This Row],[7]]+Множество_202207112140401240[[#This Row],[6]]</f>
        <v>0</v>
      </c>
      <c r="N247" s="208" t="str">
        <f>CONCATENATE(Множество_202207112140401240[[#This Row],[2]],Множество_202207112140401240[[#This Row],[3]])</f>
        <v/>
      </c>
      <c r="O247" s="208"/>
      <c r="P247" s="208"/>
      <c r="Q247">
        <v>-1.325</v>
      </c>
      <c r="R247">
        <v>-13.6</v>
      </c>
      <c r="S247" s="208">
        <v>10</v>
      </c>
      <c r="T247" s="208">
        <v>-12.5</v>
      </c>
      <c r="U247" s="208">
        <f>ABS(Множество_202207112140401240[[#This Row],[10]]-Множество_202207112140401240[[#This Row],[12]])</f>
        <v>11.324999999999999</v>
      </c>
      <c r="V247" s="208">
        <f>ABS(Множество_202207112140401240[[#This Row],[11]]-Множество_202207112140401240[[#This Row],[13]])</f>
        <v>1.0999999999999996</v>
      </c>
      <c r="W247" s="208">
        <f>Множество_202207112140401240[[#This Row],[15]]+Множество_202207112140401240[[#This Row],[14]]</f>
        <v>12.424999999999999</v>
      </c>
      <c r="X247" s="208">
        <f ca="1">IF(ROW()-ROW(Множество_202207112140401240[[#Headers],[17]])&gt;1,Множество_202207112140401240[[#This Row],[16]]-OFFSET(Множество_202207112140401240[[#This Row],[16]],-1,0),0)</f>
        <v>-7.5000000000001066E-2</v>
      </c>
      <c r="Y247" s="208">
        <v>-1.325</v>
      </c>
      <c r="Z247" s="208">
        <v>-13.6</v>
      </c>
      <c r="AA247" s="208">
        <f>ABS(Множество_202207112140401240[[#This Row],[18]]-Множество_202207112140401240[[#This Row],[12]])</f>
        <v>11.324999999999999</v>
      </c>
      <c r="AB247" s="208">
        <f>ABS(Множество_202207112140401240[[#This Row],[19]]-Множество_202207112140401240[[#This Row],[13]])</f>
        <v>1.0999999999999996</v>
      </c>
      <c r="AC247" s="208">
        <f>Множество_202207112140401240[[#This Row],[20]]+Множество_202207112140401240[[#This Row],[21]]</f>
        <v>12.424999999999999</v>
      </c>
    </row>
    <row r="248" spans="6:29" x14ac:dyDescent="0.25">
      <c r="F248" s="213"/>
      <c r="K248" s="208">
        <f>Множество_202207112140401240[[#This Row],[2]]-Множество_202207112140401240[[#This Row],[4]]</f>
        <v>0</v>
      </c>
      <c r="L248" s="208">
        <f>Множество_202207112140401240[[#This Row],[3]]-Множество_202207112140401240[[#This Row],[5]]</f>
        <v>0</v>
      </c>
      <c r="M248" s="208">
        <f>Множество_202207112140401240[[#This Row],[7]]+Множество_202207112140401240[[#This Row],[6]]</f>
        <v>0</v>
      </c>
      <c r="N248" s="208" t="str">
        <f>CONCATENATE(Множество_202207112140401240[[#This Row],[2]],Множество_202207112140401240[[#This Row],[3]])</f>
        <v/>
      </c>
      <c r="O248" s="208"/>
      <c r="P248" s="208"/>
      <c r="Q248">
        <v>0.999999999999996</v>
      </c>
      <c r="R248">
        <v>-15.9</v>
      </c>
      <c r="S248" s="208">
        <v>10</v>
      </c>
      <c r="T248" s="208">
        <v>-12.5</v>
      </c>
      <c r="U248" s="208">
        <f>ABS(Множество_202207112140401240[[#This Row],[10]]-Множество_202207112140401240[[#This Row],[12]])</f>
        <v>9.0000000000000036</v>
      </c>
      <c r="V248" s="208">
        <f>ABS(Множество_202207112140401240[[#This Row],[11]]-Множество_202207112140401240[[#This Row],[13]])</f>
        <v>3.4000000000000004</v>
      </c>
      <c r="W248" s="208">
        <f>Множество_202207112140401240[[#This Row],[15]]+Множество_202207112140401240[[#This Row],[14]]</f>
        <v>12.400000000000004</v>
      </c>
      <c r="X248" s="208">
        <f ca="1">IF(ROW()-ROW(Множество_202207112140401240[[#Headers],[17]])&gt;1,Множество_202207112140401240[[#This Row],[16]]-OFFSET(Множество_202207112140401240[[#This Row],[16]],-1,0),0)</f>
        <v>-2.4999999999995026E-2</v>
      </c>
      <c r="Y248" s="208">
        <v>0.999999999999996</v>
      </c>
      <c r="Z248" s="208">
        <v>-15.9</v>
      </c>
      <c r="AA248" s="208">
        <f>ABS(Множество_202207112140401240[[#This Row],[18]]-Множество_202207112140401240[[#This Row],[12]])</f>
        <v>9.0000000000000036</v>
      </c>
      <c r="AB248" s="208">
        <f>ABS(Множество_202207112140401240[[#This Row],[19]]-Множество_202207112140401240[[#This Row],[13]])</f>
        <v>3.4000000000000004</v>
      </c>
      <c r="AC248" s="208">
        <f>Множество_202207112140401240[[#This Row],[20]]+Множество_202207112140401240[[#This Row],[21]]</f>
        <v>12.400000000000004</v>
      </c>
    </row>
    <row r="249" spans="6:29" x14ac:dyDescent="0.25">
      <c r="F249" s="213"/>
      <c r="K249" s="208">
        <f>Множество_202207112140401240[[#This Row],[2]]-Множество_202207112140401240[[#This Row],[4]]</f>
        <v>0</v>
      </c>
      <c r="L249" s="208">
        <f>Множество_202207112140401240[[#This Row],[3]]-Множество_202207112140401240[[#This Row],[5]]</f>
        <v>0</v>
      </c>
      <c r="M249" s="208">
        <f>Множество_202207112140401240[[#This Row],[7]]+Множество_202207112140401240[[#This Row],[6]]</f>
        <v>0</v>
      </c>
      <c r="N249" s="208" t="str">
        <f>CONCATENATE(Множество_202207112140401240[[#This Row],[2]],Множество_202207112140401240[[#This Row],[3]])</f>
        <v/>
      </c>
      <c r="O249" s="208"/>
      <c r="P249" s="208"/>
      <c r="Q249">
        <v>0.92500000000000104</v>
      </c>
      <c r="R249">
        <v>-15.9166666666667</v>
      </c>
      <c r="S249" s="208">
        <v>10</v>
      </c>
      <c r="T249" s="208">
        <v>-12.5</v>
      </c>
      <c r="U249" s="208">
        <f>ABS(Множество_202207112140401240[[#This Row],[10]]-Множество_202207112140401240[[#This Row],[12]])</f>
        <v>9.0749999999999993</v>
      </c>
      <c r="V249" s="208">
        <f>ABS(Множество_202207112140401240[[#This Row],[11]]-Множество_202207112140401240[[#This Row],[13]])</f>
        <v>3.4166666666666998</v>
      </c>
      <c r="W249" s="208">
        <f>Множество_202207112140401240[[#This Row],[15]]+Множество_202207112140401240[[#This Row],[14]]</f>
        <v>12.491666666666699</v>
      </c>
      <c r="X249" s="208">
        <f ca="1">IF(ROW()-ROW(Множество_202207112140401240[[#Headers],[17]])&gt;1,Множество_202207112140401240[[#This Row],[16]]-OFFSET(Множество_202207112140401240[[#This Row],[16]],-1,0),0)</f>
        <v>9.1666666666695207E-2</v>
      </c>
      <c r="Y249" s="208">
        <v>0.92500000000000104</v>
      </c>
      <c r="Z249" s="208">
        <v>-15.9166666666667</v>
      </c>
      <c r="AA249" s="208">
        <f>ABS(Множество_202207112140401240[[#This Row],[18]]-Множество_202207112140401240[[#This Row],[12]])</f>
        <v>9.0749999999999993</v>
      </c>
      <c r="AB249" s="208">
        <f>ABS(Множество_202207112140401240[[#This Row],[19]]-Множество_202207112140401240[[#This Row],[13]])</f>
        <v>3.4166666666666998</v>
      </c>
      <c r="AC249" s="208">
        <f>Множество_202207112140401240[[#This Row],[20]]+Множество_202207112140401240[[#This Row],[21]]</f>
        <v>12.491666666666699</v>
      </c>
    </row>
    <row r="250" spans="6:29" x14ac:dyDescent="0.25">
      <c r="F250" s="213"/>
      <c r="K250" s="208">
        <f>Множество_202207112140401240[[#This Row],[2]]-Множество_202207112140401240[[#This Row],[4]]</f>
        <v>0</v>
      </c>
      <c r="L250" s="208">
        <f>Множество_202207112140401240[[#This Row],[3]]-Множество_202207112140401240[[#This Row],[5]]</f>
        <v>0</v>
      </c>
      <c r="M250" s="208">
        <f>Множество_202207112140401240[[#This Row],[7]]+Множество_202207112140401240[[#This Row],[6]]</f>
        <v>0</v>
      </c>
      <c r="N250" s="208" t="str">
        <f>CONCATENATE(Множество_202207112140401240[[#This Row],[2]],Множество_202207112140401240[[#This Row],[3]])</f>
        <v/>
      </c>
      <c r="O250" s="208"/>
      <c r="P250" s="208"/>
      <c r="Q250">
        <v>-1.4750000000000001</v>
      </c>
      <c r="R250">
        <v>-13.5833333333333</v>
      </c>
      <c r="S250" s="208">
        <v>10</v>
      </c>
      <c r="T250" s="208">
        <v>-12.5</v>
      </c>
      <c r="U250" s="208">
        <f>ABS(Множество_202207112140401240[[#This Row],[10]]-Множество_202207112140401240[[#This Row],[12]])</f>
        <v>11.475</v>
      </c>
      <c r="V250" s="208">
        <f>ABS(Множество_202207112140401240[[#This Row],[11]]-Множество_202207112140401240[[#This Row],[13]])</f>
        <v>1.0833333333333002</v>
      </c>
      <c r="W250" s="208">
        <f>Множество_202207112140401240[[#This Row],[15]]+Множество_202207112140401240[[#This Row],[14]]</f>
        <v>12.5583333333333</v>
      </c>
      <c r="X250" s="208">
        <f ca="1">IF(ROW()-ROW(Множество_202207112140401240[[#Headers],[17]])&gt;1,Множество_202207112140401240[[#This Row],[16]]-OFFSET(Множество_202207112140401240[[#This Row],[16]],-1,0),0)</f>
        <v>6.6666666666600705E-2</v>
      </c>
      <c r="Y250" s="208">
        <v>-1.4750000000000001</v>
      </c>
      <c r="Z250" s="208">
        <v>-13.5833333333333</v>
      </c>
      <c r="AA250" s="208">
        <f>ABS(Множество_202207112140401240[[#This Row],[18]]-Множество_202207112140401240[[#This Row],[12]])</f>
        <v>11.475</v>
      </c>
      <c r="AB250" s="208">
        <f>ABS(Множество_202207112140401240[[#This Row],[19]]-Множество_202207112140401240[[#This Row],[13]])</f>
        <v>1.0833333333333002</v>
      </c>
      <c r="AC250" s="208">
        <f>Множество_202207112140401240[[#This Row],[20]]+Множество_202207112140401240[[#This Row],[21]]</f>
        <v>12.5583333333333</v>
      </c>
    </row>
    <row r="251" spans="6:29" x14ac:dyDescent="0.25">
      <c r="F251" s="213"/>
      <c r="K251" s="208">
        <f>Множество_202207112140401240[[#This Row],[2]]-Множество_202207112140401240[[#This Row],[4]]</f>
        <v>0</v>
      </c>
      <c r="L251" s="208">
        <f>Множество_202207112140401240[[#This Row],[3]]-Множество_202207112140401240[[#This Row],[5]]</f>
        <v>0</v>
      </c>
      <c r="M251" s="208">
        <f>Множество_202207112140401240[[#This Row],[7]]+Множество_202207112140401240[[#This Row],[6]]</f>
        <v>0</v>
      </c>
      <c r="N251" s="208" t="str">
        <f>CONCATENATE(Множество_202207112140401240[[#This Row],[2]],Множество_202207112140401240[[#This Row],[3]])</f>
        <v/>
      </c>
      <c r="O251" s="208"/>
      <c r="P251" s="208"/>
      <c r="Q251">
        <v>0.84999999999999798</v>
      </c>
      <c r="R251">
        <v>-15.9333333333333</v>
      </c>
      <c r="S251" s="208">
        <v>10</v>
      </c>
      <c r="T251" s="208">
        <v>-12.5</v>
      </c>
      <c r="U251" s="208">
        <f>ABS(Множество_202207112140401240[[#This Row],[10]]-Множество_202207112140401240[[#This Row],[12]])</f>
        <v>9.1500000000000021</v>
      </c>
      <c r="V251" s="208">
        <f>ABS(Множество_202207112140401240[[#This Row],[11]]-Множество_202207112140401240[[#This Row],[13]])</f>
        <v>3.4333333333332998</v>
      </c>
      <c r="W251" s="208">
        <f>Множество_202207112140401240[[#This Row],[15]]+Множество_202207112140401240[[#This Row],[14]]</f>
        <v>12.583333333333302</v>
      </c>
      <c r="X251" s="208">
        <f ca="1">IF(ROW()-ROW(Множество_202207112140401240[[#Headers],[17]])&gt;1,Множество_202207112140401240[[#This Row],[16]]-OFFSET(Множество_202207112140401240[[#This Row],[16]],-1,0),0)</f>
        <v>2.5000000000002132E-2</v>
      </c>
      <c r="Y251" s="208">
        <v>0.84999999999999798</v>
      </c>
      <c r="Z251" s="208">
        <v>-15.9333333333333</v>
      </c>
      <c r="AA251" s="208">
        <f>ABS(Множество_202207112140401240[[#This Row],[18]]-Множество_202207112140401240[[#This Row],[12]])</f>
        <v>9.1500000000000021</v>
      </c>
      <c r="AB251" s="208">
        <f>ABS(Множество_202207112140401240[[#This Row],[19]]-Множество_202207112140401240[[#This Row],[13]])</f>
        <v>3.4333333333332998</v>
      </c>
      <c r="AC251" s="208">
        <f>Множество_202207112140401240[[#This Row],[20]]+Множество_202207112140401240[[#This Row],[21]]</f>
        <v>12.583333333333302</v>
      </c>
    </row>
    <row r="252" spans="6:29" x14ac:dyDescent="0.25">
      <c r="F252" s="213"/>
      <c r="K252" s="208">
        <f>Множество_202207112140401240[[#This Row],[2]]-Множество_202207112140401240[[#This Row],[4]]</f>
        <v>0</v>
      </c>
      <c r="L252" s="208">
        <f>Множество_202207112140401240[[#This Row],[3]]-Множество_202207112140401240[[#This Row],[5]]</f>
        <v>0</v>
      </c>
      <c r="M252" s="208">
        <f>Множество_202207112140401240[[#This Row],[7]]+Множество_202207112140401240[[#This Row],[6]]</f>
        <v>0</v>
      </c>
      <c r="N252" s="208" t="str">
        <f>CONCATENATE(Множество_202207112140401240[[#This Row],[2]],Множество_202207112140401240[[#This Row],[3]])</f>
        <v/>
      </c>
      <c r="O252" s="208"/>
      <c r="P252" s="208"/>
      <c r="Q252">
        <v>0.77499999999999902</v>
      </c>
      <c r="R252">
        <v>-15.95</v>
      </c>
      <c r="S252" s="208">
        <v>10</v>
      </c>
      <c r="T252" s="208">
        <v>-12.5</v>
      </c>
      <c r="U252" s="208">
        <f>ABS(Множество_202207112140401240[[#This Row],[10]]-Множество_202207112140401240[[#This Row],[12]])</f>
        <v>9.2250000000000014</v>
      </c>
      <c r="V252" s="208">
        <f>ABS(Множество_202207112140401240[[#This Row],[11]]-Множество_202207112140401240[[#This Row],[13]])</f>
        <v>3.4499999999999993</v>
      </c>
      <c r="W252" s="208">
        <f>Множество_202207112140401240[[#This Row],[15]]+Множество_202207112140401240[[#This Row],[14]]</f>
        <v>12.675000000000001</v>
      </c>
      <c r="X252" s="208">
        <f ca="1">IF(ROW()-ROW(Множество_202207112140401240[[#Headers],[17]])&gt;1,Множество_202207112140401240[[#This Row],[16]]-OFFSET(Множество_202207112140401240[[#This Row],[16]],-1,0),0)</f>
        <v>9.166666666669876E-2</v>
      </c>
      <c r="Y252" s="208">
        <v>0.77499999999999902</v>
      </c>
      <c r="Z252" s="208">
        <v>-15.95</v>
      </c>
      <c r="AA252" s="208">
        <f>ABS(Множество_202207112140401240[[#This Row],[18]]-Множество_202207112140401240[[#This Row],[12]])</f>
        <v>9.2250000000000014</v>
      </c>
      <c r="AB252" s="208">
        <f>ABS(Множество_202207112140401240[[#This Row],[19]]-Множество_202207112140401240[[#This Row],[13]])</f>
        <v>3.4499999999999993</v>
      </c>
      <c r="AC252" s="208">
        <f>Множество_202207112140401240[[#This Row],[20]]+Множество_202207112140401240[[#This Row],[21]]</f>
        <v>12.675000000000001</v>
      </c>
    </row>
    <row r="253" spans="6:29" x14ac:dyDescent="0.25">
      <c r="F253" s="213"/>
      <c r="K253" s="208">
        <f>Множество_202207112140401240[[#This Row],[2]]-Множество_202207112140401240[[#This Row],[4]]</f>
        <v>0</v>
      </c>
      <c r="L253" s="208">
        <f>Множество_202207112140401240[[#This Row],[3]]-Множество_202207112140401240[[#This Row],[5]]</f>
        <v>0</v>
      </c>
      <c r="M253" s="208">
        <f>Множество_202207112140401240[[#This Row],[7]]+Множество_202207112140401240[[#This Row],[6]]</f>
        <v>0</v>
      </c>
      <c r="N253" s="208" t="str">
        <f>CONCATENATE(Множество_202207112140401240[[#This Row],[2]],Множество_202207112140401240[[#This Row],[3]])</f>
        <v/>
      </c>
      <c r="O253" s="208"/>
      <c r="P253" s="208"/>
      <c r="Q253">
        <v>-1.55</v>
      </c>
      <c r="R253">
        <v>-13.5666666666667</v>
      </c>
      <c r="S253" s="208">
        <v>10</v>
      </c>
      <c r="T253" s="208">
        <v>-12.5</v>
      </c>
      <c r="U253" s="208">
        <f>ABS(Множество_202207112140401240[[#This Row],[10]]-Множество_202207112140401240[[#This Row],[12]])</f>
        <v>11.55</v>
      </c>
      <c r="V253" s="208">
        <f>ABS(Множество_202207112140401240[[#This Row],[11]]-Множество_202207112140401240[[#This Row],[13]])</f>
        <v>1.0666666666667002</v>
      </c>
      <c r="W253" s="208">
        <f>Множество_202207112140401240[[#This Row],[15]]+Множество_202207112140401240[[#This Row],[14]]</f>
        <v>12.616666666666701</v>
      </c>
      <c r="X253" s="208">
        <f ca="1">IF(ROW()-ROW(Множество_202207112140401240[[#Headers],[17]])&gt;1,Множество_202207112140401240[[#This Row],[16]]-OFFSET(Множество_202207112140401240[[#This Row],[16]],-1,0),0)</f>
        <v>-5.8333333333299819E-2</v>
      </c>
      <c r="Y253" s="208">
        <v>-1.55</v>
      </c>
      <c r="Z253" s="208">
        <v>-13.5666666666667</v>
      </c>
      <c r="AA253" s="208">
        <f>ABS(Множество_202207112140401240[[#This Row],[18]]-Множество_202207112140401240[[#This Row],[12]])</f>
        <v>11.55</v>
      </c>
      <c r="AB253" s="208">
        <f>ABS(Множество_202207112140401240[[#This Row],[19]]-Множество_202207112140401240[[#This Row],[13]])</f>
        <v>1.0666666666667002</v>
      </c>
      <c r="AC253" s="208">
        <f>Множество_202207112140401240[[#This Row],[20]]+Множество_202207112140401240[[#This Row],[21]]</f>
        <v>12.616666666666701</v>
      </c>
    </row>
    <row r="254" spans="6:29" x14ac:dyDescent="0.25">
      <c r="F254" s="213"/>
      <c r="K254" s="208">
        <f>Множество_202207112140401240[[#This Row],[2]]-Множество_202207112140401240[[#This Row],[4]]</f>
        <v>0</v>
      </c>
      <c r="L254" s="208">
        <f>Множество_202207112140401240[[#This Row],[3]]-Множество_202207112140401240[[#This Row],[5]]</f>
        <v>0</v>
      </c>
      <c r="M254" s="208">
        <f>Множество_202207112140401240[[#This Row],[7]]+Множество_202207112140401240[[#This Row],[6]]</f>
        <v>0</v>
      </c>
      <c r="N254" s="208" t="str">
        <f>CONCATENATE(Множество_202207112140401240[[#This Row],[2]],Множество_202207112140401240[[#This Row],[3]])</f>
        <v/>
      </c>
      <c r="O254" s="208"/>
      <c r="P254" s="208"/>
      <c r="Q254">
        <v>-1.625</v>
      </c>
      <c r="R254">
        <v>-13.55</v>
      </c>
      <c r="S254" s="208">
        <v>10</v>
      </c>
      <c r="T254" s="208">
        <v>-12.5</v>
      </c>
      <c r="U254" s="208">
        <f>ABS(Множество_202207112140401240[[#This Row],[10]]-Множество_202207112140401240[[#This Row],[12]])</f>
        <v>11.625</v>
      </c>
      <c r="V254" s="208">
        <f>ABS(Множество_202207112140401240[[#This Row],[11]]-Множество_202207112140401240[[#This Row],[13]])</f>
        <v>1.0500000000000007</v>
      </c>
      <c r="W254" s="208">
        <f>Множество_202207112140401240[[#This Row],[15]]+Множество_202207112140401240[[#This Row],[14]]</f>
        <v>12.675000000000001</v>
      </c>
      <c r="X254" s="208">
        <f ca="1">IF(ROW()-ROW(Множество_202207112140401240[[#Headers],[17]])&gt;1,Множество_202207112140401240[[#This Row],[16]]-OFFSET(Множество_202207112140401240[[#This Row],[16]],-1,0),0)</f>
        <v>5.8333333333299819E-2</v>
      </c>
      <c r="Y254" s="208">
        <v>-1.625</v>
      </c>
      <c r="Z254" s="208">
        <v>-13.55</v>
      </c>
      <c r="AA254" s="208">
        <f>ABS(Множество_202207112140401240[[#This Row],[18]]-Множество_202207112140401240[[#This Row],[12]])</f>
        <v>11.625</v>
      </c>
      <c r="AB254" s="208">
        <f>ABS(Множество_202207112140401240[[#This Row],[19]]-Множество_202207112140401240[[#This Row],[13]])</f>
        <v>1.0500000000000007</v>
      </c>
      <c r="AC254" s="208">
        <f>Множество_202207112140401240[[#This Row],[20]]+Множество_202207112140401240[[#This Row],[21]]</f>
        <v>12.675000000000001</v>
      </c>
    </row>
    <row r="255" spans="6:29" x14ac:dyDescent="0.25">
      <c r="F255" s="213"/>
      <c r="K255" s="208">
        <f>Множество_202207112140401240[[#This Row],[2]]-Множество_202207112140401240[[#This Row],[4]]</f>
        <v>0</v>
      </c>
      <c r="L255" s="208">
        <f>Множество_202207112140401240[[#This Row],[3]]-Множество_202207112140401240[[#This Row],[5]]</f>
        <v>0</v>
      </c>
      <c r="M255" s="208">
        <f>Множество_202207112140401240[[#This Row],[7]]+Множество_202207112140401240[[#This Row],[6]]</f>
        <v>0</v>
      </c>
      <c r="N255" s="208" t="str">
        <f>CONCATENATE(Множество_202207112140401240[[#This Row],[2]],Множество_202207112140401240[[#This Row],[3]])</f>
        <v/>
      </c>
      <c r="O255" s="208"/>
      <c r="P255" s="208"/>
      <c r="Q255">
        <v>-1.7749999999999999</v>
      </c>
      <c r="R255">
        <v>-13.533333333333299</v>
      </c>
      <c r="S255" s="208">
        <v>10</v>
      </c>
      <c r="T255" s="208">
        <v>-12.5</v>
      </c>
      <c r="U255" s="208">
        <f>ABS(Множество_202207112140401240[[#This Row],[10]]-Множество_202207112140401240[[#This Row],[12]])</f>
        <v>11.775</v>
      </c>
      <c r="V255" s="208">
        <f>ABS(Множество_202207112140401240[[#This Row],[11]]-Множество_202207112140401240[[#This Row],[13]])</f>
        <v>1.0333333333332995</v>
      </c>
      <c r="W255" s="208">
        <f>Множество_202207112140401240[[#This Row],[15]]+Множество_202207112140401240[[#This Row],[14]]</f>
        <v>12.8083333333333</v>
      </c>
      <c r="X255" s="208">
        <f ca="1">IF(ROW()-ROW(Множество_202207112140401240[[#Headers],[17]])&gt;1,Множество_202207112140401240[[#This Row],[16]]-OFFSET(Множество_202207112140401240[[#This Row],[16]],-1,0),0)</f>
        <v>0.13333333333329911</v>
      </c>
      <c r="Y255" s="208">
        <v>-1.7749999999999999</v>
      </c>
      <c r="Z255" s="208">
        <v>-13.533333333333299</v>
      </c>
      <c r="AA255" s="208">
        <f>ABS(Множество_202207112140401240[[#This Row],[18]]-Множество_202207112140401240[[#This Row],[12]])</f>
        <v>11.775</v>
      </c>
      <c r="AB255" s="208">
        <f>ABS(Множество_202207112140401240[[#This Row],[19]]-Множество_202207112140401240[[#This Row],[13]])</f>
        <v>1.0333333333332995</v>
      </c>
      <c r="AC255" s="208">
        <f>Множество_202207112140401240[[#This Row],[20]]+Множество_202207112140401240[[#This Row],[21]]</f>
        <v>12.8083333333333</v>
      </c>
    </row>
    <row r="256" spans="6:29" x14ac:dyDescent="0.25">
      <c r="F256" s="213"/>
      <c r="K256" s="208">
        <f>Множество_202207112140401240[[#This Row],[2]]-Множество_202207112140401240[[#This Row],[4]]</f>
        <v>0</v>
      </c>
      <c r="L256" s="208">
        <f>Множество_202207112140401240[[#This Row],[3]]-Множество_202207112140401240[[#This Row],[5]]</f>
        <v>0</v>
      </c>
      <c r="M256" s="208">
        <f>Множество_202207112140401240[[#This Row],[7]]+Множество_202207112140401240[[#This Row],[6]]</f>
        <v>0</v>
      </c>
      <c r="N256" s="208" t="str">
        <f>CONCATENATE(Множество_202207112140401240[[#This Row],[2]],Множество_202207112140401240[[#This Row],[3]])</f>
        <v/>
      </c>
      <c r="O256" s="208"/>
      <c r="P256" s="208"/>
      <c r="Q256">
        <v>0.69999999999999896</v>
      </c>
      <c r="R256">
        <v>-15.983333333333301</v>
      </c>
      <c r="S256" s="208">
        <v>10</v>
      </c>
      <c r="T256" s="208">
        <v>-12.5</v>
      </c>
      <c r="U256" s="208">
        <f>ABS(Множество_202207112140401240[[#This Row],[10]]-Множество_202207112140401240[[#This Row],[12]])</f>
        <v>9.3000000000000007</v>
      </c>
      <c r="V256" s="208">
        <f>ABS(Множество_202207112140401240[[#This Row],[11]]-Множество_202207112140401240[[#This Row],[13]])</f>
        <v>3.4833333333333005</v>
      </c>
      <c r="W256" s="208">
        <f>Множество_202207112140401240[[#This Row],[15]]+Множество_202207112140401240[[#This Row],[14]]</f>
        <v>12.783333333333301</v>
      </c>
      <c r="X256" s="208">
        <f ca="1">IF(ROW()-ROW(Множество_202207112140401240[[#Headers],[17]])&gt;1,Множество_202207112140401240[[#This Row],[16]]-OFFSET(Множество_202207112140401240[[#This Row],[16]],-1,0),0)</f>
        <v>-2.4999999999998579E-2</v>
      </c>
      <c r="Y256" s="208">
        <v>0.69999999999999896</v>
      </c>
      <c r="Z256" s="208">
        <v>-15.983333333333301</v>
      </c>
      <c r="AA256" s="208">
        <f>ABS(Множество_202207112140401240[[#This Row],[18]]-Множество_202207112140401240[[#This Row],[12]])</f>
        <v>9.3000000000000007</v>
      </c>
      <c r="AB256" s="208">
        <f>ABS(Множество_202207112140401240[[#This Row],[19]]-Множество_202207112140401240[[#This Row],[13]])</f>
        <v>3.4833333333333005</v>
      </c>
      <c r="AC256" s="208">
        <f>Множество_202207112140401240[[#This Row],[20]]+Множество_202207112140401240[[#This Row],[21]]</f>
        <v>12.783333333333301</v>
      </c>
    </row>
    <row r="257" spans="6:29" x14ac:dyDescent="0.25">
      <c r="F257" s="213"/>
      <c r="K257" s="208">
        <f>Множество_202207112140401240[[#This Row],[2]]-Множество_202207112140401240[[#This Row],[4]]</f>
        <v>0</v>
      </c>
      <c r="L257" s="208">
        <f>Множество_202207112140401240[[#This Row],[3]]-Множество_202207112140401240[[#This Row],[5]]</f>
        <v>0</v>
      </c>
      <c r="M257" s="208">
        <f>Множество_202207112140401240[[#This Row],[7]]+Множество_202207112140401240[[#This Row],[6]]</f>
        <v>0</v>
      </c>
      <c r="N257" s="208" t="str">
        <f>CONCATENATE(Множество_202207112140401240[[#This Row],[2]],Множество_202207112140401240[[#This Row],[3]])</f>
        <v/>
      </c>
      <c r="O257" s="208"/>
      <c r="P257" s="208"/>
      <c r="Q257">
        <v>0.625</v>
      </c>
      <c r="R257">
        <v>-16</v>
      </c>
      <c r="S257" s="208">
        <v>10</v>
      </c>
      <c r="T257" s="208">
        <v>-12.5</v>
      </c>
      <c r="U257" s="208">
        <f>ABS(Множество_202207112140401240[[#This Row],[10]]-Множество_202207112140401240[[#This Row],[12]])</f>
        <v>9.375</v>
      </c>
      <c r="V257" s="208">
        <f>ABS(Множество_202207112140401240[[#This Row],[11]]-Множество_202207112140401240[[#This Row],[13]])</f>
        <v>3.5</v>
      </c>
      <c r="W257" s="208">
        <f>Множество_202207112140401240[[#This Row],[15]]+Множество_202207112140401240[[#This Row],[14]]</f>
        <v>12.875</v>
      </c>
      <c r="X257" s="208">
        <f ca="1">IF(ROW()-ROW(Множество_202207112140401240[[#Headers],[17]])&gt;1,Множество_202207112140401240[[#This Row],[16]]-OFFSET(Множество_202207112140401240[[#This Row],[16]],-1,0),0)</f>
        <v>9.166666666669876E-2</v>
      </c>
      <c r="Y257" s="208">
        <v>0.625</v>
      </c>
      <c r="Z257" s="208">
        <v>-16</v>
      </c>
      <c r="AA257" s="208">
        <f>ABS(Множество_202207112140401240[[#This Row],[18]]-Множество_202207112140401240[[#This Row],[12]])</f>
        <v>9.375</v>
      </c>
      <c r="AB257" s="208">
        <f>ABS(Множество_202207112140401240[[#This Row],[19]]-Множество_202207112140401240[[#This Row],[13]])</f>
        <v>3.5</v>
      </c>
      <c r="AC257" s="208">
        <f>Множество_202207112140401240[[#This Row],[20]]+Множество_202207112140401240[[#This Row],[21]]</f>
        <v>12.875</v>
      </c>
    </row>
    <row r="258" spans="6:29" x14ac:dyDescent="0.25">
      <c r="F258" s="213"/>
      <c r="K258" s="208">
        <f>Множество_202207112140401240[[#This Row],[2]]-Множество_202207112140401240[[#This Row],[4]]</f>
        <v>0</v>
      </c>
      <c r="L258" s="208">
        <f>Множество_202207112140401240[[#This Row],[3]]-Множество_202207112140401240[[#This Row],[5]]</f>
        <v>0</v>
      </c>
      <c r="M258" s="208">
        <f>Множество_202207112140401240[[#This Row],[7]]+Множество_202207112140401240[[#This Row],[6]]</f>
        <v>0</v>
      </c>
      <c r="N258" s="208" t="str">
        <f>CONCATENATE(Множество_202207112140401240[[#This Row],[2]],Множество_202207112140401240[[#This Row],[3]])</f>
        <v/>
      </c>
      <c r="O258" s="208"/>
      <c r="P258" s="208"/>
      <c r="Q258">
        <v>-1.925</v>
      </c>
      <c r="R258">
        <v>-13.5</v>
      </c>
      <c r="S258" s="208">
        <v>10</v>
      </c>
      <c r="T258" s="208">
        <v>-12.5</v>
      </c>
      <c r="U258" s="208">
        <f>ABS(Множество_202207112140401240[[#This Row],[10]]-Множество_202207112140401240[[#This Row],[12]])</f>
        <v>11.925000000000001</v>
      </c>
      <c r="V258" s="208">
        <f>ABS(Множество_202207112140401240[[#This Row],[11]]-Множество_202207112140401240[[#This Row],[13]])</f>
        <v>1</v>
      </c>
      <c r="W258" s="208">
        <f>Множество_202207112140401240[[#This Row],[15]]+Множество_202207112140401240[[#This Row],[14]]</f>
        <v>12.925000000000001</v>
      </c>
      <c r="X258" s="208">
        <f ca="1">IF(ROW()-ROW(Множество_202207112140401240[[#Headers],[17]])&gt;1,Множество_202207112140401240[[#This Row],[16]]-OFFSET(Множество_202207112140401240[[#This Row],[16]],-1,0),0)</f>
        <v>5.0000000000000711E-2</v>
      </c>
      <c r="Y258" s="208">
        <v>-1.925</v>
      </c>
      <c r="Z258" s="208">
        <v>-13.5</v>
      </c>
      <c r="AA258" s="208">
        <f>ABS(Множество_202207112140401240[[#This Row],[18]]-Множество_202207112140401240[[#This Row],[12]])</f>
        <v>11.925000000000001</v>
      </c>
      <c r="AB258" s="208">
        <f>ABS(Множество_202207112140401240[[#This Row],[19]]-Множество_202207112140401240[[#This Row],[13]])</f>
        <v>1</v>
      </c>
      <c r="AC258" s="208">
        <f>Множество_202207112140401240[[#This Row],[20]]+Множество_202207112140401240[[#This Row],[21]]</f>
        <v>12.925000000000001</v>
      </c>
    </row>
    <row r="259" spans="6:29" x14ac:dyDescent="0.25">
      <c r="F259" s="213"/>
      <c r="K259" s="208">
        <f>Множество_202207112140401240[[#This Row],[2]]-Множество_202207112140401240[[#This Row],[4]]</f>
        <v>0</v>
      </c>
      <c r="L259" s="208">
        <f>Множество_202207112140401240[[#This Row],[3]]-Множество_202207112140401240[[#This Row],[5]]</f>
        <v>0</v>
      </c>
      <c r="M259" s="208">
        <f>Множество_202207112140401240[[#This Row],[7]]+Множество_202207112140401240[[#This Row],[6]]</f>
        <v>0</v>
      </c>
      <c r="N259" s="208" t="str">
        <f>CONCATENATE(Множество_202207112140401240[[#This Row],[2]],Множество_202207112140401240[[#This Row],[3]])</f>
        <v/>
      </c>
      <c r="O259" s="208"/>
      <c r="P259" s="208"/>
      <c r="Q259">
        <v>-1.85</v>
      </c>
      <c r="R259">
        <v>-13.516666666666699</v>
      </c>
      <c r="S259" s="208">
        <v>10</v>
      </c>
      <c r="T259" s="208">
        <v>-12.5</v>
      </c>
      <c r="U259" s="208">
        <f>ABS(Множество_202207112140401240[[#This Row],[10]]-Множество_202207112140401240[[#This Row],[12]])</f>
        <v>11.85</v>
      </c>
      <c r="V259" s="208">
        <f>ABS(Множество_202207112140401240[[#This Row],[11]]-Множество_202207112140401240[[#This Row],[13]])</f>
        <v>1.0166666666666995</v>
      </c>
      <c r="W259" s="208">
        <f>Множество_202207112140401240[[#This Row],[15]]+Множество_202207112140401240[[#This Row],[14]]</f>
        <v>12.866666666666699</v>
      </c>
      <c r="X259" s="208">
        <f ca="1">IF(ROW()-ROW(Множество_202207112140401240[[#Headers],[17]])&gt;1,Множество_202207112140401240[[#This Row],[16]]-OFFSET(Множество_202207112140401240[[#This Row],[16]],-1,0),0)</f>
        <v>-5.8333333333301596E-2</v>
      </c>
      <c r="Y259" s="208">
        <v>-1.85</v>
      </c>
      <c r="Z259" s="208">
        <v>-13.516666666666699</v>
      </c>
      <c r="AA259" s="208">
        <f>ABS(Множество_202207112140401240[[#This Row],[18]]-Множество_202207112140401240[[#This Row],[12]])</f>
        <v>11.85</v>
      </c>
      <c r="AB259" s="208">
        <f>ABS(Множество_202207112140401240[[#This Row],[19]]-Множество_202207112140401240[[#This Row],[13]])</f>
        <v>1.0166666666666995</v>
      </c>
      <c r="AC259" s="208">
        <f>Множество_202207112140401240[[#This Row],[20]]+Множество_202207112140401240[[#This Row],[21]]</f>
        <v>12.866666666666699</v>
      </c>
    </row>
    <row r="260" spans="6:29" x14ac:dyDescent="0.25">
      <c r="F260" s="213"/>
      <c r="K260" s="208">
        <f>Множество_202207112140401240[[#This Row],[2]]-Множество_202207112140401240[[#This Row],[4]]</f>
        <v>0</v>
      </c>
      <c r="L260" s="208">
        <f>Множество_202207112140401240[[#This Row],[3]]-Множество_202207112140401240[[#This Row],[5]]</f>
        <v>0</v>
      </c>
      <c r="M260" s="208">
        <f>Множество_202207112140401240[[#This Row],[7]]+Множество_202207112140401240[[#This Row],[6]]</f>
        <v>0</v>
      </c>
      <c r="N260" s="208" t="str">
        <f>CONCATENATE(Множество_202207112140401240[[#This Row],[2]],Множество_202207112140401240[[#This Row],[3]])</f>
        <v/>
      </c>
      <c r="O260" s="208"/>
      <c r="P260" s="208"/>
      <c r="Q260">
        <v>0.55000000000000104</v>
      </c>
      <c r="R260">
        <v>-16.016666666666701</v>
      </c>
      <c r="S260" s="208">
        <v>10</v>
      </c>
      <c r="T260" s="208">
        <v>-12.5</v>
      </c>
      <c r="U260" s="208">
        <f>ABS(Множество_202207112140401240[[#This Row],[10]]-Множество_202207112140401240[[#This Row],[12]])</f>
        <v>9.4499999999999993</v>
      </c>
      <c r="V260" s="208">
        <f>ABS(Множество_202207112140401240[[#This Row],[11]]-Множество_202207112140401240[[#This Row],[13]])</f>
        <v>3.5166666666667012</v>
      </c>
      <c r="W260" s="208">
        <f>Множество_202207112140401240[[#This Row],[15]]+Множество_202207112140401240[[#This Row],[14]]</f>
        <v>12.966666666666701</v>
      </c>
      <c r="X260" s="208">
        <f ca="1">IF(ROW()-ROW(Множество_202207112140401240[[#Headers],[17]])&gt;1,Множество_202207112140401240[[#This Row],[16]]-OFFSET(Множество_202207112140401240[[#This Row],[16]],-1,0),0)</f>
        <v>0.10000000000000142</v>
      </c>
      <c r="Y260" s="208">
        <v>0.55000000000000104</v>
      </c>
      <c r="Z260" s="208">
        <v>-16.016666666666701</v>
      </c>
      <c r="AA260" s="208">
        <f>ABS(Множество_202207112140401240[[#This Row],[18]]-Множество_202207112140401240[[#This Row],[12]])</f>
        <v>9.4499999999999993</v>
      </c>
      <c r="AB260" s="208">
        <f>ABS(Множество_202207112140401240[[#This Row],[19]]-Множество_202207112140401240[[#This Row],[13]])</f>
        <v>3.5166666666667012</v>
      </c>
      <c r="AC260" s="208">
        <f>Множество_202207112140401240[[#This Row],[20]]+Множество_202207112140401240[[#This Row],[21]]</f>
        <v>12.966666666666701</v>
      </c>
    </row>
    <row r="261" spans="6:29" x14ac:dyDescent="0.25">
      <c r="F261" s="213"/>
      <c r="K261" s="208">
        <f>Множество_202207112140401240[[#This Row],[2]]-Множество_202207112140401240[[#This Row],[4]]</f>
        <v>0</v>
      </c>
      <c r="L261" s="208">
        <f>Множество_202207112140401240[[#This Row],[3]]-Множество_202207112140401240[[#This Row],[5]]</f>
        <v>0</v>
      </c>
      <c r="M261" s="208">
        <f>Множество_202207112140401240[[#This Row],[7]]+Множество_202207112140401240[[#This Row],[6]]</f>
        <v>0</v>
      </c>
      <c r="N261" s="208" t="str">
        <f>CONCATENATE(Множество_202207112140401240[[#This Row],[2]],Множество_202207112140401240[[#This Row],[3]])</f>
        <v/>
      </c>
      <c r="O261" s="208"/>
      <c r="P261" s="208"/>
      <c r="Q261">
        <v>-2</v>
      </c>
      <c r="R261">
        <v>-13.483333333333301</v>
      </c>
      <c r="S261" s="208">
        <v>10</v>
      </c>
      <c r="T261" s="208">
        <v>-12.5</v>
      </c>
      <c r="U261" s="208">
        <f>ABS(Множество_202207112140401240[[#This Row],[10]]-Множество_202207112140401240[[#This Row],[12]])</f>
        <v>12</v>
      </c>
      <c r="V261" s="208">
        <f>ABS(Множество_202207112140401240[[#This Row],[11]]-Множество_202207112140401240[[#This Row],[13]])</f>
        <v>0.98333333333330053</v>
      </c>
      <c r="W261" s="208">
        <f>Множество_202207112140401240[[#This Row],[15]]+Множество_202207112140401240[[#This Row],[14]]</f>
        <v>12.983333333333301</v>
      </c>
      <c r="X261" s="208">
        <f ca="1">IF(ROW()-ROW(Множество_202207112140401240[[#Headers],[17]])&gt;1,Множество_202207112140401240[[#This Row],[16]]-OFFSET(Множество_202207112140401240[[#This Row],[16]],-1,0),0)</f>
        <v>1.6666666666599994E-2</v>
      </c>
      <c r="Y261" s="208">
        <v>-2</v>
      </c>
      <c r="Z261" s="208">
        <v>-13.483333333333301</v>
      </c>
      <c r="AA261" s="208">
        <f>ABS(Множество_202207112140401240[[#This Row],[18]]-Множество_202207112140401240[[#This Row],[12]])</f>
        <v>12</v>
      </c>
      <c r="AB261" s="208">
        <f>ABS(Множество_202207112140401240[[#This Row],[19]]-Множество_202207112140401240[[#This Row],[13]])</f>
        <v>0.98333333333330053</v>
      </c>
      <c r="AC261" s="208">
        <f>Множество_202207112140401240[[#This Row],[20]]+Множество_202207112140401240[[#This Row],[21]]</f>
        <v>12.983333333333301</v>
      </c>
    </row>
    <row r="262" spans="6:29" x14ac:dyDescent="0.25">
      <c r="F262" s="213"/>
      <c r="K262" s="208">
        <f>Множество_202207112140401240[[#This Row],[2]]-Множество_202207112140401240[[#This Row],[4]]</f>
        <v>0</v>
      </c>
      <c r="L262" s="208">
        <f>Множество_202207112140401240[[#This Row],[3]]-Множество_202207112140401240[[#This Row],[5]]</f>
        <v>0</v>
      </c>
      <c r="M262" s="208">
        <f>Множество_202207112140401240[[#This Row],[7]]+Множество_202207112140401240[[#This Row],[6]]</f>
        <v>0</v>
      </c>
      <c r="N262" s="208" t="str">
        <f>CONCATENATE(Множество_202207112140401240[[#This Row],[2]],Множество_202207112140401240[[#This Row],[3]])</f>
        <v/>
      </c>
      <c r="O262" s="208"/>
      <c r="P262" s="208"/>
      <c r="Q262">
        <v>0.47500000000000098</v>
      </c>
      <c r="R262">
        <v>-16.033333333333299</v>
      </c>
      <c r="S262" s="208">
        <v>10</v>
      </c>
      <c r="T262" s="208">
        <v>-12.5</v>
      </c>
      <c r="U262" s="208">
        <f>ABS(Множество_202207112140401240[[#This Row],[10]]-Множество_202207112140401240[[#This Row],[12]])</f>
        <v>9.5249999999999986</v>
      </c>
      <c r="V262" s="208">
        <f>ABS(Множество_202207112140401240[[#This Row],[11]]-Множество_202207112140401240[[#This Row],[13]])</f>
        <v>3.5333333333332995</v>
      </c>
      <c r="W262" s="208">
        <f>Множество_202207112140401240[[#This Row],[15]]+Множество_202207112140401240[[#This Row],[14]]</f>
        <v>13.058333333333298</v>
      </c>
      <c r="X262" s="208">
        <f ca="1">IF(ROW()-ROW(Множество_202207112140401240[[#Headers],[17]])&gt;1,Множество_202207112140401240[[#This Row],[16]]-OFFSET(Множество_202207112140401240[[#This Row],[16]],-1,0),0)</f>
        <v>7.4999999999997513E-2</v>
      </c>
      <c r="Y262" s="208">
        <v>0.47500000000000098</v>
      </c>
      <c r="Z262" s="208">
        <v>-16.033333333333299</v>
      </c>
      <c r="AA262" s="208">
        <f>ABS(Множество_202207112140401240[[#This Row],[18]]-Множество_202207112140401240[[#This Row],[12]])</f>
        <v>9.5249999999999986</v>
      </c>
      <c r="AB262" s="208">
        <f>ABS(Множество_202207112140401240[[#This Row],[19]]-Множество_202207112140401240[[#This Row],[13]])</f>
        <v>3.5333333333332995</v>
      </c>
      <c r="AC262" s="208">
        <f>Множество_202207112140401240[[#This Row],[20]]+Множество_202207112140401240[[#This Row],[21]]</f>
        <v>13.058333333333298</v>
      </c>
    </row>
    <row r="263" spans="6:29" x14ac:dyDescent="0.25">
      <c r="F263" s="213"/>
      <c r="K263" s="208">
        <f>Множество_202207112140401240[[#This Row],[2]]-Множество_202207112140401240[[#This Row],[4]]</f>
        <v>0</v>
      </c>
      <c r="L263" s="208">
        <f>Множество_202207112140401240[[#This Row],[3]]-Множество_202207112140401240[[#This Row],[5]]</f>
        <v>0</v>
      </c>
      <c r="M263" s="208">
        <f>Множество_202207112140401240[[#This Row],[7]]+Множество_202207112140401240[[#This Row],[6]]</f>
        <v>0</v>
      </c>
      <c r="N263" s="208" t="str">
        <f>CONCATENATE(Множество_202207112140401240[[#This Row],[2]],Множество_202207112140401240[[#This Row],[3]])</f>
        <v/>
      </c>
      <c r="O263" s="208"/>
      <c r="P263" s="208"/>
      <c r="Q263">
        <v>-2.15</v>
      </c>
      <c r="R263">
        <v>-13.466666666666701</v>
      </c>
      <c r="S263" s="208">
        <v>10</v>
      </c>
      <c r="T263" s="208">
        <v>-12.5</v>
      </c>
      <c r="U263" s="208">
        <f>ABS(Множество_202207112140401240[[#This Row],[10]]-Множество_202207112140401240[[#This Row],[12]])</f>
        <v>12.15</v>
      </c>
      <c r="V263" s="208">
        <f>ABS(Множество_202207112140401240[[#This Row],[11]]-Множество_202207112140401240[[#This Row],[13]])</f>
        <v>0.96666666666670054</v>
      </c>
      <c r="W263" s="208">
        <f>Множество_202207112140401240[[#This Row],[15]]+Множество_202207112140401240[[#This Row],[14]]</f>
        <v>13.116666666666701</v>
      </c>
      <c r="X263" s="208">
        <f ca="1">IF(ROW()-ROW(Множество_202207112140401240[[#Headers],[17]])&gt;1,Множество_202207112140401240[[#This Row],[16]]-OFFSET(Множество_202207112140401240[[#This Row],[16]],-1,0),0)</f>
        <v>5.8333333333402848E-2</v>
      </c>
      <c r="Y263" s="208">
        <v>-2.15</v>
      </c>
      <c r="Z263" s="208">
        <v>-13.466666666666701</v>
      </c>
      <c r="AA263" s="208">
        <f>ABS(Множество_202207112140401240[[#This Row],[18]]-Множество_202207112140401240[[#This Row],[12]])</f>
        <v>12.15</v>
      </c>
      <c r="AB263" s="208">
        <f>ABS(Множество_202207112140401240[[#This Row],[19]]-Множество_202207112140401240[[#This Row],[13]])</f>
        <v>0.96666666666670054</v>
      </c>
      <c r="AC263" s="208">
        <f>Множество_202207112140401240[[#This Row],[20]]+Множество_202207112140401240[[#This Row],[21]]</f>
        <v>13.116666666666701</v>
      </c>
    </row>
    <row r="264" spans="6:29" x14ac:dyDescent="0.25">
      <c r="F264" s="213"/>
      <c r="K264" s="208">
        <f>Множество_202207112140401240[[#This Row],[2]]-Множество_202207112140401240[[#This Row],[4]]</f>
        <v>0</v>
      </c>
      <c r="L264" s="208">
        <f>Множество_202207112140401240[[#This Row],[3]]-Множество_202207112140401240[[#This Row],[5]]</f>
        <v>0</v>
      </c>
      <c r="M264" s="208">
        <f>Множество_202207112140401240[[#This Row],[7]]+Множество_202207112140401240[[#This Row],[6]]</f>
        <v>0</v>
      </c>
      <c r="N264" s="208" t="str">
        <f>CONCATENATE(Множество_202207112140401240[[#This Row],[2]],Множество_202207112140401240[[#This Row],[3]])</f>
        <v/>
      </c>
      <c r="O264" s="208"/>
      <c r="P264" s="208"/>
      <c r="Q264">
        <v>-2.0750000000000002</v>
      </c>
      <c r="R264">
        <v>-13.483333333333301</v>
      </c>
      <c r="S264" s="208">
        <v>10</v>
      </c>
      <c r="T264" s="208">
        <v>-12.5</v>
      </c>
      <c r="U264" s="208">
        <f>ABS(Множество_202207112140401240[[#This Row],[10]]-Множество_202207112140401240[[#This Row],[12]])</f>
        <v>12.074999999999999</v>
      </c>
      <c r="V264" s="208">
        <f>ABS(Множество_202207112140401240[[#This Row],[11]]-Множество_202207112140401240[[#This Row],[13]])</f>
        <v>0.98333333333330053</v>
      </c>
      <c r="W264" s="208">
        <f>Множество_202207112140401240[[#This Row],[15]]+Множество_202207112140401240[[#This Row],[14]]</f>
        <v>13.0583333333333</v>
      </c>
      <c r="X264" s="208">
        <f ca="1">IF(ROW()-ROW(Множество_202207112140401240[[#Headers],[17]])&gt;1,Множество_202207112140401240[[#This Row],[16]]-OFFSET(Множество_202207112140401240[[#This Row],[16]],-1,0),0)</f>
        <v>-5.8333333333401072E-2</v>
      </c>
      <c r="Y264" s="208">
        <v>-2.0750000000000002</v>
      </c>
      <c r="Z264" s="208">
        <v>-13.483333333333301</v>
      </c>
      <c r="AA264" s="208">
        <f>ABS(Множество_202207112140401240[[#This Row],[18]]-Множество_202207112140401240[[#This Row],[12]])</f>
        <v>12.074999999999999</v>
      </c>
      <c r="AB264" s="208">
        <f>ABS(Множество_202207112140401240[[#This Row],[19]]-Множество_202207112140401240[[#This Row],[13]])</f>
        <v>0.98333333333330053</v>
      </c>
      <c r="AC264" s="208">
        <f>Множество_202207112140401240[[#This Row],[20]]+Множество_202207112140401240[[#This Row],[21]]</f>
        <v>13.0583333333333</v>
      </c>
    </row>
    <row r="265" spans="6:29" x14ac:dyDescent="0.25">
      <c r="F265" s="213"/>
      <c r="K265" s="208">
        <f>Множество_202207112140401240[[#This Row],[2]]-Множество_202207112140401240[[#This Row],[4]]</f>
        <v>0</v>
      </c>
      <c r="L265" s="208">
        <f>Множество_202207112140401240[[#This Row],[3]]-Множество_202207112140401240[[#This Row],[5]]</f>
        <v>0</v>
      </c>
      <c r="M265" s="208">
        <f>Множество_202207112140401240[[#This Row],[7]]+Множество_202207112140401240[[#This Row],[6]]</f>
        <v>0</v>
      </c>
      <c r="N265" s="208" t="str">
        <f>CONCATENATE(Множество_202207112140401240[[#This Row],[2]],Множество_202207112140401240[[#This Row],[3]])</f>
        <v/>
      </c>
      <c r="O265" s="208"/>
      <c r="P265" s="208"/>
      <c r="Q265">
        <v>0.40000000000000202</v>
      </c>
      <c r="R265">
        <v>-16.066666666666698</v>
      </c>
      <c r="S265" s="208">
        <v>10</v>
      </c>
      <c r="T265" s="208">
        <v>-12.5</v>
      </c>
      <c r="U265" s="208">
        <f>ABS(Множество_202207112140401240[[#This Row],[10]]-Множество_202207112140401240[[#This Row],[12]])</f>
        <v>9.5999999999999979</v>
      </c>
      <c r="V265" s="208">
        <f>ABS(Множество_202207112140401240[[#This Row],[11]]-Множество_202207112140401240[[#This Row],[13]])</f>
        <v>3.5666666666666984</v>
      </c>
      <c r="W265" s="208">
        <f>Множество_202207112140401240[[#This Row],[15]]+Множество_202207112140401240[[#This Row],[14]]</f>
        <v>13.166666666666696</v>
      </c>
      <c r="X265" s="208">
        <f ca="1">IF(ROW()-ROW(Множество_202207112140401240[[#Headers],[17]])&gt;1,Множество_202207112140401240[[#This Row],[16]]-OFFSET(Множество_202207112140401240[[#This Row],[16]],-1,0),0)</f>
        <v>0.10833333333339645</v>
      </c>
      <c r="Y265" s="208">
        <v>0.40000000000000202</v>
      </c>
      <c r="Z265" s="208">
        <v>-16.066666666666698</v>
      </c>
      <c r="AA265" s="208">
        <f>ABS(Множество_202207112140401240[[#This Row],[18]]-Множество_202207112140401240[[#This Row],[12]])</f>
        <v>9.5999999999999979</v>
      </c>
      <c r="AB265" s="208">
        <f>ABS(Множество_202207112140401240[[#This Row],[19]]-Множество_202207112140401240[[#This Row],[13]])</f>
        <v>3.5666666666666984</v>
      </c>
      <c r="AC265" s="208">
        <f>Множество_202207112140401240[[#This Row],[20]]+Множество_202207112140401240[[#This Row],[21]]</f>
        <v>13.166666666666696</v>
      </c>
    </row>
    <row r="266" spans="6:29" x14ac:dyDescent="0.25">
      <c r="F266" s="213"/>
      <c r="K266" s="208">
        <f>Множество_202207112140401240[[#This Row],[2]]-Множество_202207112140401240[[#This Row],[4]]</f>
        <v>0</v>
      </c>
      <c r="L266" s="208">
        <f>Множество_202207112140401240[[#This Row],[3]]-Множество_202207112140401240[[#This Row],[5]]</f>
        <v>0</v>
      </c>
      <c r="M266" s="208">
        <f>Множество_202207112140401240[[#This Row],[7]]+Множество_202207112140401240[[#This Row],[6]]</f>
        <v>0</v>
      </c>
      <c r="N266" s="208" t="str">
        <f>CONCATENATE(Множество_202207112140401240[[#This Row],[2]],Множество_202207112140401240[[#This Row],[3]])</f>
        <v/>
      </c>
      <c r="O266" s="208"/>
      <c r="P266" s="208"/>
      <c r="Q266">
        <v>-2.2250000000000001</v>
      </c>
      <c r="R266">
        <v>-13.45</v>
      </c>
      <c r="S266" s="208">
        <v>10</v>
      </c>
      <c r="T266" s="208">
        <v>-12.5</v>
      </c>
      <c r="U266" s="208">
        <f>ABS(Множество_202207112140401240[[#This Row],[10]]-Множество_202207112140401240[[#This Row],[12]])</f>
        <v>12.225</v>
      </c>
      <c r="V266" s="208">
        <f>ABS(Множество_202207112140401240[[#This Row],[11]]-Множество_202207112140401240[[#This Row],[13]])</f>
        <v>0.94999999999999929</v>
      </c>
      <c r="W266" s="208">
        <f>Множество_202207112140401240[[#This Row],[15]]+Множество_202207112140401240[[#This Row],[14]]</f>
        <v>13.174999999999999</v>
      </c>
      <c r="X266" s="208">
        <f ca="1">IF(ROW()-ROW(Множество_202207112140401240[[#Headers],[17]])&gt;1,Множество_202207112140401240[[#This Row],[16]]-OFFSET(Множество_202207112140401240[[#This Row],[16]],-1,0),0)</f>
        <v>8.3333333333026616E-3</v>
      </c>
      <c r="Y266" s="208">
        <v>-2.2250000000000001</v>
      </c>
      <c r="Z266" s="208">
        <v>-13.45</v>
      </c>
      <c r="AA266" s="208">
        <f>ABS(Множество_202207112140401240[[#This Row],[18]]-Множество_202207112140401240[[#This Row],[12]])</f>
        <v>12.225</v>
      </c>
      <c r="AB266" s="208">
        <f>ABS(Множество_202207112140401240[[#This Row],[19]]-Множество_202207112140401240[[#This Row],[13]])</f>
        <v>0.94999999999999929</v>
      </c>
      <c r="AC266" s="208">
        <f>Множество_202207112140401240[[#This Row],[20]]+Множество_202207112140401240[[#This Row],[21]]</f>
        <v>13.174999999999999</v>
      </c>
    </row>
    <row r="267" spans="6:29" x14ac:dyDescent="0.25">
      <c r="F267" s="213"/>
      <c r="K267" s="208">
        <f>Множество_202207112140401240[[#This Row],[2]]-Множество_202207112140401240[[#This Row],[4]]</f>
        <v>0</v>
      </c>
      <c r="L267" s="208">
        <f>Множество_202207112140401240[[#This Row],[3]]-Множество_202207112140401240[[#This Row],[5]]</f>
        <v>0</v>
      </c>
      <c r="M267" s="208">
        <f>Множество_202207112140401240[[#This Row],[7]]+Множество_202207112140401240[[#This Row],[6]]</f>
        <v>0</v>
      </c>
      <c r="N267" s="208" t="str">
        <f>CONCATENATE(Множество_202207112140401240[[#This Row],[2]],Множество_202207112140401240[[#This Row],[3]])</f>
        <v/>
      </c>
      <c r="O267" s="208"/>
      <c r="P267" s="208"/>
      <c r="Q267">
        <v>-2.2999999999999998</v>
      </c>
      <c r="R267">
        <v>-13.4333333333333</v>
      </c>
      <c r="S267" s="208">
        <v>10</v>
      </c>
      <c r="T267" s="208">
        <v>-12.5</v>
      </c>
      <c r="U267" s="208">
        <f>ABS(Множество_202207112140401240[[#This Row],[10]]-Множество_202207112140401240[[#This Row],[12]])</f>
        <v>12.3</v>
      </c>
      <c r="V267" s="208">
        <f>ABS(Множество_202207112140401240[[#This Row],[11]]-Множество_202207112140401240[[#This Row],[13]])</f>
        <v>0.93333333333329982</v>
      </c>
      <c r="W267" s="208">
        <f>Множество_202207112140401240[[#This Row],[15]]+Множество_202207112140401240[[#This Row],[14]]</f>
        <v>13.233333333333301</v>
      </c>
      <c r="X267" s="208">
        <f ca="1">IF(ROW()-ROW(Множество_202207112140401240[[#Headers],[17]])&gt;1,Множество_202207112140401240[[#This Row],[16]]-OFFSET(Множество_202207112140401240[[#This Row],[16]],-1,0),0)</f>
        <v>5.8333333333301596E-2</v>
      </c>
      <c r="Y267" s="208">
        <v>-2.2999999999999998</v>
      </c>
      <c r="Z267" s="208">
        <v>-13.4333333333333</v>
      </c>
      <c r="AA267" s="208">
        <f>ABS(Множество_202207112140401240[[#This Row],[18]]-Множество_202207112140401240[[#This Row],[12]])</f>
        <v>12.3</v>
      </c>
      <c r="AB267" s="208">
        <f>ABS(Множество_202207112140401240[[#This Row],[19]]-Множество_202207112140401240[[#This Row],[13]])</f>
        <v>0.93333333333329982</v>
      </c>
      <c r="AC267" s="208">
        <f>Множество_202207112140401240[[#This Row],[20]]+Множество_202207112140401240[[#This Row],[21]]</f>
        <v>13.233333333333301</v>
      </c>
    </row>
    <row r="268" spans="6:29" x14ac:dyDescent="0.25">
      <c r="F268" s="213"/>
      <c r="K268" s="208">
        <f>Множество_202207112140401240[[#This Row],[2]]-Множество_202207112140401240[[#This Row],[4]]</f>
        <v>0</v>
      </c>
      <c r="L268" s="208">
        <f>Множество_202207112140401240[[#This Row],[3]]-Множество_202207112140401240[[#This Row],[5]]</f>
        <v>0</v>
      </c>
      <c r="M268" s="208">
        <f>Множество_202207112140401240[[#This Row],[7]]+Множество_202207112140401240[[#This Row],[6]]</f>
        <v>0</v>
      </c>
      <c r="N268" s="208" t="str">
        <f>CONCATENATE(Множество_202207112140401240[[#This Row],[2]],Множество_202207112140401240[[#This Row],[3]])</f>
        <v/>
      </c>
      <c r="O268" s="208"/>
      <c r="P268" s="208"/>
      <c r="Q268">
        <v>-3.125</v>
      </c>
      <c r="R268">
        <v>-12.75</v>
      </c>
      <c r="S268" s="208">
        <v>10</v>
      </c>
      <c r="T268" s="208">
        <v>-12.5</v>
      </c>
      <c r="U268" s="208">
        <f>ABS(Множество_202207112140401240[[#This Row],[10]]-Множество_202207112140401240[[#This Row],[12]])</f>
        <v>13.125</v>
      </c>
      <c r="V268" s="208">
        <f>ABS(Множество_202207112140401240[[#This Row],[11]]-Множество_202207112140401240[[#This Row],[13]])</f>
        <v>0.25</v>
      </c>
      <c r="W268" s="208">
        <f>Множество_202207112140401240[[#This Row],[15]]+Множество_202207112140401240[[#This Row],[14]]</f>
        <v>13.375</v>
      </c>
      <c r="X268" s="208">
        <f ca="1">IF(ROW()-ROW(Множество_202207112140401240[[#Headers],[17]])&gt;1,Множество_202207112140401240[[#This Row],[16]]-OFFSET(Множество_202207112140401240[[#This Row],[16]],-1,0),0)</f>
        <v>0.14166666666669947</v>
      </c>
      <c r="Y268" s="208">
        <v>-3.125</v>
      </c>
      <c r="Z268" s="208">
        <v>-12.75</v>
      </c>
      <c r="AA268" s="208">
        <f>ABS(Множество_202207112140401240[[#This Row],[18]]-Множество_202207112140401240[[#This Row],[12]])</f>
        <v>13.125</v>
      </c>
      <c r="AB268" s="208">
        <f>ABS(Множество_202207112140401240[[#This Row],[19]]-Множество_202207112140401240[[#This Row],[13]])</f>
        <v>0.25</v>
      </c>
      <c r="AC268" s="208">
        <f>Множество_202207112140401240[[#This Row],[20]]+Множество_202207112140401240[[#This Row],[21]]</f>
        <v>13.375</v>
      </c>
    </row>
    <row r="269" spans="6:29" x14ac:dyDescent="0.25">
      <c r="F269" s="213"/>
      <c r="K269" s="208">
        <f>Множество_202207112140401240[[#This Row],[2]]-Множество_202207112140401240[[#This Row],[4]]</f>
        <v>0</v>
      </c>
      <c r="L269" s="208">
        <f>Множество_202207112140401240[[#This Row],[3]]-Множество_202207112140401240[[#This Row],[5]]</f>
        <v>0</v>
      </c>
      <c r="M269" s="208">
        <f>Множество_202207112140401240[[#This Row],[7]]+Множество_202207112140401240[[#This Row],[6]]</f>
        <v>0</v>
      </c>
      <c r="N269" s="208" t="str">
        <f>CONCATENATE(Множество_202207112140401240[[#This Row],[2]],Множество_202207112140401240[[#This Row],[3]])</f>
        <v/>
      </c>
      <c r="O269" s="208"/>
      <c r="P269" s="208"/>
      <c r="Q269">
        <v>-2.4500000000000002</v>
      </c>
      <c r="R269">
        <v>-13.4166666666667</v>
      </c>
      <c r="S269" s="208">
        <v>10</v>
      </c>
      <c r="T269" s="208">
        <v>-12.5</v>
      </c>
      <c r="U269" s="208">
        <f>ABS(Множество_202207112140401240[[#This Row],[10]]-Множество_202207112140401240[[#This Row],[12]])</f>
        <v>12.45</v>
      </c>
      <c r="V269" s="208">
        <f>ABS(Множество_202207112140401240[[#This Row],[11]]-Множество_202207112140401240[[#This Row],[13]])</f>
        <v>0.91666666666669983</v>
      </c>
      <c r="W269" s="208">
        <f>Множество_202207112140401240[[#This Row],[15]]+Множество_202207112140401240[[#This Row],[14]]</f>
        <v>13.366666666666699</v>
      </c>
      <c r="X269" s="208">
        <f ca="1">IF(ROW()-ROW(Множество_202207112140401240[[#Headers],[17]])&gt;1,Множество_202207112140401240[[#This Row],[16]]-OFFSET(Множество_202207112140401240[[#This Row],[16]],-1,0),0)</f>
        <v>-8.3333333333008852E-3</v>
      </c>
      <c r="Y269" s="208">
        <v>-2.4500000000000002</v>
      </c>
      <c r="Z269" s="208">
        <v>-13.4166666666667</v>
      </c>
      <c r="AA269" s="208">
        <f>ABS(Множество_202207112140401240[[#This Row],[18]]-Множество_202207112140401240[[#This Row],[12]])</f>
        <v>12.45</v>
      </c>
      <c r="AB269" s="208">
        <f>ABS(Множество_202207112140401240[[#This Row],[19]]-Множество_202207112140401240[[#This Row],[13]])</f>
        <v>0.91666666666669983</v>
      </c>
      <c r="AC269" s="208">
        <f>Множество_202207112140401240[[#This Row],[20]]+Множество_202207112140401240[[#This Row],[21]]</f>
        <v>13.366666666666699</v>
      </c>
    </row>
    <row r="270" spans="6:29" x14ac:dyDescent="0.25">
      <c r="F270" s="213"/>
      <c r="K270" s="208">
        <f>Множество_202207112140401240[[#This Row],[2]]-Множество_202207112140401240[[#This Row],[4]]</f>
        <v>0</v>
      </c>
      <c r="L270" s="208">
        <f>Множество_202207112140401240[[#This Row],[3]]-Множество_202207112140401240[[#This Row],[5]]</f>
        <v>0</v>
      </c>
      <c r="M270" s="208">
        <f>Множество_202207112140401240[[#This Row],[7]]+Множество_202207112140401240[[#This Row],[6]]</f>
        <v>0</v>
      </c>
      <c r="N270" s="208" t="str">
        <f>CONCATENATE(Множество_202207112140401240[[#This Row],[2]],Множество_202207112140401240[[#This Row],[3]])</f>
        <v/>
      </c>
      <c r="O270" s="208"/>
      <c r="P270" s="208"/>
      <c r="Q270">
        <v>-2.9750000000000001</v>
      </c>
      <c r="R270">
        <v>-12.85</v>
      </c>
      <c r="S270" s="208">
        <v>10</v>
      </c>
      <c r="T270" s="208">
        <v>-12.5</v>
      </c>
      <c r="U270" s="208">
        <f>ABS(Множество_202207112140401240[[#This Row],[10]]-Множество_202207112140401240[[#This Row],[12]])</f>
        <v>12.975</v>
      </c>
      <c r="V270" s="208">
        <f>ABS(Множество_202207112140401240[[#This Row],[11]]-Множество_202207112140401240[[#This Row],[13]])</f>
        <v>0.34999999999999964</v>
      </c>
      <c r="W270" s="208">
        <f>Множество_202207112140401240[[#This Row],[15]]+Множество_202207112140401240[[#This Row],[14]]</f>
        <v>13.324999999999999</v>
      </c>
      <c r="X270" s="208">
        <f ca="1">IF(ROW()-ROW(Множество_202207112140401240[[#Headers],[17]])&gt;1,Множество_202207112140401240[[#This Row],[16]]-OFFSET(Множество_202207112140401240[[#This Row],[16]],-1,0),0)</f>
        <v>-4.1666666666699825E-2</v>
      </c>
      <c r="Y270" s="208">
        <v>-2.9750000000000001</v>
      </c>
      <c r="Z270" s="208">
        <v>-12.85</v>
      </c>
      <c r="AA270" s="208">
        <f>ABS(Множество_202207112140401240[[#This Row],[18]]-Множество_202207112140401240[[#This Row],[12]])</f>
        <v>12.975</v>
      </c>
      <c r="AB270" s="208">
        <f>ABS(Множество_202207112140401240[[#This Row],[19]]-Множество_202207112140401240[[#This Row],[13]])</f>
        <v>0.34999999999999964</v>
      </c>
      <c r="AC270" s="208">
        <f>Множество_202207112140401240[[#This Row],[20]]+Множество_202207112140401240[[#This Row],[21]]</f>
        <v>13.324999999999999</v>
      </c>
    </row>
    <row r="271" spans="6:29" x14ac:dyDescent="0.25">
      <c r="F271" s="213"/>
      <c r="K271" s="208">
        <f>Множество_202207112140401240[[#This Row],[2]]-Множество_202207112140401240[[#This Row],[4]]</f>
        <v>0</v>
      </c>
      <c r="L271" s="208">
        <f>Множество_202207112140401240[[#This Row],[3]]-Множество_202207112140401240[[#This Row],[5]]</f>
        <v>0</v>
      </c>
      <c r="M271" s="208">
        <f>Множество_202207112140401240[[#This Row],[7]]+Множество_202207112140401240[[#This Row],[6]]</f>
        <v>0</v>
      </c>
      <c r="N271" s="208" t="str">
        <f>CONCATENATE(Множество_202207112140401240[[#This Row],[2]],Множество_202207112140401240[[#This Row],[3]])</f>
        <v/>
      </c>
      <c r="O271" s="208"/>
      <c r="P271" s="208"/>
      <c r="Q271">
        <v>0.32499999999999901</v>
      </c>
      <c r="R271">
        <v>-16.0833333333333</v>
      </c>
      <c r="S271" s="208">
        <v>10</v>
      </c>
      <c r="T271" s="208">
        <v>-12.5</v>
      </c>
      <c r="U271" s="208">
        <f>ABS(Множество_202207112140401240[[#This Row],[10]]-Множество_202207112140401240[[#This Row],[12]])</f>
        <v>9.6750000000000007</v>
      </c>
      <c r="V271" s="208">
        <f>ABS(Множество_202207112140401240[[#This Row],[11]]-Множество_202207112140401240[[#This Row],[13]])</f>
        <v>3.5833333333333002</v>
      </c>
      <c r="W271" s="208">
        <f>Множество_202207112140401240[[#This Row],[15]]+Множество_202207112140401240[[#This Row],[14]]</f>
        <v>13.258333333333301</v>
      </c>
      <c r="X271" s="208">
        <f ca="1">IF(ROW()-ROW(Множество_202207112140401240[[#Headers],[17]])&gt;1,Множество_202207112140401240[[#This Row],[16]]-OFFSET(Множество_202207112140401240[[#This Row],[16]],-1,0),0)</f>
        <v>-6.6666666666698404E-2</v>
      </c>
      <c r="Y271" s="208">
        <v>0.32499999999999901</v>
      </c>
      <c r="Z271" s="208">
        <v>-16.0833333333333</v>
      </c>
      <c r="AA271" s="208">
        <f>ABS(Множество_202207112140401240[[#This Row],[18]]-Множество_202207112140401240[[#This Row],[12]])</f>
        <v>9.6750000000000007</v>
      </c>
      <c r="AB271" s="208">
        <f>ABS(Множество_202207112140401240[[#This Row],[19]]-Множество_202207112140401240[[#This Row],[13]])</f>
        <v>3.5833333333333002</v>
      </c>
      <c r="AC271" s="208">
        <f>Множество_202207112140401240[[#This Row],[20]]+Множество_202207112140401240[[#This Row],[21]]</f>
        <v>13.258333333333301</v>
      </c>
    </row>
    <row r="272" spans="6:29" x14ac:dyDescent="0.25">
      <c r="F272" s="213"/>
      <c r="K272" s="208">
        <f>Множество_202207112140401240[[#This Row],[2]]-Множество_202207112140401240[[#This Row],[4]]</f>
        <v>0</v>
      </c>
      <c r="L272" s="208">
        <f>Множество_202207112140401240[[#This Row],[3]]-Множество_202207112140401240[[#This Row],[5]]</f>
        <v>0</v>
      </c>
      <c r="M272" s="208">
        <f>Множество_202207112140401240[[#This Row],[7]]+Множество_202207112140401240[[#This Row],[6]]</f>
        <v>0</v>
      </c>
      <c r="N272" s="208" t="str">
        <f>CONCATENATE(Множество_202207112140401240[[#This Row],[2]],Множество_202207112140401240[[#This Row],[3]])</f>
        <v/>
      </c>
      <c r="O272" s="208"/>
      <c r="P272" s="208"/>
      <c r="Q272">
        <v>0.25</v>
      </c>
      <c r="R272">
        <v>-16.100000000000001</v>
      </c>
      <c r="S272" s="208">
        <v>10</v>
      </c>
      <c r="T272" s="208">
        <v>-12.5</v>
      </c>
      <c r="U272" s="208">
        <f>ABS(Множество_202207112140401240[[#This Row],[10]]-Множество_202207112140401240[[#This Row],[12]])</f>
        <v>9.75</v>
      </c>
      <c r="V272" s="208">
        <f>ABS(Множество_202207112140401240[[#This Row],[11]]-Множество_202207112140401240[[#This Row],[13]])</f>
        <v>3.6000000000000014</v>
      </c>
      <c r="W272" s="208">
        <f>Множество_202207112140401240[[#This Row],[15]]+Множество_202207112140401240[[#This Row],[14]]</f>
        <v>13.350000000000001</v>
      </c>
      <c r="X272" s="208">
        <f ca="1">IF(ROW()-ROW(Множество_202207112140401240[[#Headers],[17]])&gt;1,Множество_202207112140401240[[#This Row],[16]]-OFFSET(Множество_202207112140401240[[#This Row],[16]],-1,0),0)</f>
        <v>9.1666666666700536E-2</v>
      </c>
      <c r="Y272" s="208">
        <v>0.25</v>
      </c>
      <c r="Z272" s="208">
        <v>-16.100000000000001</v>
      </c>
      <c r="AA272" s="208">
        <f>ABS(Множество_202207112140401240[[#This Row],[18]]-Множество_202207112140401240[[#This Row],[12]])</f>
        <v>9.75</v>
      </c>
      <c r="AB272" s="208">
        <f>ABS(Множество_202207112140401240[[#This Row],[19]]-Множество_202207112140401240[[#This Row],[13]])</f>
        <v>3.6000000000000014</v>
      </c>
      <c r="AC272" s="208">
        <f>Множество_202207112140401240[[#This Row],[20]]+Множество_202207112140401240[[#This Row],[21]]</f>
        <v>13.350000000000001</v>
      </c>
    </row>
    <row r="273" spans="6:29" x14ac:dyDescent="0.25">
      <c r="F273" s="213"/>
      <c r="K273" s="208">
        <f>Множество_202207112140401240[[#This Row],[2]]-Множество_202207112140401240[[#This Row],[4]]</f>
        <v>0</v>
      </c>
      <c r="L273" s="208">
        <f>Множество_202207112140401240[[#This Row],[3]]-Множество_202207112140401240[[#This Row],[5]]</f>
        <v>0</v>
      </c>
      <c r="M273" s="208">
        <f>Множество_202207112140401240[[#This Row],[7]]+Множество_202207112140401240[[#This Row],[6]]</f>
        <v>0</v>
      </c>
      <c r="N273" s="208" t="str">
        <f>CONCATENATE(Множество_202207112140401240[[#This Row],[2]],Множество_202207112140401240[[#This Row],[3]])</f>
        <v/>
      </c>
      <c r="O273" s="208"/>
      <c r="P273" s="208"/>
      <c r="Q273">
        <v>-3.05</v>
      </c>
      <c r="R273">
        <v>-12.8</v>
      </c>
      <c r="S273" s="208">
        <v>10</v>
      </c>
      <c r="T273" s="208">
        <v>-12.5</v>
      </c>
      <c r="U273" s="208">
        <f>ABS(Множество_202207112140401240[[#This Row],[10]]-Множество_202207112140401240[[#This Row],[12]])</f>
        <v>13.05</v>
      </c>
      <c r="V273" s="208">
        <f>ABS(Множество_202207112140401240[[#This Row],[11]]-Множество_202207112140401240[[#This Row],[13]])</f>
        <v>0.30000000000000071</v>
      </c>
      <c r="W273" s="208">
        <f>Множество_202207112140401240[[#This Row],[15]]+Множество_202207112140401240[[#This Row],[14]]</f>
        <v>13.350000000000001</v>
      </c>
      <c r="X273" s="208">
        <f ca="1">IF(ROW()-ROW(Множество_202207112140401240[[#Headers],[17]])&gt;1,Множество_202207112140401240[[#This Row],[16]]-OFFSET(Множество_202207112140401240[[#This Row],[16]],-1,0),0)</f>
        <v>0</v>
      </c>
      <c r="Y273" s="208">
        <v>-3.05</v>
      </c>
      <c r="Z273" s="208">
        <v>-12.8</v>
      </c>
      <c r="AA273" s="208">
        <f>ABS(Множество_202207112140401240[[#This Row],[18]]-Множество_202207112140401240[[#This Row],[12]])</f>
        <v>13.05</v>
      </c>
      <c r="AB273" s="208">
        <f>ABS(Множество_202207112140401240[[#This Row],[19]]-Множество_202207112140401240[[#This Row],[13]])</f>
        <v>0.30000000000000071</v>
      </c>
      <c r="AC273" s="208">
        <f>Множество_202207112140401240[[#This Row],[20]]+Множество_202207112140401240[[#This Row],[21]]</f>
        <v>13.350000000000001</v>
      </c>
    </row>
    <row r="274" spans="6:29" x14ac:dyDescent="0.25">
      <c r="F274" s="213"/>
      <c r="K274" s="208">
        <f>Множество_202207112140401240[[#This Row],[2]]-Множество_202207112140401240[[#This Row],[4]]</f>
        <v>0</v>
      </c>
      <c r="L274" s="208">
        <f>Множество_202207112140401240[[#This Row],[3]]-Множество_202207112140401240[[#This Row],[5]]</f>
        <v>0</v>
      </c>
      <c r="M274" s="208">
        <f>Множество_202207112140401240[[#This Row],[7]]+Множество_202207112140401240[[#This Row],[6]]</f>
        <v>0</v>
      </c>
      <c r="N274" s="208" t="str">
        <f>CONCATENATE(Множество_202207112140401240[[#This Row],[2]],Множество_202207112140401240[[#This Row],[3]])</f>
        <v/>
      </c>
      <c r="O274" s="208"/>
      <c r="P274" s="208"/>
      <c r="Q274">
        <v>-2.5249999999999999</v>
      </c>
      <c r="R274">
        <v>-13.4</v>
      </c>
      <c r="S274" s="208">
        <v>10</v>
      </c>
      <c r="T274" s="208">
        <v>-12.5</v>
      </c>
      <c r="U274" s="208">
        <f>ABS(Множество_202207112140401240[[#This Row],[10]]-Множество_202207112140401240[[#This Row],[12]])</f>
        <v>12.525</v>
      </c>
      <c r="V274" s="208">
        <f>ABS(Множество_202207112140401240[[#This Row],[11]]-Множество_202207112140401240[[#This Row],[13]])</f>
        <v>0.90000000000000036</v>
      </c>
      <c r="W274" s="208">
        <f>Множество_202207112140401240[[#This Row],[15]]+Множество_202207112140401240[[#This Row],[14]]</f>
        <v>13.425000000000001</v>
      </c>
      <c r="X274" s="208">
        <f ca="1">IF(ROW()-ROW(Множество_202207112140401240[[#Headers],[17]])&gt;1,Множество_202207112140401240[[#This Row],[16]]-OFFSET(Множество_202207112140401240[[#This Row],[16]],-1,0),0)</f>
        <v>7.4999999999999289E-2</v>
      </c>
      <c r="Y274" s="208">
        <v>-2.5249999999999999</v>
      </c>
      <c r="Z274" s="208">
        <v>-13.4</v>
      </c>
      <c r="AA274" s="208">
        <f>ABS(Множество_202207112140401240[[#This Row],[18]]-Множество_202207112140401240[[#This Row],[12]])</f>
        <v>12.525</v>
      </c>
      <c r="AB274" s="208">
        <f>ABS(Множество_202207112140401240[[#This Row],[19]]-Множество_202207112140401240[[#This Row],[13]])</f>
        <v>0.90000000000000036</v>
      </c>
      <c r="AC274" s="208">
        <f>Множество_202207112140401240[[#This Row],[20]]+Множество_202207112140401240[[#This Row],[21]]</f>
        <v>13.425000000000001</v>
      </c>
    </row>
    <row r="275" spans="6:29" x14ac:dyDescent="0.25">
      <c r="F275" s="213"/>
      <c r="K275" s="208">
        <f>Множество_202207112140401240[[#This Row],[2]]-Множество_202207112140401240[[#This Row],[4]]</f>
        <v>0</v>
      </c>
      <c r="L275" s="208">
        <f>Множество_202207112140401240[[#This Row],[3]]-Множество_202207112140401240[[#This Row],[5]]</f>
        <v>0</v>
      </c>
      <c r="M275" s="208">
        <f>Множество_202207112140401240[[#This Row],[7]]+Множество_202207112140401240[[#This Row],[6]]</f>
        <v>0</v>
      </c>
      <c r="N275" s="208" t="str">
        <f>CONCATENATE(Множество_202207112140401240[[#This Row],[2]],Множество_202207112140401240[[#This Row],[3]])</f>
        <v/>
      </c>
      <c r="O275" s="208"/>
      <c r="P275" s="208"/>
      <c r="Q275">
        <v>-3.2</v>
      </c>
      <c r="R275">
        <v>-12.716666666666701</v>
      </c>
      <c r="S275" s="208">
        <v>10</v>
      </c>
      <c r="T275" s="208">
        <v>-12.5</v>
      </c>
      <c r="U275" s="208">
        <f>ABS(Множество_202207112140401240[[#This Row],[10]]-Множество_202207112140401240[[#This Row],[12]])</f>
        <v>13.2</v>
      </c>
      <c r="V275" s="208">
        <f>ABS(Множество_202207112140401240[[#This Row],[11]]-Множество_202207112140401240[[#This Row],[13]])</f>
        <v>0.21666666666670054</v>
      </c>
      <c r="W275" s="208">
        <f>Множество_202207112140401240[[#This Row],[15]]+Множество_202207112140401240[[#This Row],[14]]</f>
        <v>13.4166666666667</v>
      </c>
      <c r="X275" s="208">
        <f ca="1">IF(ROW()-ROW(Множество_202207112140401240[[#Headers],[17]])&gt;1,Множество_202207112140401240[[#This Row],[16]]-OFFSET(Множество_202207112140401240[[#This Row],[16]],-1,0),0)</f>
        <v>-8.3333333333008852E-3</v>
      </c>
      <c r="Y275" s="208">
        <v>-3.2</v>
      </c>
      <c r="Z275" s="208">
        <v>-12.716666666666701</v>
      </c>
      <c r="AA275" s="208">
        <f>ABS(Множество_202207112140401240[[#This Row],[18]]-Множество_202207112140401240[[#This Row],[12]])</f>
        <v>13.2</v>
      </c>
      <c r="AB275" s="208">
        <f>ABS(Множество_202207112140401240[[#This Row],[19]]-Множество_202207112140401240[[#This Row],[13]])</f>
        <v>0.21666666666670054</v>
      </c>
      <c r="AC275" s="208">
        <f>Множество_202207112140401240[[#This Row],[20]]+Множество_202207112140401240[[#This Row],[21]]</f>
        <v>13.4166666666667</v>
      </c>
    </row>
    <row r="276" spans="6:29" x14ac:dyDescent="0.25">
      <c r="F276" s="213"/>
      <c r="K276" s="208">
        <f>Множество_202207112140401240[[#This Row],[2]]-Множество_202207112140401240[[#This Row],[4]]</f>
        <v>0</v>
      </c>
      <c r="L276" s="208">
        <f>Множество_202207112140401240[[#This Row],[3]]-Множество_202207112140401240[[#This Row],[5]]</f>
        <v>0</v>
      </c>
      <c r="M276" s="208">
        <f>Множество_202207112140401240[[#This Row],[7]]+Множество_202207112140401240[[#This Row],[6]]</f>
        <v>0</v>
      </c>
      <c r="N276" s="208" t="str">
        <f>CONCATENATE(Множество_202207112140401240[[#This Row],[2]],Множество_202207112140401240[[#This Row],[3]])</f>
        <v/>
      </c>
      <c r="O276" s="208"/>
      <c r="P276" s="208"/>
      <c r="Q276">
        <v>-3.35</v>
      </c>
      <c r="R276">
        <v>-12.633333333333301</v>
      </c>
      <c r="S276" s="208">
        <v>10</v>
      </c>
      <c r="T276" s="208">
        <v>-12.5</v>
      </c>
      <c r="U276" s="208">
        <f>ABS(Множество_202207112140401240[[#This Row],[10]]-Множество_202207112140401240[[#This Row],[12]])</f>
        <v>13.35</v>
      </c>
      <c r="V276" s="208">
        <f>ABS(Множество_202207112140401240[[#This Row],[11]]-Множество_202207112140401240[[#This Row],[13]])</f>
        <v>0.13333333333330089</v>
      </c>
      <c r="W276" s="208">
        <f>Множество_202207112140401240[[#This Row],[15]]+Множество_202207112140401240[[#This Row],[14]]</f>
        <v>13.483333333333301</v>
      </c>
      <c r="X276" s="208">
        <f ca="1">IF(ROW()-ROW(Множество_202207112140401240[[#Headers],[17]])&gt;1,Множество_202207112140401240[[#This Row],[16]]-OFFSET(Множество_202207112140401240[[#This Row],[16]],-1,0),0)</f>
        <v>6.6666666666600705E-2</v>
      </c>
      <c r="Y276" s="208">
        <v>-3.35</v>
      </c>
      <c r="Z276" s="208">
        <v>-12.633333333333301</v>
      </c>
      <c r="AA276" s="208">
        <f>ABS(Множество_202207112140401240[[#This Row],[18]]-Множество_202207112140401240[[#This Row],[12]])</f>
        <v>13.35</v>
      </c>
      <c r="AB276" s="208">
        <f>ABS(Множество_202207112140401240[[#This Row],[19]]-Множество_202207112140401240[[#This Row],[13]])</f>
        <v>0.13333333333330089</v>
      </c>
      <c r="AC276" s="208">
        <f>Множество_202207112140401240[[#This Row],[20]]+Множество_202207112140401240[[#This Row],[21]]</f>
        <v>13.483333333333301</v>
      </c>
    </row>
    <row r="277" spans="6:29" x14ac:dyDescent="0.25">
      <c r="F277" s="213"/>
      <c r="K277" s="208">
        <f>Множество_202207112140401240[[#This Row],[2]]-Множество_202207112140401240[[#This Row],[4]]</f>
        <v>0</v>
      </c>
      <c r="L277" s="208">
        <f>Множество_202207112140401240[[#This Row],[3]]-Множество_202207112140401240[[#This Row],[5]]</f>
        <v>0</v>
      </c>
      <c r="M277" s="208">
        <f>Множество_202207112140401240[[#This Row],[7]]+Множество_202207112140401240[[#This Row],[6]]</f>
        <v>0</v>
      </c>
      <c r="N277" s="208" t="str">
        <f>CONCATENATE(Множество_202207112140401240[[#This Row],[2]],Множество_202207112140401240[[#This Row],[3]])</f>
        <v/>
      </c>
      <c r="O277" s="208"/>
      <c r="P277" s="208"/>
      <c r="Q277">
        <v>-3.5</v>
      </c>
      <c r="R277">
        <v>-12.533333333333299</v>
      </c>
      <c r="S277" s="208">
        <v>10</v>
      </c>
      <c r="T277" s="208">
        <v>-12.5</v>
      </c>
      <c r="U277" s="208">
        <f>ABS(Множество_202207112140401240[[#This Row],[10]]-Множество_202207112140401240[[#This Row],[12]])</f>
        <v>13.5</v>
      </c>
      <c r="V277" s="208">
        <f>ABS(Множество_202207112140401240[[#This Row],[11]]-Множество_202207112140401240[[#This Row],[13]])</f>
        <v>3.3333333333299464E-2</v>
      </c>
      <c r="W277" s="208">
        <f>Множество_202207112140401240[[#This Row],[15]]+Множество_202207112140401240[[#This Row],[14]]</f>
        <v>13.533333333333299</v>
      </c>
      <c r="X277" s="208">
        <f ca="1">IF(ROW()-ROW(Множество_202207112140401240[[#Headers],[17]])&gt;1,Множество_202207112140401240[[#This Row],[16]]-OFFSET(Множество_202207112140401240[[#This Row],[16]],-1,0),0)</f>
        <v>4.9999999999998934E-2</v>
      </c>
      <c r="Y277" s="208">
        <v>-3.5</v>
      </c>
      <c r="Z277" s="208">
        <v>-12.533333333333299</v>
      </c>
      <c r="AA277" s="208">
        <f>ABS(Множество_202207112140401240[[#This Row],[18]]-Множество_202207112140401240[[#This Row],[12]])</f>
        <v>13.5</v>
      </c>
      <c r="AB277" s="208">
        <f>ABS(Множество_202207112140401240[[#This Row],[19]]-Множество_202207112140401240[[#This Row],[13]])</f>
        <v>3.3333333333299464E-2</v>
      </c>
      <c r="AC277" s="208">
        <f>Множество_202207112140401240[[#This Row],[20]]+Множество_202207112140401240[[#This Row],[21]]</f>
        <v>13.533333333333299</v>
      </c>
    </row>
    <row r="278" spans="6:29" x14ac:dyDescent="0.25">
      <c r="F278" s="213"/>
      <c r="K278" s="208">
        <f>Множество_202207112140401240[[#This Row],[2]]-Множество_202207112140401240[[#This Row],[4]]</f>
        <v>0</v>
      </c>
      <c r="L278" s="208">
        <f>Множество_202207112140401240[[#This Row],[3]]-Множество_202207112140401240[[#This Row],[5]]</f>
        <v>0</v>
      </c>
      <c r="M278" s="208">
        <f>Множество_202207112140401240[[#This Row],[7]]+Множество_202207112140401240[[#This Row],[6]]</f>
        <v>0</v>
      </c>
      <c r="N278" s="208" t="str">
        <f>CONCATENATE(Множество_202207112140401240[[#This Row],[2]],Множество_202207112140401240[[#This Row],[3]])</f>
        <v/>
      </c>
      <c r="O278" s="208"/>
      <c r="P278" s="208"/>
      <c r="Q278">
        <v>0.100000000000001</v>
      </c>
      <c r="R278">
        <v>-16.149999999999999</v>
      </c>
      <c r="S278" s="208">
        <v>10</v>
      </c>
      <c r="T278" s="208">
        <v>-12.5</v>
      </c>
      <c r="U278" s="208">
        <f>ABS(Множество_202207112140401240[[#This Row],[10]]-Множество_202207112140401240[[#This Row],[12]])</f>
        <v>9.8999999999999986</v>
      </c>
      <c r="V278" s="208">
        <f>ABS(Множество_202207112140401240[[#This Row],[11]]-Множество_202207112140401240[[#This Row],[13]])</f>
        <v>3.6499999999999986</v>
      </c>
      <c r="W278" s="208">
        <f>Множество_202207112140401240[[#This Row],[15]]+Множество_202207112140401240[[#This Row],[14]]</f>
        <v>13.549999999999997</v>
      </c>
      <c r="X278" s="208">
        <f ca="1">IF(ROW()-ROW(Множество_202207112140401240[[#Headers],[17]])&gt;1,Множество_202207112140401240[[#This Row],[16]]-OFFSET(Множество_202207112140401240[[#This Row],[16]],-1,0),0)</f>
        <v>1.6666666666697694E-2</v>
      </c>
      <c r="Y278" s="208">
        <v>0.100000000000001</v>
      </c>
      <c r="Z278" s="208">
        <v>-16.149999999999999</v>
      </c>
      <c r="AA278" s="208">
        <f>ABS(Множество_202207112140401240[[#This Row],[18]]-Множество_202207112140401240[[#This Row],[12]])</f>
        <v>9.8999999999999986</v>
      </c>
      <c r="AB278" s="208">
        <f>ABS(Множество_202207112140401240[[#This Row],[19]]-Множество_202207112140401240[[#This Row],[13]])</f>
        <v>3.6499999999999986</v>
      </c>
      <c r="AC278" s="208">
        <f>Множество_202207112140401240[[#This Row],[20]]+Множество_202207112140401240[[#This Row],[21]]</f>
        <v>13.549999999999997</v>
      </c>
    </row>
    <row r="279" spans="6:29" x14ac:dyDescent="0.25">
      <c r="F279" s="213"/>
      <c r="K279" s="208">
        <f>Множество_202207112140401240[[#This Row],[2]]-Множество_202207112140401240[[#This Row],[4]]</f>
        <v>0</v>
      </c>
      <c r="L279" s="208">
        <f>Множество_202207112140401240[[#This Row],[3]]-Множество_202207112140401240[[#This Row],[5]]</f>
        <v>0</v>
      </c>
      <c r="M279" s="208">
        <f>Множество_202207112140401240[[#This Row],[7]]+Множество_202207112140401240[[#This Row],[6]]</f>
        <v>0</v>
      </c>
      <c r="N279" s="208" t="str">
        <f>CONCATENATE(Множество_202207112140401240[[#This Row],[2]],Множество_202207112140401240[[#This Row],[3]])</f>
        <v/>
      </c>
      <c r="O279" s="208"/>
      <c r="P279" s="208"/>
      <c r="Q279">
        <v>-3.2749999999999999</v>
      </c>
      <c r="R279">
        <v>-12.6666666666667</v>
      </c>
      <c r="S279" s="208">
        <v>10</v>
      </c>
      <c r="T279" s="208">
        <v>-12.5</v>
      </c>
      <c r="U279" s="208">
        <f>ABS(Множество_202207112140401240[[#This Row],[10]]-Множество_202207112140401240[[#This Row],[12]])</f>
        <v>13.275</v>
      </c>
      <c r="V279" s="208">
        <f>ABS(Множество_202207112140401240[[#This Row],[11]]-Множество_202207112140401240[[#This Row],[13]])</f>
        <v>0.16666666666669983</v>
      </c>
      <c r="W279" s="208">
        <f>Множество_202207112140401240[[#This Row],[15]]+Множество_202207112140401240[[#This Row],[14]]</f>
        <v>13.4416666666667</v>
      </c>
      <c r="X279" s="208">
        <f ca="1">IF(ROW()-ROW(Множество_202207112140401240[[#Headers],[17]])&gt;1,Множество_202207112140401240[[#This Row],[16]]-OFFSET(Множество_202207112140401240[[#This Row],[16]],-1,0),0)</f>
        <v>-0.10833333333329698</v>
      </c>
      <c r="Y279" s="208">
        <v>-3.2749999999999999</v>
      </c>
      <c r="Z279" s="208">
        <v>-12.6666666666667</v>
      </c>
      <c r="AA279" s="208">
        <f>ABS(Множество_202207112140401240[[#This Row],[18]]-Множество_202207112140401240[[#This Row],[12]])</f>
        <v>13.275</v>
      </c>
      <c r="AB279" s="208">
        <f>ABS(Множество_202207112140401240[[#This Row],[19]]-Множество_202207112140401240[[#This Row],[13]])</f>
        <v>0.16666666666669983</v>
      </c>
      <c r="AC279" s="208">
        <f>Множество_202207112140401240[[#This Row],[20]]+Множество_202207112140401240[[#This Row],[21]]</f>
        <v>13.4416666666667</v>
      </c>
    </row>
    <row r="280" spans="6:29" x14ac:dyDescent="0.25">
      <c r="F280" s="213"/>
      <c r="K280" s="208">
        <f>Множество_202207112140401240[[#This Row],[2]]-Множество_202207112140401240[[#This Row],[4]]</f>
        <v>0</v>
      </c>
      <c r="L280" s="208">
        <f>Множество_202207112140401240[[#This Row],[3]]-Множество_202207112140401240[[#This Row],[5]]</f>
        <v>0</v>
      </c>
      <c r="M280" s="208">
        <f>Множество_202207112140401240[[#This Row],[7]]+Множество_202207112140401240[[#This Row],[6]]</f>
        <v>0</v>
      </c>
      <c r="N280" s="208" t="str">
        <f>CONCATENATE(Множество_202207112140401240[[#This Row],[2]],Множество_202207112140401240[[#This Row],[3]])</f>
        <v/>
      </c>
      <c r="O280" s="208"/>
      <c r="P280" s="208"/>
      <c r="Q280">
        <v>0.17499999999999699</v>
      </c>
      <c r="R280">
        <v>-16.133333333333301</v>
      </c>
      <c r="S280" s="208">
        <v>10</v>
      </c>
      <c r="T280" s="208">
        <v>-12.5</v>
      </c>
      <c r="U280" s="208">
        <f>ABS(Множество_202207112140401240[[#This Row],[10]]-Множество_202207112140401240[[#This Row],[12]])</f>
        <v>9.8250000000000028</v>
      </c>
      <c r="V280" s="208">
        <f>ABS(Множество_202207112140401240[[#This Row],[11]]-Множество_202207112140401240[[#This Row],[13]])</f>
        <v>3.6333333333333009</v>
      </c>
      <c r="W280" s="208">
        <f>Множество_202207112140401240[[#This Row],[15]]+Множество_202207112140401240[[#This Row],[14]]</f>
        <v>13.458333333333304</v>
      </c>
      <c r="X280" s="208">
        <f ca="1">IF(ROW()-ROW(Множество_202207112140401240[[#Headers],[17]])&gt;1,Множество_202207112140401240[[#This Row],[16]]-OFFSET(Множество_202207112140401240[[#This Row],[16]],-1,0),0)</f>
        <v>1.6666666666603547E-2</v>
      </c>
      <c r="Y280" s="208">
        <v>0.17499999999999699</v>
      </c>
      <c r="Z280" s="208">
        <v>-16.133333333333301</v>
      </c>
      <c r="AA280" s="208">
        <f>ABS(Множество_202207112140401240[[#This Row],[18]]-Множество_202207112140401240[[#This Row],[12]])</f>
        <v>9.8250000000000028</v>
      </c>
      <c r="AB280" s="208">
        <f>ABS(Множество_202207112140401240[[#This Row],[19]]-Множество_202207112140401240[[#This Row],[13]])</f>
        <v>3.6333333333333009</v>
      </c>
      <c r="AC280" s="208">
        <f>Множество_202207112140401240[[#This Row],[20]]+Множество_202207112140401240[[#This Row],[21]]</f>
        <v>13.458333333333304</v>
      </c>
    </row>
    <row r="281" spans="6:29" x14ac:dyDescent="0.25">
      <c r="F281" s="213"/>
      <c r="K281" s="208">
        <f>Множество_202207112140401240[[#This Row],[2]]-Множество_202207112140401240[[#This Row],[4]]</f>
        <v>0</v>
      </c>
      <c r="L281" s="208">
        <f>Множество_202207112140401240[[#This Row],[3]]-Множество_202207112140401240[[#This Row],[5]]</f>
        <v>0</v>
      </c>
      <c r="M281" s="208">
        <f>Множество_202207112140401240[[#This Row],[7]]+Множество_202207112140401240[[#This Row],[6]]</f>
        <v>0</v>
      </c>
      <c r="N281" s="208" t="str">
        <f>CONCATENATE(Множество_202207112140401240[[#This Row],[2]],Множество_202207112140401240[[#This Row],[3]])</f>
        <v/>
      </c>
      <c r="O281" s="208"/>
      <c r="P281" s="208"/>
      <c r="Q281">
        <v>-2.6749999999999998</v>
      </c>
      <c r="R281">
        <v>-13.366666666666699</v>
      </c>
      <c r="S281" s="208">
        <v>10</v>
      </c>
      <c r="T281" s="208">
        <v>-12.5</v>
      </c>
      <c r="U281" s="208">
        <f>ABS(Множество_202207112140401240[[#This Row],[10]]-Множество_202207112140401240[[#This Row],[12]])</f>
        <v>12.675000000000001</v>
      </c>
      <c r="V281" s="208">
        <f>ABS(Множество_202207112140401240[[#This Row],[11]]-Множество_202207112140401240[[#This Row],[13]])</f>
        <v>0.86666666666669911</v>
      </c>
      <c r="W281" s="208">
        <f>Множество_202207112140401240[[#This Row],[15]]+Множество_202207112140401240[[#This Row],[14]]</f>
        <v>13.5416666666667</v>
      </c>
      <c r="X281" s="208">
        <f ca="1">IF(ROW()-ROW(Множество_202207112140401240[[#Headers],[17]])&gt;1,Множество_202207112140401240[[#This Row],[16]]-OFFSET(Множество_202207112140401240[[#This Row],[16]],-1,0),0)</f>
        <v>8.3333333333396098E-2</v>
      </c>
      <c r="Y281" s="208">
        <v>-2.6749999999999998</v>
      </c>
      <c r="Z281" s="208">
        <v>-13.366666666666699</v>
      </c>
      <c r="AA281" s="208">
        <f>ABS(Множество_202207112140401240[[#This Row],[18]]-Множество_202207112140401240[[#This Row],[12]])</f>
        <v>12.675000000000001</v>
      </c>
      <c r="AB281" s="208">
        <f>ABS(Множество_202207112140401240[[#This Row],[19]]-Множество_202207112140401240[[#This Row],[13]])</f>
        <v>0.86666666666669911</v>
      </c>
      <c r="AC281" s="208">
        <f>Множество_202207112140401240[[#This Row],[20]]+Множество_202207112140401240[[#This Row],[21]]</f>
        <v>13.5416666666667</v>
      </c>
    </row>
    <row r="282" spans="6:29" x14ac:dyDescent="0.25">
      <c r="F282" s="213"/>
      <c r="K282" s="208">
        <f>Множество_202207112140401240[[#This Row],[2]]-Множество_202207112140401240[[#This Row],[4]]</f>
        <v>0</v>
      </c>
      <c r="L282" s="208">
        <f>Множество_202207112140401240[[#This Row],[3]]-Множество_202207112140401240[[#This Row],[5]]</f>
        <v>0</v>
      </c>
      <c r="M282" s="208">
        <f>Множество_202207112140401240[[#This Row],[7]]+Множество_202207112140401240[[#This Row],[6]]</f>
        <v>0</v>
      </c>
      <c r="N282" s="208" t="str">
        <f>CONCATENATE(Множество_202207112140401240[[#This Row],[2]],Множество_202207112140401240[[#This Row],[3]])</f>
        <v/>
      </c>
      <c r="O282" s="208"/>
      <c r="P282" s="208"/>
      <c r="Q282">
        <v>-2.6</v>
      </c>
      <c r="R282">
        <v>-13.383333333333301</v>
      </c>
      <c r="S282" s="208">
        <v>10</v>
      </c>
      <c r="T282" s="208">
        <v>-12.5</v>
      </c>
      <c r="U282" s="208">
        <f>ABS(Множество_202207112140401240[[#This Row],[10]]-Множество_202207112140401240[[#This Row],[12]])</f>
        <v>12.6</v>
      </c>
      <c r="V282" s="208">
        <f>ABS(Множество_202207112140401240[[#This Row],[11]]-Множество_202207112140401240[[#This Row],[13]])</f>
        <v>0.88333333333330089</v>
      </c>
      <c r="W282" s="208">
        <f>Множество_202207112140401240[[#This Row],[15]]+Множество_202207112140401240[[#This Row],[14]]</f>
        <v>13.483333333333301</v>
      </c>
      <c r="X282" s="208">
        <f ca="1">IF(ROW()-ROW(Множество_202207112140401240[[#Headers],[17]])&gt;1,Множество_202207112140401240[[#This Row],[16]]-OFFSET(Множество_202207112140401240[[#This Row],[16]],-1,0),0)</f>
        <v>-5.8333333333399295E-2</v>
      </c>
      <c r="Y282" s="208">
        <v>-2.6</v>
      </c>
      <c r="Z282" s="208">
        <v>-13.383333333333301</v>
      </c>
      <c r="AA282" s="208">
        <f>ABS(Множество_202207112140401240[[#This Row],[18]]-Множество_202207112140401240[[#This Row],[12]])</f>
        <v>12.6</v>
      </c>
      <c r="AB282" s="208">
        <f>ABS(Множество_202207112140401240[[#This Row],[19]]-Множество_202207112140401240[[#This Row],[13]])</f>
        <v>0.88333333333330089</v>
      </c>
      <c r="AC282" s="208">
        <f>Множество_202207112140401240[[#This Row],[20]]+Множество_202207112140401240[[#This Row],[21]]</f>
        <v>13.483333333333301</v>
      </c>
    </row>
    <row r="283" spans="6:29" x14ac:dyDescent="0.25">
      <c r="F283" s="213"/>
      <c r="K283" s="208">
        <f>Множество_202207112140401240[[#This Row],[2]]-Множество_202207112140401240[[#This Row],[4]]</f>
        <v>0</v>
      </c>
      <c r="L283" s="208">
        <f>Множество_202207112140401240[[#This Row],[3]]-Множество_202207112140401240[[#This Row],[5]]</f>
        <v>0</v>
      </c>
      <c r="M283" s="208">
        <f>Множество_202207112140401240[[#This Row],[7]]+Множество_202207112140401240[[#This Row],[6]]</f>
        <v>0</v>
      </c>
      <c r="N283" s="208" t="str">
        <f>CONCATENATE(Множество_202207112140401240[[#This Row],[2]],Множество_202207112140401240[[#This Row],[3]])</f>
        <v/>
      </c>
      <c r="O283" s="208"/>
      <c r="P283" s="208"/>
      <c r="Q283">
        <v>-3.4249999999999998</v>
      </c>
      <c r="R283">
        <v>-12.5833333333333</v>
      </c>
      <c r="S283" s="208">
        <v>10</v>
      </c>
      <c r="T283" s="208">
        <v>-12.5</v>
      </c>
      <c r="U283" s="208">
        <f>ABS(Множество_202207112140401240[[#This Row],[10]]-Множество_202207112140401240[[#This Row],[12]])</f>
        <v>13.425000000000001</v>
      </c>
      <c r="V283" s="208">
        <f>ABS(Множество_202207112140401240[[#This Row],[11]]-Множество_202207112140401240[[#This Row],[13]])</f>
        <v>8.3333333333300175E-2</v>
      </c>
      <c r="W283" s="208">
        <f>Множество_202207112140401240[[#This Row],[15]]+Множество_202207112140401240[[#This Row],[14]]</f>
        <v>13.508333333333301</v>
      </c>
      <c r="X283" s="208">
        <f ca="1">IF(ROW()-ROW(Множество_202207112140401240[[#Headers],[17]])&gt;1,Множество_202207112140401240[[#This Row],[16]]-OFFSET(Множество_202207112140401240[[#This Row],[16]],-1,0),0)</f>
        <v>2.5000000000000355E-2</v>
      </c>
      <c r="Y283" s="208">
        <v>-3.4249999999999998</v>
      </c>
      <c r="Z283" s="208">
        <v>-12.5833333333333</v>
      </c>
      <c r="AA283" s="208">
        <f>ABS(Множество_202207112140401240[[#This Row],[18]]-Множество_202207112140401240[[#This Row],[12]])</f>
        <v>13.425000000000001</v>
      </c>
      <c r="AB283" s="208">
        <f>ABS(Множество_202207112140401240[[#This Row],[19]]-Множество_202207112140401240[[#This Row],[13]])</f>
        <v>8.3333333333300175E-2</v>
      </c>
      <c r="AC283" s="208">
        <f>Множество_202207112140401240[[#This Row],[20]]+Множество_202207112140401240[[#This Row],[21]]</f>
        <v>13.508333333333301</v>
      </c>
    </row>
    <row r="284" spans="6:29" x14ac:dyDescent="0.25">
      <c r="F284" s="213"/>
      <c r="K284" s="208">
        <f>Множество_202207112140401240[[#This Row],[2]]-Множество_202207112140401240[[#This Row],[4]]</f>
        <v>0</v>
      </c>
      <c r="L284" s="208">
        <f>Множество_202207112140401240[[#This Row],[3]]-Множество_202207112140401240[[#This Row],[5]]</f>
        <v>0</v>
      </c>
      <c r="M284" s="208">
        <f>Множество_202207112140401240[[#This Row],[7]]+Множество_202207112140401240[[#This Row],[6]]</f>
        <v>0</v>
      </c>
      <c r="N284" s="208" t="str">
        <f>CONCATENATE(Множество_202207112140401240[[#This Row],[2]],Множество_202207112140401240[[#This Row],[3]])</f>
        <v/>
      </c>
      <c r="O284" s="208"/>
      <c r="P284" s="208"/>
      <c r="Q284">
        <v>-3.5750000000000002</v>
      </c>
      <c r="R284">
        <v>-12.5</v>
      </c>
      <c r="S284" s="208">
        <v>10</v>
      </c>
      <c r="T284" s="208">
        <v>-12.5</v>
      </c>
      <c r="U284" s="208">
        <f>ABS(Множество_202207112140401240[[#This Row],[10]]-Множество_202207112140401240[[#This Row],[12]])</f>
        <v>13.574999999999999</v>
      </c>
      <c r="V284" s="208">
        <f>ABS(Множество_202207112140401240[[#This Row],[11]]-Множество_202207112140401240[[#This Row],[13]])</f>
        <v>0</v>
      </c>
      <c r="W284" s="208">
        <f>Множество_202207112140401240[[#This Row],[15]]+Множество_202207112140401240[[#This Row],[14]]</f>
        <v>13.574999999999999</v>
      </c>
      <c r="X284" s="208">
        <f ca="1">IF(ROW()-ROW(Множество_202207112140401240[[#Headers],[17]])&gt;1,Множество_202207112140401240[[#This Row],[16]]-OFFSET(Множество_202207112140401240[[#This Row],[16]],-1,0),0)</f>
        <v>6.6666666666698404E-2</v>
      </c>
      <c r="Y284" s="208">
        <v>-3.5750000000000002</v>
      </c>
      <c r="Z284" s="208">
        <v>-12.5</v>
      </c>
      <c r="AA284" s="208">
        <f>ABS(Множество_202207112140401240[[#This Row],[18]]-Множество_202207112140401240[[#This Row],[12]])</f>
        <v>13.574999999999999</v>
      </c>
      <c r="AB284" s="208">
        <f>ABS(Множество_202207112140401240[[#This Row],[19]]-Множество_202207112140401240[[#This Row],[13]])</f>
        <v>0</v>
      </c>
      <c r="AC284" s="208">
        <f>Множество_202207112140401240[[#This Row],[20]]+Множество_202207112140401240[[#This Row],[21]]</f>
        <v>13.574999999999999</v>
      </c>
    </row>
    <row r="285" spans="6:29" x14ac:dyDescent="0.25">
      <c r="F285" s="213"/>
      <c r="K285" s="208">
        <f>Множество_202207112140401240[[#This Row],[2]]-Множество_202207112140401240[[#This Row],[4]]</f>
        <v>0</v>
      </c>
      <c r="L285" s="208">
        <f>Множество_202207112140401240[[#This Row],[3]]-Множество_202207112140401240[[#This Row],[5]]</f>
        <v>0</v>
      </c>
      <c r="M285" s="208">
        <f>Множество_202207112140401240[[#This Row],[7]]+Множество_202207112140401240[[#This Row],[6]]</f>
        <v>0</v>
      </c>
      <c r="N285" s="208" t="str">
        <f>CONCATENATE(Множество_202207112140401240[[#This Row],[2]],Множество_202207112140401240[[#This Row],[3]])</f>
        <v/>
      </c>
      <c r="O285" s="208"/>
      <c r="P285" s="208"/>
      <c r="Q285">
        <v>-2.8250000000000002</v>
      </c>
      <c r="R285">
        <v>-13.35</v>
      </c>
      <c r="S285" s="208">
        <v>10</v>
      </c>
      <c r="T285" s="208">
        <v>-12.5</v>
      </c>
      <c r="U285" s="208">
        <f>ABS(Множество_202207112140401240[[#This Row],[10]]-Множество_202207112140401240[[#This Row],[12]])</f>
        <v>12.824999999999999</v>
      </c>
      <c r="V285" s="208">
        <f>ABS(Множество_202207112140401240[[#This Row],[11]]-Множество_202207112140401240[[#This Row],[13]])</f>
        <v>0.84999999999999964</v>
      </c>
      <c r="W285" s="208">
        <f>Множество_202207112140401240[[#This Row],[15]]+Множество_202207112140401240[[#This Row],[14]]</f>
        <v>13.674999999999999</v>
      </c>
      <c r="X285" s="208">
        <f ca="1">IF(ROW()-ROW(Множество_202207112140401240[[#Headers],[17]])&gt;1,Множество_202207112140401240[[#This Row],[16]]-OFFSET(Множество_202207112140401240[[#This Row],[16]],-1,0),0)</f>
        <v>9.9999999999999645E-2</v>
      </c>
      <c r="Y285" s="208">
        <v>-2.8250000000000002</v>
      </c>
      <c r="Z285" s="208">
        <v>-13.35</v>
      </c>
      <c r="AA285" s="208">
        <f>ABS(Множество_202207112140401240[[#This Row],[18]]-Множество_202207112140401240[[#This Row],[12]])</f>
        <v>12.824999999999999</v>
      </c>
      <c r="AB285" s="208">
        <f>ABS(Множество_202207112140401240[[#This Row],[19]]-Множество_202207112140401240[[#This Row],[13]])</f>
        <v>0.84999999999999964</v>
      </c>
      <c r="AC285" s="208">
        <f>Множество_202207112140401240[[#This Row],[20]]+Множество_202207112140401240[[#This Row],[21]]</f>
        <v>13.674999999999999</v>
      </c>
    </row>
    <row r="286" spans="6:29" x14ac:dyDescent="0.25">
      <c r="F286" s="213"/>
      <c r="K286" s="208">
        <f>Множество_202207112140401240[[#This Row],[2]]-Множество_202207112140401240[[#This Row],[4]]</f>
        <v>0</v>
      </c>
      <c r="L286" s="208">
        <f>Множество_202207112140401240[[#This Row],[3]]-Множество_202207112140401240[[#This Row],[5]]</f>
        <v>0</v>
      </c>
      <c r="M286" s="208">
        <f>Множество_202207112140401240[[#This Row],[7]]+Множество_202207112140401240[[#This Row],[6]]</f>
        <v>0</v>
      </c>
      <c r="N286" s="208" t="str">
        <f>CONCATENATE(Множество_202207112140401240[[#This Row],[2]],Множество_202207112140401240[[#This Row],[3]])</f>
        <v/>
      </c>
      <c r="O286" s="208"/>
      <c r="P286" s="208"/>
      <c r="Q286" s="234">
        <v>2.49999999999986E-2</v>
      </c>
      <c r="R286">
        <v>-16.1666666666667</v>
      </c>
      <c r="S286" s="208">
        <v>10</v>
      </c>
      <c r="T286" s="208">
        <v>-12.5</v>
      </c>
      <c r="U286" s="208">
        <f>ABS(Множество_202207112140401240[[#This Row],[10]]-Множество_202207112140401240[[#This Row],[12]])</f>
        <v>9.9750000000000014</v>
      </c>
      <c r="V286" s="208">
        <f>ABS(Множество_202207112140401240[[#This Row],[11]]-Множество_202207112140401240[[#This Row],[13]])</f>
        <v>3.6666666666666998</v>
      </c>
      <c r="W286" s="208">
        <f>Множество_202207112140401240[[#This Row],[15]]+Множество_202207112140401240[[#This Row],[14]]</f>
        <v>13.641666666666701</v>
      </c>
      <c r="X286" s="208">
        <f ca="1">IF(ROW()-ROW(Множество_202207112140401240[[#Headers],[17]])&gt;1,Множество_202207112140401240[[#This Row],[16]]-OFFSET(Множество_202207112140401240[[#This Row],[16]],-1,0),0)</f>
        <v>-3.3333333333297688E-2</v>
      </c>
      <c r="Y286" s="208">
        <v>2.49999999999986E-2</v>
      </c>
      <c r="Z286" s="208">
        <v>-16.1666666666667</v>
      </c>
      <c r="AA286" s="208">
        <f>ABS(Множество_202207112140401240[[#This Row],[18]]-Множество_202207112140401240[[#This Row],[12]])</f>
        <v>9.9750000000000014</v>
      </c>
      <c r="AB286" s="208">
        <f>ABS(Множество_202207112140401240[[#This Row],[19]]-Множество_202207112140401240[[#This Row],[13]])</f>
        <v>3.6666666666666998</v>
      </c>
      <c r="AC286" s="208">
        <f>Множество_202207112140401240[[#This Row],[20]]+Множество_202207112140401240[[#This Row],[21]]</f>
        <v>13.641666666666701</v>
      </c>
    </row>
    <row r="287" spans="6:29" x14ac:dyDescent="0.25">
      <c r="F287" s="213"/>
      <c r="K287" s="208">
        <f>Множество_202207112140401240[[#This Row],[2]]-Множество_202207112140401240[[#This Row],[4]]</f>
        <v>0</v>
      </c>
      <c r="L287" s="208">
        <f>Множество_202207112140401240[[#This Row],[3]]-Множество_202207112140401240[[#This Row],[5]]</f>
        <v>0</v>
      </c>
      <c r="M287" s="208">
        <f>Множество_202207112140401240[[#This Row],[7]]+Множество_202207112140401240[[#This Row],[6]]</f>
        <v>0</v>
      </c>
      <c r="N287" s="208" t="str">
        <f>CONCATENATE(Множество_202207112140401240[[#This Row],[2]],Множество_202207112140401240[[#This Row],[3]])</f>
        <v/>
      </c>
      <c r="O287" s="208"/>
      <c r="P287" s="208"/>
      <c r="Q287" s="234">
        <v>-4.9999999999997199E-2</v>
      </c>
      <c r="R287">
        <v>-16.1666666666667</v>
      </c>
      <c r="S287" s="208">
        <v>10</v>
      </c>
      <c r="T287" s="208">
        <v>-12.5</v>
      </c>
      <c r="U287" s="208">
        <f>ABS(Множество_202207112140401240[[#This Row],[10]]-Множество_202207112140401240[[#This Row],[12]])</f>
        <v>10.049999999999997</v>
      </c>
      <c r="V287" s="208">
        <f>ABS(Множество_202207112140401240[[#This Row],[11]]-Множество_202207112140401240[[#This Row],[13]])</f>
        <v>3.6666666666666998</v>
      </c>
      <c r="W287" s="208">
        <f>Множество_202207112140401240[[#This Row],[15]]+Множество_202207112140401240[[#This Row],[14]]</f>
        <v>13.716666666666697</v>
      </c>
      <c r="X287" s="208">
        <f ca="1">IF(ROW()-ROW(Множество_202207112140401240[[#Headers],[17]])&gt;1,Множество_202207112140401240[[#This Row],[16]]-OFFSET(Множество_202207112140401240[[#This Row],[16]],-1,0),0)</f>
        <v>7.4999999999995737E-2</v>
      </c>
      <c r="Y287" s="208">
        <v>-4.9999999999997199E-2</v>
      </c>
      <c r="Z287" s="208">
        <v>-16.1666666666667</v>
      </c>
      <c r="AA287" s="208">
        <f>ABS(Множество_202207112140401240[[#This Row],[18]]-Множество_202207112140401240[[#This Row],[12]])</f>
        <v>10.049999999999997</v>
      </c>
      <c r="AB287" s="208">
        <f>ABS(Множество_202207112140401240[[#This Row],[19]]-Множество_202207112140401240[[#This Row],[13]])</f>
        <v>3.6666666666666998</v>
      </c>
      <c r="AC287" s="208">
        <f>Множество_202207112140401240[[#This Row],[20]]+Множество_202207112140401240[[#This Row],[21]]</f>
        <v>13.716666666666697</v>
      </c>
    </row>
    <row r="288" spans="6:29" x14ac:dyDescent="0.25">
      <c r="F288" s="213"/>
      <c r="K288" s="208">
        <f>Множество_202207112140401240[[#This Row],[2]]-Множество_202207112140401240[[#This Row],[4]]</f>
        <v>0</v>
      </c>
      <c r="L288" s="208">
        <f>Множество_202207112140401240[[#This Row],[3]]-Множество_202207112140401240[[#This Row],[5]]</f>
        <v>0</v>
      </c>
      <c r="M288" s="208">
        <f>Множество_202207112140401240[[#This Row],[7]]+Множество_202207112140401240[[#This Row],[6]]</f>
        <v>0</v>
      </c>
      <c r="N288" s="208" t="str">
        <f>CONCATENATE(Множество_202207112140401240[[#This Row],[2]],Множество_202207112140401240[[#This Row],[3]])</f>
        <v/>
      </c>
      <c r="O288" s="208"/>
      <c r="P288" s="208"/>
      <c r="Q288">
        <v>-2.9</v>
      </c>
      <c r="R288">
        <v>-13.3333333333333</v>
      </c>
      <c r="S288" s="208">
        <v>10</v>
      </c>
      <c r="T288" s="208">
        <v>-12.5</v>
      </c>
      <c r="U288" s="208">
        <f>ABS(Множество_202207112140401240[[#This Row],[10]]-Множество_202207112140401240[[#This Row],[12]])</f>
        <v>12.9</v>
      </c>
      <c r="V288" s="208">
        <f>ABS(Множество_202207112140401240[[#This Row],[11]]-Множество_202207112140401240[[#This Row],[13]])</f>
        <v>0.83333333333330017</v>
      </c>
      <c r="W288" s="208">
        <f>Множество_202207112140401240[[#This Row],[15]]+Множество_202207112140401240[[#This Row],[14]]</f>
        <v>13.733333333333301</v>
      </c>
      <c r="X288" s="208">
        <f ca="1">IF(ROW()-ROW(Множество_202207112140401240[[#Headers],[17]])&gt;1,Множество_202207112140401240[[#This Row],[16]]-OFFSET(Множество_202207112140401240[[#This Row],[16]],-1,0),0)</f>
        <v>1.6666666666603547E-2</v>
      </c>
      <c r="Y288" s="208">
        <v>-2.9</v>
      </c>
      <c r="Z288" s="208">
        <v>-13.3333333333333</v>
      </c>
      <c r="AA288" s="208">
        <f>ABS(Множество_202207112140401240[[#This Row],[18]]-Множество_202207112140401240[[#This Row],[12]])</f>
        <v>12.9</v>
      </c>
      <c r="AB288" s="208">
        <f>ABS(Множество_202207112140401240[[#This Row],[19]]-Множество_202207112140401240[[#This Row],[13]])</f>
        <v>0.83333333333330017</v>
      </c>
      <c r="AC288" s="208">
        <f>Множество_202207112140401240[[#This Row],[20]]+Множество_202207112140401240[[#This Row],[21]]</f>
        <v>13.733333333333301</v>
      </c>
    </row>
    <row r="289" spans="6:29" x14ac:dyDescent="0.25">
      <c r="F289" s="213"/>
      <c r="K289" s="208">
        <f>Множество_202207112140401240[[#This Row],[2]]-Множество_202207112140401240[[#This Row],[4]]</f>
        <v>0</v>
      </c>
      <c r="L289" s="208">
        <f>Множество_202207112140401240[[#This Row],[3]]-Множество_202207112140401240[[#This Row],[5]]</f>
        <v>0</v>
      </c>
      <c r="M289" s="208">
        <f>Множество_202207112140401240[[#This Row],[7]]+Множество_202207112140401240[[#This Row],[6]]</f>
        <v>0</v>
      </c>
      <c r="N289" s="208" t="str">
        <f>CONCATENATE(Множество_202207112140401240[[#This Row],[2]],Множество_202207112140401240[[#This Row],[3]])</f>
        <v/>
      </c>
      <c r="O289" s="208"/>
      <c r="P289" s="208"/>
      <c r="Q289">
        <v>-2.9</v>
      </c>
      <c r="R289">
        <v>-11.6666666666667</v>
      </c>
      <c r="S289" s="208">
        <v>10</v>
      </c>
      <c r="T289" s="208">
        <v>-12.5</v>
      </c>
      <c r="U289" s="208">
        <f>ABS(Множество_202207112140401240[[#This Row],[10]]-Множество_202207112140401240[[#This Row],[12]])</f>
        <v>12.9</v>
      </c>
      <c r="V289" s="208">
        <f>ABS(Множество_202207112140401240[[#This Row],[11]]-Множество_202207112140401240[[#This Row],[13]])</f>
        <v>0.83333333333330017</v>
      </c>
      <c r="W289" s="208">
        <f>Множество_202207112140401240[[#This Row],[15]]+Множество_202207112140401240[[#This Row],[14]]</f>
        <v>13.733333333333301</v>
      </c>
      <c r="X289" s="208">
        <f ca="1">IF(ROW()-ROW(Множество_202207112140401240[[#Headers],[17]])&gt;1,Множество_202207112140401240[[#This Row],[16]]-OFFSET(Множество_202207112140401240[[#This Row],[16]],-1,0),0)</f>
        <v>0</v>
      </c>
      <c r="Y289" s="208">
        <v>-2.9</v>
      </c>
      <c r="Z289" s="208">
        <v>-11.6666666666667</v>
      </c>
      <c r="AA289" s="208">
        <f>ABS(Множество_202207112140401240[[#This Row],[18]]-Множество_202207112140401240[[#This Row],[12]])</f>
        <v>12.9</v>
      </c>
      <c r="AB289" s="208">
        <f>ABS(Множество_202207112140401240[[#This Row],[19]]-Множество_202207112140401240[[#This Row],[13]])</f>
        <v>0.83333333333330017</v>
      </c>
      <c r="AC289" s="208">
        <f>Множество_202207112140401240[[#This Row],[20]]+Множество_202207112140401240[[#This Row],[21]]</f>
        <v>13.733333333333301</v>
      </c>
    </row>
    <row r="290" spans="6:29" x14ac:dyDescent="0.25">
      <c r="F290" s="213"/>
      <c r="K290" s="208">
        <f>Множество_202207112140401240[[#This Row],[2]]-Множество_202207112140401240[[#This Row],[4]]</f>
        <v>0</v>
      </c>
      <c r="L290" s="208">
        <f>Множество_202207112140401240[[#This Row],[3]]-Множество_202207112140401240[[#This Row],[5]]</f>
        <v>0</v>
      </c>
      <c r="M290" s="208">
        <f>Множество_202207112140401240[[#This Row],[7]]+Множество_202207112140401240[[#This Row],[6]]</f>
        <v>0</v>
      </c>
      <c r="N290" s="208" t="str">
        <f>CONCATENATE(Множество_202207112140401240[[#This Row],[2]],Множество_202207112140401240[[#This Row],[3]])</f>
        <v/>
      </c>
      <c r="O290" s="208"/>
      <c r="P290" s="208"/>
      <c r="Q290">
        <v>-0.125</v>
      </c>
      <c r="R290">
        <v>-16.183333333333302</v>
      </c>
      <c r="S290" s="208">
        <v>10</v>
      </c>
      <c r="T290" s="208">
        <v>-12.5</v>
      </c>
      <c r="U290" s="208">
        <f>ABS(Множество_202207112140401240[[#This Row],[10]]-Множество_202207112140401240[[#This Row],[12]])</f>
        <v>10.125</v>
      </c>
      <c r="V290" s="208">
        <f>ABS(Множество_202207112140401240[[#This Row],[11]]-Множество_202207112140401240[[#This Row],[13]])</f>
        <v>3.6833333333333016</v>
      </c>
      <c r="W290" s="208">
        <f>Множество_202207112140401240[[#This Row],[15]]+Множество_202207112140401240[[#This Row],[14]]</f>
        <v>13.808333333333302</v>
      </c>
      <c r="X290" s="208">
        <f ca="1">IF(ROW()-ROW(Множество_202207112140401240[[#Headers],[17]])&gt;1,Множество_202207112140401240[[#This Row],[16]]-OFFSET(Множество_202207112140401240[[#This Row],[16]],-1,0),0)</f>
        <v>7.5000000000001066E-2</v>
      </c>
      <c r="Y290" s="208">
        <v>-0.125</v>
      </c>
      <c r="Z290" s="208">
        <v>-16.183333333333302</v>
      </c>
      <c r="AA290" s="208">
        <f>ABS(Множество_202207112140401240[[#This Row],[18]]-Множество_202207112140401240[[#This Row],[12]])</f>
        <v>10.125</v>
      </c>
      <c r="AB290" s="208">
        <f>ABS(Множество_202207112140401240[[#This Row],[19]]-Множество_202207112140401240[[#This Row],[13]])</f>
        <v>3.6833333333333016</v>
      </c>
      <c r="AC290" s="208">
        <f>Множество_202207112140401240[[#This Row],[20]]+Множество_202207112140401240[[#This Row],[21]]</f>
        <v>13.808333333333302</v>
      </c>
    </row>
    <row r="291" spans="6:29" x14ac:dyDescent="0.25">
      <c r="F291" s="213"/>
      <c r="K291" s="208">
        <f>Множество_202207112140401240[[#This Row],[2]]-Множество_202207112140401240[[#This Row],[4]]</f>
        <v>0</v>
      </c>
      <c r="L291" s="208">
        <f>Множество_202207112140401240[[#This Row],[3]]-Множество_202207112140401240[[#This Row],[5]]</f>
        <v>0</v>
      </c>
      <c r="M291" s="208">
        <f>Множество_202207112140401240[[#This Row],[7]]+Множество_202207112140401240[[#This Row],[6]]</f>
        <v>0</v>
      </c>
      <c r="N291" s="208" t="str">
        <f>CONCATENATE(Множество_202207112140401240[[#This Row],[2]],Множество_202207112140401240[[#This Row],[3]])</f>
        <v/>
      </c>
      <c r="O291" s="208"/>
      <c r="P291" s="208"/>
      <c r="Q291">
        <v>-0.27500000000000202</v>
      </c>
      <c r="R291">
        <v>-16.216666666666701</v>
      </c>
      <c r="S291" s="208">
        <v>10</v>
      </c>
      <c r="T291" s="208">
        <v>-12.5</v>
      </c>
      <c r="U291" s="208">
        <f>ABS(Множество_202207112140401240[[#This Row],[10]]-Множество_202207112140401240[[#This Row],[12]])</f>
        <v>10.275000000000002</v>
      </c>
      <c r="V291" s="208">
        <f>ABS(Множество_202207112140401240[[#This Row],[11]]-Множество_202207112140401240[[#This Row],[13]])</f>
        <v>3.7166666666667005</v>
      </c>
      <c r="W291" s="208">
        <f>Множество_202207112140401240[[#This Row],[15]]+Множество_202207112140401240[[#This Row],[14]]</f>
        <v>13.991666666666703</v>
      </c>
      <c r="X291" s="208">
        <f ca="1">IF(ROW()-ROW(Множество_202207112140401240[[#Headers],[17]])&gt;1,Множество_202207112140401240[[#This Row],[16]]-OFFSET(Множество_202207112140401240[[#This Row],[16]],-1,0),0)</f>
        <v>0.18333333333340107</v>
      </c>
      <c r="Y291" s="208">
        <v>-0.27500000000000202</v>
      </c>
      <c r="Z291" s="208">
        <v>-16.216666666666701</v>
      </c>
      <c r="AA291" s="208">
        <f>ABS(Множество_202207112140401240[[#This Row],[18]]-Множество_202207112140401240[[#This Row],[12]])</f>
        <v>10.275000000000002</v>
      </c>
      <c r="AB291" s="208">
        <f>ABS(Множество_202207112140401240[[#This Row],[19]]-Множество_202207112140401240[[#This Row],[13]])</f>
        <v>3.7166666666667005</v>
      </c>
      <c r="AC291" s="208">
        <f>Множество_202207112140401240[[#This Row],[20]]+Множество_202207112140401240[[#This Row],[21]]</f>
        <v>13.991666666666703</v>
      </c>
    </row>
    <row r="292" spans="6:29" x14ac:dyDescent="0.25">
      <c r="F292" s="213"/>
      <c r="K292" s="208">
        <f>Множество_202207112140401240[[#This Row],[2]]-Множество_202207112140401240[[#This Row],[4]]</f>
        <v>0</v>
      </c>
      <c r="L292" s="208">
        <f>Множество_202207112140401240[[#This Row],[3]]-Множество_202207112140401240[[#This Row],[5]]</f>
        <v>0</v>
      </c>
      <c r="M292" s="208">
        <f>Множество_202207112140401240[[#This Row],[7]]+Множество_202207112140401240[[#This Row],[6]]</f>
        <v>0</v>
      </c>
      <c r="N292" s="208" t="str">
        <f>CONCATENATE(Множество_202207112140401240[[#This Row],[2]],Множество_202207112140401240[[#This Row],[3]])</f>
        <v/>
      </c>
      <c r="O292" s="208"/>
      <c r="P292" s="208"/>
      <c r="Q292">
        <v>-0.19999999999999901</v>
      </c>
      <c r="R292">
        <v>-16.2</v>
      </c>
      <c r="S292" s="208">
        <v>10</v>
      </c>
      <c r="T292" s="208">
        <v>-12.5</v>
      </c>
      <c r="U292" s="208">
        <f>ABS(Множество_202207112140401240[[#This Row],[10]]-Множество_202207112140401240[[#This Row],[12]])</f>
        <v>10.199999999999999</v>
      </c>
      <c r="V292" s="208">
        <f>ABS(Множество_202207112140401240[[#This Row],[11]]-Множество_202207112140401240[[#This Row],[13]])</f>
        <v>3.6999999999999993</v>
      </c>
      <c r="W292" s="208">
        <f>Множество_202207112140401240[[#This Row],[15]]+Множество_202207112140401240[[#This Row],[14]]</f>
        <v>13.899999999999999</v>
      </c>
      <c r="X292" s="208">
        <f ca="1">IF(ROW()-ROW(Множество_202207112140401240[[#Headers],[17]])&gt;1,Множество_202207112140401240[[#This Row],[16]]-OFFSET(Множество_202207112140401240[[#This Row],[16]],-1,0),0)</f>
        <v>-9.1666666666704089E-2</v>
      </c>
      <c r="Y292" s="208">
        <v>-0.19999999999999901</v>
      </c>
      <c r="Z292" s="208">
        <v>-16.2</v>
      </c>
      <c r="AA292" s="208">
        <f>ABS(Множество_202207112140401240[[#This Row],[18]]-Множество_202207112140401240[[#This Row],[12]])</f>
        <v>10.199999999999999</v>
      </c>
      <c r="AB292" s="208">
        <f>ABS(Множество_202207112140401240[[#This Row],[19]]-Множество_202207112140401240[[#This Row],[13]])</f>
        <v>3.6999999999999993</v>
      </c>
      <c r="AC292" s="208">
        <f>Множество_202207112140401240[[#This Row],[20]]+Множество_202207112140401240[[#This Row],[21]]</f>
        <v>13.899999999999999</v>
      </c>
    </row>
    <row r="293" spans="6:29" x14ac:dyDescent="0.25">
      <c r="F293" s="213"/>
      <c r="K293" s="208">
        <f>Множество_202207112140401240[[#This Row],[2]]-Множество_202207112140401240[[#This Row],[4]]</f>
        <v>0</v>
      </c>
      <c r="L293" s="208">
        <f>Множество_202207112140401240[[#This Row],[3]]-Множество_202207112140401240[[#This Row],[5]]</f>
        <v>0</v>
      </c>
      <c r="M293" s="208">
        <f>Множество_202207112140401240[[#This Row],[7]]+Множество_202207112140401240[[#This Row],[6]]</f>
        <v>0</v>
      </c>
      <c r="N293" s="208" t="str">
        <f>CONCATENATE(Множество_202207112140401240[[#This Row],[2]],Множество_202207112140401240[[#This Row],[3]])</f>
        <v/>
      </c>
      <c r="O293" s="208"/>
      <c r="P293" s="208"/>
      <c r="Q293">
        <v>-0.34999999999999798</v>
      </c>
      <c r="R293">
        <v>-16.216666666666701</v>
      </c>
      <c r="S293" s="208">
        <v>10</v>
      </c>
      <c r="T293" s="208">
        <v>-12.5</v>
      </c>
      <c r="U293" s="208">
        <f>ABS(Множество_202207112140401240[[#This Row],[10]]-Множество_202207112140401240[[#This Row],[12]])</f>
        <v>10.349999999999998</v>
      </c>
      <c r="V293" s="208">
        <f>ABS(Множество_202207112140401240[[#This Row],[11]]-Множество_202207112140401240[[#This Row],[13]])</f>
        <v>3.7166666666667005</v>
      </c>
      <c r="W293" s="208">
        <f>Множество_202207112140401240[[#This Row],[15]]+Множество_202207112140401240[[#This Row],[14]]</f>
        <v>14.066666666666698</v>
      </c>
      <c r="X293" s="208">
        <f ca="1">IF(ROW()-ROW(Множество_202207112140401240[[#Headers],[17]])&gt;1,Множество_202207112140401240[[#This Row],[16]]-OFFSET(Множество_202207112140401240[[#This Row],[16]],-1,0),0)</f>
        <v>0.16666666666669983</v>
      </c>
      <c r="Y293" s="208">
        <v>-0.34999999999999798</v>
      </c>
      <c r="Z293" s="208">
        <v>-16.216666666666701</v>
      </c>
      <c r="AA293" s="208">
        <f>ABS(Множество_202207112140401240[[#This Row],[18]]-Множество_202207112140401240[[#This Row],[12]])</f>
        <v>10.349999999999998</v>
      </c>
      <c r="AB293" s="208">
        <f>ABS(Множество_202207112140401240[[#This Row],[19]]-Множество_202207112140401240[[#This Row],[13]])</f>
        <v>3.7166666666667005</v>
      </c>
      <c r="AC293" s="208">
        <f>Множество_202207112140401240[[#This Row],[20]]+Множество_202207112140401240[[#This Row],[21]]</f>
        <v>14.066666666666698</v>
      </c>
    </row>
    <row r="294" spans="6:29" x14ac:dyDescent="0.25">
      <c r="F294" s="213"/>
      <c r="K294" s="208">
        <f>Множество_202207112140401240[[#This Row],[2]]-Множество_202207112140401240[[#This Row],[4]]</f>
        <v>0</v>
      </c>
      <c r="L294" s="208">
        <f>Множество_202207112140401240[[#This Row],[3]]-Множество_202207112140401240[[#This Row],[5]]</f>
        <v>0</v>
      </c>
      <c r="M294" s="208">
        <f>Множество_202207112140401240[[#This Row],[7]]+Множество_202207112140401240[[#This Row],[6]]</f>
        <v>0</v>
      </c>
      <c r="N294" s="208" t="str">
        <f>CONCATENATE(Множество_202207112140401240[[#This Row],[2]],Множество_202207112140401240[[#This Row],[3]])</f>
        <v/>
      </c>
      <c r="O294" s="208"/>
      <c r="P294" s="208"/>
      <c r="Q294">
        <v>-0.42500000000000099</v>
      </c>
      <c r="R294">
        <v>-16.233333333333299</v>
      </c>
      <c r="S294" s="208">
        <v>10</v>
      </c>
      <c r="T294" s="208">
        <v>-12.5</v>
      </c>
      <c r="U294" s="208">
        <f>ABS(Множество_202207112140401240[[#This Row],[10]]-Множество_202207112140401240[[#This Row],[12]])</f>
        <v>10.425000000000001</v>
      </c>
      <c r="V294" s="208">
        <f>ABS(Множество_202207112140401240[[#This Row],[11]]-Множество_202207112140401240[[#This Row],[13]])</f>
        <v>3.7333333333332988</v>
      </c>
      <c r="W294" s="208">
        <f>Множество_202207112140401240[[#This Row],[15]]+Множество_202207112140401240[[#This Row],[14]]</f>
        <v>14.158333333333299</v>
      </c>
      <c r="X294" s="208">
        <f ca="1">IF(ROW()-ROW(Множество_202207112140401240[[#Headers],[17]])&gt;1,Множество_202207112140401240[[#This Row],[16]]-OFFSET(Множество_202207112140401240[[#This Row],[16]],-1,0),0)</f>
        <v>9.166666666660106E-2</v>
      </c>
      <c r="Y294" s="208">
        <v>-0.42500000000000099</v>
      </c>
      <c r="Z294" s="208">
        <v>-16.233333333333299</v>
      </c>
      <c r="AA294" s="208">
        <f>ABS(Множество_202207112140401240[[#This Row],[18]]-Множество_202207112140401240[[#This Row],[12]])</f>
        <v>10.425000000000001</v>
      </c>
      <c r="AB294" s="208">
        <f>ABS(Множество_202207112140401240[[#This Row],[19]]-Множество_202207112140401240[[#This Row],[13]])</f>
        <v>3.7333333333332988</v>
      </c>
      <c r="AC294" s="208">
        <f>Множество_202207112140401240[[#This Row],[20]]+Множество_202207112140401240[[#This Row],[21]]</f>
        <v>14.158333333333299</v>
      </c>
    </row>
    <row r="295" spans="6:29" x14ac:dyDescent="0.25">
      <c r="F295" s="213"/>
      <c r="K295" s="208">
        <f>Множество_202207112140401240[[#This Row],[2]]-Множество_202207112140401240[[#This Row],[4]]</f>
        <v>0</v>
      </c>
      <c r="L295" s="208">
        <f>Множество_202207112140401240[[#This Row],[3]]-Множество_202207112140401240[[#This Row],[5]]</f>
        <v>0</v>
      </c>
      <c r="M295" s="208">
        <f>Множество_202207112140401240[[#This Row],[7]]+Множество_202207112140401240[[#This Row],[6]]</f>
        <v>0</v>
      </c>
      <c r="N295" s="208" t="str">
        <f>CONCATENATE(Множество_202207112140401240[[#This Row],[2]],Множество_202207112140401240[[#This Row],[3]])</f>
        <v/>
      </c>
      <c r="O295" s="208"/>
      <c r="P295" s="208"/>
      <c r="Q295">
        <v>-2.9750000000000001</v>
      </c>
      <c r="R295">
        <v>-11.1833333333333</v>
      </c>
      <c r="S295" s="208">
        <v>10</v>
      </c>
      <c r="T295" s="208">
        <v>-12.5</v>
      </c>
      <c r="U295" s="208">
        <f>ABS(Множество_202207112140401240[[#This Row],[10]]-Множество_202207112140401240[[#This Row],[12]])</f>
        <v>12.975</v>
      </c>
      <c r="V295" s="208">
        <f>ABS(Множество_202207112140401240[[#This Row],[11]]-Множество_202207112140401240[[#This Row],[13]])</f>
        <v>1.3166666666667002</v>
      </c>
      <c r="W295" s="208">
        <f>Множество_202207112140401240[[#This Row],[15]]+Множество_202207112140401240[[#This Row],[14]]</f>
        <v>14.2916666666667</v>
      </c>
      <c r="X295" s="208">
        <f ca="1">IF(ROW()-ROW(Множество_202207112140401240[[#Headers],[17]])&gt;1,Множество_202207112140401240[[#This Row],[16]]-OFFSET(Множество_202207112140401240[[#This Row],[16]],-1,0),0)</f>
        <v>0.13333333333340036</v>
      </c>
      <c r="Y295" s="208">
        <v>-2.9750000000000001</v>
      </c>
      <c r="Z295" s="208">
        <v>-11.1833333333333</v>
      </c>
      <c r="AA295" s="208">
        <f>ABS(Множество_202207112140401240[[#This Row],[18]]-Множество_202207112140401240[[#This Row],[12]])</f>
        <v>12.975</v>
      </c>
      <c r="AB295" s="208">
        <f>ABS(Множество_202207112140401240[[#This Row],[19]]-Множество_202207112140401240[[#This Row],[13]])</f>
        <v>1.3166666666667002</v>
      </c>
      <c r="AC295" s="208">
        <f>Множество_202207112140401240[[#This Row],[20]]+Множество_202207112140401240[[#This Row],[21]]</f>
        <v>14.2916666666667</v>
      </c>
    </row>
    <row r="296" spans="6:29" x14ac:dyDescent="0.25">
      <c r="F296" s="213"/>
      <c r="K296" s="208">
        <f>Множество_202207112140401240[[#This Row],[2]]-Множество_202207112140401240[[#This Row],[4]]</f>
        <v>0</v>
      </c>
      <c r="L296" s="208">
        <f>Множество_202207112140401240[[#This Row],[3]]-Множество_202207112140401240[[#This Row],[5]]</f>
        <v>0</v>
      </c>
      <c r="M296" s="208">
        <f>Множество_202207112140401240[[#This Row],[7]]+Множество_202207112140401240[[#This Row],[6]]</f>
        <v>0</v>
      </c>
      <c r="N296" s="208" t="str">
        <f>CONCATENATE(Множество_202207112140401240[[#This Row],[2]],Множество_202207112140401240[[#This Row],[3]])</f>
        <v/>
      </c>
      <c r="O296" s="208"/>
      <c r="P296" s="208"/>
      <c r="Q296">
        <v>-0.5</v>
      </c>
      <c r="R296">
        <v>-16.25</v>
      </c>
      <c r="S296" s="208">
        <v>10</v>
      </c>
      <c r="T296" s="208">
        <v>-12.5</v>
      </c>
      <c r="U296" s="208">
        <f>ABS(Множество_202207112140401240[[#This Row],[10]]-Множество_202207112140401240[[#This Row],[12]])</f>
        <v>10.5</v>
      </c>
      <c r="V296" s="208">
        <f>ABS(Множество_202207112140401240[[#This Row],[11]]-Множество_202207112140401240[[#This Row],[13]])</f>
        <v>3.75</v>
      </c>
      <c r="W296" s="208">
        <f>Множество_202207112140401240[[#This Row],[15]]+Множество_202207112140401240[[#This Row],[14]]</f>
        <v>14.25</v>
      </c>
      <c r="X296" s="208">
        <f ca="1">IF(ROW()-ROW(Множество_202207112140401240[[#Headers],[17]])&gt;1,Множество_202207112140401240[[#This Row],[16]]-OFFSET(Множество_202207112140401240[[#This Row],[16]],-1,0),0)</f>
        <v>-4.1666666666699825E-2</v>
      </c>
      <c r="Y296" s="208">
        <v>-0.5</v>
      </c>
      <c r="Z296" s="208">
        <v>-16.25</v>
      </c>
      <c r="AA296" s="208">
        <f>ABS(Множество_202207112140401240[[#This Row],[18]]-Множество_202207112140401240[[#This Row],[12]])</f>
        <v>10.5</v>
      </c>
      <c r="AB296" s="208">
        <f>ABS(Множество_202207112140401240[[#This Row],[19]]-Множество_202207112140401240[[#This Row],[13]])</f>
        <v>3.75</v>
      </c>
      <c r="AC296" s="208">
        <f>Множество_202207112140401240[[#This Row],[20]]+Множество_202207112140401240[[#This Row],[21]]</f>
        <v>14.25</v>
      </c>
    </row>
    <row r="297" spans="6:29" x14ac:dyDescent="0.25">
      <c r="F297" s="213"/>
      <c r="K297" s="208">
        <f>Множество_202207112140401240[[#This Row],[2]]-Множество_202207112140401240[[#This Row],[4]]</f>
        <v>0</v>
      </c>
      <c r="L297" s="208">
        <f>Множество_202207112140401240[[#This Row],[3]]-Множество_202207112140401240[[#This Row],[5]]</f>
        <v>0</v>
      </c>
      <c r="M297" s="208">
        <f>Множество_202207112140401240[[#This Row],[7]]+Множество_202207112140401240[[#This Row],[6]]</f>
        <v>0</v>
      </c>
      <c r="N297" s="208" t="str">
        <f>CONCATENATE(Множество_202207112140401240[[#This Row],[2]],Множество_202207112140401240[[#This Row],[3]])</f>
        <v/>
      </c>
      <c r="O297" s="208"/>
      <c r="P297" s="208"/>
      <c r="Q297">
        <v>-0.57500000000000295</v>
      </c>
      <c r="R297">
        <v>-16.266666666666701</v>
      </c>
      <c r="S297" s="208">
        <v>10</v>
      </c>
      <c r="T297" s="208">
        <v>-12.5</v>
      </c>
      <c r="U297" s="208">
        <f>ABS(Множество_202207112140401240[[#This Row],[10]]-Множество_202207112140401240[[#This Row],[12]])</f>
        <v>10.575000000000003</v>
      </c>
      <c r="V297" s="208">
        <f>ABS(Множество_202207112140401240[[#This Row],[11]]-Множество_202207112140401240[[#This Row],[13]])</f>
        <v>3.7666666666667012</v>
      </c>
      <c r="W297" s="208">
        <f>Множество_202207112140401240[[#This Row],[15]]+Множество_202207112140401240[[#This Row],[14]]</f>
        <v>14.341666666666704</v>
      </c>
      <c r="X297" s="208">
        <f ca="1">IF(ROW()-ROW(Множество_202207112140401240[[#Headers],[17]])&gt;1,Множество_202207112140401240[[#This Row],[16]]-OFFSET(Множество_202207112140401240[[#This Row],[16]],-1,0),0)</f>
        <v>9.1666666666704089E-2</v>
      </c>
      <c r="Y297" s="208">
        <v>-0.57500000000000295</v>
      </c>
      <c r="Z297" s="208">
        <v>-16.266666666666701</v>
      </c>
      <c r="AA297" s="208">
        <f>ABS(Множество_202207112140401240[[#This Row],[18]]-Множество_202207112140401240[[#This Row],[12]])</f>
        <v>10.575000000000003</v>
      </c>
      <c r="AB297" s="208">
        <f>ABS(Множество_202207112140401240[[#This Row],[19]]-Множество_202207112140401240[[#This Row],[13]])</f>
        <v>3.7666666666667012</v>
      </c>
      <c r="AC297" s="208">
        <f>Множество_202207112140401240[[#This Row],[20]]+Множество_202207112140401240[[#This Row],[21]]</f>
        <v>14.341666666666704</v>
      </c>
    </row>
    <row r="298" spans="6:29" x14ac:dyDescent="0.25">
      <c r="F298" s="213"/>
      <c r="K298" s="208">
        <f>Множество_202207112140401240[[#This Row],[2]]-Множество_202207112140401240[[#This Row],[4]]</f>
        <v>0</v>
      </c>
      <c r="L298" s="208">
        <f>Множество_202207112140401240[[#This Row],[3]]-Множество_202207112140401240[[#This Row],[5]]</f>
        <v>0</v>
      </c>
      <c r="M298" s="208">
        <f>Множество_202207112140401240[[#This Row],[7]]+Множество_202207112140401240[[#This Row],[6]]</f>
        <v>0</v>
      </c>
      <c r="N298" s="208" t="str">
        <f>CONCATENATE(Множество_202207112140401240[[#This Row],[2]],Множество_202207112140401240[[#This Row],[3]])</f>
        <v/>
      </c>
      <c r="O298" s="208"/>
      <c r="P298" s="208"/>
      <c r="Q298">
        <v>-3.05</v>
      </c>
      <c r="R298">
        <v>-11.133333333333301</v>
      </c>
      <c r="S298" s="208">
        <v>10</v>
      </c>
      <c r="T298" s="208">
        <v>-12.5</v>
      </c>
      <c r="U298" s="208">
        <f>ABS(Множество_202207112140401240[[#This Row],[10]]-Множество_202207112140401240[[#This Row],[12]])</f>
        <v>13.05</v>
      </c>
      <c r="V298" s="208">
        <f>ABS(Множество_202207112140401240[[#This Row],[11]]-Множество_202207112140401240[[#This Row],[13]])</f>
        <v>1.3666666666666991</v>
      </c>
      <c r="W298" s="208">
        <f>Множество_202207112140401240[[#This Row],[15]]+Множество_202207112140401240[[#This Row],[14]]</f>
        <v>14.4166666666667</v>
      </c>
      <c r="X298" s="208">
        <f ca="1">IF(ROW()-ROW(Множество_202207112140401240[[#Headers],[17]])&gt;1,Множество_202207112140401240[[#This Row],[16]]-OFFSET(Множество_202207112140401240[[#This Row],[16]],-1,0),0)</f>
        <v>7.4999999999995737E-2</v>
      </c>
      <c r="Y298" s="208">
        <v>-3.05</v>
      </c>
      <c r="Z298" s="208">
        <v>-11.133333333333301</v>
      </c>
      <c r="AA298" s="208">
        <f>ABS(Множество_202207112140401240[[#This Row],[18]]-Множество_202207112140401240[[#This Row],[12]])</f>
        <v>13.05</v>
      </c>
      <c r="AB298" s="208">
        <f>ABS(Множество_202207112140401240[[#This Row],[19]]-Множество_202207112140401240[[#This Row],[13]])</f>
        <v>1.3666666666666991</v>
      </c>
      <c r="AC298" s="208">
        <f>Множество_202207112140401240[[#This Row],[20]]+Множество_202207112140401240[[#This Row],[21]]</f>
        <v>14.4166666666667</v>
      </c>
    </row>
    <row r="299" spans="6:29" x14ac:dyDescent="0.25">
      <c r="F299" s="213"/>
      <c r="K299" s="208">
        <f>Множество_202207112140401240[[#This Row],[2]]-Множество_202207112140401240[[#This Row],[4]]</f>
        <v>0</v>
      </c>
      <c r="L299" s="208">
        <f>Множество_202207112140401240[[#This Row],[3]]-Множество_202207112140401240[[#This Row],[5]]</f>
        <v>0</v>
      </c>
      <c r="M299" s="208">
        <f>Множество_202207112140401240[[#This Row],[7]]+Множество_202207112140401240[[#This Row],[6]]</f>
        <v>0</v>
      </c>
      <c r="N299" s="208" t="str">
        <f>CONCATENATE(Множество_202207112140401240[[#This Row],[2]],Множество_202207112140401240[[#This Row],[3]])</f>
        <v/>
      </c>
      <c r="O299" s="208"/>
      <c r="P299" s="208"/>
      <c r="Q299">
        <v>-0.64999999999999902</v>
      </c>
      <c r="R299">
        <v>-16.283333333333299</v>
      </c>
      <c r="S299" s="208">
        <v>10</v>
      </c>
      <c r="T299" s="208">
        <v>-12.5</v>
      </c>
      <c r="U299" s="208">
        <f>ABS(Множество_202207112140401240[[#This Row],[10]]-Множество_202207112140401240[[#This Row],[12]])</f>
        <v>10.649999999999999</v>
      </c>
      <c r="V299" s="208">
        <f>ABS(Множество_202207112140401240[[#This Row],[11]]-Множество_202207112140401240[[#This Row],[13]])</f>
        <v>3.7833333333332995</v>
      </c>
      <c r="W299" s="208">
        <f>Множество_202207112140401240[[#This Row],[15]]+Множество_202207112140401240[[#This Row],[14]]</f>
        <v>14.433333333333298</v>
      </c>
      <c r="X299" s="208">
        <f ca="1">IF(ROW()-ROW(Множество_202207112140401240[[#Headers],[17]])&gt;1,Множество_202207112140401240[[#This Row],[16]]-OFFSET(Множество_202207112140401240[[#This Row],[16]],-1,0),0)</f>
        <v>1.6666666666598218E-2</v>
      </c>
      <c r="Y299" s="208">
        <v>-0.64999999999999902</v>
      </c>
      <c r="Z299" s="208">
        <v>-16.283333333333299</v>
      </c>
      <c r="AA299" s="208">
        <f>ABS(Множество_202207112140401240[[#This Row],[18]]-Множество_202207112140401240[[#This Row],[12]])</f>
        <v>10.649999999999999</v>
      </c>
      <c r="AB299" s="208">
        <f>ABS(Множество_202207112140401240[[#This Row],[19]]-Множество_202207112140401240[[#This Row],[13]])</f>
        <v>3.7833333333332995</v>
      </c>
      <c r="AC299" s="208">
        <f>Множество_202207112140401240[[#This Row],[20]]+Множество_202207112140401240[[#This Row],[21]]</f>
        <v>14.433333333333298</v>
      </c>
    </row>
    <row r="300" spans="6:29" x14ac:dyDescent="0.25">
      <c r="F300" s="213"/>
      <c r="K300" s="208">
        <f>Множество_202207112140401240[[#This Row],[2]]-Множество_202207112140401240[[#This Row],[4]]</f>
        <v>0</v>
      </c>
      <c r="L300" s="208">
        <f>Множество_202207112140401240[[#This Row],[3]]-Множество_202207112140401240[[#This Row],[5]]</f>
        <v>0</v>
      </c>
      <c r="M300" s="208">
        <f>Множество_202207112140401240[[#This Row],[7]]+Множество_202207112140401240[[#This Row],[6]]</f>
        <v>0</v>
      </c>
      <c r="N300" s="208" t="str">
        <f>CONCATENATE(Множество_202207112140401240[[#This Row],[2]],Множество_202207112140401240[[#This Row],[3]])</f>
        <v/>
      </c>
      <c r="O300" s="208"/>
      <c r="P300" s="208"/>
      <c r="Q300">
        <v>-0.72500000000000098</v>
      </c>
      <c r="R300">
        <v>-16.283333333333299</v>
      </c>
      <c r="S300" s="208">
        <v>10</v>
      </c>
      <c r="T300" s="208">
        <v>-12.5</v>
      </c>
      <c r="U300" s="208">
        <f>ABS(Множество_202207112140401240[[#This Row],[10]]-Множество_202207112140401240[[#This Row],[12]])</f>
        <v>10.725000000000001</v>
      </c>
      <c r="V300" s="208">
        <f>ABS(Множество_202207112140401240[[#This Row],[11]]-Множество_202207112140401240[[#This Row],[13]])</f>
        <v>3.7833333333332995</v>
      </c>
      <c r="W300" s="208">
        <f>Множество_202207112140401240[[#This Row],[15]]+Множество_202207112140401240[[#This Row],[14]]</f>
        <v>14.508333333333301</v>
      </c>
      <c r="X300" s="208">
        <f ca="1">IF(ROW()-ROW(Множество_202207112140401240[[#Headers],[17]])&gt;1,Множество_202207112140401240[[#This Row],[16]]-OFFSET(Множество_202207112140401240[[#This Row],[16]],-1,0),0)</f>
        <v>7.5000000000002842E-2</v>
      </c>
      <c r="Y300" s="208">
        <v>-0.72500000000000098</v>
      </c>
      <c r="Z300" s="208">
        <v>-16.283333333333299</v>
      </c>
      <c r="AA300" s="208">
        <f>ABS(Множество_202207112140401240[[#This Row],[18]]-Множество_202207112140401240[[#This Row],[12]])</f>
        <v>10.725000000000001</v>
      </c>
      <c r="AB300" s="208">
        <f>ABS(Множество_202207112140401240[[#This Row],[19]]-Множество_202207112140401240[[#This Row],[13]])</f>
        <v>3.7833333333332995</v>
      </c>
      <c r="AC300" s="208">
        <f>Множество_202207112140401240[[#This Row],[20]]+Множество_202207112140401240[[#This Row],[21]]</f>
        <v>14.508333333333301</v>
      </c>
    </row>
    <row r="301" spans="6:29" x14ac:dyDescent="0.25">
      <c r="F301" s="213"/>
      <c r="K301" s="208">
        <f>Множество_202207112140401240[[#This Row],[2]]-Множество_202207112140401240[[#This Row],[4]]</f>
        <v>0</v>
      </c>
      <c r="L301" s="208">
        <f>Множество_202207112140401240[[#This Row],[3]]-Множество_202207112140401240[[#This Row],[5]]</f>
        <v>0</v>
      </c>
      <c r="M301" s="208">
        <f>Множество_202207112140401240[[#This Row],[7]]+Множество_202207112140401240[[#This Row],[6]]</f>
        <v>0</v>
      </c>
      <c r="N301" s="208" t="str">
        <f>CONCATENATE(Множество_202207112140401240[[#This Row],[2]],Множество_202207112140401240[[#This Row],[3]])</f>
        <v/>
      </c>
      <c r="O301" s="208"/>
      <c r="P301" s="208"/>
      <c r="Q301">
        <v>-3.125</v>
      </c>
      <c r="R301">
        <v>-11.0833333333333</v>
      </c>
      <c r="S301" s="208">
        <v>10</v>
      </c>
      <c r="T301" s="208">
        <v>-12.5</v>
      </c>
      <c r="U301" s="208">
        <f>ABS(Множество_202207112140401240[[#This Row],[10]]-Множество_202207112140401240[[#This Row],[12]])</f>
        <v>13.125</v>
      </c>
      <c r="V301" s="208">
        <f>ABS(Множество_202207112140401240[[#This Row],[11]]-Множество_202207112140401240[[#This Row],[13]])</f>
        <v>1.4166666666666998</v>
      </c>
      <c r="W301" s="208">
        <f>Множество_202207112140401240[[#This Row],[15]]+Множество_202207112140401240[[#This Row],[14]]</f>
        <v>14.5416666666667</v>
      </c>
      <c r="X301" s="208">
        <f ca="1">IF(ROW()-ROW(Множество_202207112140401240[[#Headers],[17]])&gt;1,Множество_202207112140401240[[#This Row],[16]]-OFFSET(Множество_202207112140401240[[#This Row],[16]],-1,0),0)</f>
        <v>3.333333333339894E-2</v>
      </c>
      <c r="Y301" s="208">
        <v>-3.125</v>
      </c>
      <c r="Z301" s="208">
        <v>-11.0833333333333</v>
      </c>
      <c r="AA301" s="208">
        <f>ABS(Множество_202207112140401240[[#This Row],[18]]-Множество_202207112140401240[[#This Row],[12]])</f>
        <v>13.125</v>
      </c>
      <c r="AB301" s="208">
        <f>ABS(Множество_202207112140401240[[#This Row],[19]]-Множество_202207112140401240[[#This Row],[13]])</f>
        <v>1.4166666666666998</v>
      </c>
      <c r="AC301" s="208">
        <f>Множество_202207112140401240[[#This Row],[20]]+Множество_202207112140401240[[#This Row],[21]]</f>
        <v>14.5416666666667</v>
      </c>
    </row>
    <row r="302" spans="6:29" x14ac:dyDescent="0.25">
      <c r="F302" s="213"/>
      <c r="K302" s="208">
        <f>Множество_202207112140401240[[#This Row],[2]]-Множество_202207112140401240[[#This Row],[4]]</f>
        <v>0</v>
      </c>
      <c r="L302" s="208">
        <f>Множество_202207112140401240[[#This Row],[3]]-Множество_202207112140401240[[#This Row],[5]]</f>
        <v>0</v>
      </c>
      <c r="M302" s="208">
        <f>Множество_202207112140401240[[#This Row],[7]]+Множество_202207112140401240[[#This Row],[6]]</f>
        <v>0</v>
      </c>
      <c r="N302" s="208" t="str">
        <f>CONCATENATE(Множество_202207112140401240[[#This Row],[2]],Множество_202207112140401240[[#This Row],[3]])</f>
        <v/>
      </c>
      <c r="O302" s="208"/>
      <c r="P302" s="208"/>
      <c r="Q302">
        <v>-0.79999999999999705</v>
      </c>
      <c r="R302">
        <v>-16.3</v>
      </c>
      <c r="S302" s="208">
        <v>10</v>
      </c>
      <c r="T302" s="208">
        <v>-12.5</v>
      </c>
      <c r="U302" s="208">
        <f>ABS(Множество_202207112140401240[[#This Row],[10]]-Множество_202207112140401240[[#This Row],[12]])</f>
        <v>10.799999999999997</v>
      </c>
      <c r="V302" s="208">
        <f>ABS(Множество_202207112140401240[[#This Row],[11]]-Множество_202207112140401240[[#This Row],[13]])</f>
        <v>3.8000000000000007</v>
      </c>
      <c r="W302" s="208">
        <f>Множество_202207112140401240[[#This Row],[15]]+Множество_202207112140401240[[#This Row],[14]]</f>
        <v>14.599999999999998</v>
      </c>
      <c r="X302" s="208">
        <f ca="1">IF(ROW()-ROW(Множество_202207112140401240[[#Headers],[17]])&gt;1,Множество_202207112140401240[[#This Row],[16]]-OFFSET(Множество_202207112140401240[[#This Row],[16]],-1,0),0)</f>
        <v>5.8333333333298043E-2</v>
      </c>
      <c r="Y302" s="208">
        <v>-0.79999999999999705</v>
      </c>
      <c r="Z302" s="208">
        <v>-16.3</v>
      </c>
      <c r="AA302" s="208">
        <f>ABS(Множество_202207112140401240[[#This Row],[18]]-Множество_202207112140401240[[#This Row],[12]])</f>
        <v>10.799999999999997</v>
      </c>
      <c r="AB302" s="208">
        <f>ABS(Множество_202207112140401240[[#This Row],[19]]-Множество_202207112140401240[[#This Row],[13]])</f>
        <v>3.8000000000000007</v>
      </c>
      <c r="AC302" s="208">
        <f>Множество_202207112140401240[[#This Row],[20]]+Множество_202207112140401240[[#This Row],[21]]</f>
        <v>14.599999999999998</v>
      </c>
    </row>
    <row r="303" spans="6:29" x14ac:dyDescent="0.25">
      <c r="F303" s="213"/>
      <c r="K303" s="208">
        <f>Множество_202207112140401240[[#This Row],[2]]-Множество_202207112140401240[[#This Row],[4]]</f>
        <v>0</v>
      </c>
      <c r="L303" s="208">
        <f>Множество_202207112140401240[[#This Row],[3]]-Множество_202207112140401240[[#This Row],[5]]</f>
        <v>0</v>
      </c>
      <c r="M303" s="208">
        <f>Множество_202207112140401240[[#This Row],[7]]+Множество_202207112140401240[[#This Row],[6]]</f>
        <v>0</v>
      </c>
      <c r="N303" s="208" t="str">
        <f>CONCATENATE(Множество_202207112140401240[[#This Row],[2]],Множество_202207112140401240[[#This Row],[3]])</f>
        <v/>
      </c>
      <c r="O303" s="208"/>
      <c r="P303" s="208"/>
      <c r="Q303">
        <v>-3.2</v>
      </c>
      <c r="R303">
        <v>-11.05</v>
      </c>
      <c r="S303" s="208">
        <v>10</v>
      </c>
      <c r="T303" s="208">
        <v>-12.5</v>
      </c>
      <c r="U303" s="208">
        <f>ABS(Множество_202207112140401240[[#This Row],[10]]-Множество_202207112140401240[[#This Row],[12]])</f>
        <v>13.2</v>
      </c>
      <c r="V303" s="208">
        <f>ABS(Множество_202207112140401240[[#This Row],[11]]-Множество_202207112140401240[[#This Row],[13]])</f>
        <v>1.4499999999999993</v>
      </c>
      <c r="W303" s="208">
        <f>Множество_202207112140401240[[#This Row],[15]]+Множество_202207112140401240[[#This Row],[14]]</f>
        <v>14.649999999999999</v>
      </c>
      <c r="X303" s="208">
        <f ca="1">IF(ROW()-ROW(Множество_202207112140401240[[#Headers],[17]])&gt;1,Множество_202207112140401240[[#This Row],[16]]-OFFSET(Множество_202207112140401240[[#This Row],[16]],-1,0),0)</f>
        <v>5.0000000000000711E-2</v>
      </c>
      <c r="Y303" s="208">
        <v>-3.2</v>
      </c>
      <c r="Z303" s="208">
        <v>-11.05</v>
      </c>
      <c r="AA303" s="208">
        <f>ABS(Множество_202207112140401240[[#This Row],[18]]-Множество_202207112140401240[[#This Row],[12]])</f>
        <v>13.2</v>
      </c>
      <c r="AB303" s="208">
        <f>ABS(Множество_202207112140401240[[#This Row],[19]]-Множество_202207112140401240[[#This Row],[13]])</f>
        <v>1.4499999999999993</v>
      </c>
      <c r="AC303" s="208">
        <f>Множество_202207112140401240[[#This Row],[20]]+Множество_202207112140401240[[#This Row],[21]]</f>
        <v>14.649999999999999</v>
      </c>
    </row>
    <row r="304" spans="6:29" x14ac:dyDescent="0.25">
      <c r="F304" s="213"/>
      <c r="K304" s="208">
        <f>Множество_202207112140401240[[#This Row],[2]]-Множество_202207112140401240[[#This Row],[4]]</f>
        <v>0</v>
      </c>
      <c r="L304" s="208">
        <f>Множество_202207112140401240[[#This Row],[3]]-Множество_202207112140401240[[#This Row],[5]]</f>
        <v>0</v>
      </c>
      <c r="M304" s="208">
        <f>Множество_202207112140401240[[#This Row],[7]]+Множество_202207112140401240[[#This Row],[6]]</f>
        <v>0</v>
      </c>
      <c r="N304" s="208" t="str">
        <f>CONCATENATE(Множество_202207112140401240[[#This Row],[2]],Множество_202207112140401240[[#This Row],[3]])</f>
        <v/>
      </c>
      <c r="O304" s="208"/>
      <c r="P304" s="208"/>
      <c r="Q304">
        <v>-0.875</v>
      </c>
      <c r="R304">
        <v>-16.316666666666698</v>
      </c>
      <c r="S304" s="208">
        <v>10</v>
      </c>
      <c r="T304" s="208">
        <v>-12.5</v>
      </c>
      <c r="U304" s="208">
        <f>ABS(Множество_202207112140401240[[#This Row],[10]]-Множество_202207112140401240[[#This Row],[12]])</f>
        <v>10.875</v>
      </c>
      <c r="V304" s="208">
        <f>ABS(Множество_202207112140401240[[#This Row],[11]]-Множество_202207112140401240[[#This Row],[13]])</f>
        <v>3.8166666666666984</v>
      </c>
      <c r="W304" s="208">
        <f>Множество_202207112140401240[[#This Row],[15]]+Множество_202207112140401240[[#This Row],[14]]</f>
        <v>14.691666666666698</v>
      </c>
      <c r="X304" s="208">
        <f ca="1">IF(ROW()-ROW(Множество_202207112140401240[[#Headers],[17]])&gt;1,Множество_202207112140401240[[#This Row],[16]]-OFFSET(Множество_202207112140401240[[#This Row],[16]],-1,0),0)</f>
        <v>4.1666666666699825E-2</v>
      </c>
      <c r="Y304" s="208">
        <v>-0.875</v>
      </c>
      <c r="Z304" s="208">
        <v>-16.316666666666698</v>
      </c>
      <c r="AA304" s="208">
        <f>ABS(Множество_202207112140401240[[#This Row],[18]]-Множество_202207112140401240[[#This Row],[12]])</f>
        <v>10.875</v>
      </c>
      <c r="AB304" s="208">
        <f>ABS(Множество_202207112140401240[[#This Row],[19]]-Множество_202207112140401240[[#This Row],[13]])</f>
        <v>3.8166666666666984</v>
      </c>
      <c r="AC304" s="208">
        <f>Множество_202207112140401240[[#This Row],[20]]+Множество_202207112140401240[[#This Row],[21]]</f>
        <v>14.691666666666698</v>
      </c>
    </row>
    <row r="305" spans="6:29" x14ac:dyDescent="0.25">
      <c r="F305" s="213"/>
      <c r="K305" s="208">
        <f>Множество_202207112140401240[[#This Row],[2]]-Множество_202207112140401240[[#This Row],[4]]</f>
        <v>0</v>
      </c>
      <c r="L305" s="208">
        <f>Множество_202207112140401240[[#This Row],[3]]-Множество_202207112140401240[[#This Row],[5]]</f>
        <v>0</v>
      </c>
      <c r="M305" s="208">
        <f>Множество_202207112140401240[[#This Row],[7]]+Множество_202207112140401240[[#This Row],[6]]</f>
        <v>0</v>
      </c>
      <c r="N305" s="208" t="str">
        <f>CONCATENATE(Множество_202207112140401240[[#This Row],[2]],Множество_202207112140401240[[#This Row],[3]])</f>
        <v/>
      </c>
      <c r="O305" s="208"/>
      <c r="P305" s="208"/>
      <c r="Q305">
        <v>-0.94999999999999896</v>
      </c>
      <c r="R305">
        <v>-16.3333333333333</v>
      </c>
      <c r="S305" s="208">
        <v>10</v>
      </c>
      <c r="T305" s="208">
        <v>-12.5</v>
      </c>
      <c r="U305" s="208">
        <f>ABS(Множество_202207112140401240[[#This Row],[10]]-Множество_202207112140401240[[#This Row],[12]])</f>
        <v>10.95</v>
      </c>
      <c r="V305" s="208">
        <f>ABS(Множество_202207112140401240[[#This Row],[11]]-Множество_202207112140401240[[#This Row],[13]])</f>
        <v>3.8333333333333002</v>
      </c>
      <c r="W305" s="208">
        <f>Множество_202207112140401240[[#This Row],[15]]+Множество_202207112140401240[[#This Row],[14]]</f>
        <v>14.783333333333299</v>
      </c>
      <c r="X305" s="208">
        <f ca="1">IF(ROW()-ROW(Множество_202207112140401240[[#Headers],[17]])&gt;1,Множество_202207112140401240[[#This Row],[16]]-OFFSET(Множество_202207112140401240[[#This Row],[16]],-1,0),0)</f>
        <v>9.166666666660106E-2</v>
      </c>
      <c r="Y305" s="208">
        <v>-0.94999999999999896</v>
      </c>
      <c r="Z305" s="208">
        <v>-16.3333333333333</v>
      </c>
      <c r="AA305" s="208">
        <f>ABS(Множество_202207112140401240[[#This Row],[18]]-Множество_202207112140401240[[#This Row],[12]])</f>
        <v>10.95</v>
      </c>
      <c r="AB305" s="208">
        <f>ABS(Множество_202207112140401240[[#This Row],[19]]-Множество_202207112140401240[[#This Row],[13]])</f>
        <v>3.8333333333333002</v>
      </c>
      <c r="AC305" s="208">
        <f>Множество_202207112140401240[[#This Row],[20]]+Множество_202207112140401240[[#This Row],[21]]</f>
        <v>14.783333333333299</v>
      </c>
    </row>
    <row r="306" spans="6:29" x14ac:dyDescent="0.25">
      <c r="F306" s="213"/>
      <c r="K306" s="208">
        <f>Множество_202207112140401240[[#This Row],[2]]-Множество_202207112140401240[[#This Row],[4]]</f>
        <v>0</v>
      </c>
      <c r="L306" s="208">
        <f>Множество_202207112140401240[[#This Row],[3]]-Множество_202207112140401240[[#This Row],[5]]</f>
        <v>0</v>
      </c>
      <c r="M306" s="208">
        <f>Множество_202207112140401240[[#This Row],[7]]+Множество_202207112140401240[[#This Row],[6]]</f>
        <v>0</v>
      </c>
      <c r="N306" s="208" t="str">
        <f>CONCATENATE(Множество_202207112140401240[[#This Row],[2]],Множество_202207112140401240[[#This Row],[3]])</f>
        <v/>
      </c>
      <c r="O306" s="208"/>
      <c r="P306" s="208"/>
      <c r="Q306">
        <v>-3.2749999999999999</v>
      </c>
      <c r="R306">
        <v>-11</v>
      </c>
      <c r="S306" s="208">
        <v>10</v>
      </c>
      <c r="T306" s="208">
        <v>-12.5</v>
      </c>
      <c r="U306" s="208">
        <f>ABS(Множество_202207112140401240[[#This Row],[10]]-Множество_202207112140401240[[#This Row],[12]])</f>
        <v>13.275</v>
      </c>
      <c r="V306" s="208">
        <f>ABS(Множество_202207112140401240[[#This Row],[11]]-Множество_202207112140401240[[#This Row],[13]])</f>
        <v>1.5</v>
      </c>
      <c r="W306" s="208">
        <f>Множество_202207112140401240[[#This Row],[15]]+Множество_202207112140401240[[#This Row],[14]]</f>
        <v>14.775</v>
      </c>
      <c r="X306" s="208">
        <f ca="1">IF(ROW()-ROW(Множество_202207112140401240[[#Headers],[17]])&gt;1,Множество_202207112140401240[[#This Row],[16]]-OFFSET(Множество_202207112140401240[[#This Row],[16]],-1,0),0)</f>
        <v>-8.3333333332991089E-3</v>
      </c>
      <c r="Y306" s="208">
        <v>-3.2749999999999999</v>
      </c>
      <c r="Z306" s="208">
        <v>-11</v>
      </c>
      <c r="AA306" s="208">
        <f>ABS(Множество_202207112140401240[[#This Row],[18]]-Множество_202207112140401240[[#This Row],[12]])</f>
        <v>13.275</v>
      </c>
      <c r="AB306" s="208">
        <f>ABS(Множество_202207112140401240[[#This Row],[19]]-Множество_202207112140401240[[#This Row],[13]])</f>
        <v>1.5</v>
      </c>
      <c r="AC306" s="208">
        <f>Множество_202207112140401240[[#This Row],[20]]+Множество_202207112140401240[[#This Row],[21]]</f>
        <v>14.775</v>
      </c>
    </row>
    <row r="307" spans="6:29" x14ac:dyDescent="0.25">
      <c r="F307" s="213"/>
      <c r="K307" s="208">
        <f>Множество_202207112140401240[[#This Row],[2]]-Множество_202207112140401240[[#This Row],[4]]</f>
        <v>0</v>
      </c>
      <c r="L307" s="208">
        <f>Множество_202207112140401240[[#This Row],[3]]-Множество_202207112140401240[[#This Row],[5]]</f>
        <v>0</v>
      </c>
      <c r="M307" s="208">
        <f>Множество_202207112140401240[[#This Row],[7]]+Множество_202207112140401240[[#This Row],[6]]</f>
        <v>0</v>
      </c>
      <c r="N307" s="208" t="str">
        <f>CONCATENATE(Множество_202207112140401240[[#This Row],[2]],Множество_202207112140401240[[#This Row],[3]])</f>
        <v/>
      </c>
      <c r="O307" s="208"/>
      <c r="P307" s="208"/>
      <c r="Q307">
        <v>-3.35</v>
      </c>
      <c r="R307">
        <v>-10.966666666666701</v>
      </c>
      <c r="S307" s="208">
        <v>10</v>
      </c>
      <c r="T307" s="208">
        <v>-12.5</v>
      </c>
      <c r="U307" s="208">
        <f>ABS(Множество_202207112140401240[[#This Row],[10]]-Множество_202207112140401240[[#This Row],[12]])</f>
        <v>13.35</v>
      </c>
      <c r="V307" s="208">
        <f>ABS(Множество_202207112140401240[[#This Row],[11]]-Множество_202207112140401240[[#This Row],[13]])</f>
        <v>1.5333333333332995</v>
      </c>
      <c r="W307" s="208">
        <f>Множество_202207112140401240[[#This Row],[15]]+Множество_202207112140401240[[#This Row],[14]]</f>
        <v>14.883333333333299</v>
      </c>
      <c r="X307" s="208">
        <f ca="1">IF(ROW()-ROW(Множество_202207112140401240[[#Headers],[17]])&gt;1,Множество_202207112140401240[[#This Row],[16]]-OFFSET(Множество_202207112140401240[[#This Row],[16]],-1,0),0)</f>
        <v>0.10833333333329875</v>
      </c>
      <c r="Y307" s="208">
        <v>-3.35</v>
      </c>
      <c r="Z307" s="208">
        <v>-10.966666666666701</v>
      </c>
      <c r="AA307" s="208">
        <f>ABS(Множество_202207112140401240[[#This Row],[18]]-Множество_202207112140401240[[#This Row],[12]])</f>
        <v>13.35</v>
      </c>
      <c r="AB307" s="208">
        <f>ABS(Множество_202207112140401240[[#This Row],[19]]-Множество_202207112140401240[[#This Row],[13]])</f>
        <v>1.5333333333332995</v>
      </c>
      <c r="AC307" s="208">
        <f>Множество_202207112140401240[[#This Row],[20]]+Множество_202207112140401240[[#This Row],[21]]</f>
        <v>14.883333333333299</v>
      </c>
    </row>
    <row r="308" spans="6:29" x14ac:dyDescent="0.25">
      <c r="F308" s="213"/>
      <c r="K308" s="208">
        <f>Множество_202207112140401240[[#This Row],[2]]-Множество_202207112140401240[[#This Row],[4]]</f>
        <v>0</v>
      </c>
      <c r="L308" s="208">
        <f>Множество_202207112140401240[[#This Row],[3]]-Множество_202207112140401240[[#This Row],[5]]</f>
        <v>0</v>
      </c>
      <c r="M308" s="208">
        <f>Множество_202207112140401240[[#This Row],[7]]+Множество_202207112140401240[[#This Row],[6]]</f>
        <v>0</v>
      </c>
      <c r="N308" s="208" t="str">
        <f>CONCATENATE(Множество_202207112140401240[[#This Row],[2]],Множество_202207112140401240[[#This Row],[3]])</f>
        <v/>
      </c>
      <c r="O308" s="208"/>
      <c r="P308" s="208"/>
      <c r="Q308">
        <v>-1.1000000000000001</v>
      </c>
      <c r="R308">
        <v>-16.350000000000001</v>
      </c>
      <c r="S308" s="208">
        <v>10</v>
      </c>
      <c r="T308" s="208">
        <v>-12.5</v>
      </c>
      <c r="U308" s="208">
        <f>ABS(Множество_202207112140401240[[#This Row],[10]]-Множество_202207112140401240[[#This Row],[12]])</f>
        <v>11.1</v>
      </c>
      <c r="V308" s="208">
        <f>ABS(Множество_202207112140401240[[#This Row],[11]]-Множество_202207112140401240[[#This Row],[13]])</f>
        <v>3.8500000000000014</v>
      </c>
      <c r="W308" s="208">
        <f>Множество_202207112140401240[[#This Row],[15]]+Множество_202207112140401240[[#This Row],[14]]</f>
        <v>14.950000000000001</v>
      </c>
      <c r="X308" s="208">
        <f ca="1">IF(ROW()-ROW(Множество_202207112140401240[[#Headers],[17]])&gt;1,Множество_202207112140401240[[#This Row],[16]]-OFFSET(Множество_202207112140401240[[#This Row],[16]],-1,0),0)</f>
        <v>6.6666666666701957E-2</v>
      </c>
      <c r="Y308" s="208">
        <v>-1.1000000000000001</v>
      </c>
      <c r="Z308" s="208">
        <v>-16.350000000000001</v>
      </c>
      <c r="AA308" s="208">
        <f>ABS(Множество_202207112140401240[[#This Row],[18]]-Множество_202207112140401240[[#This Row],[12]])</f>
        <v>11.1</v>
      </c>
      <c r="AB308" s="208">
        <f>ABS(Множество_202207112140401240[[#This Row],[19]]-Множество_202207112140401240[[#This Row],[13]])</f>
        <v>3.8500000000000014</v>
      </c>
      <c r="AC308" s="208">
        <f>Множество_202207112140401240[[#This Row],[20]]+Множество_202207112140401240[[#This Row],[21]]</f>
        <v>14.950000000000001</v>
      </c>
    </row>
    <row r="309" spans="6:29" x14ac:dyDescent="0.25">
      <c r="F309" s="213"/>
      <c r="K309" s="208">
        <f>Множество_202207112140401240[[#This Row],[2]]-Множество_202207112140401240[[#This Row],[4]]</f>
        <v>0</v>
      </c>
      <c r="L309" s="208">
        <f>Множество_202207112140401240[[#This Row],[3]]-Множество_202207112140401240[[#This Row],[5]]</f>
        <v>0</v>
      </c>
      <c r="M309" s="208">
        <f>Множество_202207112140401240[[#This Row],[7]]+Множество_202207112140401240[[#This Row],[6]]</f>
        <v>0</v>
      </c>
      <c r="N309" s="208" t="str">
        <f>CONCATENATE(Множество_202207112140401240[[#This Row],[2]],Множество_202207112140401240[[#This Row],[3]])</f>
        <v/>
      </c>
      <c r="O309" s="208"/>
      <c r="P309" s="208"/>
      <c r="Q309">
        <v>-3.4249999999999998</v>
      </c>
      <c r="R309">
        <v>-10.9166666666667</v>
      </c>
      <c r="S309" s="208">
        <v>10</v>
      </c>
      <c r="T309" s="208">
        <v>-12.5</v>
      </c>
      <c r="U309" s="208">
        <f>ABS(Множество_202207112140401240[[#This Row],[10]]-Множество_202207112140401240[[#This Row],[12]])</f>
        <v>13.425000000000001</v>
      </c>
      <c r="V309" s="208">
        <f>ABS(Множество_202207112140401240[[#This Row],[11]]-Множество_202207112140401240[[#This Row],[13]])</f>
        <v>1.5833333333333002</v>
      </c>
      <c r="W309" s="208">
        <f>Множество_202207112140401240[[#This Row],[15]]+Множество_202207112140401240[[#This Row],[14]]</f>
        <v>15.008333333333301</v>
      </c>
      <c r="X309" s="208">
        <f ca="1">IF(ROW()-ROW(Множество_202207112140401240[[#Headers],[17]])&gt;1,Множество_202207112140401240[[#This Row],[16]]-OFFSET(Множество_202207112140401240[[#This Row],[16]],-1,0),0)</f>
        <v>5.8333333333299819E-2</v>
      </c>
      <c r="Y309" s="208">
        <v>-3.4249999999999998</v>
      </c>
      <c r="Z309" s="208">
        <v>-10.9166666666667</v>
      </c>
      <c r="AA309" s="208">
        <f>ABS(Множество_202207112140401240[[#This Row],[18]]-Множество_202207112140401240[[#This Row],[12]])</f>
        <v>13.425000000000001</v>
      </c>
      <c r="AB309" s="208">
        <f>ABS(Множество_202207112140401240[[#This Row],[19]]-Множество_202207112140401240[[#This Row],[13]])</f>
        <v>1.5833333333333002</v>
      </c>
      <c r="AC309" s="208">
        <f>Множество_202207112140401240[[#This Row],[20]]+Множество_202207112140401240[[#This Row],[21]]</f>
        <v>15.008333333333301</v>
      </c>
    </row>
    <row r="310" spans="6:29" x14ac:dyDescent="0.25">
      <c r="F310" s="213"/>
      <c r="K310" s="208">
        <f>Множество_202207112140401240[[#This Row],[2]]-Множество_202207112140401240[[#This Row],[4]]</f>
        <v>0</v>
      </c>
      <c r="L310" s="208">
        <f>Множество_202207112140401240[[#This Row],[3]]-Множество_202207112140401240[[#This Row],[5]]</f>
        <v>0</v>
      </c>
      <c r="M310" s="208">
        <f>Множество_202207112140401240[[#This Row],[7]]+Множество_202207112140401240[[#This Row],[6]]</f>
        <v>0</v>
      </c>
      <c r="N310" s="208" t="str">
        <f>CONCATENATE(Множество_202207112140401240[[#This Row],[2]],Множество_202207112140401240[[#This Row],[3]])</f>
        <v/>
      </c>
      <c r="O310" s="208"/>
      <c r="P310" s="208"/>
      <c r="Q310">
        <v>-1.25</v>
      </c>
      <c r="R310">
        <v>-16.383333333333301</v>
      </c>
      <c r="S310" s="208">
        <v>10</v>
      </c>
      <c r="T310" s="208">
        <v>-12.5</v>
      </c>
      <c r="U310" s="208">
        <f>ABS(Множество_202207112140401240[[#This Row],[10]]-Множество_202207112140401240[[#This Row],[12]])</f>
        <v>11.25</v>
      </c>
      <c r="V310" s="208">
        <f>ABS(Множество_202207112140401240[[#This Row],[11]]-Множество_202207112140401240[[#This Row],[13]])</f>
        <v>3.8833333333333009</v>
      </c>
      <c r="W310" s="208">
        <f>Множество_202207112140401240[[#This Row],[15]]+Множество_202207112140401240[[#This Row],[14]]</f>
        <v>15.133333333333301</v>
      </c>
      <c r="X310" s="208">
        <f ca="1">IF(ROW()-ROW(Множество_202207112140401240[[#Headers],[17]])&gt;1,Множество_202207112140401240[[#This Row],[16]]-OFFSET(Множество_202207112140401240[[#This Row],[16]],-1,0),0)</f>
        <v>0.125</v>
      </c>
      <c r="Y310" s="208">
        <v>-1.25</v>
      </c>
      <c r="Z310" s="208">
        <v>-16.383333333333301</v>
      </c>
      <c r="AA310" s="208">
        <f>ABS(Множество_202207112140401240[[#This Row],[18]]-Множество_202207112140401240[[#This Row],[12]])</f>
        <v>11.25</v>
      </c>
      <c r="AB310" s="208">
        <f>ABS(Множество_202207112140401240[[#This Row],[19]]-Множество_202207112140401240[[#This Row],[13]])</f>
        <v>3.8833333333333009</v>
      </c>
      <c r="AC310" s="208">
        <f>Множество_202207112140401240[[#This Row],[20]]+Множество_202207112140401240[[#This Row],[21]]</f>
        <v>15.133333333333301</v>
      </c>
    </row>
    <row r="311" spans="6:29" x14ac:dyDescent="0.25">
      <c r="F311" s="213"/>
      <c r="K311" s="208">
        <f>Множество_202207112140401240[[#This Row],[2]]-Множество_202207112140401240[[#This Row],[4]]</f>
        <v>0</v>
      </c>
      <c r="L311" s="208">
        <f>Множество_202207112140401240[[#This Row],[3]]-Множество_202207112140401240[[#This Row],[5]]</f>
        <v>0</v>
      </c>
      <c r="M311" s="208">
        <f>Множество_202207112140401240[[#This Row],[7]]+Множество_202207112140401240[[#This Row],[6]]</f>
        <v>0</v>
      </c>
      <c r="N311" s="208" t="str">
        <f>CONCATENATE(Множество_202207112140401240[[#This Row],[2]],Множество_202207112140401240[[#This Row],[3]])</f>
        <v/>
      </c>
      <c r="O311" s="208"/>
      <c r="P311" s="208"/>
      <c r="Q311">
        <v>-1.175</v>
      </c>
      <c r="R311">
        <v>-16.366666666666699</v>
      </c>
      <c r="S311" s="208">
        <v>10</v>
      </c>
      <c r="T311" s="208">
        <v>-12.5</v>
      </c>
      <c r="U311" s="208">
        <f>ABS(Множество_202207112140401240[[#This Row],[10]]-Множество_202207112140401240[[#This Row],[12]])</f>
        <v>11.175000000000001</v>
      </c>
      <c r="V311" s="208">
        <f>ABS(Множество_202207112140401240[[#This Row],[11]]-Множество_202207112140401240[[#This Row],[13]])</f>
        <v>3.8666666666666991</v>
      </c>
      <c r="W311" s="208">
        <f>Множество_202207112140401240[[#This Row],[15]]+Множество_202207112140401240[[#This Row],[14]]</f>
        <v>15.0416666666667</v>
      </c>
      <c r="X311" s="208">
        <f ca="1">IF(ROW()-ROW(Множество_202207112140401240[[#Headers],[17]])&gt;1,Множество_202207112140401240[[#This Row],[16]]-OFFSET(Множество_202207112140401240[[#This Row],[16]],-1,0),0)</f>
        <v>-9.166666666660106E-2</v>
      </c>
      <c r="Y311" s="208">
        <v>-1.175</v>
      </c>
      <c r="Z311" s="208">
        <v>-16.366666666666699</v>
      </c>
      <c r="AA311" s="208">
        <f>ABS(Множество_202207112140401240[[#This Row],[18]]-Множество_202207112140401240[[#This Row],[12]])</f>
        <v>11.175000000000001</v>
      </c>
      <c r="AB311" s="208">
        <f>ABS(Множество_202207112140401240[[#This Row],[19]]-Множество_202207112140401240[[#This Row],[13]])</f>
        <v>3.8666666666666991</v>
      </c>
      <c r="AC311" s="208">
        <f>Множество_202207112140401240[[#This Row],[20]]+Множество_202207112140401240[[#This Row],[21]]</f>
        <v>15.0416666666667</v>
      </c>
    </row>
    <row r="312" spans="6:29" x14ac:dyDescent="0.25">
      <c r="F312" s="213"/>
      <c r="K312" s="208">
        <f>Множество_202207112140401240[[#This Row],[2]]-Множество_202207112140401240[[#This Row],[4]]</f>
        <v>0</v>
      </c>
      <c r="L312" s="208">
        <f>Множество_202207112140401240[[#This Row],[3]]-Множество_202207112140401240[[#This Row],[5]]</f>
        <v>0</v>
      </c>
      <c r="M312" s="208">
        <f>Множество_202207112140401240[[#This Row],[7]]+Множество_202207112140401240[[#This Row],[6]]</f>
        <v>0</v>
      </c>
      <c r="N312" s="208" t="str">
        <f>CONCATENATE(Множество_202207112140401240[[#This Row],[2]],Множество_202207112140401240[[#This Row],[3]])</f>
        <v/>
      </c>
      <c r="O312" s="208"/>
      <c r="P312" s="208"/>
      <c r="Q312">
        <v>-3.5</v>
      </c>
      <c r="R312">
        <v>-10.866666666666699</v>
      </c>
      <c r="S312" s="208">
        <v>10</v>
      </c>
      <c r="T312" s="208">
        <v>-12.5</v>
      </c>
      <c r="U312" s="208">
        <f>ABS(Множество_202207112140401240[[#This Row],[10]]-Множество_202207112140401240[[#This Row],[12]])</f>
        <v>13.5</v>
      </c>
      <c r="V312" s="208">
        <f>ABS(Множество_202207112140401240[[#This Row],[11]]-Множество_202207112140401240[[#This Row],[13]])</f>
        <v>1.6333333333333009</v>
      </c>
      <c r="W312" s="208">
        <f>Множество_202207112140401240[[#This Row],[15]]+Множество_202207112140401240[[#This Row],[14]]</f>
        <v>15.133333333333301</v>
      </c>
      <c r="X312" s="208">
        <f ca="1">IF(ROW()-ROW(Множество_202207112140401240[[#Headers],[17]])&gt;1,Множество_202207112140401240[[#This Row],[16]]-OFFSET(Множество_202207112140401240[[#This Row],[16]],-1,0),0)</f>
        <v>9.166666666660106E-2</v>
      </c>
      <c r="Y312" s="208">
        <v>-3.5</v>
      </c>
      <c r="Z312" s="208">
        <v>-10.866666666666699</v>
      </c>
      <c r="AA312" s="208">
        <f>ABS(Множество_202207112140401240[[#This Row],[18]]-Множество_202207112140401240[[#This Row],[12]])</f>
        <v>13.5</v>
      </c>
      <c r="AB312" s="208">
        <f>ABS(Множество_202207112140401240[[#This Row],[19]]-Множество_202207112140401240[[#This Row],[13]])</f>
        <v>1.6333333333333009</v>
      </c>
      <c r="AC312" s="208">
        <f>Множество_202207112140401240[[#This Row],[20]]+Множество_202207112140401240[[#This Row],[21]]</f>
        <v>15.133333333333301</v>
      </c>
    </row>
    <row r="313" spans="6:29" x14ac:dyDescent="0.25">
      <c r="F313" s="213"/>
      <c r="K313" s="208">
        <f>Множество_202207112140401240[[#This Row],[2]]-Множество_202207112140401240[[#This Row],[4]]</f>
        <v>0</v>
      </c>
      <c r="L313" s="208">
        <f>Множество_202207112140401240[[#This Row],[3]]-Множество_202207112140401240[[#This Row],[5]]</f>
        <v>0</v>
      </c>
      <c r="M313" s="208">
        <f>Множество_202207112140401240[[#This Row],[7]]+Множество_202207112140401240[[#This Row],[6]]</f>
        <v>0</v>
      </c>
      <c r="N313" s="208" t="str">
        <f>CONCATENATE(Множество_202207112140401240[[#This Row],[2]],Множество_202207112140401240[[#This Row],[3]])</f>
        <v/>
      </c>
      <c r="O313" s="208"/>
      <c r="P313" s="208"/>
      <c r="Q313">
        <v>-1.325</v>
      </c>
      <c r="R313">
        <v>-16.399999999999999</v>
      </c>
      <c r="S313" s="208">
        <v>10</v>
      </c>
      <c r="T313" s="208">
        <v>-12.5</v>
      </c>
      <c r="U313" s="208">
        <f>ABS(Множество_202207112140401240[[#This Row],[10]]-Множество_202207112140401240[[#This Row],[12]])</f>
        <v>11.324999999999999</v>
      </c>
      <c r="V313" s="208">
        <f>ABS(Множество_202207112140401240[[#This Row],[11]]-Множество_202207112140401240[[#This Row],[13]])</f>
        <v>3.8999999999999986</v>
      </c>
      <c r="W313" s="208">
        <f>Множество_202207112140401240[[#This Row],[15]]+Множество_202207112140401240[[#This Row],[14]]</f>
        <v>15.224999999999998</v>
      </c>
      <c r="X313" s="208">
        <f ca="1">IF(ROW()-ROW(Множество_202207112140401240[[#Headers],[17]])&gt;1,Множество_202207112140401240[[#This Row],[16]]-OFFSET(Множество_202207112140401240[[#This Row],[16]],-1,0),0)</f>
        <v>9.1666666666696983E-2</v>
      </c>
      <c r="Y313" s="208">
        <v>-1.325</v>
      </c>
      <c r="Z313" s="208">
        <v>-16.399999999999999</v>
      </c>
      <c r="AA313" s="208">
        <f>ABS(Множество_202207112140401240[[#This Row],[18]]-Множество_202207112140401240[[#This Row],[12]])</f>
        <v>11.324999999999999</v>
      </c>
      <c r="AB313" s="208">
        <f>ABS(Множество_202207112140401240[[#This Row],[19]]-Множество_202207112140401240[[#This Row],[13]])</f>
        <v>3.8999999999999986</v>
      </c>
      <c r="AC313" s="208">
        <f>Множество_202207112140401240[[#This Row],[20]]+Множество_202207112140401240[[#This Row],[21]]</f>
        <v>15.224999999999998</v>
      </c>
    </row>
    <row r="314" spans="6:29" x14ac:dyDescent="0.25">
      <c r="F314" s="213"/>
      <c r="K314" s="208">
        <f>Множество_202207112140401240[[#This Row],[2]]-Множество_202207112140401240[[#This Row],[4]]</f>
        <v>0</v>
      </c>
      <c r="L314" s="208">
        <f>Множество_202207112140401240[[#This Row],[3]]-Множество_202207112140401240[[#This Row],[5]]</f>
        <v>0</v>
      </c>
      <c r="M314" s="208">
        <f>Множество_202207112140401240[[#This Row],[7]]+Множество_202207112140401240[[#This Row],[6]]</f>
        <v>0</v>
      </c>
      <c r="N314" s="208" t="str">
        <f>CONCATENATE(Множество_202207112140401240[[#This Row],[2]],Множество_202207112140401240[[#This Row],[3]])</f>
        <v/>
      </c>
      <c r="O314" s="208"/>
      <c r="P314" s="208"/>
      <c r="Q314">
        <v>-1.4</v>
      </c>
      <c r="R314">
        <v>-16.399999999999999</v>
      </c>
      <c r="S314" s="208">
        <v>10</v>
      </c>
      <c r="T314" s="208">
        <v>-12.5</v>
      </c>
      <c r="U314" s="208">
        <f>ABS(Множество_202207112140401240[[#This Row],[10]]-Множество_202207112140401240[[#This Row],[12]])</f>
        <v>11.4</v>
      </c>
      <c r="V314" s="208">
        <f>ABS(Множество_202207112140401240[[#This Row],[11]]-Множество_202207112140401240[[#This Row],[13]])</f>
        <v>3.8999999999999986</v>
      </c>
      <c r="W314" s="208">
        <f>Множество_202207112140401240[[#This Row],[15]]+Множество_202207112140401240[[#This Row],[14]]</f>
        <v>15.299999999999999</v>
      </c>
      <c r="X314" s="208">
        <f ca="1">IF(ROW()-ROW(Множество_202207112140401240[[#Headers],[17]])&gt;1,Множество_202207112140401240[[#This Row],[16]]-OFFSET(Множество_202207112140401240[[#This Row],[16]],-1,0),0)</f>
        <v>7.5000000000001066E-2</v>
      </c>
      <c r="Y314" s="208">
        <v>-1.4</v>
      </c>
      <c r="Z314" s="208">
        <v>-16.399999999999999</v>
      </c>
      <c r="AA314" s="208">
        <f>ABS(Множество_202207112140401240[[#This Row],[18]]-Множество_202207112140401240[[#This Row],[12]])</f>
        <v>11.4</v>
      </c>
      <c r="AB314" s="208">
        <f>ABS(Множество_202207112140401240[[#This Row],[19]]-Множество_202207112140401240[[#This Row],[13]])</f>
        <v>3.8999999999999986</v>
      </c>
      <c r="AC314" s="208">
        <f>Множество_202207112140401240[[#This Row],[20]]+Множество_202207112140401240[[#This Row],[21]]</f>
        <v>15.299999999999999</v>
      </c>
    </row>
    <row r="315" spans="6:29" x14ac:dyDescent="0.25">
      <c r="F315" s="213"/>
      <c r="K315" s="208">
        <f>Множество_202207112140401240[[#This Row],[2]]-Множество_202207112140401240[[#This Row],[4]]</f>
        <v>0</v>
      </c>
      <c r="L315" s="208">
        <f>Множество_202207112140401240[[#This Row],[3]]-Множество_202207112140401240[[#This Row],[5]]</f>
        <v>0</v>
      </c>
      <c r="M315" s="208">
        <f>Множество_202207112140401240[[#This Row],[7]]+Множество_202207112140401240[[#This Row],[6]]</f>
        <v>0</v>
      </c>
      <c r="N315" s="208" t="str">
        <f>CONCATENATE(Множество_202207112140401240[[#This Row],[2]],Множество_202207112140401240[[#This Row],[3]])</f>
        <v/>
      </c>
      <c r="O315" s="208"/>
      <c r="P315" s="208"/>
      <c r="Q315">
        <v>-3.5750000000000002</v>
      </c>
      <c r="R315">
        <v>-10.8333333333333</v>
      </c>
      <c r="S315" s="208">
        <v>10</v>
      </c>
      <c r="T315" s="208">
        <v>-12.5</v>
      </c>
      <c r="U315" s="208">
        <f>ABS(Множество_202207112140401240[[#This Row],[10]]-Множество_202207112140401240[[#This Row],[12]])</f>
        <v>13.574999999999999</v>
      </c>
      <c r="V315" s="208">
        <f>ABS(Множество_202207112140401240[[#This Row],[11]]-Множество_202207112140401240[[#This Row],[13]])</f>
        <v>1.6666666666666998</v>
      </c>
      <c r="W315" s="208">
        <f>Множество_202207112140401240[[#This Row],[15]]+Множество_202207112140401240[[#This Row],[14]]</f>
        <v>15.241666666666699</v>
      </c>
      <c r="X315" s="208">
        <f ca="1">IF(ROW()-ROW(Множество_202207112140401240[[#Headers],[17]])&gt;1,Множество_202207112140401240[[#This Row],[16]]-OFFSET(Множество_202207112140401240[[#This Row],[16]],-1,0),0)</f>
        <v>-5.8333333333299819E-2</v>
      </c>
      <c r="Y315" s="208">
        <v>-3.5750000000000002</v>
      </c>
      <c r="Z315" s="208">
        <v>-10.8333333333333</v>
      </c>
      <c r="AA315" s="208">
        <f>ABS(Множество_202207112140401240[[#This Row],[18]]-Множество_202207112140401240[[#This Row],[12]])</f>
        <v>13.574999999999999</v>
      </c>
      <c r="AB315" s="208">
        <f>ABS(Множество_202207112140401240[[#This Row],[19]]-Множество_202207112140401240[[#This Row],[13]])</f>
        <v>1.6666666666666998</v>
      </c>
      <c r="AC315" s="208">
        <f>Множество_202207112140401240[[#This Row],[20]]+Множество_202207112140401240[[#This Row],[21]]</f>
        <v>15.241666666666699</v>
      </c>
    </row>
    <row r="316" spans="6:29" x14ac:dyDescent="0.25">
      <c r="F316" s="213"/>
      <c r="K316" s="208">
        <f>Множество_202207112140401240[[#This Row],[2]]-Множество_202207112140401240[[#This Row],[4]]</f>
        <v>0</v>
      </c>
      <c r="L316" s="208">
        <f>Множество_202207112140401240[[#This Row],[3]]-Множество_202207112140401240[[#This Row],[5]]</f>
        <v>0</v>
      </c>
      <c r="M316" s="208">
        <f>Множество_202207112140401240[[#This Row],[7]]+Множество_202207112140401240[[#This Row],[6]]</f>
        <v>0</v>
      </c>
      <c r="N316" s="208" t="str">
        <f>CONCATENATE(Множество_202207112140401240[[#This Row],[2]],Множество_202207112140401240[[#This Row],[3]])</f>
        <v/>
      </c>
      <c r="O316" s="208"/>
      <c r="P316" s="208"/>
      <c r="Q316">
        <v>-1.4750000000000001</v>
      </c>
      <c r="R316">
        <v>-16.4166666666667</v>
      </c>
      <c r="S316" s="208">
        <v>10</v>
      </c>
      <c r="T316" s="208">
        <v>-12.5</v>
      </c>
      <c r="U316" s="208">
        <f>ABS(Множество_202207112140401240[[#This Row],[10]]-Множество_202207112140401240[[#This Row],[12]])</f>
        <v>11.475</v>
      </c>
      <c r="V316" s="208">
        <f>ABS(Множество_202207112140401240[[#This Row],[11]]-Множество_202207112140401240[[#This Row],[13]])</f>
        <v>3.9166666666666998</v>
      </c>
      <c r="W316" s="208">
        <f>Множество_202207112140401240[[#This Row],[15]]+Множество_202207112140401240[[#This Row],[14]]</f>
        <v>15.391666666666699</v>
      </c>
      <c r="X316" s="208">
        <f ca="1">IF(ROW()-ROW(Множество_202207112140401240[[#Headers],[17]])&gt;1,Множество_202207112140401240[[#This Row],[16]]-OFFSET(Множество_202207112140401240[[#This Row],[16]],-1,0),0)</f>
        <v>0.15000000000000036</v>
      </c>
      <c r="Y316" s="208">
        <v>-1.4750000000000001</v>
      </c>
      <c r="Z316" s="208">
        <v>-16.4166666666667</v>
      </c>
      <c r="AA316" s="208">
        <f>ABS(Множество_202207112140401240[[#This Row],[18]]-Множество_202207112140401240[[#This Row],[12]])</f>
        <v>11.475</v>
      </c>
      <c r="AB316" s="208">
        <f>ABS(Множество_202207112140401240[[#This Row],[19]]-Множество_202207112140401240[[#This Row],[13]])</f>
        <v>3.9166666666666998</v>
      </c>
      <c r="AC316" s="208">
        <f>Множество_202207112140401240[[#This Row],[20]]+Множество_202207112140401240[[#This Row],[21]]</f>
        <v>15.391666666666699</v>
      </c>
    </row>
    <row r="317" spans="6:29" x14ac:dyDescent="0.25">
      <c r="F317" s="213"/>
      <c r="K317" s="208">
        <f>Множество_202207112140401240[[#This Row],[2]]-Множество_202207112140401240[[#This Row],[4]]</f>
        <v>0</v>
      </c>
      <c r="L317" s="208">
        <f>Множество_202207112140401240[[#This Row],[3]]-Множество_202207112140401240[[#This Row],[5]]</f>
        <v>0</v>
      </c>
      <c r="M317" s="208">
        <f>Множество_202207112140401240[[#This Row],[7]]+Множество_202207112140401240[[#This Row],[6]]</f>
        <v>0</v>
      </c>
      <c r="N317" s="208" t="str">
        <f>CONCATENATE(Множество_202207112140401240[[#This Row],[2]],Множество_202207112140401240[[#This Row],[3]])</f>
        <v/>
      </c>
      <c r="O317" s="208"/>
      <c r="P317" s="208"/>
      <c r="Q317">
        <v>-1.625</v>
      </c>
      <c r="R317">
        <v>-16.45</v>
      </c>
      <c r="S317" s="208">
        <v>10</v>
      </c>
      <c r="T317" s="208">
        <v>-12.5</v>
      </c>
      <c r="U317" s="208">
        <f>ABS(Множество_202207112140401240[[#This Row],[10]]-Множество_202207112140401240[[#This Row],[12]])</f>
        <v>11.625</v>
      </c>
      <c r="V317" s="208">
        <f>ABS(Множество_202207112140401240[[#This Row],[11]]-Множество_202207112140401240[[#This Row],[13]])</f>
        <v>3.9499999999999993</v>
      </c>
      <c r="W317" s="208">
        <f>Множество_202207112140401240[[#This Row],[15]]+Множество_202207112140401240[[#This Row],[14]]</f>
        <v>15.574999999999999</v>
      </c>
      <c r="X317" s="208">
        <f ca="1">IF(ROW()-ROW(Множество_202207112140401240[[#Headers],[17]])&gt;1,Множество_202207112140401240[[#This Row],[16]]-OFFSET(Множество_202207112140401240[[#This Row],[16]],-1,0),0)</f>
        <v>0.18333333333329982</v>
      </c>
      <c r="Y317" s="208">
        <v>-1.625</v>
      </c>
      <c r="Z317" s="208">
        <v>-16.45</v>
      </c>
      <c r="AA317" s="208">
        <f>ABS(Множество_202207112140401240[[#This Row],[18]]-Множество_202207112140401240[[#This Row],[12]])</f>
        <v>11.625</v>
      </c>
      <c r="AB317" s="208">
        <f>ABS(Множество_202207112140401240[[#This Row],[19]]-Множество_202207112140401240[[#This Row],[13]])</f>
        <v>3.9499999999999993</v>
      </c>
      <c r="AC317" s="208">
        <f>Множество_202207112140401240[[#This Row],[20]]+Множество_202207112140401240[[#This Row],[21]]</f>
        <v>15.574999999999999</v>
      </c>
    </row>
    <row r="318" spans="6:29" x14ac:dyDescent="0.25">
      <c r="F318" s="213"/>
      <c r="K318" s="208">
        <f>Множество_202207112140401240[[#This Row],[2]]-Множество_202207112140401240[[#This Row],[4]]</f>
        <v>0</v>
      </c>
      <c r="L318" s="208">
        <f>Множество_202207112140401240[[#This Row],[3]]-Множество_202207112140401240[[#This Row],[5]]</f>
        <v>0</v>
      </c>
      <c r="M318" s="208">
        <f>Множество_202207112140401240[[#This Row],[7]]+Множество_202207112140401240[[#This Row],[6]]</f>
        <v>0</v>
      </c>
      <c r="N318" s="208" t="str">
        <f>CONCATENATE(Множество_202207112140401240[[#This Row],[2]],Множество_202207112140401240[[#This Row],[3]])</f>
        <v/>
      </c>
      <c r="O318" s="208"/>
      <c r="P318" s="208"/>
      <c r="Q318">
        <v>-1.55</v>
      </c>
      <c r="R318">
        <v>-16.433333333333302</v>
      </c>
      <c r="S318" s="208">
        <v>10</v>
      </c>
      <c r="T318" s="208">
        <v>-12.5</v>
      </c>
      <c r="U318" s="208">
        <f>ABS(Множество_202207112140401240[[#This Row],[10]]-Множество_202207112140401240[[#This Row],[12]])</f>
        <v>11.55</v>
      </c>
      <c r="V318" s="208">
        <f>ABS(Множество_202207112140401240[[#This Row],[11]]-Множество_202207112140401240[[#This Row],[13]])</f>
        <v>3.9333333333333016</v>
      </c>
      <c r="W318" s="208">
        <f>Множество_202207112140401240[[#This Row],[15]]+Множество_202207112140401240[[#This Row],[14]]</f>
        <v>15.483333333333302</v>
      </c>
      <c r="X318" s="208">
        <f ca="1">IF(ROW()-ROW(Множество_202207112140401240[[#Headers],[17]])&gt;1,Множество_202207112140401240[[#This Row],[16]]-OFFSET(Множество_202207112140401240[[#This Row],[16]],-1,0),0)</f>
        <v>-9.1666666666696983E-2</v>
      </c>
      <c r="Y318" s="208">
        <v>-1.55</v>
      </c>
      <c r="Z318" s="208">
        <v>-16.433333333333302</v>
      </c>
      <c r="AA318" s="208">
        <f>ABS(Множество_202207112140401240[[#This Row],[18]]-Множество_202207112140401240[[#This Row],[12]])</f>
        <v>11.55</v>
      </c>
      <c r="AB318" s="208">
        <f>ABS(Множество_202207112140401240[[#This Row],[19]]-Множество_202207112140401240[[#This Row],[13]])</f>
        <v>3.9333333333333016</v>
      </c>
      <c r="AC318" s="208">
        <f>Множество_202207112140401240[[#This Row],[20]]+Множество_202207112140401240[[#This Row],[21]]</f>
        <v>15.483333333333302</v>
      </c>
    </row>
    <row r="319" spans="6:29" x14ac:dyDescent="0.25">
      <c r="F319" s="213"/>
      <c r="K319" s="208">
        <f>Множество_202207112140401240[[#This Row],[2]]-Множество_202207112140401240[[#This Row],[4]]</f>
        <v>0</v>
      </c>
      <c r="L319" s="208">
        <f>Множество_202207112140401240[[#This Row],[3]]-Множество_202207112140401240[[#This Row],[5]]</f>
        <v>0</v>
      </c>
      <c r="M319" s="208">
        <f>Множество_202207112140401240[[#This Row],[7]]+Множество_202207112140401240[[#This Row],[6]]</f>
        <v>0</v>
      </c>
      <c r="N319" s="208" t="str">
        <f>CONCATENATE(Множество_202207112140401240[[#This Row],[2]],Множество_202207112140401240[[#This Row],[3]])</f>
        <v/>
      </c>
      <c r="O319" s="208"/>
      <c r="P319" s="208"/>
      <c r="Q319">
        <v>-1.7749999999999999</v>
      </c>
      <c r="R319">
        <v>-16.466666666666701</v>
      </c>
      <c r="S319" s="208">
        <v>10</v>
      </c>
      <c r="T319" s="208">
        <v>-12.5</v>
      </c>
      <c r="U319" s="208">
        <f>ABS(Множество_202207112140401240[[#This Row],[10]]-Множество_202207112140401240[[#This Row],[12]])</f>
        <v>11.775</v>
      </c>
      <c r="V319" s="208">
        <f>ABS(Множество_202207112140401240[[#This Row],[11]]-Множество_202207112140401240[[#This Row],[13]])</f>
        <v>3.9666666666667005</v>
      </c>
      <c r="W319" s="208">
        <f>Множество_202207112140401240[[#This Row],[15]]+Множество_202207112140401240[[#This Row],[14]]</f>
        <v>15.741666666666701</v>
      </c>
      <c r="X319" s="208">
        <f ca="1">IF(ROW()-ROW(Множество_202207112140401240[[#Headers],[17]])&gt;1,Множество_202207112140401240[[#This Row],[16]]-OFFSET(Множество_202207112140401240[[#This Row],[16]],-1,0),0)</f>
        <v>0.25833333333339858</v>
      </c>
      <c r="Y319" s="208">
        <v>-1.7749999999999999</v>
      </c>
      <c r="Z319" s="208">
        <v>-16.466666666666701</v>
      </c>
      <c r="AA319" s="208">
        <f>ABS(Множество_202207112140401240[[#This Row],[18]]-Множество_202207112140401240[[#This Row],[12]])</f>
        <v>11.775</v>
      </c>
      <c r="AB319" s="208">
        <f>ABS(Множество_202207112140401240[[#This Row],[19]]-Множество_202207112140401240[[#This Row],[13]])</f>
        <v>3.9666666666667005</v>
      </c>
      <c r="AC319" s="208">
        <f>Множество_202207112140401240[[#This Row],[20]]+Множество_202207112140401240[[#This Row],[21]]</f>
        <v>15.741666666666701</v>
      </c>
    </row>
    <row r="320" spans="6:29" x14ac:dyDescent="0.25">
      <c r="F320" s="213"/>
      <c r="K320" s="208">
        <f>Множество_202207112140401240[[#This Row],[2]]-Множество_202207112140401240[[#This Row],[4]]</f>
        <v>0</v>
      </c>
      <c r="L320" s="208">
        <f>Множество_202207112140401240[[#This Row],[3]]-Множество_202207112140401240[[#This Row],[5]]</f>
        <v>0</v>
      </c>
      <c r="M320" s="208">
        <f>Множество_202207112140401240[[#This Row],[7]]+Множество_202207112140401240[[#This Row],[6]]</f>
        <v>0</v>
      </c>
      <c r="N320" s="208" t="str">
        <f>CONCATENATE(Множество_202207112140401240[[#This Row],[2]],Множество_202207112140401240[[#This Row],[3]])</f>
        <v/>
      </c>
      <c r="O320" s="208"/>
      <c r="P320" s="208"/>
      <c r="Q320">
        <v>-1.85</v>
      </c>
      <c r="R320">
        <v>-16.483333333333299</v>
      </c>
      <c r="S320" s="208">
        <v>10</v>
      </c>
      <c r="T320" s="208">
        <v>-12.5</v>
      </c>
      <c r="U320" s="208">
        <f>ABS(Множество_202207112140401240[[#This Row],[10]]-Множество_202207112140401240[[#This Row],[12]])</f>
        <v>11.85</v>
      </c>
      <c r="V320" s="208">
        <f>ABS(Множество_202207112140401240[[#This Row],[11]]-Множество_202207112140401240[[#This Row],[13]])</f>
        <v>3.9833333333332988</v>
      </c>
      <c r="W320" s="208">
        <f>Множество_202207112140401240[[#This Row],[15]]+Множество_202207112140401240[[#This Row],[14]]</f>
        <v>15.833333333333298</v>
      </c>
      <c r="X320" s="208">
        <f ca="1">IF(ROW()-ROW(Множество_202207112140401240[[#Headers],[17]])&gt;1,Множество_202207112140401240[[#This Row],[16]]-OFFSET(Множество_202207112140401240[[#This Row],[16]],-1,0),0)</f>
        <v>9.1666666666597507E-2</v>
      </c>
      <c r="Y320" s="208">
        <v>-1.85</v>
      </c>
      <c r="Z320" s="208">
        <v>-16.483333333333299</v>
      </c>
      <c r="AA320" s="208">
        <f>ABS(Множество_202207112140401240[[#This Row],[18]]-Множество_202207112140401240[[#This Row],[12]])</f>
        <v>11.85</v>
      </c>
      <c r="AB320" s="208">
        <f>ABS(Множество_202207112140401240[[#This Row],[19]]-Множество_202207112140401240[[#This Row],[13]])</f>
        <v>3.9833333333332988</v>
      </c>
      <c r="AC320" s="208">
        <f>Множество_202207112140401240[[#This Row],[20]]+Множество_202207112140401240[[#This Row],[21]]</f>
        <v>15.833333333333298</v>
      </c>
    </row>
    <row r="321" spans="6:29" x14ac:dyDescent="0.25">
      <c r="F321" s="213"/>
      <c r="K321" s="208">
        <f>Множество_202207112140401240[[#This Row],[2]]-Множество_202207112140401240[[#This Row],[4]]</f>
        <v>0</v>
      </c>
      <c r="L321" s="208">
        <f>Множество_202207112140401240[[#This Row],[3]]-Множество_202207112140401240[[#This Row],[5]]</f>
        <v>0</v>
      </c>
      <c r="M321" s="208">
        <f>Множество_202207112140401240[[#This Row],[7]]+Множество_202207112140401240[[#This Row],[6]]</f>
        <v>0</v>
      </c>
      <c r="N321" s="208" t="str">
        <f>CONCATENATE(Множество_202207112140401240[[#This Row],[2]],Множество_202207112140401240[[#This Row],[3]])</f>
        <v/>
      </c>
      <c r="O321" s="208"/>
      <c r="P321" s="208"/>
      <c r="Q321">
        <v>-1.925</v>
      </c>
      <c r="R321">
        <v>-16.5</v>
      </c>
      <c r="S321" s="208">
        <v>10</v>
      </c>
      <c r="T321" s="208">
        <v>-12.5</v>
      </c>
      <c r="U321" s="208">
        <f>ABS(Множество_202207112140401240[[#This Row],[10]]-Множество_202207112140401240[[#This Row],[12]])</f>
        <v>11.925000000000001</v>
      </c>
      <c r="V321" s="208">
        <f>ABS(Множество_202207112140401240[[#This Row],[11]]-Множество_202207112140401240[[#This Row],[13]])</f>
        <v>4</v>
      </c>
      <c r="W321" s="208">
        <f>Множество_202207112140401240[[#This Row],[15]]+Множество_202207112140401240[[#This Row],[14]]</f>
        <v>15.925000000000001</v>
      </c>
      <c r="X321" s="208">
        <f ca="1">IF(ROW()-ROW(Множество_202207112140401240[[#Headers],[17]])&gt;1,Множество_202207112140401240[[#This Row],[16]]-OFFSET(Множество_202207112140401240[[#This Row],[16]],-1,0),0)</f>
        <v>9.1666666666702312E-2</v>
      </c>
      <c r="Y321" s="208">
        <v>-1.925</v>
      </c>
      <c r="Z321" s="208">
        <v>-16.5</v>
      </c>
      <c r="AA321" s="208">
        <f>ABS(Множество_202207112140401240[[#This Row],[18]]-Множество_202207112140401240[[#This Row],[12]])</f>
        <v>11.925000000000001</v>
      </c>
      <c r="AB321" s="208">
        <f>ABS(Множество_202207112140401240[[#This Row],[19]]-Множество_202207112140401240[[#This Row],[13]])</f>
        <v>4</v>
      </c>
      <c r="AC321" s="208">
        <f>Множество_202207112140401240[[#This Row],[20]]+Множество_202207112140401240[[#This Row],[21]]</f>
        <v>15.925000000000001</v>
      </c>
    </row>
    <row r="322" spans="6:29" x14ac:dyDescent="0.25">
      <c r="F322" s="213"/>
      <c r="K322" s="208">
        <f>Множество_202207112140401240[[#This Row],[2]]-Множество_202207112140401240[[#This Row],[4]]</f>
        <v>0</v>
      </c>
      <c r="L322" s="208">
        <f>Множество_202207112140401240[[#This Row],[3]]-Множество_202207112140401240[[#This Row],[5]]</f>
        <v>0</v>
      </c>
      <c r="M322" s="208">
        <f>Множество_202207112140401240[[#This Row],[7]]+Множество_202207112140401240[[#This Row],[6]]</f>
        <v>0</v>
      </c>
      <c r="N322" s="208" t="str">
        <f>CONCATENATE(Множество_202207112140401240[[#This Row],[2]],Множество_202207112140401240[[#This Row],[3]])</f>
        <v/>
      </c>
      <c r="O322" s="208"/>
      <c r="P322" s="208"/>
      <c r="Q322">
        <v>-2</v>
      </c>
      <c r="R322">
        <v>-16.516666666666701</v>
      </c>
      <c r="S322" s="208">
        <v>10</v>
      </c>
      <c r="T322" s="208">
        <v>-12.5</v>
      </c>
      <c r="U322" s="208">
        <f>ABS(Множество_202207112140401240[[#This Row],[10]]-Множество_202207112140401240[[#This Row],[12]])</f>
        <v>12</v>
      </c>
      <c r="V322" s="208">
        <f>ABS(Множество_202207112140401240[[#This Row],[11]]-Множество_202207112140401240[[#This Row],[13]])</f>
        <v>4.0166666666667012</v>
      </c>
      <c r="W322" s="208">
        <f>Множество_202207112140401240[[#This Row],[15]]+Множество_202207112140401240[[#This Row],[14]]</f>
        <v>16.016666666666701</v>
      </c>
      <c r="X322" s="208">
        <f ca="1">IF(ROW()-ROW(Множество_202207112140401240[[#Headers],[17]])&gt;1,Множество_202207112140401240[[#This Row],[16]]-OFFSET(Множество_202207112140401240[[#This Row],[16]],-1,0),0)</f>
        <v>9.1666666666700536E-2</v>
      </c>
      <c r="Y322" s="208">
        <v>-2</v>
      </c>
      <c r="Z322" s="208">
        <v>-16.516666666666701</v>
      </c>
      <c r="AA322" s="208">
        <f>ABS(Множество_202207112140401240[[#This Row],[18]]-Множество_202207112140401240[[#This Row],[12]])</f>
        <v>12</v>
      </c>
      <c r="AB322" s="208">
        <f>ABS(Множество_202207112140401240[[#This Row],[19]]-Множество_202207112140401240[[#This Row],[13]])</f>
        <v>4.0166666666667012</v>
      </c>
      <c r="AC322" s="208">
        <f>Множество_202207112140401240[[#This Row],[20]]+Множество_202207112140401240[[#This Row],[21]]</f>
        <v>16.016666666666701</v>
      </c>
    </row>
    <row r="323" spans="6:29" x14ac:dyDescent="0.25">
      <c r="F323" s="213"/>
      <c r="K323" s="208">
        <f>Множество_202207112140401240[[#This Row],[2]]-Множество_202207112140401240[[#This Row],[4]]</f>
        <v>0</v>
      </c>
      <c r="L323" s="208">
        <f>Множество_202207112140401240[[#This Row],[3]]-Множество_202207112140401240[[#This Row],[5]]</f>
        <v>0</v>
      </c>
      <c r="M323" s="208">
        <f>Множество_202207112140401240[[#This Row],[7]]+Множество_202207112140401240[[#This Row],[6]]</f>
        <v>0</v>
      </c>
      <c r="N323" s="208" t="str">
        <f>CONCATENATE(Множество_202207112140401240[[#This Row],[2]],Множество_202207112140401240[[#This Row],[3]])</f>
        <v/>
      </c>
      <c r="O323" s="208"/>
      <c r="P323" s="208"/>
      <c r="Q323">
        <v>-2.0750000000000002</v>
      </c>
      <c r="R323">
        <v>-16.516666666666701</v>
      </c>
      <c r="S323" s="208">
        <v>10</v>
      </c>
      <c r="T323" s="208">
        <v>-12.5</v>
      </c>
      <c r="U323" s="208">
        <f>ABS(Множество_202207112140401240[[#This Row],[10]]-Множество_202207112140401240[[#This Row],[12]])</f>
        <v>12.074999999999999</v>
      </c>
      <c r="V323" s="208">
        <f>ABS(Множество_202207112140401240[[#This Row],[11]]-Множество_202207112140401240[[#This Row],[13]])</f>
        <v>4.0166666666667012</v>
      </c>
      <c r="W323" s="208">
        <f>Множество_202207112140401240[[#This Row],[15]]+Множество_202207112140401240[[#This Row],[14]]</f>
        <v>16.091666666666701</v>
      </c>
      <c r="X323" s="208">
        <f ca="1">IF(ROW()-ROW(Множество_202207112140401240[[#Headers],[17]])&gt;1,Множество_202207112140401240[[#This Row],[16]]-OFFSET(Множество_202207112140401240[[#This Row],[16]],-1,0),0)</f>
        <v>7.4999999999999289E-2</v>
      </c>
      <c r="Y323" s="208">
        <v>-2.0750000000000002</v>
      </c>
      <c r="Z323" s="208">
        <v>-16.516666666666701</v>
      </c>
      <c r="AA323" s="208">
        <f>ABS(Множество_202207112140401240[[#This Row],[18]]-Множество_202207112140401240[[#This Row],[12]])</f>
        <v>12.074999999999999</v>
      </c>
      <c r="AB323" s="208">
        <f>ABS(Множество_202207112140401240[[#This Row],[19]]-Множество_202207112140401240[[#This Row],[13]])</f>
        <v>4.0166666666667012</v>
      </c>
      <c r="AC323" s="208">
        <f>Множество_202207112140401240[[#This Row],[20]]+Множество_202207112140401240[[#This Row],[21]]</f>
        <v>16.091666666666701</v>
      </c>
    </row>
    <row r="324" spans="6:29" x14ac:dyDescent="0.25">
      <c r="F324" s="213"/>
      <c r="K324" s="208">
        <f>Множество_202207112140401240[[#This Row],[2]]-Множество_202207112140401240[[#This Row],[4]]</f>
        <v>0</v>
      </c>
      <c r="L324" s="208">
        <f>Множество_202207112140401240[[#This Row],[3]]-Множество_202207112140401240[[#This Row],[5]]</f>
        <v>0</v>
      </c>
      <c r="M324" s="208">
        <f>Множество_202207112140401240[[#This Row],[7]]+Множество_202207112140401240[[#This Row],[6]]</f>
        <v>0</v>
      </c>
      <c r="N324" s="208" t="str">
        <f>CONCATENATE(Множество_202207112140401240[[#This Row],[2]],Множество_202207112140401240[[#This Row],[3]])</f>
        <v/>
      </c>
      <c r="O324" s="208"/>
      <c r="P324" s="208"/>
      <c r="Q324">
        <v>-2.15</v>
      </c>
      <c r="R324">
        <v>-16.533333333333299</v>
      </c>
      <c r="S324" s="208">
        <v>10</v>
      </c>
      <c r="T324" s="208">
        <v>-12.5</v>
      </c>
      <c r="U324" s="208">
        <f>ABS(Множество_202207112140401240[[#This Row],[10]]-Множество_202207112140401240[[#This Row],[12]])</f>
        <v>12.15</v>
      </c>
      <c r="V324" s="208">
        <f>ABS(Множество_202207112140401240[[#This Row],[11]]-Множество_202207112140401240[[#This Row],[13]])</f>
        <v>4.0333333333332995</v>
      </c>
      <c r="W324" s="208">
        <f>Множество_202207112140401240[[#This Row],[15]]+Множество_202207112140401240[[#This Row],[14]]</f>
        <v>16.183333333333302</v>
      </c>
      <c r="X324" s="208">
        <f ca="1">IF(ROW()-ROW(Множество_202207112140401240[[#Headers],[17]])&gt;1,Множество_202207112140401240[[#This Row],[16]]-OFFSET(Множество_202207112140401240[[#This Row],[16]],-1,0),0)</f>
        <v>9.166666666660106E-2</v>
      </c>
      <c r="Y324" s="208">
        <v>-2.15</v>
      </c>
      <c r="Z324" s="208">
        <v>-16.533333333333299</v>
      </c>
      <c r="AA324" s="208">
        <f>ABS(Множество_202207112140401240[[#This Row],[18]]-Множество_202207112140401240[[#This Row],[12]])</f>
        <v>12.15</v>
      </c>
      <c r="AB324" s="208">
        <f>ABS(Множество_202207112140401240[[#This Row],[19]]-Множество_202207112140401240[[#This Row],[13]])</f>
        <v>4.0333333333332995</v>
      </c>
      <c r="AC324" s="208">
        <f>Множество_202207112140401240[[#This Row],[20]]+Множество_202207112140401240[[#This Row],[21]]</f>
        <v>16.183333333333302</v>
      </c>
    </row>
    <row r="325" spans="6:29" x14ac:dyDescent="0.25">
      <c r="F325" s="213"/>
      <c r="K325" s="208">
        <f>Множество_202207112140401240[[#This Row],[2]]-Множество_202207112140401240[[#This Row],[4]]</f>
        <v>0</v>
      </c>
      <c r="L325" s="208">
        <f>Множество_202207112140401240[[#This Row],[3]]-Множество_202207112140401240[[#This Row],[5]]</f>
        <v>0</v>
      </c>
      <c r="M325" s="208">
        <f>Множество_202207112140401240[[#This Row],[7]]+Множество_202207112140401240[[#This Row],[6]]</f>
        <v>0</v>
      </c>
      <c r="N325" s="208" t="str">
        <f>CONCATENATE(Множество_202207112140401240[[#This Row],[2]],Множество_202207112140401240[[#This Row],[3]])</f>
        <v/>
      </c>
      <c r="O325" s="208"/>
      <c r="P325" s="208"/>
      <c r="Q325">
        <v>-2.2999999999999998</v>
      </c>
      <c r="R325">
        <v>-16.566666666666698</v>
      </c>
      <c r="S325" s="208">
        <v>10</v>
      </c>
      <c r="T325" s="208">
        <v>-12.5</v>
      </c>
      <c r="U325" s="208">
        <f>ABS(Множество_202207112140401240[[#This Row],[10]]-Множество_202207112140401240[[#This Row],[12]])</f>
        <v>12.3</v>
      </c>
      <c r="V325" s="208">
        <f>ABS(Множество_202207112140401240[[#This Row],[11]]-Множество_202207112140401240[[#This Row],[13]])</f>
        <v>4.0666666666666984</v>
      </c>
      <c r="W325" s="208">
        <f>Множество_202207112140401240[[#This Row],[15]]+Множество_202207112140401240[[#This Row],[14]]</f>
        <v>16.366666666666699</v>
      </c>
      <c r="X325" s="208">
        <f ca="1">IF(ROW()-ROW(Множество_202207112140401240[[#Headers],[17]])&gt;1,Множество_202207112140401240[[#This Row],[16]]-OFFSET(Множество_202207112140401240[[#This Row],[16]],-1,0),0)</f>
        <v>0.18333333333339752</v>
      </c>
      <c r="Y325" s="208">
        <v>-2.2999999999999998</v>
      </c>
      <c r="Z325" s="208">
        <v>-16.566666666666698</v>
      </c>
      <c r="AA325" s="208">
        <f>ABS(Множество_202207112140401240[[#This Row],[18]]-Множество_202207112140401240[[#This Row],[12]])</f>
        <v>12.3</v>
      </c>
      <c r="AB325" s="208">
        <f>ABS(Множество_202207112140401240[[#This Row],[19]]-Множество_202207112140401240[[#This Row],[13]])</f>
        <v>4.0666666666666984</v>
      </c>
      <c r="AC325" s="208">
        <f>Множество_202207112140401240[[#This Row],[20]]+Множество_202207112140401240[[#This Row],[21]]</f>
        <v>16.366666666666699</v>
      </c>
    </row>
    <row r="326" spans="6:29" x14ac:dyDescent="0.25">
      <c r="F326" s="213"/>
      <c r="K326" s="208">
        <f>Множество_202207112140401240[[#This Row],[2]]-Множество_202207112140401240[[#This Row],[4]]</f>
        <v>0</v>
      </c>
      <c r="L326" s="208">
        <f>Множество_202207112140401240[[#This Row],[3]]-Множество_202207112140401240[[#This Row],[5]]</f>
        <v>0</v>
      </c>
      <c r="M326" s="208">
        <f>Множество_202207112140401240[[#This Row],[7]]+Множество_202207112140401240[[#This Row],[6]]</f>
        <v>0</v>
      </c>
      <c r="N326" s="208" t="str">
        <f>CONCATENATE(Множество_202207112140401240[[#This Row],[2]],Множество_202207112140401240[[#This Row],[3]])</f>
        <v/>
      </c>
      <c r="O326" s="208"/>
      <c r="P326" s="208"/>
      <c r="Q326">
        <v>-2.2250000000000001</v>
      </c>
      <c r="R326">
        <v>-16.55</v>
      </c>
      <c r="S326" s="208">
        <v>10</v>
      </c>
      <c r="T326" s="208">
        <v>-12.5</v>
      </c>
      <c r="U326" s="208">
        <f>ABS(Множество_202207112140401240[[#This Row],[10]]-Множество_202207112140401240[[#This Row],[12]])</f>
        <v>12.225</v>
      </c>
      <c r="V326" s="208">
        <f>ABS(Множество_202207112140401240[[#This Row],[11]]-Множество_202207112140401240[[#This Row],[13]])</f>
        <v>4.0500000000000007</v>
      </c>
      <c r="W326" s="208">
        <f>Множество_202207112140401240[[#This Row],[15]]+Множество_202207112140401240[[#This Row],[14]]</f>
        <v>16.274999999999999</v>
      </c>
      <c r="X326" s="208">
        <f ca="1">IF(ROW()-ROW(Множество_202207112140401240[[#Headers],[17]])&gt;1,Множество_202207112140401240[[#This Row],[16]]-OFFSET(Множество_202207112140401240[[#This Row],[16]],-1,0),0)</f>
        <v>-9.1666666666700536E-2</v>
      </c>
      <c r="Y326" s="208">
        <v>-2.2250000000000001</v>
      </c>
      <c r="Z326" s="208">
        <v>-16.55</v>
      </c>
      <c r="AA326" s="208">
        <f>ABS(Множество_202207112140401240[[#This Row],[18]]-Множество_202207112140401240[[#This Row],[12]])</f>
        <v>12.225</v>
      </c>
      <c r="AB326" s="208">
        <f>ABS(Множество_202207112140401240[[#This Row],[19]]-Множество_202207112140401240[[#This Row],[13]])</f>
        <v>4.0500000000000007</v>
      </c>
      <c r="AC326" s="208">
        <f>Множество_202207112140401240[[#This Row],[20]]+Множество_202207112140401240[[#This Row],[21]]</f>
        <v>16.274999999999999</v>
      </c>
    </row>
    <row r="327" spans="6:29" x14ac:dyDescent="0.25">
      <c r="F327" s="213"/>
      <c r="K327" s="208">
        <f>Множество_202207112140401240[[#This Row],[2]]-Множество_202207112140401240[[#This Row],[4]]</f>
        <v>0</v>
      </c>
      <c r="L327" s="208">
        <f>Множество_202207112140401240[[#This Row],[3]]-Множество_202207112140401240[[#This Row],[5]]</f>
        <v>0</v>
      </c>
      <c r="M327" s="208">
        <f>Множество_202207112140401240[[#This Row],[7]]+Множество_202207112140401240[[#This Row],[6]]</f>
        <v>0</v>
      </c>
      <c r="N327" s="208" t="str">
        <f>CONCATENATE(Множество_202207112140401240[[#This Row],[2]],Множество_202207112140401240[[#This Row],[3]])</f>
        <v/>
      </c>
      <c r="O327" s="208"/>
      <c r="P327" s="208"/>
      <c r="Q327">
        <v>-2.4500000000000002</v>
      </c>
      <c r="R327">
        <v>-16.5833333333333</v>
      </c>
      <c r="S327" s="208">
        <v>10</v>
      </c>
      <c r="T327" s="208">
        <v>-12.5</v>
      </c>
      <c r="U327" s="208">
        <f>ABS(Множество_202207112140401240[[#This Row],[10]]-Множество_202207112140401240[[#This Row],[12]])</f>
        <v>12.45</v>
      </c>
      <c r="V327" s="208">
        <f>ABS(Множество_202207112140401240[[#This Row],[11]]-Множество_202207112140401240[[#This Row],[13]])</f>
        <v>4.0833333333333002</v>
      </c>
      <c r="W327" s="208">
        <f>Множество_202207112140401240[[#This Row],[15]]+Множество_202207112140401240[[#This Row],[14]]</f>
        <v>16.533333333333299</v>
      </c>
      <c r="X327" s="208">
        <f ca="1">IF(ROW()-ROW(Множество_202207112140401240[[#Headers],[17]])&gt;1,Множество_202207112140401240[[#This Row],[16]]-OFFSET(Множество_202207112140401240[[#This Row],[16]],-1,0),0)</f>
        <v>0.25833333333330089</v>
      </c>
      <c r="Y327" s="208">
        <v>-2.4500000000000002</v>
      </c>
      <c r="Z327" s="208">
        <v>-16.5833333333333</v>
      </c>
      <c r="AA327" s="208">
        <f>ABS(Множество_202207112140401240[[#This Row],[18]]-Множество_202207112140401240[[#This Row],[12]])</f>
        <v>12.45</v>
      </c>
      <c r="AB327" s="208">
        <f>ABS(Множество_202207112140401240[[#This Row],[19]]-Множество_202207112140401240[[#This Row],[13]])</f>
        <v>4.0833333333333002</v>
      </c>
      <c r="AC327" s="208">
        <f>Множество_202207112140401240[[#This Row],[20]]+Множество_202207112140401240[[#This Row],[21]]</f>
        <v>16.533333333333299</v>
      </c>
    </row>
    <row r="328" spans="6:29" x14ac:dyDescent="0.25">
      <c r="F328" s="213"/>
      <c r="K328" s="208">
        <f>Множество_202207112140401240[[#This Row],[2]]-Множество_202207112140401240[[#This Row],[4]]</f>
        <v>0</v>
      </c>
      <c r="L328" s="208">
        <f>Множество_202207112140401240[[#This Row],[3]]-Множество_202207112140401240[[#This Row],[5]]</f>
        <v>0</v>
      </c>
      <c r="M328" s="208">
        <f>Множество_202207112140401240[[#This Row],[7]]+Множество_202207112140401240[[#This Row],[6]]</f>
        <v>0</v>
      </c>
      <c r="N328" s="208" t="str">
        <f>CONCATENATE(Множество_202207112140401240[[#This Row],[2]],Множество_202207112140401240[[#This Row],[3]])</f>
        <v/>
      </c>
      <c r="O328" s="208"/>
      <c r="P328" s="208"/>
      <c r="Q328">
        <v>-2.5249999999999999</v>
      </c>
      <c r="R328">
        <v>-16.600000000000001</v>
      </c>
      <c r="S328" s="208">
        <v>10</v>
      </c>
      <c r="T328" s="208">
        <v>-12.5</v>
      </c>
      <c r="U328" s="208">
        <f>ABS(Множество_202207112140401240[[#This Row],[10]]-Множество_202207112140401240[[#This Row],[12]])</f>
        <v>12.525</v>
      </c>
      <c r="V328" s="208">
        <f>ABS(Множество_202207112140401240[[#This Row],[11]]-Множество_202207112140401240[[#This Row],[13]])</f>
        <v>4.1000000000000014</v>
      </c>
      <c r="W328" s="208">
        <f>Множество_202207112140401240[[#This Row],[15]]+Множество_202207112140401240[[#This Row],[14]]</f>
        <v>16.625</v>
      </c>
      <c r="X328" s="208">
        <f ca="1">IF(ROW()-ROW(Множество_202207112140401240[[#Headers],[17]])&gt;1,Множество_202207112140401240[[#This Row],[16]]-OFFSET(Множество_202207112140401240[[#This Row],[16]],-1,0),0)</f>
        <v>9.1666666666700536E-2</v>
      </c>
      <c r="Y328" s="208">
        <v>-2.5249999999999999</v>
      </c>
      <c r="Z328" s="208">
        <v>-16.600000000000001</v>
      </c>
      <c r="AA328" s="208">
        <f>ABS(Множество_202207112140401240[[#This Row],[18]]-Множество_202207112140401240[[#This Row],[12]])</f>
        <v>12.525</v>
      </c>
      <c r="AB328" s="208">
        <f>ABS(Множество_202207112140401240[[#This Row],[19]]-Множество_202207112140401240[[#This Row],[13]])</f>
        <v>4.1000000000000014</v>
      </c>
      <c r="AC328" s="208">
        <f>Множество_202207112140401240[[#This Row],[20]]+Множество_202207112140401240[[#This Row],[21]]</f>
        <v>16.625</v>
      </c>
    </row>
    <row r="329" spans="6:29" x14ac:dyDescent="0.25">
      <c r="F329" s="213"/>
      <c r="K329" s="208">
        <f>Множество_202207112140401240[[#This Row],[2]]-Множество_202207112140401240[[#This Row],[4]]</f>
        <v>0</v>
      </c>
      <c r="L329" s="208">
        <f>Множество_202207112140401240[[#This Row],[3]]-Множество_202207112140401240[[#This Row],[5]]</f>
        <v>0</v>
      </c>
      <c r="M329" s="208">
        <f>Множество_202207112140401240[[#This Row],[7]]+Множество_202207112140401240[[#This Row],[6]]</f>
        <v>0</v>
      </c>
      <c r="N329" s="208" t="str">
        <f>CONCATENATE(Множество_202207112140401240[[#This Row],[2]],Множество_202207112140401240[[#This Row],[3]])</f>
        <v/>
      </c>
      <c r="O329" s="208"/>
      <c r="P329" s="208"/>
      <c r="Q329">
        <v>-2.6749999999999998</v>
      </c>
      <c r="R329">
        <v>-16.633333333333301</v>
      </c>
      <c r="S329" s="208">
        <v>10</v>
      </c>
      <c r="T329" s="208">
        <v>-12.5</v>
      </c>
      <c r="U329" s="208">
        <f>ABS(Множество_202207112140401240[[#This Row],[10]]-Множество_202207112140401240[[#This Row],[12]])</f>
        <v>12.675000000000001</v>
      </c>
      <c r="V329" s="208">
        <f>ABS(Множество_202207112140401240[[#This Row],[11]]-Множество_202207112140401240[[#This Row],[13]])</f>
        <v>4.1333333333333009</v>
      </c>
      <c r="W329" s="208">
        <f>Множество_202207112140401240[[#This Row],[15]]+Множество_202207112140401240[[#This Row],[14]]</f>
        <v>16.808333333333302</v>
      </c>
      <c r="X329" s="208">
        <f ca="1">IF(ROW()-ROW(Множество_202207112140401240[[#Headers],[17]])&gt;1,Множество_202207112140401240[[#This Row],[16]]-OFFSET(Множество_202207112140401240[[#This Row],[16]],-1,0),0)</f>
        <v>0.1833333333333016</v>
      </c>
      <c r="Y329" s="208">
        <v>-2.6749999999999998</v>
      </c>
      <c r="Z329" s="208">
        <v>-16.633333333333301</v>
      </c>
      <c r="AA329" s="208">
        <f>ABS(Множество_202207112140401240[[#This Row],[18]]-Множество_202207112140401240[[#This Row],[12]])</f>
        <v>12.675000000000001</v>
      </c>
      <c r="AB329" s="208">
        <f>ABS(Множество_202207112140401240[[#This Row],[19]]-Множество_202207112140401240[[#This Row],[13]])</f>
        <v>4.1333333333333009</v>
      </c>
      <c r="AC329" s="208">
        <f>Множество_202207112140401240[[#This Row],[20]]+Множество_202207112140401240[[#This Row],[21]]</f>
        <v>16.808333333333302</v>
      </c>
    </row>
    <row r="330" spans="6:29" x14ac:dyDescent="0.25">
      <c r="F330" s="213"/>
      <c r="K330" s="208">
        <f>Множество_202207112140401240[[#This Row],[2]]-Множество_202207112140401240[[#This Row],[4]]</f>
        <v>0</v>
      </c>
      <c r="L330" s="208">
        <f>Множество_202207112140401240[[#This Row],[3]]-Множество_202207112140401240[[#This Row],[5]]</f>
        <v>0</v>
      </c>
      <c r="M330" s="208">
        <f>Множество_202207112140401240[[#This Row],[7]]+Множество_202207112140401240[[#This Row],[6]]</f>
        <v>0</v>
      </c>
      <c r="N330" s="208" t="str">
        <f>CONCATENATE(Множество_202207112140401240[[#This Row],[2]],Множество_202207112140401240[[#This Row],[3]])</f>
        <v/>
      </c>
      <c r="O330" s="208"/>
      <c r="P330" s="208"/>
      <c r="Q330">
        <v>-2.6</v>
      </c>
      <c r="R330">
        <v>-16.616666666666699</v>
      </c>
      <c r="S330" s="208">
        <v>10</v>
      </c>
      <c r="T330" s="208">
        <v>-12.5</v>
      </c>
      <c r="U330" s="208">
        <f>ABS(Множество_202207112140401240[[#This Row],[10]]-Множество_202207112140401240[[#This Row],[12]])</f>
        <v>12.6</v>
      </c>
      <c r="V330" s="208">
        <f>ABS(Множество_202207112140401240[[#This Row],[11]]-Множество_202207112140401240[[#This Row],[13]])</f>
        <v>4.1166666666666991</v>
      </c>
      <c r="W330" s="208">
        <f>Множество_202207112140401240[[#This Row],[15]]+Множество_202207112140401240[[#This Row],[14]]</f>
        <v>16.716666666666697</v>
      </c>
      <c r="X330" s="208">
        <f ca="1">IF(ROW()-ROW(Множество_202207112140401240[[#Headers],[17]])&gt;1,Множество_202207112140401240[[#This Row],[16]]-OFFSET(Множество_202207112140401240[[#This Row],[16]],-1,0),0)</f>
        <v>-9.1666666666604613E-2</v>
      </c>
      <c r="Y330" s="208">
        <v>-2.6</v>
      </c>
      <c r="Z330" s="208">
        <v>-16.616666666666699</v>
      </c>
      <c r="AA330" s="208">
        <f>ABS(Множество_202207112140401240[[#This Row],[18]]-Множество_202207112140401240[[#This Row],[12]])</f>
        <v>12.6</v>
      </c>
      <c r="AB330" s="208">
        <f>ABS(Множество_202207112140401240[[#This Row],[19]]-Множество_202207112140401240[[#This Row],[13]])</f>
        <v>4.1166666666666991</v>
      </c>
      <c r="AC330" s="208">
        <f>Множество_202207112140401240[[#This Row],[20]]+Множество_202207112140401240[[#This Row],[21]]</f>
        <v>16.716666666666697</v>
      </c>
    </row>
    <row r="331" spans="6:29" x14ac:dyDescent="0.25">
      <c r="F331" s="213"/>
      <c r="K331" s="208">
        <f>Множество_202207112140401240[[#This Row],[2]]-Множество_202207112140401240[[#This Row],[4]]</f>
        <v>0</v>
      </c>
      <c r="L331" s="208">
        <f>Множество_202207112140401240[[#This Row],[3]]-Множество_202207112140401240[[#This Row],[5]]</f>
        <v>0</v>
      </c>
      <c r="M331" s="208">
        <f>Множество_202207112140401240[[#This Row],[7]]+Множество_202207112140401240[[#This Row],[6]]</f>
        <v>0</v>
      </c>
      <c r="N331" s="208" t="str">
        <f>CONCATENATE(Множество_202207112140401240[[#This Row],[2]],Множество_202207112140401240[[#This Row],[3]])</f>
        <v/>
      </c>
      <c r="O331" s="208"/>
      <c r="P331" s="208"/>
      <c r="Q331">
        <v>-2.8250000000000002</v>
      </c>
      <c r="R331">
        <v>-16.649999999999999</v>
      </c>
      <c r="S331" s="208">
        <v>10</v>
      </c>
      <c r="T331" s="208">
        <v>-12.5</v>
      </c>
      <c r="U331" s="208">
        <f>ABS(Множество_202207112140401240[[#This Row],[10]]-Множество_202207112140401240[[#This Row],[12]])</f>
        <v>12.824999999999999</v>
      </c>
      <c r="V331" s="208">
        <f>ABS(Множество_202207112140401240[[#This Row],[11]]-Множество_202207112140401240[[#This Row],[13]])</f>
        <v>4.1499999999999986</v>
      </c>
      <c r="W331" s="208">
        <f>Множество_202207112140401240[[#This Row],[15]]+Множество_202207112140401240[[#This Row],[14]]</f>
        <v>16.974999999999998</v>
      </c>
      <c r="X331" s="208">
        <f ca="1">IF(ROW()-ROW(Множество_202207112140401240[[#Headers],[17]])&gt;1,Множество_202207112140401240[[#This Row],[16]]-OFFSET(Множество_202207112140401240[[#This Row],[16]],-1,0),0)</f>
        <v>0.25833333333330089</v>
      </c>
      <c r="Y331" s="208">
        <v>-2.8250000000000002</v>
      </c>
      <c r="Z331" s="208">
        <v>-16.649999999999999</v>
      </c>
      <c r="AA331" s="208">
        <f>ABS(Множество_202207112140401240[[#This Row],[18]]-Множество_202207112140401240[[#This Row],[12]])</f>
        <v>12.824999999999999</v>
      </c>
      <c r="AB331" s="208">
        <f>ABS(Множество_202207112140401240[[#This Row],[19]]-Множество_202207112140401240[[#This Row],[13]])</f>
        <v>4.1499999999999986</v>
      </c>
      <c r="AC331" s="208">
        <f>Множество_202207112140401240[[#This Row],[20]]+Множество_202207112140401240[[#This Row],[21]]</f>
        <v>16.974999999999998</v>
      </c>
    </row>
    <row r="332" spans="6:29" x14ac:dyDescent="0.25">
      <c r="F332" s="213"/>
      <c r="K332" s="208">
        <f>Множество_202207112140401240[[#This Row],[2]]-Множество_202207112140401240[[#This Row],[4]]</f>
        <v>0</v>
      </c>
      <c r="L332" s="208">
        <f>Множество_202207112140401240[[#This Row],[3]]-Множество_202207112140401240[[#This Row],[5]]</f>
        <v>0</v>
      </c>
      <c r="M332" s="208">
        <f>Множество_202207112140401240[[#This Row],[7]]+Множество_202207112140401240[[#This Row],[6]]</f>
        <v>0</v>
      </c>
      <c r="N332" s="208" t="str">
        <f>CONCATENATE(Множество_202207112140401240[[#This Row],[2]],Множество_202207112140401240[[#This Row],[3]])</f>
        <v/>
      </c>
      <c r="O332" s="208"/>
      <c r="P332" s="208"/>
      <c r="Q332">
        <v>-2.9</v>
      </c>
      <c r="R332">
        <v>-16.6666666666667</v>
      </c>
      <c r="S332" s="208">
        <v>10</v>
      </c>
      <c r="T332" s="208">
        <v>-12.5</v>
      </c>
      <c r="U332" s="208">
        <f>ABS(Множество_202207112140401240[[#This Row],[10]]-Множество_202207112140401240[[#This Row],[12]])</f>
        <v>12.9</v>
      </c>
      <c r="V332" s="208">
        <f>ABS(Множество_202207112140401240[[#This Row],[11]]-Множество_202207112140401240[[#This Row],[13]])</f>
        <v>4.1666666666666998</v>
      </c>
      <c r="W332" s="208">
        <f>Множество_202207112140401240[[#This Row],[15]]+Множество_202207112140401240[[#This Row],[14]]</f>
        <v>17.066666666666698</v>
      </c>
      <c r="X332" s="208">
        <f ca="1">IF(ROW()-ROW(Множество_202207112140401240[[#Headers],[17]])&gt;1,Множество_202207112140401240[[#This Row],[16]]-OFFSET(Множество_202207112140401240[[#This Row],[16]],-1,0),0)</f>
        <v>9.1666666666700536E-2</v>
      </c>
      <c r="Y332" s="208">
        <v>-2.9</v>
      </c>
      <c r="Z332" s="208">
        <v>-16.6666666666667</v>
      </c>
      <c r="AA332" s="208">
        <f>ABS(Множество_202207112140401240[[#This Row],[18]]-Множество_202207112140401240[[#This Row],[12]])</f>
        <v>12.9</v>
      </c>
      <c r="AB332" s="208">
        <f>ABS(Множество_202207112140401240[[#This Row],[19]]-Множество_202207112140401240[[#This Row],[13]])</f>
        <v>4.1666666666666998</v>
      </c>
      <c r="AC332" s="208">
        <f>Множество_202207112140401240[[#This Row],[20]]+Множество_202207112140401240[[#This Row],[21]]</f>
        <v>17.066666666666698</v>
      </c>
    </row>
    <row r="333" spans="6:29" x14ac:dyDescent="0.25">
      <c r="F333" s="213"/>
      <c r="K333" s="208">
        <f>Множество_202207112140401240[[#This Row],[2]]-Множество_202207112140401240[[#This Row],[4]]</f>
        <v>0</v>
      </c>
      <c r="L333" s="208">
        <f>Множество_202207112140401240[[#This Row],[3]]-Множество_202207112140401240[[#This Row],[5]]</f>
        <v>0</v>
      </c>
      <c r="M333" s="208">
        <f>Множество_202207112140401240[[#This Row],[7]]+Множество_202207112140401240[[#This Row],[6]]</f>
        <v>0</v>
      </c>
      <c r="N333" s="208" t="str">
        <f>CONCATENATE(Множество_202207112140401240[[#This Row],[2]],Множество_202207112140401240[[#This Row],[3]])</f>
        <v/>
      </c>
      <c r="O333" s="208"/>
      <c r="P333" s="208"/>
      <c r="Q333">
        <v>-2.9750000000000001</v>
      </c>
      <c r="R333">
        <v>-17.149999999999999</v>
      </c>
      <c r="S333" s="208">
        <v>10</v>
      </c>
      <c r="T333" s="208">
        <v>-12.5</v>
      </c>
      <c r="U333" s="208">
        <f>ABS(Множество_202207112140401240[[#This Row],[10]]-Множество_202207112140401240[[#This Row],[12]])</f>
        <v>12.975</v>
      </c>
      <c r="V333" s="208">
        <f>ABS(Множество_202207112140401240[[#This Row],[11]]-Множество_202207112140401240[[#This Row],[13]])</f>
        <v>4.6499999999999986</v>
      </c>
      <c r="W333" s="208">
        <f>Множество_202207112140401240[[#This Row],[15]]+Множество_202207112140401240[[#This Row],[14]]</f>
        <v>17.625</v>
      </c>
      <c r="X333" s="208">
        <f ca="1">IF(ROW()-ROW(Множество_202207112140401240[[#Headers],[17]])&gt;1,Множество_202207112140401240[[#This Row],[16]]-OFFSET(Множество_202207112140401240[[#This Row],[16]],-1,0),0)</f>
        <v>0.5583333333333016</v>
      </c>
      <c r="Y333" s="208">
        <v>-2.9750000000000001</v>
      </c>
      <c r="Z333" s="208">
        <v>-17.149999999999999</v>
      </c>
      <c r="AA333" s="208">
        <f>ABS(Множество_202207112140401240[[#This Row],[18]]-Множество_202207112140401240[[#This Row],[12]])</f>
        <v>12.975</v>
      </c>
      <c r="AB333" s="208">
        <f>ABS(Множество_202207112140401240[[#This Row],[19]]-Множество_202207112140401240[[#This Row],[13]])</f>
        <v>4.6499999999999986</v>
      </c>
      <c r="AC333" s="208">
        <f>Множество_202207112140401240[[#This Row],[20]]+Множество_202207112140401240[[#This Row],[21]]</f>
        <v>17.625</v>
      </c>
    </row>
    <row r="334" spans="6:29" x14ac:dyDescent="0.25">
      <c r="F334" s="213"/>
      <c r="K334" s="208">
        <f>Множество_202207112140401240[[#This Row],[2]]-Множество_202207112140401240[[#This Row],[4]]</f>
        <v>0</v>
      </c>
      <c r="L334" s="208">
        <f>Множество_202207112140401240[[#This Row],[3]]-Множество_202207112140401240[[#This Row],[5]]</f>
        <v>0</v>
      </c>
      <c r="M334" s="208">
        <f>Множество_202207112140401240[[#This Row],[7]]+Множество_202207112140401240[[#This Row],[6]]</f>
        <v>0</v>
      </c>
      <c r="N334" s="208" t="str">
        <f>CONCATENATE(Множество_202207112140401240[[#This Row],[2]],Множество_202207112140401240[[#This Row],[3]])</f>
        <v/>
      </c>
      <c r="O334" s="208"/>
      <c r="P334" s="208"/>
      <c r="Q334">
        <v>-3.05</v>
      </c>
      <c r="R334">
        <v>-17.2</v>
      </c>
      <c r="S334" s="208">
        <v>10</v>
      </c>
      <c r="T334" s="208">
        <v>-12.5</v>
      </c>
      <c r="U334" s="208">
        <f>ABS(Множество_202207112140401240[[#This Row],[10]]-Множество_202207112140401240[[#This Row],[12]])</f>
        <v>13.05</v>
      </c>
      <c r="V334" s="208">
        <f>ABS(Множество_202207112140401240[[#This Row],[11]]-Множество_202207112140401240[[#This Row],[13]])</f>
        <v>4.6999999999999993</v>
      </c>
      <c r="W334" s="208">
        <f>Множество_202207112140401240[[#This Row],[15]]+Множество_202207112140401240[[#This Row],[14]]</f>
        <v>17.75</v>
      </c>
      <c r="X334" s="208">
        <f ca="1">IF(ROW()-ROW(Множество_202207112140401240[[#Headers],[17]])&gt;1,Множество_202207112140401240[[#This Row],[16]]-OFFSET(Множество_202207112140401240[[#This Row],[16]],-1,0),0)</f>
        <v>0.125</v>
      </c>
      <c r="Y334" s="208">
        <v>-3.05</v>
      </c>
      <c r="Z334" s="208">
        <v>-17.2</v>
      </c>
      <c r="AA334" s="208">
        <f>ABS(Множество_202207112140401240[[#This Row],[18]]-Множество_202207112140401240[[#This Row],[12]])</f>
        <v>13.05</v>
      </c>
      <c r="AB334" s="208">
        <f>ABS(Множество_202207112140401240[[#This Row],[19]]-Множество_202207112140401240[[#This Row],[13]])</f>
        <v>4.6999999999999993</v>
      </c>
      <c r="AC334" s="208">
        <f>Множество_202207112140401240[[#This Row],[20]]+Множество_202207112140401240[[#This Row],[21]]</f>
        <v>17.75</v>
      </c>
    </row>
    <row r="335" spans="6:29" x14ac:dyDescent="0.25">
      <c r="F335" s="213"/>
      <c r="K335" s="208">
        <f>Множество_202207112140401240[[#This Row],[2]]-Множество_202207112140401240[[#This Row],[4]]</f>
        <v>0</v>
      </c>
      <c r="L335" s="208">
        <f>Множество_202207112140401240[[#This Row],[3]]-Множество_202207112140401240[[#This Row],[5]]</f>
        <v>0</v>
      </c>
      <c r="M335" s="208">
        <f>Множество_202207112140401240[[#This Row],[7]]+Множество_202207112140401240[[#This Row],[6]]</f>
        <v>0</v>
      </c>
      <c r="N335" s="208" t="str">
        <f>CONCATENATE(Множество_202207112140401240[[#This Row],[2]],Множество_202207112140401240[[#This Row],[3]])</f>
        <v/>
      </c>
      <c r="O335" s="208"/>
      <c r="P335" s="208"/>
      <c r="Q335">
        <v>-3.125</v>
      </c>
      <c r="R335">
        <v>-17.25</v>
      </c>
      <c r="S335" s="208">
        <v>10</v>
      </c>
      <c r="T335" s="208">
        <v>-12.5</v>
      </c>
      <c r="U335" s="208">
        <f>ABS(Множество_202207112140401240[[#This Row],[10]]-Множество_202207112140401240[[#This Row],[12]])</f>
        <v>13.125</v>
      </c>
      <c r="V335" s="208">
        <f>ABS(Множество_202207112140401240[[#This Row],[11]]-Множество_202207112140401240[[#This Row],[13]])</f>
        <v>4.75</v>
      </c>
      <c r="W335" s="208">
        <f>Множество_202207112140401240[[#This Row],[15]]+Множество_202207112140401240[[#This Row],[14]]</f>
        <v>17.875</v>
      </c>
      <c r="X335" s="208">
        <f ca="1">IF(ROW()-ROW(Множество_202207112140401240[[#Headers],[17]])&gt;1,Множество_202207112140401240[[#This Row],[16]]-OFFSET(Множество_202207112140401240[[#This Row],[16]],-1,0),0)</f>
        <v>0.125</v>
      </c>
      <c r="Y335" s="208">
        <v>-3.125</v>
      </c>
      <c r="Z335" s="208">
        <v>-17.25</v>
      </c>
      <c r="AA335" s="208">
        <f>ABS(Множество_202207112140401240[[#This Row],[18]]-Множество_202207112140401240[[#This Row],[12]])</f>
        <v>13.125</v>
      </c>
      <c r="AB335" s="208">
        <f>ABS(Множество_202207112140401240[[#This Row],[19]]-Множество_202207112140401240[[#This Row],[13]])</f>
        <v>4.75</v>
      </c>
      <c r="AC335" s="208">
        <f>Множество_202207112140401240[[#This Row],[20]]+Множество_202207112140401240[[#This Row],[21]]</f>
        <v>17.875</v>
      </c>
    </row>
    <row r="336" spans="6:29" x14ac:dyDescent="0.25">
      <c r="F336" s="213"/>
      <c r="K336" s="208">
        <f>Множество_202207112140401240[[#This Row],[2]]-Множество_202207112140401240[[#This Row],[4]]</f>
        <v>0</v>
      </c>
      <c r="L336" s="208">
        <f>Множество_202207112140401240[[#This Row],[3]]-Множество_202207112140401240[[#This Row],[5]]</f>
        <v>0</v>
      </c>
      <c r="M336" s="208">
        <f>Множество_202207112140401240[[#This Row],[7]]+Множество_202207112140401240[[#This Row],[6]]</f>
        <v>0</v>
      </c>
      <c r="N336" s="208" t="str">
        <f>CONCATENATE(Множество_202207112140401240[[#This Row],[2]],Множество_202207112140401240[[#This Row],[3]])</f>
        <v/>
      </c>
      <c r="O336" s="208"/>
      <c r="P336" s="208"/>
      <c r="Q336">
        <v>-3.2</v>
      </c>
      <c r="R336">
        <v>-17.283333333333299</v>
      </c>
      <c r="S336" s="208">
        <v>10</v>
      </c>
      <c r="T336" s="208">
        <v>-12.5</v>
      </c>
      <c r="U336" s="208">
        <f>ABS(Множество_202207112140401240[[#This Row],[10]]-Множество_202207112140401240[[#This Row],[12]])</f>
        <v>13.2</v>
      </c>
      <c r="V336" s="208">
        <f>ABS(Множество_202207112140401240[[#This Row],[11]]-Множество_202207112140401240[[#This Row],[13]])</f>
        <v>4.7833333333332995</v>
      </c>
      <c r="W336" s="208">
        <f>Множество_202207112140401240[[#This Row],[15]]+Множество_202207112140401240[[#This Row],[14]]</f>
        <v>17.983333333333299</v>
      </c>
      <c r="X336" s="208">
        <f ca="1">IF(ROW()-ROW(Множество_202207112140401240[[#Headers],[17]])&gt;1,Множество_202207112140401240[[#This Row],[16]]-OFFSET(Множество_202207112140401240[[#This Row],[16]],-1,0),0)</f>
        <v>0.10833333333329875</v>
      </c>
      <c r="Y336" s="208">
        <v>-3.2</v>
      </c>
      <c r="Z336" s="208">
        <v>-17.283333333333299</v>
      </c>
      <c r="AA336" s="208">
        <f>ABS(Множество_202207112140401240[[#This Row],[18]]-Множество_202207112140401240[[#This Row],[12]])</f>
        <v>13.2</v>
      </c>
      <c r="AB336" s="208">
        <f>ABS(Множество_202207112140401240[[#This Row],[19]]-Множество_202207112140401240[[#This Row],[13]])</f>
        <v>4.7833333333332995</v>
      </c>
      <c r="AC336" s="208">
        <f>Множество_202207112140401240[[#This Row],[20]]+Множество_202207112140401240[[#This Row],[21]]</f>
        <v>17.983333333333299</v>
      </c>
    </row>
    <row r="337" spans="6:29" x14ac:dyDescent="0.25">
      <c r="F337" s="213"/>
      <c r="K337" s="208">
        <f>Множество_202207112140401240[[#This Row],[2]]-Множество_202207112140401240[[#This Row],[4]]</f>
        <v>0</v>
      </c>
      <c r="L337" s="208">
        <f>Множество_202207112140401240[[#This Row],[3]]-Множество_202207112140401240[[#This Row],[5]]</f>
        <v>0</v>
      </c>
      <c r="M337" s="208">
        <f>Множество_202207112140401240[[#This Row],[7]]+Множество_202207112140401240[[#This Row],[6]]</f>
        <v>0</v>
      </c>
      <c r="N337" s="208" t="str">
        <f>CONCATENATE(Множество_202207112140401240[[#This Row],[2]],Множество_202207112140401240[[#This Row],[3]])</f>
        <v/>
      </c>
      <c r="O337" s="208"/>
      <c r="P337" s="208"/>
      <c r="Q337">
        <v>-3.2749999999999999</v>
      </c>
      <c r="R337">
        <v>-17.3333333333333</v>
      </c>
      <c r="S337" s="208">
        <v>10</v>
      </c>
      <c r="T337" s="208">
        <v>-12.5</v>
      </c>
      <c r="U337" s="208">
        <f>ABS(Множество_202207112140401240[[#This Row],[10]]-Множество_202207112140401240[[#This Row],[12]])</f>
        <v>13.275</v>
      </c>
      <c r="V337" s="208">
        <f>ABS(Множество_202207112140401240[[#This Row],[11]]-Множество_202207112140401240[[#This Row],[13]])</f>
        <v>4.8333333333333002</v>
      </c>
      <c r="W337" s="208">
        <f>Множество_202207112140401240[[#This Row],[15]]+Множество_202207112140401240[[#This Row],[14]]</f>
        <v>18.108333333333299</v>
      </c>
      <c r="X337" s="208">
        <f ca="1">IF(ROW()-ROW(Множество_202207112140401240[[#Headers],[17]])&gt;1,Множество_202207112140401240[[#This Row],[16]]-OFFSET(Множество_202207112140401240[[#This Row],[16]],-1,0),0)</f>
        <v>0.125</v>
      </c>
      <c r="Y337" s="208">
        <v>-3.2749999999999999</v>
      </c>
      <c r="Z337" s="208">
        <v>-17.3333333333333</v>
      </c>
      <c r="AA337" s="208">
        <f>ABS(Множество_202207112140401240[[#This Row],[18]]-Множество_202207112140401240[[#This Row],[12]])</f>
        <v>13.275</v>
      </c>
      <c r="AB337" s="208">
        <f>ABS(Множество_202207112140401240[[#This Row],[19]]-Множество_202207112140401240[[#This Row],[13]])</f>
        <v>4.8333333333333002</v>
      </c>
      <c r="AC337" s="208">
        <f>Множество_202207112140401240[[#This Row],[20]]+Множество_202207112140401240[[#This Row],[21]]</f>
        <v>18.108333333333299</v>
      </c>
    </row>
    <row r="338" spans="6:29" x14ac:dyDescent="0.25">
      <c r="F338" s="213"/>
      <c r="K338" s="208">
        <f>Множество_202207112140401240[[#This Row],[2]]-Множество_202207112140401240[[#This Row],[4]]</f>
        <v>0</v>
      </c>
      <c r="L338" s="208">
        <f>Множество_202207112140401240[[#This Row],[3]]-Множество_202207112140401240[[#This Row],[5]]</f>
        <v>0</v>
      </c>
      <c r="M338" s="208">
        <f>Множество_202207112140401240[[#This Row],[7]]+Множество_202207112140401240[[#This Row],[6]]</f>
        <v>0</v>
      </c>
      <c r="N338" s="208" t="str">
        <f>CONCATENATE(Множество_202207112140401240[[#This Row],[2]],Множество_202207112140401240[[#This Row],[3]])</f>
        <v/>
      </c>
      <c r="O338" s="208"/>
      <c r="P338" s="208"/>
      <c r="Q338">
        <v>-3.35</v>
      </c>
      <c r="R338">
        <v>-17.366666666666699</v>
      </c>
      <c r="S338" s="208">
        <v>10</v>
      </c>
      <c r="T338" s="208">
        <v>-12.5</v>
      </c>
      <c r="U338" s="208">
        <f>ABS(Множество_202207112140401240[[#This Row],[10]]-Множество_202207112140401240[[#This Row],[12]])</f>
        <v>13.35</v>
      </c>
      <c r="V338" s="208">
        <f>ABS(Множество_202207112140401240[[#This Row],[11]]-Множество_202207112140401240[[#This Row],[13]])</f>
        <v>4.8666666666666991</v>
      </c>
      <c r="W338" s="208">
        <f>Множество_202207112140401240[[#This Row],[15]]+Множество_202207112140401240[[#This Row],[14]]</f>
        <v>18.216666666666697</v>
      </c>
      <c r="X338" s="208">
        <f ca="1">IF(ROW()-ROW(Множество_202207112140401240[[#Headers],[17]])&gt;1,Множество_202207112140401240[[#This Row],[16]]-OFFSET(Множество_202207112140401240[[#This Row],[16]],-1,0),0)</f>
        <v>0.10833333333339823</v>
      </c>
      <c r="Y338" s="208">
        <v>-3.35</v>
      </c>
      <c r="Z338" s="208">
        <v>-17.366666666666699</v>
      </c>
      <c r="AA338" s="208">
        <f>ABS(Множество_202207112140401240[[#This Row],[18]]-Множество_202207112140401240[[#This Row],[12]])</f>
        <v>13.35</v>
      </c>
      <c r="AB338" s="208">
        <f>ABS(Множество_202207112140401240[[#This Row],[19]]-Множество_202207112140401240[[#This Row],[13]])</f>
        <v>4.8666666666666991</v>
      </c>
      <c r="AC338" s="208">
        <f>Множество_202207112140401240[[#This Row],[20]]+Множество_202207112140401240[[#This Row],[21]]</f>
        <v>18.216666666666697</v>
      </c>
    </row>
    <row r="339" spans="6:29" x14ac:dyDescent="0.25">
      <c r="F339" s="213"/>
      <c r="K339" s="208">
        <f>Множество_202207112140401240[[#This Row],[2]]-Множество_202207112140401240[[#This Row],[4]]</f>
        <v>0</v>
      </c>
      <c r="L339" s="208">
        <f>Множество_202207112140401240[[#This Row],[3]]-Множество_202207112140401240[[#This Row],[5]]</f>
        <v>0</v>
      </c>
      <c r="M339" s="208">
        <f>Множество_202207112140401240[[#This Row],[7]]+Множество_202207112140401240[[#This Row],[6]]</f>
        <v>0</v>
      </c>
      <c r="N339" s="208" t="str">
        <f>CONCATENATE(Множество_202207112140401240[[#This Row],[2]],Множество_202207112140401240[[#This Row],[3]])</f>
        <v/>
      </c>
      <c r="O339" s="208"/>
      <c r="P339" s="208"/>
      <c r="Q339">
        <v>-3.4249999999999998</v>
      </c>
      <c r="R339">
        <v>-17.4166666666667</v>
      </c>
      <c r="S339" s="208">
        <v>10</v>
      </c>
      <c r="T339" s="208">
        <v>-12.5</v>
      </c>
      <c r="U339" s="208">
        <f>ABS(Множество_202207112140401240[[#This Row],[10]]-Множество_202207112140401240[[#This Row],[12]])</f>
        <v>13.425000000000001</v>
      </c>
      <c r="V339" s="208">
        <f>ABS(Множество_202207112140401240[[#This Row],[11]]-Множество_202207112140401240[[#This Row],[13]])</f>
        <v>4.9166666666666998</v>
      </c>
      <c r="W339" s="208">
        <f>Множество_202207112140401240[[#This Row],[15]]+Множество_202207112140401240[[#This Row],[14]]</f>
        <v>18.341666666666701</v>
      </c>
      <c r="X339" s="208">
        <f ca="1">IF(ROW()-ROW(Множество_202207112140401240[[#Headers],[17]])&gt;1,Множество_202207112140401240[[#This Row],[16]]-OFFSET(Множество_202207112140401240[[#This Row],[16]],-1,0),0)</f>
        <v>0.12500000000000355</v>
      </c>
      <c r="Y339" s="208">
        <v>-3.4249999999999998</v>
      </c>
      <c r="Z339" s="208">
        <v>-17.4166666666667</v>
      </c>
      <c r="AA339" s="208">
        <f>ABS(Множество_202207112140401240[[#This Row],[18]]-Множество_202207112140401240[[#This Row],[12]])</f>
        <v>13.425000000000001</v>
      </c>
      <c r="AB339" s="208">
        <f>ABS(Множество_202207112140401240[[#This Row],[19]]-Множество_202207112140401240[[#This Row],[13]])</f>
        <v>4.9166666666666998</v>
      </c>
      <c r="AC339" s="208">
        <f>Множество_202207112140401240[[#This Row],[20]]+Множество_202207112140401240[[#This Row],[21]]</f>
        <v>18.341666666666701</v>
      </c>
    </row>
    <row r="340" spans="6:29" x14ac:dyDescent="0.25">
      <c r="F340" s="213"/>
      <c r="K340" s="208">
        <f>Множество_202207112140401240[[#This Row],[2]]-Множество_202207112140401240[[#This Row],[4]]</f>
        <v>0</v>
      </c>
      <c r="L340" s="208">
        <f>Множество_202207112140401240[[#This Row],[3]]-Множество_202207112140401240[[#This Row],[5]]</f>
        <v>0</v>
      </c>
      <c r="M340" s="208">
        <f>Множество_202207112140401240[[#This Row],[7]]+Множество_202207112140401240[[#This Row],[6]]</f>
        <v>0</v>
      </c>
      <c r="N340" s="208" t="str">
        <f>CONCATENATE(Множество_202207112140401240[[#This Row],[2]],Множество_202207112140401240[[#This Row],[3]])</f>
        <v/>
      </c>
      <c r="O340" s="208"/>
      <c r="P340" s="208"/>
      <c r="Q340">
        <v>-3.5</v>
      </c>
      <c r="R340">
        <v>-17.466666666666701</v>
      </c>
      <c r="S340" s="208">
        <v>10</v>
      </c>
      <c r="T340" s="208">
        <v>-12.5</v>
      </c>
      <c r="U340" s="208">
        <f>ABS(Множество_202207112140401240[[#This Row],[10]]-Множество_202207112140401240[[#This Row],[12]])</f>
        <v>13.5</v>
      </c>
      <c r="V340" s="208">
        <f>ABS(Множество_202207112140401240[[#This Row],[11]]-Множество_202207112140401240[[#This Row],[13]])</f>
        <v>4.9666666666667005</v>
      </c>
      <c r="W340" s="208">
        <f>Множество_202207112140401240[[#This Row],[15]]+Множество_202207112140401240[[#This Row],[14]]</f>
        <v>18.466666666666701</v>
      </c>
      <c r="X340" s="208">
        <f ca="1">IF(ROW()-ROW(Множество_202207112140401240[[#Headers],[17]])&gt;1,Множество_202207112140401240[[#This Row],[16]]-OFFSET(Множество_202207112140401240[[#This Row],[16]],-1,0),0)</f>
        <v>0.125</v>
      </c>
      <c r="Y340" s="208">
        <v>-3.5</v>
      </c>
      <c r="Z340" s="208">
        <v>-17.466666666666701</v>
      </c>
      <c r="AA340" s="208">
        <f>ABS(Множество_202207112140401240[[#This Row],[18]]-Множество_202207112140401240[[#This Row],[12]])</f>
        <v>13.5</v>
      </c>
      <c r="AB340" s="208">
        <f>ABS(Множество_202207112140401240[[#This Row],[19]]-Множество_202207112140401240[[#This Row],[13]])</f>
        <v>4.9666666666667005</v>
      </c>
      <c r="AC340" s="208">
        <f>Множество_202207112140401240[[#This Row],[20]]+Множество_202207112140401240[[#This Row],[21]]</f>
        <v>18.466666666666701</v>
      </c>
    </row>
    <row r="341" spans="6:29" x14ac:dyDescent="0.25">
      <c r="F341" s="213"/>
      <c r="K341" s="208">
        <f>Множество_202207112140401240[[#This Row],[2]]-Множество_202207112140401240[[#This Row],[4]]</f>
        <v>0</v>
      </c>
      <c r="L341" s="208">
        <f>Множество_202207112140401240[[#This Row],[3]]-Множество_202207112140401240[[#This Row],[5]]</f>
        <v>0</v>
      </c>
      <c r="M341" s="208">
        <f>Множество_202207112140401240[[#This Row],[7]]+Множество_202207112140401240[[#This Row],[6]]</f>
        <v>0</v>
      </c>
      <c r="N341" s="208" t="str">
        <f>CONCATENATE(Множество_202207112140401240[[#This Row],[2]],Множество_202207112140401240[[#This Row],[3]])</f>
        <v/>
      </c>
      <c r="O341" s="208"/>
      <c r="P341" s="208"/>
      <c r="Q341">
        <v>-3.5750000000000002</v>
      </c>
      <c r="R341">
        <v>-17.5</v>
      </c>
      <c r="S341" s="208">
        <v>10</v>
      </c>
      <c r="T341" s="208">
        <v>-12.5</v>
      </c>
      <c r="U341" s="208">
        <f>ABS(Множество_202207112140401240[[#This Row],[10]]-Множество_202207112140401240[[#This Row],[12]])</f>
        <v>13.574999999999999</v>
      </c>
      <c r="V341" s="208">
        <f>ABS(Множество_202207112140401240[[#This Row],[11]]-Множество_202207112140401240[[#This Row],[13]])</f>
        <v>5</v>
      </c>
      <c r="W341" s="208">
        <f>Множество_202207112140401240[[#This Row],[15]]+Множество_202207112140401240[[#This Row],[14]]</f>
        <v>18.574999999999999</v>
      </c>
      <c r="X341" s="208">
        <f ca="1">IF(ROW()-ROW(Множество_202207112140401240[[#Headers],[17]])&gt;1,Множество_202207112140401240[[#This Row],[16]]-OFFSET(Множество_202207112140401240[[#This Row],[16]],-1,0),0)</f>
        <v>0.10833333333329875</v>
      </c>
      <c r="Y341" s="208">
        <v>-3.5750000000000002</v>
      </c>
      <c r="Z341" s="208">
        <v>-17.5</v>
      </c>
      <c r="AA341" s="208">
        <f>ABS(Множество_202207112140401240[[#This Row],[18]]-Множество_202207112140401240[[#This Row],[12]])</f>
        <v>13.574999999999999</v>
      </c>
      <c r="AB341" s="208">
        <f>ABS(Множество_202207112140401240[[#This Row],[19]]-Множество_202207112140401240[[#This Row],[13]])</f>
        <v>5</v>
      </c>
      <c r="AC341" s="208">
        <f>Множество_202207112140401240[[#This Row],[20]]+Множество_202207112140401240[[#This Row],[21]]</f>
        <v>18.574999999999999</v>
      </c>
    </row>
    <row r="342" spans="6:29" x14ac:dyDescent="0.25">
      <c r="F342" s="213"/>
      <c r="K342" s="208">
        <f>Множество_202207112140401240[[#This Row],[2]]-Множество_202207112140401240[[#This Row],[4]]</f>
        <v>0</v>
      </c>
      <c r="L342" s="208">
        <f>Множество_202207112140401240[[#This Row],[3]]-Множество_202207112140401240[[#This Row],[5]]</f>
        <v>0</v>
      </c>
      <c r="M342" s="208">
        <f>Множество_202207112140401240[[#This Row],[7]]+Множество_202207112140401240[[#This Row],[6]]</f>
        <v>0</v>
      </c>
      <c r="N342" s="208" t="str">
        <f>CONCATENATE(Множество_202207112140401240[[#This Row],[2]],Множество_202207112140401240[[#This Row],[3]])</f>
        <v/>
      </c>
      <c r="O342" s="208"/>
      <c r="P342" s="208"/>
      <c r="Q342">
        <v>-2.9</v>
      </c>
      <c r="R342">
        <v>-18.3333333333333</v>
      </c>
      <c r="S342" s="208">
        <v>10</v>
      </c>
      <c r="T342" s="208">
        <v>-12.5</v>
      </c>
      <c r="U342" s="208">
        <f>ABS(Множество_202207112140401240[[#This Row],[10]]-Множество_202207112140401240[[#This Row],[12]])</f>
        <v>12.9</v>
      </c>
      <c r="V342" s="208">
        <f>ABS(Множество_202207112140401240[[#This Row],[11]]-Множество_202207112140401240[[#This Row],[13]])</f>
        <v>5.8333333333333002</v>
      </c>
      <c r="W342" s="208">
        <f>Множество_202207112140401240[[#This Row],[15]]+Множество_202207112140401240[[#This Row],[14]]</f>
        <v>18.733333333333299</v>
      </c>
      <c r="X342" s="208">
        <f ca="1">IF(ROW()-ROW(Множество_202207112140401240[[#Headers],[17]])&gt;1,Множество_202207112140401240[[#This Row],[16]]-OFFSET(Множество_202207112140401240[[#This Row],[16]],-1,0),0)</f>
        <v>0.15833333333329946</v>
      </c>
      <c r="Y342" s="208">
        <v>-2.9</v>
      </c>
      <c r="Z342" s="208">
        <v>-18.3333333333333</v>
      </c>
      <c r="AA342" s="208">
        <f>ABS(Множество_202207112140401240[[#This Row],[18]]-Множество_202207112140401240[[#This Row],[12]])</f>
        <v>12.9</v>
      </c>
      <c r="AB342" s="208">
        <f>ABS(Множество_202207112140401240[[#This Row],[19]]-Множество_202207112140401240[[#This Row],[13]])</f>
        <v>5.8333333333333002</v>
      </c>
      <c r="AC342" s="208">
        <f>Множество_202207112140401240[[#This Row],[20]]+Множество_202207112140401240[[#This Row],[21]]</f>
        <v>18.733333333333299</v>
      </c>
    </row>
    <row r="343" spans="6:29" x14ac:dyDescent="0.25">
      <c r="F343" s="213"/>
      <c r="K343" s="208">
        <f>Множество_202207112140401240[[#This Row],[2]]-Множество_202207112140401240[[#This Row],[4]]</f>
        <v>0</v>
      </c>
      <c r="L343" s="208">
        <f>Множество_202207112140401240[[#This Row],[3]]-Множество_202207112140401240[[#This Row],[5]]</f>
        <v>0</v>
      </c>
      <c r="M343" s="208">
        <f>Множество_202207112140401240[[#This Row],[7]]+Множество_202207112140401240[[#This Row],[6]]</f>
        <v>0</v>
      </c>
      <c r="N343" s="208" t="str">
        <f>CONCATENATE(Множество_202207112140401240[[#This Row],[2]],Множество_202207112140401240[[#This Row],[3]])</f>
        <v/>
      </c>
      <c r="O343" s="208"/>
      <c r="P343" s="208"/>
      <c r="Q343">
        <v>-2.9750000000000001</v>
      </c>
      <c r="R343">
        <v>-18.816666666666698</v>
      </c>
      <c r="S343" s="208">
        <v>10</v>
      </c>
      <c r="T343" s="208">
        <v>-12.5</v>
      </c>
      <c r="U343" s="208">
        <f>ABS(Множество_202207112140401240[[#This Row],[10]]-Множество_202207112140401240[[#This Row],[12]])</f>
        <v>12.975</v>
      </c>
      <c r="V343" s="208">
        <f>ABS(Множество_202207112140401240[[#This Row],[11]]-Множество_202207112140401240[[#This Row],[13]])</f>
        <v>6.3166666666666984</v>
      </c>
      <c r="W343" s="208">
        <f>Множество_202207112140401240[[#This Row],[15]]+Множество_202207112140401240[[#This Row],[14]]</f>
        <v>19.2916666666667</v>
      </c>
      <c r="X343" s="208">
        <f ca="1">IF(ROW()-ROW(Множество_202207112140401240[[#Headers],[17]])&gt;1,Множество_202207112140401240[[#This Row],[16]]-OFFSET(Множество_202207112140401240[[#This Row],[16]],-1,0),0)</f>
        <v>0.55833333333340107</v>
      </c>
      <c r="Y343" s="208">
        <v>-2.9750000000000001</v>
      </c>
      <c r="Z343" s="208">
        <v>-18.816666666666698</v>
      </c>
      <c r="AA343" s="208">
        <f>ABS(Множество_202207112140401240[[#This Row],[18]]-Множество_202207112140401240[[#This Row],[12]])</f>
        <v>12.975</v>
      </c>
      <c r="AB343" s="208">
        <f>ABS(Множество_202207112140401240[[#This Row],[19]]-Множество_202207112140401240[[#This Row],[13]])</f>
        <v>6.3166666666666984</v>
      </c>
      <c r="AC343" s="208">
        <f>Множество_202207112140401240[[#This Row],[20]]+Множество_202207112140401240[[#This Row],[21]]</f>
        <v>19.2916666666667</v>
      </c>
    </row>
    <row r="344" spans="6:29" x14ac:dyDescent="0.25">
      <c r="F344" s="213"/>
      <c r="K344" s="208">
        <f>Множество_202207112140401240[[#This Row],[2]]-Множество_202207112140401240[[#This Row],[4]]</f>
        <v>0</v>
      </c>
      <c r="L344" s="208">
        <f>Множество_202207112140401240[[#This Row],[3]]-Множество_202207112140401240[[#This Row],[5]]</f>
        <v>0</v>
      </c>
      <c r="M344" s="208">
        <f>Множество_202207112140401240[[#This Row],[7]]+Множество_202207112140401240[[#This Row],[6]]</f>
        <v>0</v>
      </c>
      <c r="N344" s="208" t="str">
        <f>CONCATENATE(Множество_202207112140401240[[#This Row],[2]],Множество_202207112140401240[[#This Row],[3]])</f>
        <v/>
      </c>
      <c r="O344" s="208"/>
      <c r="P344" s="208"/>
      <c r="Q344">
        <v>-3.05</v>
      </c>
      <c r="R344">
        <v>-18.866666666666699</v>
      </c>
      <c r="S344" s="208">
        <v>10</v>
      </c>
      <c r="T344" s="208">
        <v>-12.5</v>
      </c>
      <c r="U344" s="208">
        <f>ABS(Множество_202207112140401240[[#This Row],[10]]-Множество_202207112140401240[[#This Row],[12]])</f>
        <v>13.05</v>
      </c>
      <c r="V344" s="208">
        <f>ABS(Множество_202207112140401240[[#This Row],[11]]-Множество_202207112140401240[[#This Row],[13]])</f>
        <v>6.3666666666666991</v>
      </c>
      <c r="W344" s="208">
        <f>Множество_202207112140401240[[#This Row],[15]]+Множество_202207112140401240[[#This Row],[14]]</f>
        <v>19.4166666666667</v>
      </c>
      <c r="X344" s="208">
        <f ca="1">IF(ROW()-ROW(Множество_202207112140401240[[#Headers],[17]])&gt;1,Множество_202207112140401240[[#This Row],[16]]-OFFSET(Множество_202207112140401240[[#This Row],[16]],-1,0),0)</f>
        <v>0.125</v>
      </c>
      <c r="Y344" s="208">
        <v>-3.05</v>
      </c>
      <c r="Z344" s="208">
        <v>-18.866666666666699</v>
      </c>
      <c r="AA344" s="208">
        <f>ABS(Множество_202207112140401240[[#This Row],[18]]-Множество_202207112140401240[[#This Row],[12]])</f>
        <v>13.05</v>
      </c>
      <c r="AB344" s="208">
        <f>ABS(Множество_202207112140401240[[#This Row],[19]]-Множество_202207112140401240[[#This Row],[13]])</f>
        <v>6.3666666666666991</v>
      </c>
      <c r="AC344" s="208">
        <f>Множество_202207112140401240[[#This Row],[20]]+Множество_202207112140401240[[#This Row],[21]]</f>
        <v>19.4166666666667</v>
      </c>
    </row>
    <row r="345" spans="6:29" x14ac:dyDescent="0.25">
      <c r="F345" s="213"/>
      <c r="K345" s="208">
        <f>Множество_202207112140401240[[#This Row],[2]]-Множество_202207112140401240[[#This Row],[4]]</f>
        <v>0</v>
      </c>
      <c r="L345" s="208">
        <f>Множество_202207112140401240[[#This Row],[3]]-Множество_202207112140401240[[#This Row],[5]]</f>
        <v>0</v>
      </c>
      <c r="M345" s="208">
        <f>Множество_202207112140401240[[#This Row],[7]]+Множество_202207112140401240[[#This Row],[6]]</f>
        <v>0</v>
      </c>
      <c r="N345" s="208" t="str">
        <f>CONCATENATE(Множество_202207112140401240[[#This Row],[2]],Множество_202207112140401240[[#This Row],[3]])</f>
        <v/>
      </c>
      <c r="O345" s="208"/>
      <c r="P345" s="208"/>
      <c r="Q345">
        <v>-3.125</v>
      </c>
      <c r="R345">
        <v>-18.9166666666667</v>
      </c>
      <c r="S345" s="208">
        <v>10</v>
      </c>
      <c r="T345" s="208">
        <v>-12.5</v>
      </c>
      <c r="U345" s="208">
        <f>ABS(Множество_202207112140401240[[#This Row],[10]]-Множество_202207112140401240[[#This Row],[12]])</f>
        <v>13.125</v>
      </c>
      <c r="V345" s="208">
        <f>ABS(Множество_202207112140401240[[#This Row],[11]]-Множество_202207112140401240[[#This Row],[13]])</f>
        <v>6.4166666666666998</v>
      </c>
      <c r="W345" s="208">
        <f>Множество_202207112140401240[[#This Row],[15]]+Множество_202207112140401240[[#This Row],[14]]</f>
        <v>19.5416666666667</v>
      </c>
      <c r="X345" s="208">
        <f ca="1">IF(ROW()-ROW(Множество_202207112140401240[[#Headers],[17]])&gt;1,Множество_202207112140401240[[#This Row],[16]]-OFFSET(Множество_202207112140401240[[#This Row],[16]],-1,0),0)</f>
        <v>0.125</v>
      </c>
      <c r="Y345" s="208">
        <v>-3.125</v>
      </c>
      <c r="Z345" s="208">
        <v>-18.9166666666667</v>
      </c>
      <c r="AA345" s="208">
        <f>ABS(Множество_202207112140401240[[#This Row],[18]]-Множество_202207112140401240[[#This Row],[12]])</f>
        <v>13.125</v>
      </c>
      <c r="AB345" s="208">
        <f>ABS(Множество_202207112140401240[[#This Row],[19]]-Множество_202207112140401240[[#This Row],[13]])</f>
        <v>6.4166666666666998</v>
      </c>
      <c r="AC345" s="208">
        <f>Множество_202207112140401240[[#This Row],[20]]+Множество_202207112140401240[[#This Row],[21]]</f>
        <v>19.5416666666667</v>
      </c>
    </row>
    <row r="346" spans="6:29" x14ac:dyDescent="0.25">
      <c r="F346" s="213"/>
      <c r="K346" s="208">
        <f>Множество_202207112140401240[[#This Row],[2]]-Множество_202207112140401240[[#This Row],[4]]</f>
        <v>0</v>
      </c>
      <c r="L346" s="208">
        <f>Множество_202207112140401240[[#This Row],[3]]-Множество_202207112140401240[[#This Row],[5]]</f>
        <v>0</v>
      </c>
      <c r="M346" s="208">
        <f>Множество_202207112140401240[[#This Row],[7]]+Множество_202207112140401240[[#This Row],[6]]</f>
        <v>0</v>
      </c>
      <c r="N346" s="208" t="str">
        <f>CONCATENATE(Множество_202207112140401240[[#This Row],[2]],Множество_202207112140401240[[#This Row],[3]])</f>
        <v/>
      </c>
      <c r="O346" s="208"/>
      <c r="P346" s="208"/>
      <c r="Q346">
        <v>-3.2</v>
      </c>
      <c r="R346">
        <v>-18.95</v>
      </c>
      <c r="S346" s="208">
        <v>10</v>
      </c>
      <c r="T346" s="208">
        <v>-12.5</v>
      </c>
      <c r="U346" s="208">
        <f>ABS(Множество_202207112140401240[[#This Row],[10]]-Множество_202207112140401240[[#This Row],[12]])</f>
        <v>13.2</v>
      </c>
      <c r="V346" s="208">
        <f>ABS(Множество_202207112140401240[[#This Row],[11]]-Множество_202207112140401240[[#This Row],[13]])</f>
        <v>6.4499999999999993</v>
      </c>
      <c r="W346" s="208">
        <f>Множество_202207112140401240[[#This Row],[15]]+Множество_202207112140401240[[#This Row],[14]]</f>
        <v>19.649999999999999</v>
      </c>
      <c r="X346" s="208">
        <f ca="1">IF(ROW()-ROW(Множество_202207112140401240[[#Headers],[17]])&gt;1,Множество_202207112140401240[[#This Row],[16]]-OFFSET(Множество_202207112140401240[[#This Row],[16]],-1,0),0)</f>
        <v>0.10833333333329875</v>
      </c>
      <c r="Y346" s="208">
        <v>-3.2</v>
      </c>
      <c r="Z346" s="208">
        <v>-18.95</v>
      </c>
      <c r="AA346" s="208">
        <f>ABS(Множество_202207112140401240[[#This Row],[18]]-Множество_202207112140401240[[#This Row],[12]])</f>
        <v>13.2</v>
      </c>
      <c r="AB346" s="208">
        <f>ABS(Множество_202207112140401240[[#This Row],[19]]-Множество_202207112140401240[[#This Row],[13]])</f>
        <v>6.4499999999999993</v>
      </c>
      <c r="AC346" s="208">
        <f>Множество_202207112140401240[[#This Row],[20]]+Множество_202207112140401240[[#This Row],[21]]</f>
        <v>19.649999999999999</v>
      </c>
    </row>
    <row r="347" spans="6:29" x14ac:dyDescent="0.25">
      <c r="F347" s="213"/>
      <c r="K347" s="208">
        <f>Множество_202207112140401240[[#This Row],[2]]-Множество_202207112140401240[[#This Row],[4]]</f>
        <v>0</v>
      </c>
      <c r="L347" s="208">
        <f>Множество_202207112140401240[[#This Row],[3]]-Множество_202207112140401240[[#This Row],[5]]</f>
        <v>0</v>
      </c>
      <c r="M347" s="208">
        <f>Множество_202207112140401240[[#This Row],[7]]+Множество_202207112140401240[[#This Row],[6]]</f>
        <v>0</v>
      </c>
      <c r="N347" s="208" t="str">
        <f>CONCATENATE(Множество_202207112140401240[[#This Row],[2]],Множество_202207112140401240[[#This Row],[3]])</f>
        <v/>
      </c>
      <c r="O347" s="208"/>
      <c r="P347" s="208"/>
      <c r="Q347">
        <v>-3.2749999999999999</v>
      </c>
      <c r="R347">
        <v>-19</v>
      </c>
      <c r="S347" s="208">
        <v>10</v>
      </c>
      <c r="T347" s="208">
        <v>-12.5</v>
      </c>
      <c r="U347" s="208">
        <f>ABS(Множество_202207112140401240[[#This Row],[10]]-Множество_202207112140401240[[#This Row],[12]])</f>
        <v>13.275</v>
      </c>
      <c r="V347" s="208">
        <f>ABS(Множество_202207112140401240[[#This Row],[11]]-Множество_202207112140401240[[#This Row],[13]])</f>
        <v>6.5</v>
      </c>
      <c r="W347" s="208">
        <f>Множество_202207112140401240[[#This Row],[15]]+Множество_202207112140401240[[#This Row],[14]]</f>
        <v>19.774999999999999</v>
      </c>
      <c r="X347" s="208">
        <f ca="1">IF(ROW()-ROW(Множество_202207112140401240[[#Headers],[17]])&gt;1,Множество_202207112140401240[[#This Row],[16]]-OFFSET(Множество_202207112140401240[[#This Row],[16]],-1,0),0)</f>
        <v>0.125</v>
      </c>
      <c r="Y347" s="208">
        <v>-3.2749999999999999</v>
      </c>
      <c r="Z347" s="208">
        <v>-19</v>
      </c>
      <c r="AA347" s="208">
        <f>ABS(Множество_202207112140401240[[#This Row],[18]]-Множество_202207112140401240[[#This Row],[12]])</f>
        <v>13.275</v>
      </c>
      <c r="AB347" s="208">
        <f>ABS(Множество_202207112140401240[[#This Row],[19]]-Множество_202207112140401240[[#This Row],[13]])</f>
        <v>6.5</v>
      </c>
      <c r="AC347" s="208">
        <f>Множество_202207112140401240[[#This Row],[20]]+Множество_202207112140401240[[#This Row],[21]]</f>
        <v>19.774999999999999</v>
      </c>
    </row>
    <row r="348" spans="6:29" x14ac:dyDescent="0.25">
      <c r="F348" s="213"/>
      <c r="K348" s="208">
        <f>Множество_202207112140401240[[#This Row],[2]]-Множество_202207112140401240[[#This Row],[4]]</f>
        <v>0</v>
      </c>
      <c r="L348" s="208">
        <f>Множество_202207112140401240[[#This Row],[3]]-Множество_202207112140401240[[#This Row],[5]]</f>
        <v>0</v>
      </c>
      <c r="M348" s="208">
        <f>Множество_202207112140401240[[#This Row],[7]]+Множество_202207112140401240[[#This Row],[6]]</f>
        <v>0</v>
      </c>
      <c r="N348" s="208" t="str">
        <f>CONCATENATE(Множество_202207112140401240[[#This Row],[2]],Множество_202207112140401240[[#This Row],[3]])</f>
        <v/>
      </c>
      <c r="O348" s="208"/>
      <c r="P348" s="208"/>
      <c r="Q348">
        <v>-3.35</v>
      </c>
      <c r="R348">
        <v>-19.033333333333299</v>
      </c>
      <c r="S348" s="208">
        <v>10</v>
      </c>
      <c r="T348" s="208">
        <v>-12.5</v>
      </c>
      <c r="U348" s="208">
        <f>ABS(Множество_202207112140401240[[#This Row],[10]]-Множество_202207112140401240[[#This Row],[12]])</f>
        <v>13.35</v>
      </c>
      <c r="V348" s="208">
        <f>ABS(Множество_202207112140401240[[#This Row],[11]]-Множество_202207112140401240[[#This Row],[13]])</f>
        <v>6.5333333333332995</v>
      </c>
      <c r="W348" s="208">
        <f>Множество_202207112140401240[[#This Row],[15]]+Множество_202207112140401240[[#This Row],[14]]</f>
        <v>19.883333333333297</v>
      </c>
      <c r="X348" s="208">
        <f ca="1">IF(ROW()-ROW(Множество_202207112140401240[[#Headers],[17]])&gt;1,Множество_202207112140401240[[#This Row],[16]]-OFFSET(Множество_202207112140401240[[#This Row],[16]],-1,0),0)</f>
        <v>0.10833333333329875</v>
      </c>
      <c r="Y348" s="208">
        <v>-3.35</v>
      </c>
      <c r="Z348" s="208">
        <v>-19.033333333333299</v>
      </c>
      <c r="AA348" s="208">
        <f>ABS(Множество_202207112140401240[[#This Row],[18]]-Множество_202207112140401240[[#This Row],[12]])</f>
        <v>13.35</v>
      </c>
      <c r="AB348" s="208">
        <f>ABS(Множество_202207112140401240[[#This Row],[19]]-Множество_202207112140401240[[#This Row],[13]])</f>
        <v>6.5333333333332995</v>
      </c>
      <c r="AC348" s="208">
        <f>Множество_202207112140401240[[#This Row],[20]]+Множество_202207112140401240[[#This Row],[21]]</f>
        <v>19.883333333333297</v>
      </c>
    </row>
    <row r="349" spans="6:29" x14ac:dyDescent="0.25">
      <c r="F349" s="213"/>
      <c r="K349" s="208">
        <f>Множество_202207112140401240[[#This Row],[2]]-Множество_202207112140401240[[#This Row],[4]]</f>
        <v>0</v>
      </c>
      <c r="L349" s="208">
        <f>Множество_202207112140401240[[#This Row],[3]]-Множество_202207112140401240[[#This Row],[5]]</f>
        <v>0</v>
      </c>
      <c r="M349" s="208">
        <f>Множество_202207112140401240[[#This Row],[7]]+Множество_202207112140401240[[#This Row],[6]]</f>
        <v>0</v>
      </c>
      <c r="N349" s="208" t="str">
        <f>CONCATENATE(Множество_202207112140401240[[#This Row],[2]],Множество_202207112140401240[[#This Row],[3]])</f>
        <v/>
      </c>
      <c r="O349" s="208"/>
      <c r="P349" s="208"/>
      <c r="Q349">
        <v>-3.4249999999999998</v>
      </c>
      <c r="R349">
        <v>-19.0833333333333</v>
      </c>
      <c r="S349" s="208">
        <v>10</v>
      </c>
      <c r="T349" s="208">
        <v>-12.5</v>
      </c>
      <c r="U349" s="208">
        <f>ABS(Множество_202207112140401240[[#This Row],[10]]-Множество_202207112140401240[[#This Row],[12]])</f>
        <v>13.425000000000001</v>
      </c>
      <c r="V349" s="208">
        <f>ABS(Множество_202207112140401240[[#This Row],[11]]-Множество_202207112140401240[[#This Row],[13]])</f>
        <v>6.5833333333333002</v>
      </c>
      <c r="W349" s="208">
        <f>Множество_202207112140401240[[#This Row],[15]]+Множество_202207112140401240[[#This Row],[14]]</f>
        <v>20.008333333333301</v>
      </c>
      <c r="X349" s="208">
        <f ca="1">IF(ROW()-ROW(Множество_202207112140401240[[#Headers],[17]])&gt;1,Множество_202207112140401240[[#This Row],[16]]-OFFSET(Множество_202207112140401240[[#This Row],[16]],-1,0),0)</f>
        <v>0.12500000000000355</v>
      </c>
      <c r="Y349" s="208">
        <v>-3.4249999999999998</v>
      </c>
      <c r="Z349" s="208">
        <v>-19.0833333333333</v>
      </c>
      <c r="AA349" s="208">
        <f>ABS(Множество_202207112140401240[[#This Row],[18]]-Множество_202207112140401240[[#This Row],[12]])</f>
        <v>13.425000000000001</v>
      </c>
      <c r="AB349" s="208">
        <f>ABS(Множество_202207112140401240[[#This Row],[19]]-Множество_202207112140401240[[#This Row],[13]])</f>
        <v>6.5833333333333002</v>
      </c>
      <c r="AC349" s="208">
        <f>Множество_202207112140401240[[#This Row],[20]]+Множество_202207112140401240[[#This Row],[21]]</f>
        <v>20.008333333333301</v>
      </c>
    </row>
    <row r="350" spans="6:29" x14ac:dyDescent="0.25">
      <c r="F350" s="213"/>
      <c r="K350" s="208">
        <f>Множество_202207112140401240[[#This Row],[2]]-Множество_202207112140401240[[#This Row],[4]]</f>
        <v>0</v>
      </c>
      <c r="L350" s="208">
        <f>Множество_202207112140401240[[#This Row],[3]]-Множество_202207112140401240[[#This Row],[5]]</f>
        <v>0</v>
      </c>
      <c r="M350" s="208">
        <f>Множество_202207112140401240[[#This Row],[7]]+Множество_202207112140401240[[#This Row],[6]]</f>
        <v>0</v>
      </c>
      <c r="N350" s="208" t="str">
        <f>CONCATENATE(Множество_202207112140401240[[#This Row],[2]],Множество_202207112140401240[[#This Row],[3]])</f>
        <v/>
      </c>
      <c r="O350" s="208"/>
      <c r="P350" s="208"/>
      <c r="Q350">
        <v>-3.5</v>
      </c>
      <c r="R350">
        <v>-19.133333333333301</v>
      </c>
      <c r="S350" s="208">
        <v>10</v>
      </c>
      <c r="T350" s="208">
        <v>-12.5</v>
      </c>
      <c r="U350" s="208">
        <f>ABS(Множество_202207112140401240[[#This Row],[10]]-Множество_202207112140401240[[#This Row],[12]])</f>
        <v>13.5</v>
      </c>
      <c r="V350" s="208">
        <f>ABS(Множество_202207112140401240[[#This Row],[11]]-Множество_202207112140401240[[#This Row],[13]])</f>
        <v>6.6333333333333009</v>
      </c>
      <c r="W350" s="208">
        <f>Множество_202207112140401240[[#This Row],[15]]+Множество_202207112140401240[[#This Row],[14]]</f>
        <v>20.133333333333301</v>
      </c>
      <c r="X350" s="208">
        <f ca="1">IF(ROW()-ROW(Множество_202207112140401240[[#Headers],[17]])&gt;1,Множество_202207112140401240[[#This Row],[16]]-OFFSET(Множество_202207112140401240[[#This Row],[16]],-1,0),0)</f>
        <v>0.125</v>
      </c>
      <c r="Y350" s="208">
        <v>-3.5</v>
      </c>
      <c r="Z350" s="208">
        <v>-19.133333333333301</v>
      </c>
      <c r="AA350" s="208">
        <f>ABS(Множество_202207112140401240[[#This Row],[18]]-Множество_202207112140401240[[#This Row],[12]])</f>
        <v>13.5</v>
      </c>
      <c r="AB350" s="208">
        <f>ABS(Множество_202207112140401240[[#This Row],[19]]-Множество_202207112140401240[[#This Row],[13]])</f>
        <v>6.6333333333333009</v>
      </c>
      <c r="AC350" s="208">
        <f>Множество_202207112140401240[[#This Row],[20]]+Множество_202207112140401240[[#This Row],[21]]</f>
        <v>20.133333333333301</v>
      </c>
    </row>
  </sheetData>
  <phoneticPr fontId="31" type="noConversion"/>
  <conditionalFormatting sqref="N2:P350">
    <cfRule type="duplicateValues" dxfId="1533" priority="1148"/>
  </conditionalFormatting>
  <conditionalFormatting sqref="W2:W350">
    <cfRule type="dataBar" priority="1149">
      <dataBar>
        <cfvo type="min"/>
        <cfvo type="max"/>
        <color rgb="FF638EC6"/>
      </dataBar>
      <extLst>
        <ext xmlns:x14="http://schemas.microsoft.com/office/spreadsheetml/2009/9/main" uri="{B025F937-C7B1-47D3-B67F-A62EFF666E3E}">
          <x14:id>{B40A518D-ED64-4575-AFFD-0649EF3F154F}</x14:id>
        </ext>
      </extLst>
    </cfRule>
  </conditionalFormatting>
  <conditionalFormatting sqref="AC2:AC350">
    <cfRule type="dataBar" priority="2">
      <dataBar>
        <cfvo type="min"/>
        <cfvo type="max"/>
        <color rgb="FF638EC6"/>
      </dataBar>
      <extLst>
        <ext xmlns:x14="http://schemas.microsoft.com/office/spreadsheetml/2009/9/main" uri="{B025F937-C7B1-47D3-B67F-A62EFF666E3E}">
          <x14:id>{63251B80-16CD-499F-B29F-0E51CA0303CD}</x14:id>
        </ext>
      </extLst>
    </cfRule>
  </conditionalFormatting>
  <conditionalFormatting sqref="X2:X350">
    <cfRule type="iconSet" priority="1">
      <iconSet>
        <cfvo type="percent" val="0"/>
        <cfvo type="num" val="0"/>
        <cfvo type="num" val="0" gte="0"/>
      </iconSet>
    </cfRule>
  </conditionalFormatting>
  <pageMargins left="0.7" right="0.7" top="0.75" bottom="0.75" header="0.3" footer="0.3"/>
  <pageSetup paperSize="9"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B40A518D-ED64-4575-AFFD-0649EF3F154F}">
            <x14:dataBar minLength="0" maxLength="100" border="1" negativeBarBorderColorSameAsPositive="0">
              <x14:cfvo type="autoMin"/>
              <x14:cfvo type="autoMax"/>
              <x14:borderColor rgb="FF638EC6"/>
              <x14:negativeFillColor rgb="FFFF0000"/>
              <x14:negativeBorderColor rgb="FFFF0000"/>
              <x14:axisColor rgb="FF000000"/>
            </x14:dataBar>
          </x14:cfRule>
          <xm:sqref>W2:W350</xm:sqref>
        </x14:conditionalFormatting>
        <x14:conditionalFormatting xmlns:xm="http://schemas.microsoft.com/office/excel/2006/main">
          <x14:cfRule type="dataBar" id="{63251B80-16CD-499F-B29F-0E51CA0303CD}">
            <x14:dataBar minLength="0" maxLength="100" gradient="0">
              <x14:cfvo type="autoMin"/>
              <x14:cfvo type="autoMax"/>
              <x14:negativeFillColor rgb="FFFF0000"/>
              <x14:axisColor rgb="FF000000"/>
            </x14:dataBar>
          </x14:cfRule>
          <xm:sqref>AC2:AC350</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369EB6-310A-4810-93C9-F605E2014F66}">
  <sheetPr codeName="Лист22"/>
  <dimension ref="A1:O1001"/>
  <sheetViews>
    <sheetView workbookViewId="0">
      <selection activeCell="E21" sqref="E21"/>
    </sheetView>
  </sheetViews>
  <sheetFormatPr defaultRowHeight="15" x14ac:dyDescent="0.25"/>
  <cols>
    <col min="1" max="1" width="11.85546875" customWidth="1"/>
  </cols>
  <sheetData>
    <row r="1" spans="1:15" x14ac:dyDescent="0.25">
      <c r="A1" t="s">
        <v>395</v>
      </c>
      <c r="B1" t="s">
        <v>411</v>
      </c>
      <c r="C1" t="s">
        <v>619</v>
      </c>
      <c r="D1" t="s">
        <v>417</v>
      </c>
      <c r="E1" t="s">
        <v>620</v>
      </c>
      <c r="F1" s="213" t="s">
        <v>100</v>
      </c>
      <c r="G1" t="s">
        <v>101</v>
      </c>
      <c r="H1" t="s">
        <v>418</v>
      </c>
      <c r="I1" t="s">
        <v>419</v>
      </c>
      <c r="J1" t="s">
        <v>420</v>
      </c>
      <c r="K1" t="s">
        <v>421</v>
      </c>
      <c r="L1" t="s">
        <v>422</v>
      </c>
      <c r="M1" t="s">
        <v>423</v>
      </c>
      <c r="N1" t="s">
        <v>424</v>
      </c>
      <c r="O1" t="s">
        <v>425</v>
      </c>
    </row>
    <row r="2" spans="1:15" x14ac:dyDescent="0.25">
      <c r="A2" t="s">
        <v>100</v>
      </c>
      <c r="B2" t="s">
        <v>100</v>
      </c>
      <c r="C2" t="s">
        <v>621</v>
      </c>
      <c r="D2" t="s">
        <v>618</v>
      </c>
      <c r="E2" t="s">
        <v>622</v>
      </c>
      <c r="F2" s="213" t="s">
        <v>56</v>
      </c>
      <c r="G2" t="s">
        <v>66</v>
      </c>
      <c r="H2" t="s">
        <v>84</v>
      </c>
      <c r="I2" t="s">
        <v>623</v>
      </c>
      <c r="J2" t="s">
        <v>56</v>
      </c>
      <c r="K2" t="s">
        <v>29</v>
      </c>
      <c r="L2" t="s">
        <v>624</v>
      </c>
      <c r="M2" t="s">
        <v>100</v>
      </c>
      <c r="N2" t="s">
        <v>55</v>
      </c>
      <c r="O2" t="s">
        <v>625</v>
      </c>
    </row>
    <row r="3" spans="1:15" x14ac:dyDescent="0.25">
      <c r="A3" t="s">
        <v>101</v>
      </c>
      <c r="B3" t="s">
        <v>100</v>
      </c>
      <c r="C3" t="s">
        <v>621</v>
      </c>
      <c r="D3" t="s">
        <v>618</v>
      </c>
      <c r="E3" t="s">
        <v>622</v>
      </c>
      <c r="F3" s="213" t="s">
        <v>56</v>
      </c>
      <c r="G3" t="s">
        <v>66</v>
      </c>
      <c r="H3" t="s">
        <v>84</v>
      </c>
      <c r="I3" t="s">
        <v>623</v>
      </c>
      <c r="J3" t="s">
        <v>56</v>
      </c>
      <c r="K3" t="s">
        <v>27</v>
      </c>
      <c r="L3" t="s">
        <v>626</v>
      </c>
      <c r="M3" t="s">
        <v>100</v>
      </c>
      <c r="N3" t="s">
        <v>27</v>
      </c>
      <c r="O3" t="s">
        <v>627</v>
      </c>
    </row>
    <row r="4" spans="1:15" x14ac:dyDescent="0.25">
      <c r="A4" t="s">
        <v>418</v>
      </c>
      <c r="B4" t="s">
        <v>100</v>
      </c>
      <c r="C4" t="s">
        <v>621</v>
      </c>
      <c r="D4" t="s">
        <v>618</v>
      </c>
      <c r="E4" t="s">
        <v>622</v>
      </c>
      <c r="F4" s="213" t="s">
        <v>56</v>
      </c>
      <c r="G4" t="s">
        <v>66</v>
      </c>
      <c r="H4" t="s">
        <v>84</v>
      </c>
      <c r="I4" t="s">
        <v>623</v>
      </c>
      <c r="J4" t="s">
        <v>56</v>
      </c>
      <c r="K4" t="s">
        <v>25</v>
      </c>
      <c r="L4" t="s">
        <v>628</v>
      </c>
      <c r="M4" t="s">
        <v>100</v>
      </c>
      <c r="N4" t="s">
        <v>50</v>
      </c>
      <c r="O4" t="s">
        <v>629</v>
      </c>
    </row>
    <row r="5" spans="1:15" x14ac:dyDescent="0.25">
      <c r="A5" t="s">
        <v>419</v>
      </c>
      <c r="B5" t="s">
        <v>100</v>
      </c>
      <c r="C5" t="s">
        <v>621</v>
      </c>
      <c r="D5" t="s">
        <v>618</v>
      </c>
      <c r="E5" t="s">
        <v>622</v>
      </c>
      <c r="F5" s="213" t="s">
        <v>56</v>
      </c>
      <c r="G5" t="s">
        <v>66</v>
      </c>
      <c r="H5" t="s">
        <v>84</v>
      </c>
      <c r="I5" t="s">
        <v>623</v>
      </c>
      <c r="J5" t="s">
        <v>56</v>
      </c>
      <c r="K5" t="s">
        <v>22</v>
      </c>
      <c r="L5" t="s">
        <v>630</v>
      </c>
      <c r="M5" t="s">
        <v>100</v>
      </c>
      <c r="N5" t="s">
        <v>73</v>
      </c>
      <c r="O5" t="s">
        <v>46</v>
      </c>
    </row>
    <row r="6" spans="1:15" x14ac:dyDescent="0.25">
      <c r="A6" t="s">
        <v>420</v>
      </c>
      <c r="B6" t="s">
        <v>100</v>
      </c>
      <c r="C6" t="s">
        <v>621</v>
      </c>
      <c r="D6" t="s">
        <v>618</v>
      </c>
      <c r="E6" t="s">
        <v>622</v>
      </c>
      <c r="F6" s="213" t="s">
        <v>56</v>
      </c>
      <c r="G6" t="s">
        <v>66</v>
      </c>
      <c r="H6" t="s">
        <v>84</v>
      </c>
      <c r="I6" t="s">
        <v>623</v>
      </c>
      <c r="J6" t="s">
        <v>56</v>
      </c>
      <c r="K6" t="s">
        <v>19</v>
      </c>
      <c r="L6" t="s">
        <v>625</v>
      </c>
      <c r="M6" t="s">
        <v>100</v>
      </c>
      <c r="N6" t="s">
        <v>68</v>
      </c>
      <c r="O6" t="s">
        <v>631</v>
      </c>
    </row>
    <row r="7" spans="1:15" x14ac:dyDescent="0.25">
      <c r="A7" t="s">
        <v>421</v>
      </c>
      <c r="B7" t="s">
        <v>100</v>
      </c>
      <c r="C7" t="s">
        <v>621</v>
      </c>
      <c r="D7" t="s">
        <v>618</v>
      </c>
      <c r="E7" t="s">
        <v>622</v>
      </c>
      <c r="F7" s="213" t="s">
        <v>56</v>
      </c>
      <c r="G7" t="s">
        <v>66</v>
      </c>
      <c r="H7" t="s">
        <v>84</v>
      </c>
      <c r="I7" t="s">
        <v>623</v>
      </c>
      <c r="J7" t="s">
        <v>56</v>
      </c>
      <c r="K7" t="s">
        <v>15</v>
      </c>
      <c r="L7" t="s">
        <v>632</v>
      </c>
      <c r="M7" t="s">
        <v>100</v>
      </c>
      <c r="N7" t="s">
        <v>5</v>
      </c>
      <c r="O7" t="s">
        <v>633</v>
      </c>
    </row>
    <row r="8" spans="1:15" x14ac:dyDescent="0.25">
      <c r="A8" t="s">
        <v>422</v>
      </c>
      <c r="B8" t="s">
        <v>100</v>
      </c>
      <c r="C8" t="s">
        <v>621</v>
      </c>
      <c r="D8" t="s">
        <v>618</v>
      </c>
      <c r="E8" t="s">
        <v>622</v>
      </c>
      <c r="F8" s="213" t="s">
        <v>56</v>
      </c>
      <c r="G8" t="s">
        <v>66</v>
      </c>
      <c r="H8" t="s">
        <v>84</v>
      </c>
      <c r="I8" t="s">
        <v>623</v>
      </c>
      <c r="J8" t="s">
        <v>56</v>
      </c>
      <c r="K8" t="s">
        <v>12</v>
      </c>
      <c r="L8" t="s">
        <v>629</v>
      </c>
      <c r="M8" t="s">
        <v>100</v>
      </c>
      <c r="N8" t="s">
        <v>3</v>
      </c>
      <c r="O8" t="s">
        <v>634</v>
      </c>
    </row>
    <row r="9" spans="1:15" x14ac:dyDescent="0.25">
      <c r="A9" t="s">
        <v>423</v>
      </c>
      <c r="B9" t="s">
        <v>100</v>
      </c>
      <c r="C9" t="s">
        <v>621</v>
      </c>
      <c r="D9" t="s">
        <v>618</v>
      </c>
      <c r="E9" t="s">
        <v>622</v>
      </c>
      <c r="F9" s="213" t="s">
        <v>56</v>
      </c>
      <c r="G9" t="s">
        <v>66</v>
      </c>
      <c r="H9" t="s">
        <v>84</v>
      </c>
      <c r="I9" t="s">
        <v>623</v>
      </c>
      <c r="J9" t="s">
        <v>56</v>
      </c>
      <c r="K9" t="s">
        <v>10</v>
      </c>
      <c r="L9" t="s">
        <v>635</v>
      </c>
      <c r="M9" t="s">
        <v>100</v>
      </c>
      <c r="N9" t="s">
        <v>1</v>
      </c>
      <c r="O9" t="s">
        <v>636</v>
      </c>
    </row>
    <row r="10" spans="1:15" x14ac:dyDescent="0.25">
      <c r="A10" t="s">
        <v>424</v>
      </c>
      <c r="B10" t="s">
        <v>100</v>
      </c>
      <c r="C10" t="s">
        <v>621</v>
      </c>
      <c r="D10" t="s">
        <v>618</v>
      </c>
      <c r="E10" t="s">
        <v>622</v>
      </c>
      <c r="F10" s="213" t="s">
        <v>56</v>
      </c>
      <c r="G10" t="s">
        <v>66</v>
      </c>
      <c r="H10" t="s">
        <v>84</v>
      </c>
      <c r="I10" t="s">
        <v>623</v>
      </c>
      <c r="J10" t="s">
        <v>56</v>
      </c>
      <c r="K10" t="s">
        <v>8</v>
      </c>
      <c r="L10" t="s">
        <v>637</v>
      </c>
      <c r="M10" t="s">
        <v>100</v>
      </c>
      <c r="N10" t="s">
        <v>17</v>
      </c>
      <c r="O10" t="s">
        <v>638</v>
      </c>
    </row>
    <row r="11" spans="1:15" x14ac:dyDescent="0.25">
      <c r="A11" t="s">
        <v>425</v>
      </c>
      <c r="B11" t="s">
        <v>100</v>
      </c>
      <c r="C11" t="s">
        <v>621</v>
      </c>
      <c r="D11" t="s">
        <v>618</v>
      </c>
      <c r="E11" t="s">
        <v>622</v>
      </c>
      <c r="F11" s="213" t="s">
        <v>56</v>
      </c>
      <c r="G11" t="s">
        <v>66</v>
      </c>
      <c r="H11" t="s">
        <v>84</v>
      </c>
      <c r="I11" t="s">
        <v>623</v>
      </c>
      <c r="J11" t="s">
        <v>56</v>
      </c>
      <c r="K11" t="s">
        <v>6</v>
      </c>
      <c r="L11" t="s">
        <v>639</v>
      </c>
      <c r="M11" t="s">
        <v>100</v>
      </c>
      <c r="N11" t="s">
        <v>9</v>
      </c>
      <c r="O11" t="s">
        <v>640</v>
      </c>
    </row>
    <row r="12" spans="1:15" x14ac:dyDescent="0.25">
      <c r="A12" t="s">
        <v>426</v>
      </c>
      <c r="B12" t="s">
        <v>100</v>
      </c>
      <c r="C12" t="s">
        <v>621</v>
      </c>
      <c r="D12" t="s">
        <v>618</v>
      </c>
      <c r="E12" t="s">
        <v>622</v>
      </c>
      <c r="F12" s="213" t="s">
        <v>56</v>
      </c>
      <c r="G12" t="s">
        <v>66</v>
      </c>
      <c r="H12" t="s">
        <v>84</v>
      </c>
      <c r="I12" t="s">
        <v>623</v>
      </c>
      <c r="J12" t="s">
        <v>56</v>
      </c>
      <c r="K12" t="s">
        <v>27</v>
      </c>
      <c r="L12" t="s">
        <v>626</v>
      </c>
      <c r="M12" t="s">
        <v>27</v>
      </c>
      <c r="N12" t="s">
        <v>29</v>
      </c>
      <c r="O12" t="s">
        <v>418</v>
      </c>
    </row>
    <row r="13" spans="1:15" x14ac:dyDescent="0.25">
      <c r="A13" t="s">
        <v>427</v>
      </c>
      <c r="B13" t="s">
        <v>100</v>
      </c>
      <c r="C13" t="s">
        <v>621</v>
      </c>
      <c r="D13" t="s">
        <v>618</v>
      </c>
      <c r="E13" t="s">
        <v>622</v>
      </c>
      <c r="F13" s="213" t="s">
        <v>56</v>
      </c>
      <c r="G13" t="s">
        <v>66</v>
      </c>
      <c r="H13" t="s">
        <v>84</v>
      </c>
      <c r="I13" t="s">
        <v>623</v>
      </c>
      <c r="J13" t="s">
        <v>56</v>
      </c>
      <c r="K13" t="s">
        <v>25</v>
      </c>
      <c r="L13" t="s">
        <v>628</v>
      </c>
      <c r="M13" t="s">
        <v>27</v>
      </c>
      <c r="N13" t="s">
        <v>24</v>
      </c>
      <c r="O13" t="s">
        <v>626</v>
      </c>
    </row>
    <row r="14" spans="1:15" x14ac:dyDescent="0.25">
      <c r="A14" t="s">
        <v>428</v>
      </c>
      <c r="B14" t="s">
        <v>100</v>
      </c>
      <c r="C14" t="s">
        <v>621</v>
      </c>
      <c r="D14" t="s">
        <v>618</v>
      </c>
      <c r="E14" t="s">
        <v>622</v>
      </c>
      <c r="F14" s="213" t="s">
        <v>56</v>
      </c>
      <c r="G14" t="s">
        <v>66</v>
      </c>
      <c r="H14" t="s">
        <v>84</v>
      </c>
      <c r="I14" t="s">
        <v>623</v>
      </c>
      <c r="J14" t="s">
        <v>56</v>
      </c>
      <c r="K14" t="s">
        <v>22</v>
      </c>
      <c r="L14" t="s">
        <v>630</v>
      </c>
      <c r="M14" t="s">
        <v>27</v>
      </c>
      <c r="N14" t="s">
        <v>21</v>
      </c>
      <c r="O14" t="s">
        <v>641</v>
      </c>
    </row>
    <row r="15" spans="1:15" x14ac:dyDescent="0.25">
      <c r="A15" t="s">
        <v>429</v>
      </c>
      <c r="B15" t="s">
        <v>100</v>
      </c>
      <c r="C15" t="s">
        <v>621</v>
      </c>
      <c r="D15" t="s">
        <v>618</v>
      </c>
      <c r="E15" t="s">
        <v>622</v>
      </c>
      <c r="F15" s="213" t="s">
        <v>56</v>
      </c>
      <c r="G15" t="s">
        <v>66</v>
      </c>
      <c r="H15" t="s">
        <v>84</v>
      </c>
      <c r="I15" t="s">
        <v>623</v>
      </c>
      <c r="J15" t="s">
        <v>56</v>
      </c>
      <c r="K15" t="s">
        <v>19</v>
      </c>
      <c r="L15" t="s">
        <v>625</v>
      </c>
      <c r="M15" t="s">
        <v>27</v>
      </c>
      <c r="N15" t="s">
        <v>100</v>
      </c>
      <c r="O15" t="s">
        <v>627</v>
      </c>
    </row>
    <row r="16" spans="1:15" x14ac:dyDescent="0.25">
      <c r="A16" t="s">
        <v>430</v>
      </c>
      <c r="B16" t="s">
        <v>100</v>
      </c>
      <c r="C16" t="s">
        <v>621</v>
      </c>
      <c r="D16" t="s">
        <v>618</v>
      </c>
      <c r="E16" t="s">
        <v>622</v>
      </c>
      <c r="F16" s="213" t="s">
        <v>56</v>
      </c>
      <c r="G16" t="s">
        <v>66</v>
      </c>
      <c r="H16" t="s">
        <v>84</v>
      </c>
      <c r="I16" t="s">
        <v>623</v>
      </c>
      <c r="J16" t="s">
        <v>56</v>
      </c>
      <c r="K16" t="s">
        <v>15</v>
      </c>
      <c r="L16" t="s">
        <v>632</v>
      </c>
      <c r="M16" t="s">
        <v>27</v>
      </c>
      <c r="N16" t="s">
        <v>8</v>
      </c>
      <c r="O16" t="s">
        <v>635</v>
      </c>
    </row>
    <row r="17" spans="1:15" x14ac:dyDescent="0.25">
      <c r="A17" t="s">
        <v>431</v>
      </c>
      <c r="B17" t="s">
        <v>100</v>
      </c>
      <c r="C17" t="s">
        <v>621</v>
      </c>
      <c r="D17" t="s">
        <v>618</v>
      </c>
      <c r="E17" t="s">
        <v>622</v>
      </c>
      <c r="F17" s="213" t="s">
        <v>56</v>
      </c>
      <c r="G17" t="s">
        <v>66</v>
      </c>
      <c r="H17" t="s">
        <v>84</v>
      </c>
      <c r="I17" t="s">
        <v>623</v>
      </c>
      <c r="J17" t="s">
        <v>56</v>
      </c>
      <c r="K17" t="s">
        <v>27</v>
      </c>
      <c r="L17" t="s">
        <v>626</v>
      </c>
      <c r="M17" t="s">
        <v>25</v>
      </c>
      <c r="N17" t="s">
        <v>14</v>
      </c>
      <c r="O17" t="s">
        <v>642</v>
      </c>
    </row>
    <row r="18" spans="1:15" x14ac:dyDescent="0.25">
      <c r="A18" t="s">
        <v>432</v>
      </c>
      <c r="B18" t="s">
        <v>100</v>
      </c>
      <c r="C18" t="s">
        <v>621</v>
      </c>
      <c r="D18" t="s">
        <v>618</v>
      </c>
      <c r="E18" t="s">
        <v>622</v>
      </c>
      <c r="F18" s="213" t="s">
        <v>56</v>
      </c>
      <c r="G18" t="s">
        <v>66</v>
      </c>
      <c r="H18" t="s">
        <v>84</v>
      </c>
      <c r="I18" t="s">
        <v>623</v>
      </c>
      <c r="J18" t="s">
        <v>56</v>
      </c>
      <c r="K18" t="s">
        <v>25</v>
      </c>
      <c r="L18" t="s">
        <v>628</v>
      </c>
      <c r="M18" t="s">
        <v>25</v>
      </c>
      <c r="N18" t="s">
        <v>11</v>
      </c>
      <c r="O18" t="s">
        <v>643</v>
      </c>
    </row>
    <row r="19" spans="1:15" x14ac:dyDescent="0.25">
      <c r="A19" t="s">
        <v>433</v>
      </c>
      <c r="B19" t="s">
        <v>100</v>
      </c>
      <c r="C19" t="s">
        <v>621</v>
      </c>
      <c r="D19" t="s">
        <v>618</v>
      </c>
      <c r="E19" t="s">
        <v>622</v>
      </c>
      <c r="F19" s="213" t="s">
        <v>56</v>
      </c>
      <c r="G19" t="s">
        <v>66</v>
      </c>
      <c r="H19" t="s">
        <v>84</v>
      </c>
      <c r="I19" t="s">
        <v>623</v>
      </c>
      <c r="J19" t="s">
        <v>56</v>
      </c>
      <c r="K19" t="s">
        <v>22</v>
      </c>
      <c r="L19" t="s">
        <v>630</v>
      </c>
      <c r="M19" t="s">
        <v>25</v>
      </c>
      <c r="N19" t="s">
        <v>29</v>
      </c>
      <c r="O19" t="s">
        <v>624</v>
      </c>
    </row>
    <row r="20" spans="1:15" x14ac:dyDescent="0.25">
      <c r="A20" t="s">
        <v>434</v>
      </c>
      <c r="B20" t="s">
        <v>100</v>
      </c>
      <c r="C20" t="s">
        <v>621</v>
      </c>
      <c r="D20" t="s">
        <v>618</v>
      </c>
      <c r="E20" t="s">
        <v>622</v>
      </c>
      <c r="F20" s="213" t="s">
        <v>56</v>
      </c>
      <c r="G20" t="s">
        <v>66</v>
      </c>
      <c r="H20" t="s">
        <v>84</v>
      </c>
      <c r="I20" t="s">
        <v>623</v>
      </c>
      <c r="J20" t="s">
        <v>56</v>
      </c>
      <c r="K20" t="s">
        <v>19</v>
      </c>
      <c r="L20" t="s">
        <v>625</v>
      </c>
      <c r="M20" t="s">
        <v>25</v>
      </c>
      <c r="N20" t="s">
        <v>3</v>
      </c>
      <c r="O20" t="s">
        <v>644</v>
      </c>
    </row>
    <row r="21" spans="1:15" x14ac:dyDescent="0.25">
      <c r="A21" t="s">
        <v>435</v>
      </c>
      <c r="B21" t="s">
        <v>100</v>
      </c>
      <c r="C21" t="s">
        <v>621</v>
      </c>
      <c r="D21" t="s">
        <v>618</v>
      </c>
      <c r="E21" t="s">
        <v>622</v>
      </c>
      <c r="F21" s="213" t="s">
        <v>56</v>
      </c>
      <c r="G21" t="s">
        <v>66</v>
      </c>
      <c r="H21" t="s">
        <v>84</v>
      </c>
      <c r="I21" t="s">
        <v>623</v>
      </c>
      <c r="J21" t="s">
        <v>56</v>
      </c>
      <c r="K21" t="s">
        <v>15</v>
      </c>
      <c r="L21" t="s">
        <v>632</v>
      </c>
      <c r="M21" t="s">
        <v>25</v>
      </c>
      <c r="N21" t="s">
        <v>7</v>
      </c>
      <c r="O21" t="s">
        <v>645</v>
      </c>
    </row>
    <row r="22" spans="1:15" x14ac:dyDescent="0.25">
      <c r="A22" t="s">
        <v>436</v>
      </c>
      <c r="B22" t="s">
        <v>100</v>
      </c>
      <c r="C22" t="s">
        <v>621</v>
      </c>
      <c r="D22" t="s">
        <v>618</v>
      </c>
      <c r="E22" t="s">
        <v>622</v>
      </c>
      <c r="F22" s="213" t="s">
        <v>56</v>
      </c>
      <c r="G22" t="s">
        <v>66</v>
      </c>
      <c r="H22" t="s">
        <v>84</v>
      </c>
      <c r="I22" t="s">
        <v>623</v>
      </c>
      <c r="J22" t="s">
        <v>56</v>
      </c>
      <c r="K22" t="s">
        <v>12</v>
      </c>
      <c r="L22" t="s">
        <v>629</v>
      </c>
      <c r="M22" t="s">
        <v>25</v>
      </c>
      <c r="N22" t="s">
        <v>17</v>
      </c>
      <c r="O22" t="s">
        <v>623</v>
      </c>
    </row>
    <row r="23" spans="1:15" x14ac:dyDescent="0.25">
      <c r="A23" t="s">
        <v>437</v>
      </c>
      <c r="B23" t="s">
        <v>100</v>
      </c>
      <c r="C23" t="s">
        <v>621</v>
      </c>
      <c r="D23" t="s">
        <v>618</v>
      </c>
      <c r="E23" t="s">
        <v>622</v>
      </c>
      <c r="F23" s="213" t="s">
        <v>56</v>
      </c>
      <c r="G23" t="s">
        <v>66</v>
      </c>
      <c r="H23" t="s">
        <v>84</v>
      </c>
      <c r="I23" t="s">
        <v>623</v>
      </c>
      <c r="J23" t="s">
        <v>56</v>
      </c>
      <c r="K23" t="s">
        <v>27</v>
      </c>
      <c r="L23" t="s">
        <v>626</v>
      </c>
      <c r="M23" t="s">
        <v>21</v>
      </c>
      <c r="N23" t="s">
        <v>29</v>
      </c>
      <c r="O23" t="s">
        <v>641</v>
      </c>
    </row>
    <row r="24" spans="1:15" x14ac:dyDescent="0.25">
      <c r="A24" t="s">
        <v>438</v>
      </c>
      <c r="B24" t="s">
        <v>100</v>
      </c>
      <c r="C24" t="s">
        <v>621</v>
      </c>
      <c r="D24" t="s">
        <v>618</v>
      </c>
      <c r="E24" t="s">
        <v>622</v>
      </c>
      <c r="F24" s="213" t="s">
        <v>56</v>
      </c>
      <c r="G24" t="s">
        <v>66</v>
      </c>
      <c r="H24" t="s">
        <v>84</v>
      </c>
      <c r="I24" t="s">
        <v>623</v>
      </c>
      <c r="J24" t="s">
        <v>56</v>
      </c>
      <c r="K24" t="s">
        <v>25</v>
      </c>
      <c r="L24" t="s">
        <v>628</v>
      </c>
      <c r="M24" t="s">
        <v>21</v>
      </c>
      <c r="N24" t="s">
        <v>28</v>
      </c>
      <c r="O24" t="s">
        <v>646</v>
      </c>
    </row>
    <row r="25" spans="1:15" x14ac:dyDescent="0.25">
      <c r="A25" t="s">
        <v>439</v>
      </c>
      <c r="B25" t="s">
        <v>100</v>
      </c>
      <c r="C25" t="s">
        <v>621</v>
      </c>
      <c r="D25" t="s">
        <v>618</v>
      </c>
      <c r="E25" t="s">
        <v>622</v>
      </c>
      <c r="F25" s="213" t="s">
        <v>56</v>
      </c>
      <c r="G25" t="s">
        <v>66</v>
      </c>
      <c r="H25" t="s">
        <v>84</v>
      </c>
      <c r="I25" t="s">
        <v>623</v>
      </c>
      <c r="J25" t="s">
        <v>56</v>
      </c>
      <c r="K25" t="s">
        <v>22</v>
      </c>
      <c r="L25" t="s">
        <v>630</v>
      </c>
      <c r="M25" t="s">
        <v>21</v>
      </c>
      <c r="N25" t="s">
        <v>33</v>
      </c>
      <c r="O25" t="s">
        <v>40</v>
      </c>
    </row>
    <row r="26" spans="1:15" x14ac:dyDescent="0.25">
      <c r="A26" t="s">
        <v>440</v>
      </c>
      <c r="B26" t="s">
        <v>100</v>
      </c>
      <c r="C26" t="s">
        <v>621</v>
      </c>
      <c r="D26" t="s">
        <v>618</v>
      </c>
      <c r="E26" t="s">
        <v>622</v>
      </c>
      <c r="F26" s="213" t="s">
        <v>56</v>
      </c>
      <c r="G26" t="s">
        <v>66</v>
      </c>
      <c r="H26" t="s">
        <v>84</v>
      </c>
      <c r="I26" t="s">
        <v>623</v>
      </c>
      <c r="J26" t="s">
        <v>56</v>
      </c>
      <c r="K26" t="s">
        <v>19</v>
      </c>
      <c r="L26" t="s">
        <v>625</v>
      </c>
      <c r="M26" t="s">
        <v>21</v>
      </c>
      <c r="N26" t="s">
        <v>0</v>
      </c>
      <c r="O26" t="s">
        <v>647</v>
      </c>
    </row>
    <row r="27" spans="1:15" x14ac:dyDescent="0.25">
      <c r="A27" t="s">
        <v>648</v>
      </c>
      <c r="B27" t="s">
        <v>100</v>
      </c>
      <c r="C27" t="s">
        <v>621</v>
      </c>
      <c r="D27" t="s">
        <v>618</v>
      </c>
      <c r="E27" t="s">
        <v>622</v>
      </c>
      <c r="F27" s="213" t="s">
        <v>56</v>
      </c>
      <c r="G27" t="s">
        <v>66</v>
      </c>
      <c r="H27" t="s">
        <v>84</v>
      </c>
      <c r="I27" t="s">
        <v>623</v>
      </c>
      <c r="J27" t="s">
        <v>56</v>
      </c>
      <c r="K27" t="s">
        <v>15</v>
      </c>
      <c r="L27" t="s">
        <v>632</v>
      </c>
      <c r="M27" t="s">
        <v>21</v>
      </c>
      <c r="N27" t="s">
        <v>9</v>
      </c>
      <c r="O27" t="s">
        <v>639</v>
      </c>
    </row>
    <row r="28" spans="1:15" x14ac:dyDescent="0.25">
      <c r="A28" t="s">
        <v>649</v>
      </c>
      <c r="B28" t="s">
        <v>100</v>
      </c>
      <c r="C28" t="s">
        <v>621</v>
      </c>
      <c r="D28" t="s">
        <v>618</v>
      </c>
      <c r="E28" t="s">
        <v>622</v>
      </c>
      <c r="F28" s="213" t="s">
        <v>56</v>
      </c>
      <c r="G28" t="s">
        <v>66</v>
      </c>
      <c r="H28" t="s">
        <v>84</v>
      </c>
      <c r="I28" t="s">
        <v>623</v>
      </c>
      <c r="J28" t="s">
        <v>56</v>
      </c>
      <c r="K28" t="s">
        <v>27</v>
      </c>
      <c r="L28" t="s">
        <v>626</v>
      </c>
      <c r="M28" t="s">
        <v>24</v>
      </c>
      <c r="N28" t="s">
        <v>30</v>
      </c>
      <c r="O28" t="s">
        <v>650</v>
      </c>
    </row>
    <row r="29" spans="1:15" x14ac:dyDescent="0.25">
      <c r="A29" t="s">
        <v>651</v>
      </c>
      <c r="B29" t="s">
        <v>100</v>
      </c>
      <c r="C29" t="s">
        <v>621</v>
      </c>
      <c r="D29" t="s">
        <v>618</v>
      </c>
      <c r="E29" t="s">
        <v>622</v>
      </c>
      <c r="F29" s="213" t="s">
        <v>56</v>
      </c>
      <c r="G29" t="s">
        <v>66</v>
      </c>
      <c r="H29" t="s">
        <v>84</v>
      </c>
      <c r="I29" t="s">
        <v>623</v>
      </c>
      <c r="J29" t="s">
        <v>56</v>
      </c>
      <c r="K29" t="s">
        <v>25</v>
      </c>
      <c r="L29" t="s">
        <v>628</v>
      </c>
      <c r="M29" t="s">
        <v>24</v>
      </c>
      <c r="N29" t="s">
        <v>29</v>
      </c>
      <c r="O29" t="s">
        <v>652</v>
      </c>
    </row>
    <row r="30" spans="1:15" x14ac:dyDescent="0.25">
      <c r="A30" t="s">
        <v>653</v>
      </c>
      <c r="B30" t="s">
        <v>100</v>
      </c>
      <c r="C30" t="s">
        <v>621</v>
      </c>
      <c r="D30" t="s">
        <v>618</v>
      </c>
      <c r="E30" t="s">
        <v>622</v>
      </c>
      <c r="F30" s="213" t="s">
        <v>56</v>
      </c>
      <c r="G30" t="s">
        <v>66</v>
      </c>
      <c r="H30" t="s">
        <v>84</v>
      </c>
      <c r="I30" t="s">
        <v>623</v>
      </c>
      <c r="J30" t="s">
        <v>56</v>
      </c>
      <c r="K30" t="s">
        <v>22</v>
      </c>
      <c r="L30" t="s">
        <v>630</v>
      </c>
      <c r="M30" t="s">
        <v>24</v>
      </c>
      <c r="N30" t="s">
        <v>31</v>
      </c>
      <c r="O30" t="s">
        <v>654</v>
      </c>
    </row>
    <row r="31" spans="1:15" x14ac:dyDescent="0.25">
      <c r="A31" t="s">
        <v>655</v>
      </c>
      <c r="B31" t="s">
        <v>100</v>
      </c>
      <c r="C31" t="s">
        <v>621</v>
      </c>
      <c r="D31" t="s">
        <v>618</v>
      </c>
      <c r="E31" t="s">
        <v>622</v>
      </c>
      <c r="F31" s="213" t="s">
        <v>56</v>
      </c>
      <c r="G31" t="s">
        <v>66</v>
      </c>
      <c r="H31" t="s">
        <v>84</v>
      </c>
      <c r="I31" t="s">
        <v>623</v>
      </c>
      <c r="J31" t="s">
        <v>56</v>
      </c>
      <c r="K31" t="s">
        <v>19</v>
      </c>
      <c r="L31" t="s">
        <v>625</v>
      </c>
      <c r="M31" t="s">
        <v>24</v>
      </c>
      <c r="N31" t="s">
        <v>8</v>
      </c>
      <c r="O31" t="s">
        <v>656</v>
      </c>
    </row>
    <row r="32" spans="1:15" x14ac:dyDescent="0.25">
      <c r="A32" t="s">
        <v>657</v>
      </c>
      <c r="B32" t="s">
        <v>100</v>
      </c>
      <c r="C32" t="s">
        <v>621</v>
      </c>
      <c r="D32" t="s">
        <v>618</v>
      </c>
      <c r="E32" t="s">
        <v>622</v>
      </c>
      <c r="F32" s="213" t="s">
        <v>56</v>
      </c>
      <c r="G32" t="s">
        <v>66</v>
      </c>
      <c r="H32" t="s">
        <v>84</v>
      </c>
      <c r="I32" t="s">
        <v>623</v>
      </c>
      <c r="J32" t="s">
        <v>56</v>
      </c>
      <c r="K32" t="s">
        <v>15</v>
      </c>
      <c r="L32" t="s">
        <v>632</v>
      </c>
      <c r="M32" t="s">
        <v>24</v>
      </c>
      <c r="N32" t="s">
        <v>20</v>
      </c>
      <c r="O32" t="s">
        <v>625</v>
      </c>
    </row>
    <row r="33" spans="1:15" x14ac:dyDescent="0.25">
      <c r="A33" t="s">
        <v>658</v>
      </c>
      <c r="B33" t="s">
        <v>100</v>
      </c>
      <c r="C33" t="s">
        <v>621</v>
      </c>
      <c r="D33" t="s">
        <v>618</v>
      </c>
      <c r="E33" t="s">
        <v>622</v>
      </c>
      <c r="F33" s="213" t="s">
        <v>56</v>
      </c>
      <c r="G33" t="s">
        <v>66</v>
      </c>
      <c r="H33" t="s">
        <v>84</v>
      </c>
      <c r="I33" t="s">
        <v>623</v>
      </c>
      <c r="J33" t="s">
        <v>56</v>
      </c>
      <c r="K33" t="s">
        <v>27</v>
      </c>
      <c r="L33" t="s">
        <v>626</v>
      </c>
      <c r="M33" t="s">
        <v>33</v>
      </c>
      <c r="N33" t="s">
        <v>14</v>
      </c>
      <c r="O33" t="s">
        <v>630</v>
      </c>
    </row>
    <row r="34" spans="1:15" x14ac:dyDescent="0.25">
      <c r="A34" t="s">
        <v>659</v>
      </c>
      <c r="B34" t="s">
        <v>100</v>
      </c>
      <c r="C34" t="s">
        <v>621</v>
      </c>
      <c r="D34" t="s">
        <v>618</v>
      </c>
      <c r="E34" t="s">
        <v>622</v>
      </c>
      <c r="F34" s="213" t="s">
        <v>56</v>
      </c>
      <c r="G34" t="s">
        <v>66</v>
      </c>
      <c r="H34" t="s">
        <v>84</v>
      </c>
      <c r="I34" t="s">
        <v>623</v>
      </c>
      <c r="J34" t="s">
        <v>56</v>
      </c>
      <c r="K34" t="s">
        <v>25</v>
      </c>
      <c r="L34" t="s">
        <v>628</v>
      </c>
      <c r="M34" t="s">
        <v>33</v>
      </c>
      <c r="N34" t="s">
        <v>10</v>
      </c>
      <c r="O34" t="s">
        <v>625</v>
      </c>
    </row>
    <row r="35" spans="1:15" x14ac:dyDescent="0.25">
      <c r="A35" t="s">
        <v>660</v>
      </c>
      <c r="B35" t="s">
        <v>100</v>
      </c>
      <c r="C35" t="s">
        <v>621</v>
      </c>
      <c r="D35" t="s">
        <v>618</v>
      </c>
      <c r="E35" t="s">
        <v>622</v>
      </c>
      <c r="F35" s="213" t="s">
        <v>56</v>
      </c>
      <c r="G35" t="s">
        <v>66</v>
      </c>
      <c r="H35" t="s">
        <v>84</v>
      </c>
      <c r="I35" t="s">
        <v>623</v>
      </c>
      <c r="J35" t="s">
        <v>56</v>
      </c>
      <c r="K35" t="s">
        <v>22</v>
      </c>
      <c r="L35" t="s">
        <v>630</v>
      </c>
      <c r="M35" t="s">
        <v>33</v>
      </c>
      <c r="N35" t="s">
        <v>20</v>
      </c>
      <c r="O35" t="s">
        <v>631</v>
      </c>
    </row>
    <row r="36" spans="1:15" x14ac:dyDescent="0.25">
      <c r="A36" t="s">
        <v>661</v>
      </c>
      <c r="B36" t="s">
        <v>100</v>
      </c>
      <c r="C36" t="s">
        <v>621</v>
      </c>
      <c r="D36" t="s">
        <v>618</v>
      </c>
      <c r="E36" t="s">
        <v>622</v>
      </c>
      <c r="F36" s="213" t="s">
        <v>56</v>
      </c>
      <c r="G36" t="s">
        <v>66</v>
      </c>
      <c r="H36" t="s">
        <v>84</v>
      </c>
      <c r="I36" t="s">
        <v>623</v>
      </c>
      <c r="J36" t="s">
        <v>56</v>
      </c>
      <c r="K36" t="s">
        <v>19</v>
      </c>
      <c r="L36" t="s">
        <v>625</v>
      </c>
      <c r="M36" t="s">
        <v>33</v>
      </c>
      <c r="N36" t="s">
        <v>100</v>
      </c>
      <c r="O36" t="s">
        <v>662</v>
      </c>
    </row>
    <row r="37" spans="1:15" x14ac:dyDescent="0.25">
      <c r="A37" t="s">
        <v>663</v>
      </c>
      <c r="B37" t="s">
        <v>100</v>
      </c>
      <c r="C37" t="s">
        <v>621</v>
      </c>
      <c r="D37" t="s">
        <v>618</v>
      </c>
      <c r="E37" t="s">
        <v>622</v>
      </c>
      <c r="F37" s="213" t="s">
        <v>56</v>
      </c>
      <c r="G37" t="s">
        <v>66</v>
      </c>
      <c r="H37" t="s">
        <v>84</v>
      </c>
      <c r="I37" t="s">
        <v>623</v>
      </c>
      <c r="J37" t="s">
        <v>56</v>
      </c>
      <c r="K37" t="s">
        <v>15</v>
      </c>
      <c r="L37" t="s">
        <v>632</v>
      </c>
      <c r="M37" t="s">
        <v>33</v>
      </c>
      <c r="N37" t="s">
        <v>7</v>
      </c>
      <c r="O37" t="s">
        <v>642</v>
      </c>
    </row>
    <row r="38" spans="1:15" x14ac:dyDescent="0.25">
      <c r="A38" t="s">
        <v>664</v>
      </c>
      <c r="B38" t="s">
        <v>100</v>
      </c>
      <c r="C38" t="s">
        <v>621</v>
      </c>
      <c r="D38" t="s">
        <v>618</v>
      </c>
      <c r="E38" t="s">
        <v>622</v>
      </c>
      <c r="F38" s="213" t="s">
        <v>56</v>
      </c>
      <c r="G38" t="s">
        <v>66</v>
      </c>
      <c r="H38" t="s">
        <v>84</v>
      </c>
      <c r="I38" t="s">
        <v>623</v>
      </c>
      <c r="J38" t="s">
        <v>56</v>
      </c>
      <c r="K38" t="s">
        <v>27</v>
      </c>
      <c r="L38" t="s">
        <v>626</v>
      </c>
      <c r="M38" t="s">
        <v>1</v>
      </c>
      <c r="N38" t="s">
        <v>54</v>
      </c>
      <c r="O38" t="s">
        <v>665</v>
      </c>
    </row>
    <row r="39" spans="1:15" x14ac:dyDescent="0.25">
      <c r="A39" t="s">
        <v>666</v>
      </c>
      <c r="B39" t="s">
        <v>100</v>
      </c>
      <c r="C39" t="s">
        <v>621</v>
      </c>
      <c r="D39" t="s">
        <v>618</v>
      </c>
      <c r="E39" t="s">
        <v>622</v>
      </c>
      <c r="F39" s="213" t="s">
        <v>56</v>
      </c>
      <c r="G39" t="s">
        <v>66</v>
      </c>
      <c r="H39" t="s">
        <v>84</v>
      </c>
      <c r="I39" t="s">
        <v>623</v>
      </c>
      <c r="J39" t="s">
        <v>56</v>
      </c>
      <c r="K39" t="s">
        <v>25</v>
      </c>
      <c r="L39" t="s">
        <v>628</v>
      </c>
      <c r="M39" t="s">
        <v>1</v>
      </c>
      <c r="N39" t="s">
        <v>18</v>
      </c>
      <c r="O39" t="s">
        <v>667</v>
      </c>
    </row>
    <row r="40" spans="1:15" x14ac:dyDescent="0.25">
      <c r="A40" t="s">
        <v>668</v>
      </c>
      <c r="B40" t="s">
        <v>100</v>
      </c>
      <c r="C40" t="s">
        <v>621</v>
      </c>
      <c r="D40" t="s">
        <v>618</v>
      </c>
      <c r="E40" t="s">
        <v>622</v>
      </c>
      <c r="F40" s="213" t="s">
        <v>56</v>
      </c>
      <c r="G40" t="s">
        <v>66</v>
      </c>
      <c r="H40" t="s">
        <v>84</v>
      </c>
      <c r="I40" t="s">
        <v>623</v>
      </c>
      <c r="J40" t="s">
        <v>56</v>
      </c>
      <c r="K40" t="s">
        <v>22</v>
      </c>
      <c r="L40" t="s">
        <v>630</v>
      </c>
      <c r="M40" t="s">
        <v>1</v>
      </c>
      <c r="N40" t="s">
        <v>69</v>
      </c>
      <c r="O40" t="s">
        <v>45</v>
      </c>
    </row>
    <row r="41" spans="1:15" x14ac:dyDescent="0.25">
      <c r="A41" t="s">
        <v>669</v>
      </c>
      <c r="B41" t="s">
        <v>100</v>
      </c>
      <c r="C41" t="s">
        <v>621</v>
      </c>
      <c r="D41" t="s">
        <v>618</v>
      </c>
      <c r="E41" t="s">
        <v>622</v>
      </c>
      <c r="F41" s="213" t="s">
        <v>56</v>
      </c>
      <c r="G41" t="s">
        <v>66</v>
      </c>
      <c r="H41" t="s">
        <v>84</v>
      </c>
      <c r="I41" t="s">
        <v>623</v>
      </c>
      <c r="J41" t="s">
        <v>56</v>
      </c>
      <c r="K41" t="s">
        <v>19</v>
      </c>
      <c r="L41" t="s">
        <v>625</v>
      </c>
      <c r="M41" t="s">
        <v>1</v>
      </c>
      <c r="N41" t="s">
        <v>71</v>
      </c>
      <c r="O41" t="s">
        <v>49</v>
      </c>
    </row>
    <row r="42" spans="1:15" x14ac:dyDescent="0.25">
      <c r="A42" t="s">
        <v>670</v>
      </c>
      <c r="B42" t="s">
        <v>100</v>
      </c>
      <c r="C42" t="s">
        <v>621</v>
      </c>
      <c r="D42" t="s">
        <v>618</v>
      </c>
      <c r="E42" t="s">
        <v>622</v>
      </c>
      <c r="F42" s="213" t="s">
        <v>56</v>
      </c>
      <c r="G42" t="s">
        <v>66</v>
      </c>
      <c r="H42" t="s">
        <v>84</v>
      </c>
      <c r="I42" t="s">
        <v>623</v>
      </c>
      <c r="J42" t="s">
        <v>56</v>
      </c>
      <c r="K42" t="s">
        <v>15</v>
      </c>
      <c r="L42" t="s">
        <v>632</v>
      </c>
      <c r="M42" t="s">
        <v>1</v>
      </c>
      <c r="N42" t="s">
        <v>67</v>
      </c>
      <c r="O42" t="s">
        <v>41</v>
      </c>
    </row>
    <row r="43" spans="1:15" x14ac:dyDescent="0.25">
      <c r="A43" t="s">
        <v>671</v>
      </c>
      <c r="B43" t="s">
        <v>100</v>
      </c>
      <c r="C43" t="s">
        <v>621</v>
      </c>
      <c r="D43" t="s">
        <v>618</v>
      </c>
      <c r="E43" t="s">
        <v>622</v>
      </c>
      <c r="F43" s="213" t="s">
        <v>56</v>
      </c>
      <c r="G43" t="s">
        <v>66</v>
      </c>
      <c r="H43" t="s">
        <v>84</v>
      </c>
      <c r="I43" t="s">
        <v>623</v>
      </c>
      <c r="J43" t="s">
        <v>56</v>
      </c>
      <c r="K43" t="s">
        <v>12</v>
      </c>
      <c r="L43" t="s">
        <v>629</v>
      </c>
      <c r="M43" t="s">
        <v>1</v>
      </c>
      <c r="N43" t="s">
        <v>16</v>
      </c>
      <c r="O43" t="s">
        <v>672</v>
      </c>
    </row>
    <row r="44" spans="1:15" x14ac:dyDescent="0.25">
      <c r="A44" t="s">
        <v>673</v>
      </c>
      <c r="B44" t="s">
        <v>100</v>
      </c>
      <c r="C44" t="s">
        <v>621</v>
      </c>
      <c r="D44" t="s">
        <v>618</v>
      </c>
      <c r="E44" t="s">
        <v>622</v>
      </c>
      <c r="F44" s="213" t="s">
        <v>56</v>
      </c>
      <c r="G44" t="s">
        <v>66</v>
      </c>
      <c r="H44" t="s">
        <v>84</v>
      </c>
      <c r="I44" t="s">
        <v>623</v>
      </c>
      <c r="J44" t="s">
        <v>56</v>
      </c>
      <c r="K44" t="s">
        <v>10</v>
      </c>
      <c r="L44" t="s">
        <v>635</v>
      </c>
      <c r="M44" t="s">
        <v>1</v>
      </c>
      <c r="N44" t="s">
        <v>30</v>
      </c>
      <c r="O44" t="s">
        <v>674</v>
      </c>
    </row>
    <row r="45" spans="1:15" x14ac:dyDescent="0.25">
      <c r="A45" t="s">
        <v>675</v>
      </c>
      <c r="B45" t="s">
        <v>100</v>
      </c>
      <c r="C45" t="s">
        <v>621</v>
      </c>
      <c r="D45" t="s">
        <v>618</v>
      </c>
      <c r="E45" t="s">
        <v>622</v>
      </c>
      <c r="F45" s="213" t="s">
        <v>56</v>
      </c>
      <c r="G45" t="s">
        <v>66</v>
      </c>
      <c r="H45" t="s">
        <v>84</v>
      </c>
      <c r="I45" t="s">
        <v>623</v>
      </c>
      <c r="J45" t="s">
        <v>56</v>
      </c>
      <c r="K45" t="s">
        <v>8</v>
      </c>
      <c r="L45" t="s">
        <v>637</v>
      </c>
      <c r="M45" t="s">
        <v>1</v>
      </c>
      <c r="N45" t="s">
        <v>29</v>
      </c>
      <c r="O45" t="s">
        <v>662</v>
      </c>
    </row>
    <row r="46" spans="1:15" x14ac:dyDescent="0.25">
      <c r="A46" t="s">
        <v>676</v>
      </c>
      <c r="B46" t="s">
        <v>100</v>
      </c>
      <c r="C46" t="s">
        <v>621</v>
      </c>
      <c r="D46" t="s">
        <v>618</v>
      </c>
      <c r="E46" t="s">
        <v>622</v>
      </c>
      <c r="F46" s="213" t="s">
        <v>56</v>
      </c>
      <c r="G46" t="s">
        <v>66</v>
      </c>
      <c r="H46" t="s">
        <v>84</v>
      </c>
      <c r="I46" t="s">
        <v>623</v>
      </c>
      <c r="J46" t="s">
        <v>56</v>
      </c>
      <c r="K46" t="s">
        <v>6</v>
      </c>
      <c r="L46" t="s">
        <v>639</v>
      </c>
      <c r="M46" t="s">
        <v>1</v>
      </c>
      <c r="N46" t="s">
        <v>10</v>
      </c>
      <c r="O46" t="s">
        <v>677</v>
      </c>
    </row>
    <row r="47" spans="1:15" x14ac:dyDescent="0.25">
      <c r="A47" t="s">
        <v>678</v>
      </c>
      <c r="B47" t="s">
        <v>100</v>
      </c>
      <c r="C47" t="s">
        <v>621</v>
      </c>
      <c r="D47" t="s">
        <v>618</v>
      </c>
      <c r="E47" t="s">
        <v>622</v>
      </c>
      <c r="F47" s="213" t="s">
        <v>56</v>
      </c>
      <c r="G47" t="s">
        <v>66</v>
      </c>
      <c r="H47" t="s">
        <v>84</v>
      </c>
      <c r="I47" t="s">
        <v>623</v>
      </c>
      <c r="J47" t="s">
        <v>56</v>
      </c>
      <c r="K47" t="s">
        <v>27</v>
      </c>
      <c r="L47" t="s">
        <v>626</v>
      </c>
      <c r="M47" t="s">
        <v>32</v>
      </c>
      <c r="N47" t="s">
        <v>13</v>
      </c>
      <c r="O47" t="s">
        <v>665</v>
      </c>
    </row>
    <row r="48" spans="1:15" x14ac:dyDescent="0.25">
      <c r="A48" t="s">
        <v>679</v>
      </c>
      <c r="B48" t="s">
        <v>100</v>
      </c>
      <c r="C48" t="s">
        <v>621</v>
      </c>
      <c r="D48" t="s">
        <v>618</v>
      </c>
      <c r="E48" t="s">
        <v>622</v>
      </c>
      <c r="F48" s="213" t="s">
        <v>56</v>
      </c>
      <c r="G48" t="s">
        <v>66</v>
      </c>
      <c r="H48" t="s">
        <v>84</v>
      </c>
      <c r="I48" t="s">
        <v>623</v>
      </c>
      <c r="J48" t="s">
        <v>56</v>
      </c>
      <c r="K48" t="s">
        <v>25</v>
      </c>
      <c r="L48" t="s">
        <v>628</v>
      </c>
      <c r="M48" t="s">
        <v>32</v>
      </c>
      <c r="N48" t="s">
        <v>22</v>
      </c>
      <c r="O48" t="s">
        <v>680</v>
      </c>
    </row>
    <row r="49" spans="1:15" x14ac:dyDescent="0.25">
      <c r="A49" t="s">
        <v>681</v>
      </c>
      <c r="B49" t="s">
        <v>100</v>
      </c>
      <c r="C49" t="s">
        <v>621</v>
      </c>
      <c r="D49" t="s">
        <v>618</v>
      </c>
      <c r="E49" t="s">
        <v>622</v>
      </c>
      <c r="F49" s="213" t="s">
        <v>56</v>
      </c>
      <c r="G49" t="s">
        <v>66</v>
      </c>
      <c r="H49" t="s">
        <v>84</v>
      </c>
      <c r="I49" t="s">
        <v>623</v>
      </c>
      <c r="J49" t="s">
        <v>56</v>
      </c>
      <c r="K49" t="s">
        <v>22</v>
      </c>
      <c r="L49" t="s">
        <v>630</v>
      </c>
      <c r="M49" t="s">
        <v>32</v>
      </c>
      <c r="N49" t="s">
        <v>18</v>
      </c>
      <c r="O49" t="s">
        <v>682</v>
      </c>
    </row>
    <row r="50" spans="1:15" x14ac:dyDescent="0.25">
      <c r="A50" t="s">
        <v>683</v>
      </c>
      <c r="B50" t="s">
        <v>100</v>
      </c>
      <c r="C50" t="s">
        <v>621</v>
      </c>
      <c r="D50" t="s">
        <v>618</v>
      </c>
      <c r="E50" t="s">
        <v>622</v>
      </c>
      <c r="F50" s="213" t="s">
        <v>56</v>
      </c>
      <c r="G50" t="s">
        <v>66</v>
      </c>
      <c r="H50" t="s">
        <v>84</v>
      </c>
      <c r="I50" t="s">
        <v>623</v>
      </c>
      <c r="J50" t="s">
        <v>56</v>
      </c>
      <c r="K50" t="s">
        <v>19</v>
      </c>
      <c r="L50" t="s">
        <v>625</v>
      </c>
      <c r="M50" t="s">
        <v>32</v>
      </c>
      <c r="N50" t="s">
        <v>11</v>
      </c>
      <c r="O50" t="s">
        <v>625</v>
      </c>
    </row>
    <row r="51" spans="1:15" x14ac:dyDescent="0.25">
      <c r="A51" t="s">
        <v>684</v>
      </c>
      <c r="B51" t="s">
        <v>100</v>
      </c>
      <c r="C51" t="s">
        <v>621</v>
      </c>
      <c r="D51" t="s">
        <v>618</v>
      </c>
      <c r="E51" t="s">
        <v>622</v>
      </c>
      <c r="F51" s="213" t="s">
        <v>56</v>
      </c>
      <c r="G51" t="s">
        <v>66</v>
      </c>
      <c r="H51" t="s">
        <v>84</v>
      </c>
      <c r="I51" t="s">
        <v>623</v>
      </c>
      <c r="J51" t="s">
        <v>56</v>
      </c>
      <c r="K51" t="s">
        <v>15</v>
      </c>
      <c r="L51" t="s">
        <v>632</v>
      </c>
      <c r="M51" t="s">
        <v>32</v>
      </c>
      <c r="N51" t="s">
        <v>4</v>
      </c>
      <c r="O51" t="s">
        <v>685</v>
      </c>
    </row>
    <row r="52" spans="1:15" x14ac:dyDescent="0.25">
      <c r="A52" t="s">
        <v>686</v>
      </c>
      <c r="B52" t="s">
        <v>100</v>
      </c>
      <c r="C52" t="s">
        <v>621</v>
      </c>
      <c r="D52" t="s">
        <v>618</v>
      </c>
      <c r="E52" t="s">
        <v>622</v>
      </c>
      <c r="F52" s="213" t="s">
        <v>56</v>
      </c>
      <c r="G52" t="s">
        <v>66</v>
      </c>
      <c r="H52" t="s">
        <v>84</v>
      </c>
      <c r="I52" t="s">
        <v>623</v>
      </c>
      <c r="J52" t="s">
        <v>56</v>
      </c>
      <c r="K52" t="s">
        <v>27</v>
      </c>
      <c r="L52" t="s">
        <v>626</v>
      </c>
      <c r="M52" t="s">
        <v>28</v>
      </c>
      <c r="N52" t="s">
        <v>24</v>
      </c>
      <c r="O52" t="s">
        <v>687</v>
      </c>
    </row>
    <row r="53" spans="1:15" x14ac:dyDescent="0.25">
      <c r="A53" t="s">
        <v>688</v>
      </c>
      <c r="B53" t="s">
        <v>100</v>
      </c>
      <c r="C53" t="s">
        <v>621</v>
      </c>
      <c r="D53" t="s">
        <v>618</v>
      </c>
      <c r="E53" t="s">
        <v>622</v>
      </c>
      <c r="F53" s="213" t="s">
        <v>56</v>
      </c>
      <c r="G53" t="s">
        <v>66</v>
      </c>
      <c r="H53" t="s">
        <v>84</v>
      </c>
      <c r="I53" t="s">
        <v>623</v>
      </c>
      <c r="J53" t="s">
        <v>56</v>
      </c>
      <c r="K53" t="s">
        <v>25</v>
      </c>
      <c r="L53" t="s">
        <v>628</v>
      </c>
      <c r="M53" t="s">
        <v>28</v>
      </c>
      <c r="N53" t="s">
        <v>26</v>
      </c>
      <c r="O53" t="s">
        <v>654</v>
      </c>
    </row>
    <row r="54" spans="1:15" x14ac:dyDescent="0.25">
      <c r="A54" t="s">
        <v>689</v>
      </c>
      <c r="B54" t="s">
        <v>100</v>
      </c>
      <c r="C54" t="s">
        <v>621</v>
      </c>
      <c r="D54" t="s">
        <v>618</v>
      </c>
      <c r="E54" t="s">
        <v>622</v>
      </c>
      <c r="F54" s="213" t="s">
        <v>56</v>
      </c>
      <c r="G54" t="s">
        <v>66</v>
      </c>
      <c r="H54" t="s">
        <v>84</v>
      </c>
      <c r="I54" t="s">
        <v>623</v>
      </c>
      <c r="J54" t="s">
        <v>56</v>
      </c>
      <c r="K54" t="s">
        <v>22</v>
      </c>
      <c r="L54" t="s">
        <v>630</v>
      </c>
      <c r="M54" t="s">
        <v>28</v>
      </c>
      <c r="N54" t="s">
        <v>2</v>
      </c>
      <c r="O54" t="s">
        <v>674</v>
      </c>
    </row>
    <row r="55" spans="1:15" x14ac:dyDescent="0.25">
      <c r="A55" t="s">
        <v>690</v>
      </c>
      <c r="B55" t="s">
        <v>100</v>
      </c>
      <c r="C55" t="s">
        <v>621</v>
      </c>
      <c r="D55" t="s">
        <v>618</v>
      </c>
      <c r="E55" t="s">
        <v>622</v>
      </c>
      <c r="F55" s="213" t="s">
        <v>56</v>
      </c>
      <c r="G55" t="s">
        <v>66</v>
      </c>
      <c r="H55" t="s">
        <v>84</v>
      </c>
      <c r="I55" t="s">
        <v>623</v>
      </c>
      <c r="J55" t="s">
        <v>56</v>
      </c>
      <c r="K55" t="s">
        <v>19</v>
      </c>
      <c r="L55" t="s">
        <v>625</v>
      </c>
      <c r="M55" t="s">
        <v>28</v>
      </c>
      <c r="N55" t="s">
        <v>25</v>
      </c>
      <c r="O55" t="s">
        <v>34</v>
      </c>
    </row>
    <row r="56" spans="1:15" x14ac:dyDescent="0.25">
      <c r="A56" t="s">
        <v>691</v>
      </c>
      <c r="B56" t="s">
        <v>100</v>
      </c>
      <c r="C56" t="s">
        <v>621</v>
      </c>
      <c r="D56" t="s">
        <v>618</v>
      </c>
      <c r="E56" t="s">
        <v>622</v>
      </c>
      <c r="F56" s="213" t="s">
        <v>56</v>
      </c>
      <c r="G56" t="s">
        <v>66</v>
      </c>
      <c r="H56" t="s">
        <v>84</v>
      </c>
      <c r="I56" t="s">
        <v>623</v>
      </c>
      <c r="J56" t="s">
        <v>56</v>
      </c>
      <c r="K56" t="s">
        <v>15</v>
      </c>
      <c r="L56" t="s">
        <v>632</v>
      </c>
      <c r="M56" t="s">
        <v>28</v>
      </c>
      <c r="N56" t="s">
        <v>4</v>
      </c>
      <c r="O56" t="s">
        <v>645</v>
      </c>
    </row>
    <row r="57" spans="1:15" x14ac:dyDescent="0.25">
      <c r="A57" t="s">
        <v>692</v>
      </c>
      <c r="B57" t="s">
        <v>100</v>
      </c>
      <c r="C57" t="s">
        <v>621</v>
      </c>
      <c r="D57" t="s">
        <v>618</v>
      </c>
      <c r="E57" t="s">
        <v>622</v>
      </c>
      <c r="F57" s="213" t="s">
        <v>56</v>
      </c>
      <c r="G57" t="s">
        <v>66</v>
      </c>
      <c r="H57" t="s">
        <v>84</v>
      </c>
      <c r="I57" t="s">
        <v>623</v>
      </c>
      <c r="J57" t="s">
        <v>56</v>
      </c>
      <c r="K57" t="s">
        <v>27</v>
      </c>
      <c r="L57" t="s">
        <v>626</v>
      </c>
      <c r="M57" t="s">
        <v>0</v>
      </c>
      <c r="N57" t="s">
        <v>28</v>
      </c>
      <c r="O57" t="s">
        <v>693</v>
      </c>
    </row>
    <row r="58" spans="1:15" x14ac:dyDescent="0.25">
      <c r="A58" t="s">
        <v>694</v>
      </c>
      <c r="B58" t="s">
        <v>100</v>
      </c>
      <c r="C58" t="s">
        <v>621</v>
      </c>
      <c r="D58" t="s">
        <v>618</v>
      </c>
      <c r="E58" t="s">
        <v>622</v>
      </c>
      <c r="F58" s="213" t="s">
        <v>56</v>
      </c>
      <c r="G58" t="s">
        <v>66</v>
      </c>
      <c r="H58" t="s">
        <v>84</v>
      </c>
      <c r="I58" t="s">
        <v>623</v>
      </c>
      <c r="J58" t="s">
        <v>56</v>
      </c>
      <c r="K58" t="s">
        <v>25</v>
      </c>
      <c r="L58" t="s">
        <v>628</v>
      </c>
      <c r="M58" t="s">
        <v>0</v>
      </c>
      <c r="N58" t="s">
        <v>42</v>
      </c>
      <c r="O58" t="s">
        <v>695</v>
      </c>
    </row>
    <row r="59" spans="1:15" x14ac:dyDescent="0.25">
      <c r="A59" t="s">
        <v>696</v>
      </c>
      <c r="B59" t="s">
        <v>100</v>
      </c>
      <c r="C59" t="s">
        <v>621</v>
      </c>
      <c r="D59" t="s">
        <v>618</v>
      </c>
      <c r="E59" t="s">
        <v>622</v>
      </c>
      <c r="F59" s="213" t="s">
        <v>56</v>
      </c>
      <c r="G59" t="s">
        <v>66</v>
      </c>
      <c r="H59" t="s">
        <v>84</v>
      </c>
      <c r="I59" t="s">
        <v>623</v>
      </c>
      <c r="J59" t="s">
        <v>56</v>
      </c>
      <c r="K59" t="s">
        <v>22</v>
      </c>
      <c r="L59" t="s">
        <v>630</v>
      </c>
      <c r="M59" t="s">
        <v>0</v>
      </c>
      <c r="N59" t="s">
        <v>69</v>
      </c>
      <c r="O59" t="s">
        <v>43</v>
      </c>
    </row>
    <row r="60" spans="1:15" x14ac:dyDescent="0.25">
      <c r="A60" t="s">
        <v>697</v>
      </c>
      <c r="B60" t="s">
        <v>100</v>
      </c>
      <c r="C60" t="s">
        <v>621</v>
      </c>
      <c r="D60" t="s">
        <v>618</v>
      </c>
      <c r="E60" t="s">
        <v>622</v>
      </c>
      <c r="F60" s="213" t="s">
        <v>56</v>
      </c>
      <c r="G60" t="s">
        <v>66</v>
      </c>
      <c r="H60" t="s">
        <v>84</v>
      </c>
      <c r="I60" t="s">
        <v>623</v>
      </c>
      <c r="J60" t="s">
        <v>56</v>
      </c>
      <c r="K60" t="s">
        <v>19</v>
      </c>
      <c r="L60" t="s">
        <v>625</v>
      </c>
      <c r="M60" t="s">
        <v>0</v>
      </c>
      <c r="N60" t="s">
        <v>67</v>
      </c>
      <c r="O60" t="s">
        <v>698</v>
      </c>
    </row>
    <row r="61" spans="1:15" x14ac:dyDescent="0.25">
      <c r="A61" t="s">
        <v>699</v>
      </c>
      <c r="B61" t="s">
        <v>100</v>
      </c>
      <c r="C61" t="s">
        <v>621</v>
      </c>
      <c r="D61" t="s">
        <v>618</v>
      </c>
      <c r="E61" t="s">
        <v>622</v>
      </c>
      <c r="F61" s="213" t="s">
        <v>56</v>
      </c>
      <c r="G61" t="s">
        <v>66</v>
      </c>
      <c r="H61" t="s">
        <v>84</v>
      </c>
      <c r="I61" t="s">
        <v>623</v>
      </c>
      <c r="J61" t="s">
        <v>56</v>
      </c>
      <c r="K61" t="s">
        <v>15</v>
      </c>
      <c r="L61" t="s">
        <v>632</v>
      </c>
      <c r="M61" t="s">
        <v>0</v>
      </c>
      <c r="N61" t="s">
        <v>32</v>
      </c>
      <c r="O61" t="s">
        <v>674</v>
      </c>
    </row>
    <row r="62" spans="1:15" x14ac:dyDescent="0.25">
      <c r="A62" t="s">
        <v>700</v>
      </c>
      <c r="B62" t="s">
        <v>100</v>
      </c>
      <c r="C62" t="s">
        <v>621</v>
      </c>
      <c r="D62" t="s">
        <v>618</v>
      </c>
      <c r="E62" t="s">
        <v>622</v>
      </c>
      <c r="F62" s="213" t="s">
        <v>56</v>
      </c>
      <c r="G62" t="s">
        <v>66</v>
      </c>
      <c r="H62" t="s">
        <v>84</v>
      </c>
      <c r="I62" t="s">
        <v>623</v>
      </c>
      <c r="J62" t="s">
        <v>56</v>
      </c>
      <c r="K62" t="s">
        <v>12</v>
      </c>
      <c r="L62" t="s">
        <v>629</v>
      </c>
      <c r="M62" t="s">
        <v>0</v>
      </c>
      <c r="N62" t="s">
        <v>8</v>
      </c>
      <c r="O62" t="s">
        <v>701</v>
      </c>
    </row>
    <row r="63" spans="1:15" x14ac:dyDescent="0.25">
      <c r="A63" t="s">
        <v>702</v>
      </c>
      <c r="B63" t="s">
        <v>100</v>
      </c>
      <c r="C63" t="s">
        <v>621</v>
      </c>
      <c r="D63" t="s">
        <v>618</v>
      </c>
      <c r="E63" t="s">
        <v>622</v>
      </c>
      <c r="F63" s="213" t="s">
        <v>56</v>
      </c>
      <c r="G63" t="s">
        <v>66</v>
      </c>
      <c r="H63" t="s">
        <v>84</v>
      </c>
      <c r="I63" t="s">
        <v>623</v>
      </c>
      <c r="J63" t="s">
        <v>56</v>
      </c>
      <c r="K63" t="s">
        <v>10</v>
      </c>
      <c r="L63" t="s">
        <v>635</v>
      </c>
      <c r="M63" t="s">
        <v>0</v>
      </c>
      <c r="N63" t="s">
        <v>61</v>
      </c>
      <c r="O63" t="s">
        <v>624</v>
      </c>
    </row>
    <row r="64" spans="1:15" x14ac:dyDescent="0.25">
      <c r="A64" t="s">
        <v>703</v>
      </c>
      <c r="B64" t="s">
        <v>100</v>
      </c>
      <c r="C64" t="s">
        <v>621</v>
      </c>
      <c r="D64" t="s">
        <v>618</v>
      </c>
      <c r="E64" t="s">
        <v>622</v>
      </c>
      <c r="F64" s="213" t="s">
        <v>56</v>
      </c>
      <c r="G64" t="s">
        <v>66</v>
      </c>
      <c r="H64" t="s">
        <v>84</v>
      </c>
      <c r="I64" t="s">
        <v>623</v>
      </c>
      <c r="J64" t="s">
        <v>56</v>
      </c>
      <c r="K64" t="s">
        <v>8</v>
      </c>
      <c r="L64" t="s">
        <v>637</v>
      </c>
      <c r="M64" t="s">
        <v>0</v>
      </c>
      <c r="N64" t="s">
        <v>64</v>
      </c>
      <c r="O64" t="s">
        <v>101</v>
      </c>
    </row>
    <row r="65" spans="1:15" x14ac:dyDescent="0.25">
      <c r="A65" t="s">
        <v>704</v>
      </c>
      <c r="B65" t="s">
        <v>100</v>
      </c>
      <c r="C65" t="s">
        <v>621</v>
      </c>
      <c r="D65" t="s">
        <v>618</v>
      </c>
      <c r="E65" t="s">
        <v>622</v>
      </c>
      <c r="F65" s="213" t="s">
        <v>56</v>
      </c>
      <c r="G65" t="s">
        <v>66</v>
      </c>
      <c r="H65" t="s">
        <v>84</v>
      </c>
      <c r="I65" t="s">
        <v>623</v>
      </c>
      <c r="J65" t="s">
        <v>56</v>
      </c>
      <c r="K65" t="s">
        <v>6</v>
      </c>
      <c r="L65" t="s">
        <v>639</v>
      </c>
      <c r="M65" t="s">
        <v>0</v>
      </c>
      <c r="N65" t="s">
        <v>10</v>
      </c>
      <c r="O65" t="s">
        <v>705</v>
      </c>
    </row>
    <row r="66" spans="1:15" x14ac:dyDescent="0.25">
      <c r="A66" t="s">
        <v>706</v>
      </c>
      <c r="B66" t="s">
        <v>100</v>
      </c>
      <c r="C66" t="s">
        <v>621</v>
      </c>
      <c r="D66" t="s">
        <v>618</v>
      </c>
      <c r="E66" t="s">
        <v>622</v>
      </c>
      <c r="F66" s="213" t="s">
        <v>56</v>
      </c>
      <c r="G66" t="s">
        <v>66</v>
      </c>
      <c r="H66" t="s">
        <v>84</v>
      </c>
      <c r="I66" t="s">
        <v>623</v>
      </c>
      <c r="J66" t="s">
        <v>56</v>
      </c>
      <c r="K66" t="s">
        <v>27</v>
      </c>
      <c r="L66" t="s">
        <v>626</v>
      </c>
      <c r="M66" t="s">
        <v>61</v>
      </c>
      <c r="N66" t="s">
        <v>2</v>
      </c>
      <c r="O66" t="s">
        <v>17</v>
      </c>
    </row>
    <row r="67" spans="1:15" x14ac:dyDescent="0.25">
      <c r="A67" t="s">
        <v>707</v>
      </c>
      <c r="B67" t="s">
        <v>100</v>
      </c>
      <c r="C67" t="s">
        <v>621</v>
      </c>
      <c r="D67" t="s">
        <v>618</v>
      </c>
      <c r="E67" t="s">
        <v>622</v>
      </c>
      <c r="F67" s="213" t="s">
        <v>56</v>
      </c>
      <c r="G67" t="s">
        <v>66</v>
      </c>
      <c r="H67" t="s">
        <v>84</v>
      </c>
      <c r="I67" t="s">
        <v>623</v>
      </c>
      <c r="J67" t="s">
        <v>56</v>
      </c>
      <c r="K67" t="s">
        <v>27</v>
      </c>
      <c r="L67" t="s">
        <v>626</v>
      </c>
      <c r="M67" t="s">
        <v>10</v>
      </c>
      <c r="N67" t="s">
        <v>16</v>
      </c>
      <c r="O67" t="s">
        <v>674</v>
      </c>
    </row>
    <row r="68" spans="1:15" x14ac:dyDescent="0.25">
      <c r="A68" t="s">
        <v>708</v>
      </c>
      <c r="B68" t="s">
        <v>100</v>
      </c>
      <c r="C68" t="s">
        <v>621</v>
      </c>
      <c r="D68" t="s">
        <v>618</v>
      </c>
      <c r="E68" t="s">
        <v>622</v>
      </c>
      <c r="F68" s="213" t="s">
        <v>56</v>
      </c>
      <c r="G68" t="s">
        <v>66</v>
      </c>
      <c r="H68" t="s">
        <v>84</v>
      </c>
      <c r="I68" t="s">
        <v>623</v>
      </c>
      <c r="J68" t="s">
        <v>56</v>
      </c>
      <c r="K68" t="s">
        <v>25</v>
      </c>
      <c r="L68" t="s">
        <v>628</v>
      </c>
      <c r="M68" t="s">
        <v>10</v>
      </c>
      <c r="N68" t="s">
        <v>12</v>
      </c>
      <c r="O68" t="s">
        <v>627</v>
      </c>
    </row>
    <row r="69" spans="1:15" x14ac:dyDescent="0.25">
      <c r="A69" t="s">
        <v>709</v>
      </c>
      <c r="B69" t="s">
        <v>100</v>
      </c>
      <c r="C69" t="s">
        <v>621</v>
      </c>
      <c r="D69" t="s">
        <v>618</v>
      </c>
      <c r="E69" t="s">
        <v>622</v>
      </c>
      <c r="F69" s="213" t="s">
        <v>56</v>
      </c>
      <c r="G69" t="s">
        <v>66</v>
      </c>
      <c r="H69" t="s">
        <v>84</v>
      </c>
      <c r="I69" t="s">
        <v>623</v>
      </c>
      <c r="J69" t="s">
        <v>56</v>
      </c>
      <c r="K69" t="s">
        <v>22</v>
      </c>
      <c r="L69" t="s">
        <v>630</v>
      </c>
      <c r="M69" t="s">
        <v>10</v>
      </c>
      <c r="N69" t="s">
        <v>49</v>
      </c>
      <c r="O69" t="s">
        <v>418</v>
      </c>
    </row>
    <row r="70" spans="1:15" x14ac:dyDescent="0.25">
      <c r="A70" t="s">
        <v>710</v>
      </c>
      <c r="B70" t="s">
        <v>100</v>
      </c>
      <c r="C70" t="s">
        <v>621</v>
      </c>
      <c r="D70" t="s">
        <v>618</v>
      </c>
      <c r="E70" t="s">
        <v>622</v>
      </c>
      <c r="F70" s="213" t="s">
        <v>56</v>
      </c>
      <c r="G70" t="s">
        <v>66</v>
      </c>
      <c r="H70" t="s">
        <v>84</v>
      </c>
      <c r="I70" t="s">
        <v>623</v>
      </c>
      <c r="J70" t="s">
        <v>56</v>
      </c>
      <c r="K70" t="s">
        <v>19</v>
      </c>
      <c r="L70" t="s">
        <v>625</v>
      </c>
      <c r="M70" t="s">
        <v>10</v>
      </c>
      <c r="N70" t="s">
        <v>20</v>
      </c>
      <c r="O70" t="s">
        <v>656</v>
      </c>
    </row>
    <row r="71" spans="1:15" x14ac:dyDescent="0.25">
      <c r="A71" t="s">
        <v>711</v>
      </c>
      <c r="B71" t="s">
        <v>100</v>
      </c>
      <c r="C71" t="s">
        <v>621</v>
      </c>
      <c r="D71" t="s">
        <v>618</v>
      </c>
      <c r="E71" t="s">
        <v>622</v>
      </c>
      <c r="F71" s="213" t="s">
        <v>56</v>
      </c>
      <c r="G71" t="s">
        <v>66</v>
      </c>
      <c r="H71" t="s">
        <v>84</v>
      </c>
      <c r="I71" t="s">
        <v>623</v>
      </c>
      <c r="J71" t="s">
        <v>56</v>
      </c>
      <c r="K71" t="s">
        <v>15</v>
      </c>
      <c r="L71" t="s">
        <v>632</v>
      </c>
      <c r="M71" t="s">
        <v>10</v>
      </c>
      <c r="N71" t="s">
        <v>0</v>
      </c>
      <c r="O71" t="s">
        <v>712</v>
      </c>
    </row>
    <row r="72" spans="1:15" x14ac:dyDescent="0.25">
      <c r="A72" t="s">
        <v>713</v>
      </c>
      <c r="B72" t="s">
        <v>100</v>
      </c>
      <c r="C72" t="s">
        <v>621</v>
      </c>
      <c r="D72" t="s">
        <v>618</v>
      </c>
      <c r="E72" t="s">
        <v>622</v>
      </c>
      <c r="F72" s="213" t="s">
        <v>56</v>
      </c>
      <c r="G72" t="s">
        <v>66</v>
      </c>
      <c r="H72" t="s">
        <v>84</v>
      </c>
      <c r="I72" t="s">
        <v>623</v>
      </c>
      <c r="J72" t="s">
        <v>56</v>
      </c>
      <c r="K72" t="s">
        <v>12</v>
      </c>
      <c r="L72" t="s">
        <v>629</v>
      </c>
      <c r="M72" t="s">
        <v>10</v>
      </c>
      <c r="N72" t="s">
        <v>42</v>
      </c>
      <c r="O72" t="s">
        <v>714</v>
      </c>
    </row>
    <row r="73" spans="1:15" x14ac:dyDescent="0.25">
      <c r="A73" t="s">
        <v>715</v>
      </c>
      <c r="B73" t="s">
        <v>100</v>
      </c>
      <c r="C73" t="s">
        <v>621</v>
      </c>
      <c r="D73" t="s">
        <v>618</v>
      </c>
      <c r="E73" t="s">
        <v>622</v>
      </c>
      <c r="F73" s="213" t="s">
        <v>56</v>
      </c>
      <c r="G73" t="s">
        <v>66</v>
      </c>
      <c r="H73" t="s">
        <v>84</v>
      </c>
      <c r="I73" t="s">
        <v>623</v>
      </c>
      <c r="J73" t="s">
        <v>56</v>
      </c>
      <c r="K73" t="s">
        <v>10</v>
      </c>
      <c r="L73" t="s">
        <v>635</v>
      </c>
      <c r="M73" t="s">
        <v>10</v>
      </c>
      <c r="N73" t="s">
        <v>8</v>
      </c>
      <c r="O73" t="s">
        <v>716</v>
      </c>
    </row>
    <row r="74" spans="1:15" x14ac:dyDescent="0.25">
      <c r="A74" t="s">
        <v>717</v>
      </c>
      <c r="B74" t="s">
        <v>100</v>
      </c>
      <c r="C74" t="s">
        <v>621</v>
      </c>
      <c r="D74" t="s">
        <v>618</v>
      </c>
      <c r="E74" t="s">
        <v>622</v>
      </c>
      <c r="F74" s="213" t="s">
        <v>56</v>
      </c>
      <c r="G74" t="s">
        <v>66</v>
      </c>
      <c r="H74" t="s">
        <v>84</v>
      </c>
      <c r="I74" t="s">
        <v>623</v>
      </c>
      <c r="J74" t="s">
        <v>56</v>
      </c>
      <c r="K74" t="s">
        <v>27</v>
      </c>
      <c r="L74" t="s">
        <v>626</v>
      </c>
      <c r="M74" t="s">
        <v>57</v>
      </c>
      <c r="N74" t="s">
        <v>5</v>
      </c>
      <c r="O74" t="s">
        <v>718</v>
      </c>
    </row>
    <row r="75" spans="1:15" x14ac:dyDescent="0.25">
      <c r="A75" t="s">
        <v>719</v>
      </c>
      <c r="B75" t="s">
        <v>100</v>
      </c>
      <c r="C75" t="s">
        <v>621</v>
      </c>
      <c r="D75" t="s">
        <v>618</v>
      </c>
      <c r="E75" t="s">
        <v>622</v>
      </c>
      <c r="F75" s="213" t="s">
        <v>56</v>
      </c>
      <c r="G75" t="s">
        <v>66</v>
      </c>
      <c r="H75" t="s">
        <v>84</v>
      </c>
      <c r="I75" t="s">
        <v>623</v>
      </c>
      <c r="J75" t="s">
        <v>56</v>
      </c>
      <c r="K75" t="s">
        <v>27</v>
      </c>
      <c r="L75" t="s">
        <v>626</v>
      </c>
      <c r="M75" t="s">
        <v>46</v>
      </c>
      <c r="N75" t="s">
        <v>13</v>
      </c>
      <c r="O75" t="s">
        <v>720</v>
      </c>
    </row>
    <row r="76" spans="1:15" x14ac:dyDescent="0.25">
      <c r="A76" t="s">
        <v>721</v>
      </c>
      <c r="B76" t="s">
        <v>100</v>
      </c>
      <c r="C76" t="s">
        <v>621</v>
      </c>
      <c r="D76" t="s">
        <v>618</v>
      </c>
      <c r="E76" t="s">
        <v>622</v>
      </c>
      <c r="F76" s="213" t="s">
        <v>56</v>
      </c>
      <c r="G76" t="s">
        <v>66</v>
      </c>
      <c r="H76" t="s">
        <v>84</v>
      </c>
      <c r="I76" t="s">
        <v>623</v>
      </c>
      <c r="J76" t="s">
        <v>56</v>
      </c>
      <c r="K76" t="s">
        <v>25</v>
      </c>
      <c r="L76" t="s">
        <v>628</v>
      </c>
      <c r="M76" t="s">
        <v>46</v>
      </c>
      <c r="N76" t="s">
        <v>12</v>
      </c>
      <c r="O76" t="s">
        <v>654</v>
      </c>
    </row>
    <row r="77" spans="1:15" x14ac:dyDescent="0.25">
      <c r="A77" t="s">
        <v>722</v>
      </c>
      <c r="B77" t="s">
        <v>100</v>
      </c>
      <c r="C77" t="s">
        <v>621</v>
      </c>
      <c r="D77" t="s">
        <v>618</v>
      </c>
      <c r="E77" t="s">
        <v>622</v>
      </c>
      <c r="F77" s="213" t="s">
        <v>56</v>
      </c>
      <c r="G77" t="s">
        <v>66</v>
      </c>
      <c r="H77" t="s">
        <v>84</v>
      </c>
      <c r="I77" t="s">
        <v>623</v>
      </c>
      <c r="J77" t="s">
        <v>56</v>
      </c>
      <c r="K77" t="s">
        <v>22</v>
      </c>
      <c r="L77" t="s">
        <v>630</v>
      </c>
      <c r="M77" t="s">
        <v>46</v>
      </c>
      <c r="N77" t="s">
        <v>0</v>
      </c>
      <c r="O77" t="s">
        <v>643</v>
      </c>
    </row>
    <row r="78" spans="1:15" x14ac:dyDescent="0.25">
      <c r="A78" t="s">
        <v>723</v>
      </c>
      <c r="B78" t="s">
        <v>100</v>
      </c>
      <c r="C78" t="s">
        <v>621</v>
      </c>
      <c r="D78" t="s">
        <v>618</v>
      </c>
      <c r="E78" t="s">
        <v>622</v>
      </c>
      <c r="F78" s="213" t="s">
        <v>56</v>
      </c>
      <c r="G78" t="s">
        <v>66</v>
      </c>
      <c r="H78" t="s">
        <v>84</v>
      </c>
      <c r="I78" t="s">
        <v>623</v>
      </c>
      <c r="J78" t="s">
        <v>56</v>
      </c>
      <c r="K78" t="s">
        <v>27</v>
      </c>
      <c r="L78" t="s">
        <v>626</v>
      </c>
      <c r="M78" t="s">
        <v>50</v>
      </c>
      <c r="N78" t="s">
        <v>5</v>
      </c>
      <c r="O78" t="s">
        <v>626</v>
      </c>
    </row>
    <row r="79" spans="1:15" x14ac:dyDescent="0.25">
      <c r="A79" t="s">
        <v>724</v>
      </c>
      <c r="B79" t="s">
        <v>100</v>
      </c>
      <c r="C79" t="s">
        <v>621</v>
      </c>
      <c r="D79" t="s">
        <v>618</v>
      </c>
      <c r="E79" t="s">
        <v>622</v>
      </c>
      <c r="F79" s="213" t="s">
        <v>56</v>
      </c>
      <c r="G79" t="s">
        <v>66</v>
      </c>
      <c r="H79" t="s">
        <v>84</v>
      </c>
      <c r="I79" t="s">
        <v>623</v>
      </c>
      <c r="J79" t="s">
        <v>56</v>
      </c>
      <c r="K79" t="s">
        <v>25</v>
      </c>
      <c r="L79" t="s">
        <v>628</v>
      </c>
      <c r="M79" t="s">
        <v>50</v>
      </c>
      <c r="N79" t="s">
        <v>4</v>
      </c>
      <c r="O79" t="s">
        <v>628</v>
      </c>
    </row>
    <row r="80" spans="1:15" x14ac:dyDescent="0.25">
      <c r="A80" t="s">
        <v>725</v>
      </c>
      <c r="B80" t="s">
        <v>100</v>
      </c>
      <c r="C80" t="s">
        <v>621</v>
      </c>
      <c r="D80" t="s">
        <v>618</v>
      </c>
      <c r="E80" t="s">
        <v>622</v>
      </c>
      <c r="F80" s="213" t="s">
        <v>56</v>
      </c>
      <c r="G80" t="s">
        <v>66</v>
      </c>
      <c r="H80" t="s">
        <v>84</v>
      </c>
      <c r="I80" t="s">
        <v>623</v>
      </c>
      <c r="J80" t="s">
        <v>56</v>
      </c>
      <c r="K80" t="s">
        <v>22</v>
      </c>
      <c r="L80" t="s">
        <v>630</v>
      </c>
      <c r="M80" t="s">
        <v>50</v>
      </c>
      <c r="N80" t="s">
        <v>8</v>
      </c>
      <c r="O80" t="s">
        <v>726</v>
      </c>
    </row>
    <row r="81" spans="1:15" x14ac:dyDescent="0.25">
      <c r="A81" t="s">
        <v>727</v>
      </c>
      <c r="B81" t="s">
        <v>100</v>
      </c>
      <c r="C81" t="s">
        <v>621</v>
      </c>
      <c r="D81" t="s">
        <v>618</v>
      </c>
      <c r="E81" t="s">
        <v>622</v>
      </c>
      <c r="F81" s="213" t="s">
        <v>56</v>
      </c>
      <c r="G81" t="s">
        <v>66</v>
      </c>
      <c r="H81" t="s">
        <v>84</v>
      </c>
      <c r="I81" t="s">
        <v>623</v>
      </c>
      <c r="J81" t="s">
        <v>56</v>
      </c>
      <c r="K81" t="s">
        <v>27</v>
      </c>
      <c r="L81" t="s">
        <v>626</v>
      </c>
      <c r="M81" t="s">
        <v>17</v>
      </c>
      <c r="N81" t="s">
        <v>31</v>
      </c>
      <c r="O81" t="s">
        <v>630</v>
      </c>
    </row>
    <row r="82" spans="1:15" x14ac:dyDescent="0.25">
      <c r="A82" t="s">
        <v>728</v>
      </c>
      <c r="B82" t="s">
        <v>100</v>
      </c>
      <c r="C82" t="s">
        <v>621</v>
      </c>
      <c r="D82" t="s">
        <v>618</v>
      </c>
      <c r="E82" t="s">
        <v>622</v>
      </c>
      <c r="F82" s="213" t="s">
        <v>56</v>
      </c>
      <c r="G82" t="s">
        <v>66</v>
      </c>
      <c r="H82" t="s">
        <v>84</v>
      </c>
      <c r="I82" t="s">
        <v>623</v>
      </c>
      <c r="J82" t="s">
        <v>56</v>
      </c>
      <c r="K82" t="s">
        <v>25</v>
      </c>
      <c r="L82" t="s">
        <v>628</v>
      </c>
      <c r="M82" t="s">
        <v>17</v>
      </c>
      <c r="N82" t="s">
        <v>39</v>
      </c>
      <c r="O82" t="s">
        <v>729</v>
      </c>
    </row>
    <row r="83" spans="1:15" x14ac:dyDescent="0.25">
      <c r="A83" t="s">
        <v>730</v>
      </c>
      <c r="B83" t="s">
        <v>100</v>
      </c>
      <c r="C83" t="s">
        <v>621</v>
      </c>
      <c r="D83" t="s">
        <v>618</v>
      </c>
      <c r="E83" t="s">
        <v>622</v>
      </c>
      <c r="F83" s="213" t="s">
        <v>56</v>
      </c>
      <c r="G83" t="s">
        <v>66</v>
      </c>
      <c r="H83" t="s">
        <v>84</v>
      </c>
      <c r="I83" t="s">
        <v>623</v>
      </c>
      <c r="J83" t="s">
        <v>56</v>
      </c>
      <c r="K83" t="s">
        <v>22</v>
      </c>
      <c r="L83" t="s">
        <v>630</v>
      </c>
      <c r="M83" t="s">
        <v>17</v>
      </c>
      <c r="N83" t="s">
        <v>38</v>
      </c>
      <c r="O83" t="s">
        <v>731</v>
      </c>
    </row>
    <row r="84" spans="1:15" x14ac:dyDescent="0.25">
      <c r="A84" t="s">
        <v>732</v>
      </c>
      <c r="B84" t="s">
        <v>100</v>
      </c>
      <c r="C84" t="s">
        <v>621</v>
      </c>
      <c r="D84" t="s">
        <v>618</v>
      </c>
      <c r="E84" t="s">
        <v>622</v>
      </c>
      <c r="F84" s="213" t="s">
        <v>56</v>
      </c>
      <c r="G84" t="s">
        <v>66</v>
      </c>
      <c r="H84" t="s">
        <v>84</v>
      </c>
      <c r="I84" t="s">
        <v>623</v>
      </c>
      <c r="J84" t="s">
        <v>56</v>
      </c>
      <c r="K84" t="s">
        <v>19</v>
      </c>
      <c r="L84" t="s">
        <v>625</v>
      </c>
      <c r="M84" t="s">
        <v>17</v>
      </c>
      <c r="N84" t="s">
        <v>3</v>
      </c>
      <c r="O84" t="s">
        <v>716</v>
      </c>
    </row>
    <row r="85" spans="1:15" x14ac:dyDescent="0.25">
      <c r="A85" t="s">
        <v>733</v>
      </c>
      <c r="B85" t="s">
        <v>100</v>
      </c>
      <c r="C85" t="s">
        <v>621</v>
      </c>
      <c r="D85" t="s">
        <v>618</v>
      </c>
      <c r="E85" t="s">
        <v>622</v>
      </c>
      <c r="F85" s="213" t="s">
        <v>56</v>
      </c>
      <c r="G85" t="s">
        <v>66</v>
      </c>
      <c r="H85" t="s">
        <v>84</v>
      </c>
      <c r="I85" t="s">
        <v>623</v>
      </c>
      <c r="J85" t="s">
        <v>56</v>
      </c>
      <c r="K85" t="s">
        <v>15</v>
      </c>
      <c r="L85" t="s">
        <v>632</v>
      </c>
      <c r="M85" t="s">
        <v>17</v>
      </c>
      <c r="N85" t="s">
        <v>20</v>
      </c>
      <c r="O85" t="s">
        <v>643</v>
      </c>
    </row>
    <row r="86" spans="1:15" x14ac:dyDescent="0.25">
      <c r="A86" t="s">
        <v>734</v>
      </c>
      <c r="B86" t="s">
        <v>100</v>
      </c>
      <c r="C86" t="s">
        <v>621</v>
      </c>
      <c r="D86" t="s">
        <v>618</v>
      </c>
      <c r="E86" t="s">
        <v>622</v>
      </c>
      <c r="F86" s="213" t="s">
        <v>56</v>
      </c>
      <c r="G86" t="s">
        <v>66</v>
      </c>
      <c r="H86" t="s">
        <v>84</v>
      </c>
      <c r="I86" t="s">
        <v>623</v>
      </c>
      <c r="J86" t="s">
        <v>56</v>
      </c>
      <c r="K86" t="s">
        <v>12</v>
      </c>
      <c r="L86" t="s">
        <v>629</v>
      </c>
      <c r="M86" t="s">
        <v>17</v>
      </c>
      <c r="N86" t="s">
        <v>7</v>
      </c>
      <c r="O86" t="s">
        <v>735</v>
      </c>
    </row>
    <row r="87" spans="1:15" x14ac:dyDescent="0.25">
      <c r="A87" t="s">
        <v>736</v>
      </c>
      <c r="B87" t="s">
        <v>100</v>
      </c>
      <c r="C87" t="s">
        <v>621</v>
      </c>
      <c r="D87" t="s">
        <v>618</v>
      </c>
      <c r="E87" t="s">
        <v>622</v>
      </c>
      <c r="F87" s="213" t="s">
        <v>56</v>
      </c>
      <c r="G87" t="s">
        <v>66</v>
      </c>
      <c r="H87" t="s">
        <v>84</v>
      </c>
      <c r="I87" t="s">
        <v>623</v>
      </c>
      <c r="J87" t="s">
        <v>56</v>
      </c>
      <c r="K87" t="s">
        <v>27</v>
      </c>
      <c r="L87" t="s">
        <v>626</v>
      </c>
      <c r="M87" t="s">
        <v>20</v>
      </c>
      <c r="N87" t="s">
        <v>13</v>
      </c>
      <c r="O87" t="s">
        <v>635</v>
      </c>
    </row>
    <row r="88" spans="1:15" x14ac:dyDescent="0.25">
      <c r="A88" t="s">
        <v>737</v>
      </c>
      <c r="B88" t="s">
        <v>100</v>
      </c>
      <c r="C88" t="s">
        <v>621</v>
      </c>
      <c r="D88" t="s">
        <v>618</v>
      </c>
      <c r="E88" t="s">
        <v>622</v>
      </c>
      <c r="F88" s="213" t="s">
        <v>56</v>
      </c>
      <c r="G88" t="s">
        <v>66</v>
      </c>
      <c r="H88" t="s">
        <v>84</v>
      </c>
      <c r="I88" t="s">
        <v>623</v>
      </c>
      <c r="J88" t="s">
        <v>56</v>
      </c>
      <c r="K88" t="s">
        <v>25</v>
      </c>
      <c r="L88" t="s">
        <v>628</v>
      </c>
      <c r="M88" t="s">
        <v>20</v>
      </c>
      <c r="N88" t="s">
        <v>35</v>
      </c>
      <c r="O88" t="s">
        <v>654</v>
      </c>
    </row>
    <row r="89" spans="1:15" x14ac:dyDescent="0.25">
      <c r="A89" t="s">
        <v>738</v>
      </c>
      <c r="B89" t="s">
        <v>100</v>
      </c>
      <c r="C89" t="s">
        <v>621</v>
      </c>
      <c r="D89" t="s">
        <v>618</v>
      </c>
      <c r="E89" t="s">
        <v>622</v>
      </c>
      <c r="F89" s="213" t="s">
        <v>56</v>
      </c>
      <c r="G89" t="s">
        <v>66</v>
      </c>
      <c r="H89" t="s">
        <v>84</v>
      </c>
      <c r="I89" t="s">
        <v>623</v>
      </c>
      <c r="J89" t="s">
        <v>56</v>
      </c>
      <c r="K89" t="s">
        <v>22</v>
      </c>
      <c r="L89" t="s">
        <v>630</v>
      </c>
      <c r="M89" t="s">
        <v>20</v>
      </c>
      <c r="N89" t="s">
        <v>34</v>
      </c>
      <c r="O89" t="s">
        <v>739</v>
      </c>
    </row>
    <row r="90" spans="1:15" x14ac:dyDescent="0.25">
      <c r="A90" t="s">
        <v>740</v>
      </c>
      <c r="B90" t="s">
        <v>100</v>
      </c>
      <c r="C90" t="s">
        <v>621</v>
      </c>
      <c r="D90" t="s">
        <v>618</v>
      </c>
      <c r="E90" t="s">
        <v>622</v>
      </c>
      <c r="F90" s="213" t="s">
        <v>56</v>
      </c>
      <c r="G90" t="s">
        <v>66</v>
      </c>
      <c r="H90" t="s">
        <v>84</v>
      </c>
      <c r="I90" t="s">
        <v>623</v>
      </c>
      <c r="J90" t="s">
        <v>56</v>
      </c>
      <c r="K90" t="s">
        <v>19</v>
      </c>
      <c r="L90" t="s">
        <v>625</v>
      </c>
      <c r="M90" t="s">
        <v>20</v>
      </c>
      <c r="N90" t="s">
        <v>3</v>
      </c>
      <c r="O90" t="s">
        <v>741</v>
      </c>
    </row>
    <row r="91" spans="1:15" x14ac:dyDescent="0.25">
      <c r="A91" t="s">
        <v>742</v>
      </c>
      <c r="B91" t="s">
        <v>100</v>
      </c>
      <c r="C91" t="s">
        <v>621</v>
      </c>
      <c r="D91" t="s">
        <v>618</v>
      </c>
      <c r="E91" t="s">
        <v>622</v>
      </c>
      <c r="F91" s="213" t="s">
        <v>56</v>
      </c>
      <c r="G91" t="s">
        <v>66</v>
      </c>
      <c r="H91" t="s">
        <v>84</v>
      </c>
      <c r="I91" t="s">
        <v>623</v>
      </c>
      <c r="J91" t="s">
        <v>56</v>
      </c>
      <c r="K91" t="s">
        <v>15</v>
      </c>
      <c r="L91" t="s">
        <v>632</v>
      </c>
      <c r="M91" t="s">
        <v>20</v>
      </c>
      <c r="N91" t="s">
        <v>21</v>
      </c>
      <c r="O91" t="s">
        <v>632</v>
      </c>
    </row>
    <row r="92" spans="1:15" x14ac:dyDescent="0.25">
      <c r="A92" t="s">
        <v>743</v>
      </c>
      <c r="B92" t="s">
        <v>100</v>
      </c>
      <c r="C92" t="s">
        <v>621</v>
      </c>
      <c r="D92" t="s">
        <v>618</v>
      </c>
      <c r="E92" t="s">
        <v>622</v>
      </c>
      <c r="F92" s="213" t="s">
        <v>56</v>
      </c>
      <c r="G92" t="s">
        <v>66</v>
      </c>
      <c r="H92" t="s">
        <v>84</v>
      </c>
      <c r="I92" t="s">
        <v>623</v>
      </c>
      <c r="J92" t="s">
        <v>56</v>
      </c>
      <c r="K92" t="s">
        <v>12</v>
      </c>
      <c r="L92" t="s">
        <v>629</v>
      </c>
      <c r="M92" t="s">
        <v>20</v>
      </c>
      <c r="N92" t="s">
        <v>7</v>
      </c>
      <c r="O92" t="s">
        <v>662</v>
      </c>
    </row>
    <row r="93" spans="1:15" x14ac:dyDescent="0.25">
      <c r="A93" t="s">
        <v>744</v>
      </c>
      <c r="B93" t="s">
        <v>100</v>
      </c>
      <c r="C93" t="s">
        <v>621</v>
      </c>
      <c r="D93" t="s">
        <v>618</v>
      </c>
      <c r="E93" t="s">
        <v>622</v>
      </c>
      <c r="F93" s="213" t="s">
        <v>56</v>
      </c>
      <c r="G93" t="s">
        <v>66</v>
      </c>
      <c r="H93" t="s">
        <v>84</v>
      </c>
      <c r="I93" t="s">
        <v>623</v>
      </c>
      <c r="J93" t="s">
        <v>56</v>
      </c>
      <c r="K93" t="s">
        <v>27</v>
      </c>
      <c r="L93" t="s">
        <v>626</v>
      </c>
      <c r="M93" t="s">
        <v>14</v>
      </c>
      <c r="N93" t="s">
        <v>29</v>
      </c>
      <c r="O93" t="s">
        <v>632</v>
      </c>
    </row>
    <row r="94" spans="1:15" x14ac:dyDescent="0.25">
      <c r="A94" t="s">
        <v>745</v>
      </c>
      <c r="B94" t="s">
        <v>100</v>
      </c>
      <c r="C94" t="s">
        <v>621</v>
      </c>
      <c r="D94" t="s">
        <v>618</v>
      </c>
      <c r="E94" t="s">
        <v>622</v>
      </c>
      <c r="F94" s="213" t="s">
        <v>56</v>
      </c>
      <c r="G94" t="s">
        <v>66</v>
      </c>
      <c r="H94" t="s">
        <v>84</v>
      </c>
      <c r="I94" t="s">
        <v>623</v>
      </c>
      <c r="J94" t="s">
        <v>56</v>
      </c>
      <c r="K94" t="s">
        <v>25</v>
      </c>
      <c r="L94" t="s">
        <v>628</v>
      </c>
      <c r="M94" t="s">
        <v>14</v>
      </c>
      <c r="N94" t="s">
        <v>43</v>
      </c>
      <c r="O94" t="s">
        <v>731</v>
      </c>
    </row>
    <row r="95" spans="1:15" x14ac:dyDescent="0.25">
      <c r="A95" t="s">
        <v>746</v>
      </c>
      <c r="B95" t="s">
        <v>100</v>
      </c>
      <c r="C95" t="s">
        <v>621</v>
      </c>
      <c r="D95" t="s">
        <v>618</v>
      </c>
      <c r="E95" t="s">
        <v>622</v>
      </c>
      <c r="F95" s="213" t="s">
        <v>56</v>
      </c>
      <c r="G95" t="s">
        <v>66</v>
      </c>
      <c r="H95" t="s">
        <v>84</v>
      </c>
      <c r="I95" t="s">
        <v>623</v>
      </c>
      <c r="J95" t="s">
        <v>56</v>
      </c>
      <c r="K95" t="s">
        <v>22</v>
      </c>
      <c r="L95" t="s">
        <v>630</v>
      </c>
      <c r="M95" t="s">
        <v>14</v>
      </c>
      <c r="N95" t="s">
        <v>41</v>
      </c>
      <c r="O95" t="s">
        <v>624</v>
      </c>
    </row>
    <row r="96" spans="1:15" x14ac:dyDescent="0.25">
      <c r="A96" t="s">
        <v>747</v>
      </c>
      <c r="B96" t="s">
        <v>100</v>
      </c>
      <c r="C96" t="s">
        <v>621</v>
      </c>
      <c r="D96" t="s">
        <v>618</v>
      </c>
      <c r="E96" t="s">
        <v>622</v>
      </c>
      <c r="F96" s="213" t="s">
        <v>56</v>
      </c>
      <c r="G96" t="s">
        <v>66</v>
      </c>
      <c r="H96" t="s">
        <v>84</v>
      </c>
      <c r="I96" t="s">
        <v>623</v>
      </c>
      <c r="J96" t="s">
        <v>56</v>
      </c>
      <c r="K96" t="s">
        <v>19</v>
      </c>
      <c r="L96" t="s">
        <v>625</v>
      </c>
      <c r="M96" t="s">
        <v>14</v>
      </c>
      <c r="N96" t="s">
        <v>42</v>
      </c>
      <c r="O96" t="s">
        <v>46</v>
      </c>
    </row>
    <row r="97" spans="1:15" x14ac:dyDescent="0.25">
      <c r="A97" t="s">
        <v>748</v>
      </c>
      <c r="B97" t="s">
        <v>100</v>
      </c>
      <c r="C97" t="s">
        <v>621</v>
      </c>
      <c r="D97" t="s">
        <v>618</v>
      </c>
      <c r="E97" t="s">
        <v>622</v>
      </c>
      <c r="F97" s="213" t="s">
        <v>56</v>
      </c>
      <c r="G97" t="s">
        <v>66</v>
      </c>
      <c r="H97" t="s">
        <v>84</v>
      </c>
      <c r="I97" t="s">
        <v>623</v>
      </c>
      <c r="J97" t="s">
        <v>56</v>
      </c>
      <c r="K97" t="s">
        <v>15</v>
      </c>
      <c r="L97" t="s">
        <v>632</v>
      </c>
      <c r="M97" t="s">
        <v>14</v>
      </c>
      <c r="N97" t="s">
        <v>10</v>
      </c>
      <c r="O97" t="s">
        <v>749</v>
      </c>
    </row>
    <row r="98" spans="1:15" x14ac:dyDescent="0.25">
      <c r="A98" t="s">
        <v>750</v>
      </c>
      <c r="B98" t="s">
        <v>100</v>
      </c>
      <c r="C98" t="s">
        <v>621</v>
      </c>
      <c r="D98" t="s">
        <v>618</v>
      </c>
      <c r="E98" t="s">
        <v>622</v>
      </c>
      <c r="F98" s="213" t="s">
        <v>56</v>
      </c>
      <c r="G98" t="s">
        <v>66</v>
      </c>
      <c r="H98" t="s">
        <v>84</v>
      </c>
      <c r="I98" t="s">
        <v>623</v>
      </c>
      <c r="J98" t="s">
        <v>56</v>
      </c>
      <c r="K98" t="s">
        <v>27</v>
      </c>
      <c r="L98" t="s">
        <v>626</v>
      </c>
      <c r="M98" t="s">
        <v>11</v>
      </c>
      <c r="N98" t="s">
        <v>31</v>
      </c>
      <c r="O98" t="s">
        <v>642</v>
      </c>
    </row>
    <row r="99" spans="1:15" x14ac:dyDescent="0.25">
      <c r="A99" t="s">
        <v>751</v>
      </c>
      <c r="B99" t="s">
        <v>100</v>
      </c>
      <c r="C99" t="s">
        <v>621</v>
      </c>
      <c r="D99" t="s">
        <v>618</v>
      </c>
      <c r="E99" t="s">
        <v>622</v>
      </c>
      <c r="F99" s="213" t="s">
        <v>56</v>
      </c>
      <c r="G99" t="s">
        <v>66</v>
      </c>
      <c r="H99" t="s">
        <v>84</v>
      </c>
      <c r="I99" t="s">
        <v>623</v>
      </c>
      <c r="J99" t="s">
        <v>56</v>
      </c>
      <c r="K99" t="s">
        <v>25</v>
      </c>
      <c r="L99" t="s">
        <v>628</v>
      </c>
      <c r="M99" t="s">
        <v>11</v>
      </c>
      <c r="N99" t="s">
        <v>11</v>
      </c>
      <c r="O99" t="s">
        <v>741</v>
      </c>
    </row>
    <row r="100" spans="1:15" x14ac:dyDescent="0.25">
      <c r="A100" t="s">
        <v>752</v>
      </c>
      <c r="B100" t="s">
        <v>100</v>
      </c>
      <c r="C100" t="s">
        <v>621</v>
      </c>
      <c r="D100" t="s">
        <v>618</v>
      </c>
      <c r="E100" t="s">
        <v>622</v>
      </c>
      <c r="F100" s="213" t="s">
        <v>56</v>
      </c>
      <c r="G100" t="s">
        <v>66</v>
      </c>
      <c r="H100" t="s">
        <v>84</v>
      </c>
      <c r="I100" t="s">
        <v>623</v>
      </c>
      <c r="J100" t="s">
        <v>56</v>
      </c>
      <c r="K100" t="s">
        <v>22</v>
      </c>
      <c r="L100" t="s">
        <v>630</v>
      </c>
      <c r="M100" t="s">
        <v>11</v>
      </c>
      <c r="N100" t="s">
        <v>15</v>
      </c>
      <c r="O100" t="s">
        <v>662</v>
      </c>
    </row>
    <row r="101" spans="1:15" x14ac:dyDescent="0.25">
      <c r="A101" t="s">
        <v>753</v>
      </c>
      <c r="B101" t="s">
        <v>100</v>
      </c>
      <c r="C101" t="s">
        <v>621</v>
      </c>
      <c r="D101" t="s">
        <v>618</v>
      </c>
      <c r="E101" t="s">
        <v>622</v>
      </c>
      <c r="F101" s="213" t="s">
        <v>56</v>
      </c>
      <c r="G101" t="s">
        <v>66</v>
      </c>
      <c r="H101" t="s">
        <v>84</v>
      </c>
      <c r="I101" t="s">
        <v>623</v>
      </c>
      <c r="J101" t="s">
        <v>56</v>
      </c>
      <c r="K101" t="s">
        <v>19</v>
      </c>
      <c r="L101" t="s">
        <v>625</v>
      </c>
      <c r="M101" t="s">
        <v>11</v>
      </c>
      <c r="N101" t="s">
        <v>3</v>
      </c>
      <c r="O101" t="s">
        <v>638</v>
      </c>
    </row>
    <row r="102" spans="1:15" x14ac:dyDescent="0.25">
      <c r="A102" t="s">
        <v>754</v>
      </c>
      <c r="B102" t="s">
        <v>100</v>
      </c>
      <c r="C102" t="s">
        <v>621</v>
      </c>
      <c r="D102" t="s">
        <v>618</v>
      </c>
      <c r="E102" t="s">
        <v>622</v>
      </c>
      <c r="F102" s="213" t="s">
        <v>56</v>
      </c>
      <c r="G102" t="s">
        <v>66</v>
      </c>
      <c r="H102" t="s">
        <v>84</v>
      </c>
      <c r="I102" t="s">
        <v>623</v>
      </c>
      <c r="J102" t="s">
        <v>56</v>
      </c>
      <c r="K102" t="s">
        <v>15</v>
      </c>
      <c r="L102" t="s">
        <v>632</v>
      </c>
      <c r="M102" t="s">
        <v>11</v>
      </c>
      <c r="N102" t="s">
        <v>7</v>
      </c>
      <c r="O102" t="s">
        <v>755</v>
      </c>
    </row>
    <row r="103" spans="1:15" x14ac:dyDescent="0.25">
      <c r="A103" t="s">
        <v>756</v>
      </c>
      <c r="B103" t="s">
        <v>100</v>
      </c>
      <c r="C103" t="s">
        <v>621</v>
      </c>
      <c r="D103" t="s">
        <v>618</v>
      </c>
      <c r="E103" t="s">
        <v>622</v>
      </c>
      <c r="F103" s="213" t="s">
        <v>56</v>
      </c>
      <c r="G103" t="s">
        <v>66</v>
      </c>
      <c r="H103" t="s">
        <v>84</v>
      </c>
      <c r="I103" t="s">
        <v>623</v>
      </c>
      <c r="J103" t="s">
        <v>56</v>
      </c>
      <c r="K103" t="s">
        <v>12</v>
      </c>
      <c r="L103" t="s">
        <v>629</v>
      </c>
      <c r="M103" t="s">
        <v>11</v>
      </c>
      <c r="N103" t="s">
        <v>36</v>
      </c>
      <c r="O103" t="s">
        <v>625</v>
      </c>
    </row>
    <row r="104" spans="1:15" x14ac:dyDescent="0.25">
      <c r="A104" t="s">
        <v>757</v>
      </c>
      <c r="B104" t="s">
        <v>100</v>
      </c>
      <c r="C104" t="s">
        <v>621</v>
      </c>
      <c r="D104" t="s">
        <v>618</v>
      </c>
      <c r="E104" t="s">
        <v>622</v>
      </c>
      <c r="F104" s="213" t="s">
        <v>56</v>
      </c>
      <c r="G104" t="s">
        <v>66</v>
      </c>
      <c r="H104" t="s">
        <v>84</v>
      </c>
      <c r="I104" t="s">
        <v>623</v>
      </c>
      <c r="J104" t="s">
        <v>56</v>
      </c>
      <c r="K104" t="s">
        <v>27</v>
      </c>
      <c r="L104" t="s">
        <v>626</v>
      </c>
      <c r="M104" t="s">
        <v>13</v>
      </c>
      <c r="N104" t="s">
        <v>11</v>
      </c>
      <c r="O104" t="s">
        <v>693</v>
      </c>
    </row>
    <row r="105" spans="1:15" x14ac:dyDescent="0.25">
      <c r="A105" t="s">
        <v>758</v>
      </c>
      <c r="B105" t="s">
        <v>100</v>
      </c>
      <c r="C105" t="s">
        <v>621</v>
      </c>
      <c r="D105" t="s">
        <v>618</v>
      </c>
      <c r="E105" t="s">
        <v>622</v>
      </c>
      <c r="F105" s="213" t="s">
        <v>56</v>
      </c>
      <c r="G105" t="s">
        <v>66</v>
      </c>
      <c r="H105" t="s">
        <v>84</v>
      </c>
      <c r="I105" t="s">
        <v>623</v>
      </c>
      <c r="J105" t="s">
        <v>56</v>
      </c>
      <c r="K105" t="s">
        <v>25</v>
      </c>
      <c r="L105" t="s">
        <v>628</v>
      </c>
      <c r="M105" t="s">
        <v>13</v>
      </c>
      <c r="N105" t="s">
        <v>45</v>
      </c>
      <c r="O105" t="s">
        <v>101</v>
      </c>
    </row>
    <row r="106" spans="1:15" x14ac:dyDescent="0.25">
      <c r="A106" t="s">
        <v>759</v>
      </c>
      <c r="B106" t="s">
        <v>100</v>
      </c>
      <c r="C106" t="s">
        <v>621</v>
      </c>
      <c r="D106" t="s">
        <v>618</v>
      </c>
      <c r="E106" t="s">
        <v>622</v>
      </c>
      <c r="F106" s="213" t="s">
        <v>56</v>
      </c>
      <c r="G106" t="s">
        <v>66</v>
      </c>
      <c r="H106" t="s">
        <v>84</v>
      </c>
      <c r="I106" t="s">
        <v>623</v>
      </c>
      <c r="J106" t="s">
        <v>56</v>
      </c>
      <c r="K106" t="s">
        <v>22</v>
      </c>
      <c r="L106" t="s">
        <v>630</v>
      </c>
      <c r="M106" t="s">
        <v>13</v>
      </c>
      <c r="N106" t="s">
        <v>43</v>
      </c>
      <c r="O106" t="s">
        <v>641</v>
      </c>
    </row>
    <row r="107" spans="1:15" x14ac:dyDescent="0.25">
      <c r="A107" t="s">
        <v>760</v>
      </c>
      <c r="B107" t="s">
        <v>100</v>
      </c>
      <c r="C107" t="s">
        <v>621</v>
      </c>
      <c r="D107" t="s">
        <v>618</v>
      </c>
      <c r="E107" t="s">
        <v>622</v>
      </c>
      <c r="F107" s="213" t="s">
        <v>56</v>
      </c>
      <c r="G107" t="s">
        <v>66</v>
      </c>
      <c r="H107" t="s">
        <v>84</v>
      </c>
      <c r="I107" t="s">
        <v>623</v>
      </c>
      <c r="J107" t="s">
        <v>56</v>
      </c>
      <c r="K107" t="s">
        <v>19</v>
      </c>
      <c r="L107" t="s">
        <v>625</v>
      </c>
      <c r="M107" t="s">
        <v>13</v>
      </c>
      <c r="N107" t="s">
        <v>100</v>
      </c>
      <c r="O107" t="s">
        <v>761</v>
      </c>
    </row>
    <row r="108" spans="1:15" x14ac:dyDescent="0.25">
      <c r="A108" t="s">
        <v>762</v>
      </c>
      <c r="B108" t="s">
        <v>100</v>
      </c>
      <c r="C108" t="s">
        <v>621</v>
      </c>
      <c r="D108" t="s">
        <v>618</v>
      </c>
      <c r="E108" t="s">
        <v>622</v>
      </c>
      <c r="F108" s="213" t="s">
        <v>56</v>
      </c>
      <c r="G108" t="s">
        <v>66</v>
      </c>
      <c r="H108" t="s">
        <v>84</v>
      </c>
      <c r="I108" t="s">
        <v>623</v>
      </c>
      <c r="J108" t="s">
        <v>56</v>
      </c>
      <c r="K108" t="s">
        <v>15</v>
      </c>
      <c r="L108" t="s">
        <v>632</v>
      </c>
      <c r="M108" t="s">
        <v>13</v>
      </c>
      <c r="N108" t="s">
        <v>26</v>
      </c>
      <c r="O108" t="s">
        <v>629</v>
      </c>
    </row>
    <row r="109" spans="1:15" x14ac:dyDescent="0.25">
      <c r="A109" t="s">
        <v>763</v>
      </c>
      <c r="B109" t="s">
        <v>100</v>
      </c>
      <c r="C109" t="s">
        <v>621</v>
      </c>
      <c r="D109" t="s">
        <v>618</v>
      </c>
      <c r="E109" t="s">
        <v>622</v>
      </c>
      <c r="F109" s="213" t="s">
        <v>56</v>
      </c>
      <c r="G109" t="s">
        <v>66</v>
      </c>
      <c r="H109" t="s">
        <v>84</v>
      </c>
      <c r="I109" t="s">
        <v>623</v>
      </c>
      <c r="J109" t="s">
        <v>56</v>
      </c>
      <c r="K109" t="s">
        <v>27</v>
      </c>
      <c r="L109" t="s">
        <v>626</v>
      </c>
      <c r="M109" t="s">
        <v>7</v>
      </c>
      <c r="N109" t="s">
        <v>18</v>
      </c>
      <c r="O109" t="s">
        <v>693</v>
      </c>
    </row>
    <row r="110" spans="1:15" x14ac:dyDescent="0.25">
      <c r="A110" t="s">
        <v>764</v>
      </c>
      <c r="B110" t="s">
        <v>100</v>
      </c>
      <c r="C110" t="s">
        <v>621</v>
      </c>
      <c r="D110" t="s">
        <v>618</v>
      </c>
      <c r="E110" t="s">
        <v>622</v>
      </c>
      <c r="F110" s="213" t="s">
        <v>56</v>
      </c>
      <c r="G110" t="s">
        <v>66</v>
      </c>
      <c r="H110" t="s">
        <v>84</v>
      </c>
      <c r="I110" t="s">
        <v>623</v>
      </c>
      <c r="J110" t="s">
        <v>56</v>
      </c>
      <c r="K110" t="s">
        <v>25</v>
      </c>
      <c r="L110" t="s">
        <v>628</v>
      </c>
      <c r="M110" t="s">
        <v>7</v>
      </c>
      <c r="N110" t="s">
        <v>14</v>
      </c>
      <c r="O110" t="s">
        <v>765</v>
      </c>
    </row>
    <row r="111" spans="1:15" x14ac:dyDescent="0.25">
      <c r="A111" t="s">
        <v>766</v>
      </c>
      <c r="B111" t="s">
        <v>100</v>
      </c>
      <c r="C111" t="s">
        <v>621</v>
      </c>
      <c r="D111" t="s">
        <v>618</v>
      </c>
      <c r="E111" t="s">
        <v>622</v>
      </c>
      <c r="F111" s="213" t="s">
        <v>56</v>
      </c>
      <c r="G111" t="s">
        <v>66</v>
      </c>
      <c r="H111" t="s">
        <v>84</v>
      </c>
      <c r="I111" t="s">
        <v>623</v>
      </c>
      <c r="J111" t="s">
        <v>56</v>
      </c>
      <c r="K111" t="s">
        <v>22</v>
      </c>
      <c r="L111" t="s">
        <v>630</v>
      </c>
      <c r="M111" t="s">
        <v>7</v>
      </c>
      <c r="N111" t="s">
        <v>25</v>
      </c>
      <c r="O111" t="s">
        <v>645</v>
      </c>
    </row>
    <row r="112" spans="1:15" x14ac:dyDescent="0.25">
      <c r="A112" t="s">
        <v>767</v>
      </c>
      <c r="B112" t="s">
        <v>100</v>
      </c>
      <c r="C112" t="s">
        <v>621</v>
      </c>
      <c r="D112" t="s">
        <v>618</v>
      </c>
      <c r="E112" t="s">
        <v>622</v>
      </c>
      <c r="F112" s="213" t="s">
        <v>56</v>
      </c>
      <c r="G112" t="s">
        <v>66</v>
      </c>
      <c r="H112" t="s">
        <v>84</v>
      </c>
      <c r="I112" t="s">
        <v>623</v>
      </c>
      <c r="J112" t="s">
        <v>56</v>
      </c>
      <c r="K112" t="s">
        <v>19</v>
      </c>
      <c r="L112" t="s">
        <v>625</v>
      </c>
      <c r="M112" t="s">
        <v>7</v>
      </c>
      <c r="N112" t="s">
        <v>50</v>
      </c>
      <c r="O112" t="s">
        <v>626</v>
      </c>
    </row>
    <row r="113" spans="1:15" x14ac:dyDescent="0.25">
      <c r="A113" t="s">
        <v>768</v>
      </c>
      <c r="B113" t="s">
        <v>100</v>
      </c>
      <c r="C113" t="s">
        <v>621</v>
      </c>
      <c r="D113" t="s">
        <v>618</v>
      </c>
      <c r="E113" t="s">
        <v>622</v>
      </c>
      <c r="F113" s="213" t="s">
        <v>56</v>
      </c>
      <c r="G113" t="s">
        <v>66</v>
      </c>
      <c r="H113" t="s">
        <v>84</v>
      </c>
      <c r="I113" t="s">
        <v>623</v>
      </c>
      <c r="J113" t="s">
        <v>56</v>
      </c>
      <c r="K113" t="s">
        <v>15</v>
      </c>
      <c r="L113" t="s">
        <v>632</v>
      </c>
      <c r="M113" t="s">
        <v>7</v>
      </c>
      <c r="N113" t="s">
        <v>4</v>
      </c>
      <c r="O113" t="s">
        <v>712</v>
      </c>
    </row>
    <row r="114" spans="1:15" x14ac:dyDescent="0.25">
      <c r="A114" t="s">
        <v>769</v>
      </c>
      <c r="B114" t="s">
        <v>100</v>
      </c>
      <c r="C114" t="s">
        <v>621</v>
      </c>
      <c r="D114" t="s">
        <v>618</v>
      </c>
      <c r="E114" t="s">
        <v>622</v>
      </c>
      <c r="F114" s="213" t="s">
        <v>56</v>
      </c>
      <c r="G114" t="s">
        <v>66</v>
      </c>
      <c r="H114" t="s">
        <v>84</v>
      </c>
      <c r="I114" t="s">
        <v>623</v>
      </c>
      <c r="J114" t="s">
        <v>56</v>
      </c>
      <c r="K114" t="s">
        <v>12</v>
      </c>
      <c r="L114" t="s">
        <v>629</v>
      </c>
      <c r="M114" t="s">
        <v>7</v>
      </c>
      <c r="N114" t="s">
        <v>2</v>
      </c>
      <c r="O114" t="s">
        <v>770</v>
      </c>
    </row>
    <row r="115" spans="1:15" x14ac:dyDescent="0.25">
      <c r="A115" t="s">
        <v>771</v>
      </c>
      <c r="B115" t="s">
        <v>100</v>
      </c>
      <c r="C115" t="s">
        <v>621</v>
      </c>
      <c r="D115" t="s">
        <v>618</v>
      </c>
      <c r="E115" t="s">
        <v>622</v>
      </c>
      <c r="F115" s="213" t="s">
        <v>56</v>
      </c>
      <c r="G115" t="s">
        <v>66</v>
      </c>
      <c r="H115" t="s">
        <v>84</v>
      </c>
      <c r="I115" t="s">
        <v>623</v>
      </c>
      <c r="J115" t="s">
        <v>56</v>
      </c>
      <c r="K115" t="s">
        <v>10</v>
      </c>
      <c r="L115" t="s">
        <v>635</v>
      </c>
      <c r="M115" t="s">
        <v>7</v>
      </c>
      <c r="N115" t="s">
        <v>53</v>
      </c>
      <c r="O115" t="s">
        <v>654</v>
      </c>
    </row>
    <row r="116" spans="1:15" x14ac:dyDescent="0.25">
      <c r="A116" t="s">
        <v>772</v>
      </c>
      <c r="B116" t="s">
        <v>100</v>
      </c>
      <c r="C116" t="s">
        <v>621</v>
      </c>
      <c r="D116" t="s">
        <v>618</v>
      </c>
      <c r="E116" t="s">
        <v>622</v>
      </c>
      <c r="F116" s="213" t="s">
        <v>56</v>
      </c>
      <c r="G116" t="s">
        <v>66</v>
      </c>
      <c r="H116" t="s">
        <v>84</v>
      </c>
      <c r="I116" t="s">
        <v>623</v>
      </c>
      <c r="J116" t="s">
        <v>56</v>
      </c>
      <c r="K116" t="s">
        <v>8</v>
      </c>
      <c r="L116" t="s">
        <v>637</v>
      </c>
      <c r="M116" t="s">
        <v>7</v>
      </c>
      <c r="N116" t="s">
        <v>45</v>
      </c>
      <c r="O116" t="s">
        <v>630</v>
      </c>
    </row>
    <row r="117" spans="1:15" x14ac:dyDescent="0.25">
      <c r="A117" t="s">
        <v>773</v>
      </c>
      <c r="B117" t="s">
        <v>100</v>
      </c>
      <c r="C117" t="s">
        <v>621</v>
      </c>
      <c r="D117" t="s">
        <v>618</v>
      </c>
      <c r="E117" t="s">
        <v>622</v>
      </c>
      <c r="F117" s="213" t="s">
        <v>56</v>
      </c>
      <c r="G117" t="s">
        <v>66</v>
      </c>
      <c r="H117" t="s">
        <v>84</v>
      </c>
      <c r="I117" t="s">
        <v>623</v>
      </c>
      <c r="J117" t="s">
        <v>56</v>
      </c>
      <c r="K117" t="s">
        <v>27</v>
      </c>
      <c r="L117" t="s">
        <v>626</v>
      </c>
      <c r="M117" t="s">
        <v>58</v>
      </c>
      <c r="N117" t="s">
        <v>100</v>
      </c>
      <c r="O117" t="s">
        <v>630</v>
      </c>
    </row>
    <row r="118" spans="1:15" x14ac:dyDescent="0.25">
      <c r="A118" t="s">
        <v>774</v>
      </c>
      <c r="B118" t="s">
        <v>100</v>
      </c>
      <c r="C118" t="s">
        <v>621</v>
      </c>
      <c r="D118" t="s">
        <v>618</v>
      </c>
      <c r="E118" t="s">
        <v>622</v>
      </c>
      <c r="F118" s="213" t="s">
        <v>56</v>
      </c>
      <c r="G118" t="s">
        <v>66</v>
      </c>
      <c r="H118" t="s">
        <v>84</v>
      </c>
      <c r="I118" t="s">
        <v>623</v>
      </c>
      <c r="J118" t="s">
        <v>56</v>
      </c>
      <c r="K118" t="s">
        <v>27</v>
      </c>
      <c r="L118" t="s">
        <v>626</v>
      </c>
      <c r="M118" t="s">
        <v>6</v>
      </c>
      <c r="N118" t="s">
        <v>51</v>
      </c>
      <c r="O118" t="s">
        <v>626</v>
      </c>
    </row>
    <row r="119" spans="1:15" x14ac:dyDescent="0.25">
      <c r="A119" t="s">
        <v>775</v>
      </c>
      <c r="B119" t="s">
        <v>100</v>
      </c>
      <c r="C119" t="s">
        <v>621</v>
      </c>
      <c r="D119" t="s">
        <v>618</v>
      </c>
      <c r="E119" t="s">
        <v>622</v>
      </c>
      <c r="F119" s="213" t="s">
        <v>56</v>
      </c>
      <c r="G119" t="s">
        <v>66</v>
      </c>
      <c r="H119" t="s">
        <v>84</v>
      </c>
      <c r="I119" t="s">
        <v>623</v>
      </c>
      <c r="J119" t="s">
        <v>56</v>
      </c>
      <c r="K119" t="s">
        <v>25</v>
      </c>
      <c r="L119" t="s">
        <v>628</v>
      </c>
      <c r="M119" t="s">
        <v>6</v>
      </c>
      <c r="N119" t="s">
        <v>41</v>
      </c>
      <c r="O119" t="s">
        <v>632</v>
      </c>
    </row>
    <row r="120" spans="1:15" x14ac:dyDescent="0.25">
      <c r="A120" t="s">
        <v>776</v>
      </c>
      <c r="B120" t="s">
        <v>100</v>
      </c>
      <c r="C120" t="s">
        <v>621</v>
      </c>
      <c r="D120" t="s">
        <v>618</v>
      </c>
      <c r="E120" t="s">
        <v>622</v>
      </c>
      <c r="F120" s="213" t="s">
        <v>56</v>
      </c>
      <c r="G120" t="s">
        <v>66</v>
      </c>
      <c r="H120" t="s">
        <v>84</v>
      </c>
      <c r="I120" t="s">
        <v>623</v>
      </c>
      <c r="J120" t="s">
        <v>56</v>
      </c>
      <c r="K120" t="s">
        <v>22</v>
      </c>
      <c r="L120" t="s">
        <v>630</v>
      </c>
      <c r="M120" t="s">
        <v>6</v>
      </c>
      <c r="N120" t="s">
        <v>60</v>
      </c>
      <c r="O120" t="s">
        <v>49</v>
      </c>
    </row>
    <row r="121" spans="1:15" x14ac:dyDescent="0.25">
      <c r="A121" t="s">
        <v>777</v>
      </c>
      <c r="B121" t="s">
        <v>100</v>
      </c>
      <c r="C121" t="s">
        <v>621</v>
      </c>
      <c r="D121" t="s">
        <v>618</v>
      </c>
      <c r="E121" t="s">
        <v>622</v>
      </c>
      <c r="F121" s="213" t="s">
        <v>56</v>
      </c>
      <c r="G121" t="s">
        <v>66</v>
      </c>
      <c r="H121" t="s">
        <v>84</v>
      </c>
      <c r="I121" t="s">
        <v>623</v>
      </c>
      <c r="J121" t="s">
        <v>56</v>
      </c>
      <c r="K121" t="s">
        <v>19</v>
      </c>
      <c r="L121" t="s">
        <v>625</v>
      </c>
      <c r="M121" t="s">
        <v>6</v>
      </c>
      <c r="N121" t="s">
        <v>25</v>
      </c>
      <c r="O121" t="s">
        <v>639</v>
      </c>
    </row>
    <row r="122" spans="1:15" x14ac:dyDescent="0.25">
      <c r="A122" t="s">
        <v>778</v>
      </c>
      <c r="B122" t="s">
        <v>100</v>
      </c>
      <c r="C122" t="s">
        <v>621</v>
      </c>
      <c r="D122" t="s">
        <v>618</v>
      </c>
      <c r="E122" t="s">
        <v>622</v>
      </c>
      <c r="F122" s="213" t="s">
        <v>56</v>
      </c>
      <c r="G122" t="s">
        <v>66</v>
      </c>
      <c r="H122" t="s">
        <v>84</v>
      </c>
      <c r="I122" t="s">
        <v>623</v>
      </c>
      <c r="J122" t="s">
        <v>56</v>
      </c>
      <c r="K122" t="s">
        <v>15</v>
      </c>
      <c r="L122" t="s">
        <v>632</v>
      </c>
      <c r="M122" t="s">
        <v>6</v>
      </c>
      <c r="N122" t="s">
        <v>26</v>
      </c>
      <c r="O122" t="s">
        <v>645</v>
      </c>
    </row>
    <row r="123" spans="1:15" x14ac:dyDescent="0.25">
      <c r="A123" t="s">
        <v>779</v>
      </c>
      <c r="B123" t="s">
        <v>100</v>
      </c>
      <c r="C123" t="s">
        <v>621</v>
      </c>
      <c r="D123" t="s">
        <v>618</v>
      </c>
      <c r="E123" t="s">
        <v>622</v>
      </c>
      <c r="F123" s="213" t="s">
        <v>56</v>
      </c>
      <c r="G123" t="s">
        <v>66</v>
      </c>
      <c r="H123" t="s">
        <v>84</v>
      </c>
      <c r="I123" t="s">
        <v>623</v>
      </c>
      <c r="J123" t="s">
        <v>56</v>
      </c>
      <c r="K123" t="s">
        <v>12</v>
      </c>
      <c r="L123" t="s">
        <v>629</v>
      </c>
      <c r="M123" t="s">
        <v>6</v>
      </c>
      <c r="N123" t="s">
        <v>42</v>
      </c>
      <c r="O123" t="s">
        <v>623</v>
      </c>
    </row>
    <row r="124" spans="1:15" x14ac:dyDescent="0.25">
      <c r="A124" t="s">
        <v>780</v>
      </c>
      <c r="B124" t="s">
        <v>100</v>
      </c>
      <c r="C124" t="s">
        <v>621</v>
      </c>
      <c r="D124" t="s">
        <v>618</v>
      </c>
      <c r="E124" t="s">
        <v>622</v>
      </c>
      <c r="F124" s="213" t="s">
        <v>56</v>
      </c>
      <c r="G124" t="s">
        <v>66</v>
      </c>
      <c r="H124" t="s">
        <v>84</v>
      </c>
      <c r="I124" t="s">
        <v>623</v>
      </c>
      <c r="J124" t="s">
        <v>56</v>
      </c>
      <c r="K124" t="s">
        <v>10</v>
      </c>
      <c r="L124" t="s">
        <v>635</v>
      </c>
      <c r="M124" t="s">
        <v>6</v>
      </c>
      <c r="N124" t="s">
        <v>10</v>
      </c>
      <c r="O124" t="s">
        <v>781</v>
      </c>
    </row>
    <row r="125" spans="1:15" x14ac:dyDescent="0.25">
      <c r="A125" t="s">
        <v>782</v>
      </c>
      <c r="B125" t="s">
        <v>100</v>
      </c>
      <c r="C125" t="s">
        <v>621</v>
      </c>
      <c r="D125" t="s">
        <v>618</v>
      </c>
      <c r="E125" t="s">
        <v>622</v>
      </c>
      <c r="F125" s="213" t="s">
        <v>56</v>
      </c>
      <c r="G125" t="s">
        <v>66</v>
      </c>
      <c r="H125" t="s">
        <v>84</v>
      </c>
      <c r="I125" t="s">
        <v>623</v>
      </c>
      <c r="J125" t="s">
        <v>56</v>
      </c>
      <c r="K125" t="s">
        <v>27</v>
      </c>
      <c r="L125" t="s">
        <v>626</v>
      </c>
      <c r="M125" t="s">
        <v>53</v>
      </c>
      <c r="N125" t="s">
        <v>9</v>
      </c>
      <c r="O125" t="s">
        <v>101</v>
      </c>
    </row>
    <row r="126" spans="1:15" x14ac:dyDescent="0.25">
      <c r="A126" t="s">
        <v>783</v>
      </c>
      <c r="B126" t="s">
        <v>100</v>
      </c>
      <c r="C126" t="s">
        <v>621</v>
      </c>
      <c r="D126" t="s">
        <v>618</v>
      </c>
      <c r="E126" t="s">
        <v>622</v>
      </c>
      <c r="F126" s="213" t="s">
        <v>56</v>
      </c>
      <c r="G126" t="s">
        <v>66</v>
      </c>
      <c r="H126" t="s">
        <v>84</v>
      </c>
      <c r="I126" t="s">
        <v>623</v>
      </c>
      <c r="J126" t="s">
        <v>56</v>
      </c>
      <c r="K126" t="s">
        <v>25</v>
      </c>
      <c r="L126" t="s">
        <v>628</v>
      </c>
      <c r="M126" t="s">
        <v>53</v>
      </c>
      <c r="N126" t="s">
        <v>0</v>
      </c>
      <c r="O126" t="s">
        <v>625</v>
      </c>
    </row>
    <row r="127" spans="1:15" x14ac:dyDescent="0.25">
      <c r="A127" t="s">
        <v>784</v>
      </c>
      <c r="B127" t="s">
        <v>100</v>
      </c>
      <c r="C127" t="s">
        <v>621</v>
      </c>
      <c r="D127" t="s">
        <v>618</v>
      </c>
      <c r="E127" t="s">
        <v>622</v>
      </c>
      <c r="F127" s="213" t="s">
        <v>56</v>
      </c>
      <c r="G127" t="s">
        <v>66</v>
      </c>
      <c r="H127" t="s">
        <v>84</v>
      </c>
      <c r="I127" t="s">
        <v>623</v>
      </c>
      <c r="J127" t="s">
        <v>56</v>
      </c>
      <c r="K127" t="s">
        <v>27</v>
      </c>
      <c r="L127" t="s">
        <v>626</v>
      </c>
      <c r="M127" t="s">
        <v>54</v>
      </c>
      <c r="N127" t="s">
        <v>7</v>
      </c>
      <c r="O127" t="s">
        <v>13</v>
      </c>
    </row>
    <row r="128" spans="1:15" x14ac:dyDescent="0.25">
      <c r="A128" t="s">
        <v>785</v>
      </c>
      <c r="B128" t="s">
        <v>100</v>
      </c>
      <c r="C128" t="s">
        <v>621</v>
      </c>
      <c r="D128" t="s">
        <v>618</v>
      </c>
      <c r="E128" t="s">
        <v>622</v>
      </c>
      <c r="F128" s="213" t="s">
        <v>56</v>
      </c>
      <c r="G128" t="s">
        <v>66</v>
      </c>
      <c r="H128" t="s">
        <v>84</v>
      </c>
      <c r="I128" t="s">
        <v>623</v>
      </c>
      <c r="J128" t="s">
        <v>56</v>
      </c>
      <c r="K128" t="s">
        <v>25</v>
      </c>
      <c r="L128" t="s">
        <v>628</v>
      </c>
      <c r="M128" t="s">
        <v>54</v>
      </c>
      <c r="N128" t="s">
        <v>6</v>
      </c>
      <c r="O128" t="s">
        <v>786</v>
      </c>
    </row>
    <row r="129" spans="1:15" x14ac:dyDescent="0.25">
      <c r="A129" t="s">
        <v>787</v>
      </c>
      <c r="B129" t="s">
        <v>100</v>
      </c>
      <c r="C129" t="s">
        <v>621</v>
      </c>
      <c r="D129" t="s">
        <v>618</v>
      </c>
      <c r="E129" t="s">
        <v>622</v>
      </c>
      <c r="F129" s="213" t="s">
        <v>56</v>
      </c>
      <c r="G129" t="s">
        <v>66</v>
      </c>
      <c r="H129" t="s">
        <v>84</v>
      </c>
      <c r="I129" t="s">
        <v>623</v>
      </c>
      <c r="J129" t="s">
        <v>56</v>
      </c>
      <c r="K129" t="s">
        <v>27</v>
      </c>
      <c r="L129" t="s">
        <v>626</v>
      </c>
      <c r="M129" t="s">
        <v>9</v>
      </c>
      <c r="N129" t="s">
        <v>15</v>
      </c>
      <c r="O129" t="s">
        <v>749</v>
      </c>
    </row>
    <row r="130" spans="1:15" x14ac:dyDescent="0.25">
      <c r="A130" t="s">
        <v>788</v>
      </c>
      <c r="B130" t="s">
        <v>100</v>
      </c>
      <c r="C130" t="s">
        <v>621</v>
      </c>
      <c r="D130" t="s">
        <v>618</v>
      </c>
      <c r="E130" t="s">
        <v>622</v>
      </c>
      <c r="F130" s="213" t="s">
        <v>56</v>
      </c>
      <c r="G130" t="s">
        <v>66</v>
      </c>
      <c r="H130" t="s">
        <v>84</v>
      </c>
      <c r="I130" t="s">
        <v>623</v>
      </c>
      <c r="J130" t="s">
        <v>56</v>
      </c>
      <c r="K130" t="s">
        <v>25</v>
      </c>
      <c r="L130" t="s">
        <v>628</v>
      </c>
      <c r="M130" t="s">
        <v>9</v>
      </c>
      <c r="N130" t="s">
        <v>11</v>
      </c>
      <c r="O130" t="s">
        <v>789</v>
      </c>
    </row>
    <row r="131" spans="1:15" x14ac:dyDescent="0.25">
      <c r="A131" t="s">
        <v>790</v>
      </c>
      <c r="B131" t="s">
        <v>100</v>
      </c>
      <c r="C131" t="s">
        <v>621</v>
      </c>
      <c r="D131" t="s">
        <v>618</v>
      </c>
      <c r="E131" t="s">
        <v>622</v>
      </c>
      <c r="F131" s="213" t="s">
        <v>56</v>
      </c>
      <c r="G131" t="s">
        <v>66</v>
      </c>
      <c r="H131" t="s">
        <v>84</v>
      </c>
      <c r="I131" t="s">
        <v>623</v>
      </c>
      <c r="J131" t="s">
        <v>56</v>
      </c>
      <c r="K131" t="s">
        <v>22</v>
      </c>
      <c r="L131" t="s">
        <v>630</v>
      </c>
      <c r="M131" t="s">
        <v>9</v>
      </c>
      <c r="N131" t="s">
        <v>53</v>
      </c>
      <c r="O131" t="s">
        <v>49</v>
      </c>
    </row>
    <row r="132" spans="1:15" x14ac:dyDescent="0.25">
      <c r="A132" t="s">
        <v>791</v>
      </c>
      <c r="B132" t="s">
        <v>100</v>
      </c>
      <c r="C132" t="s">
        <v>621</v>
      </c>
      <c r="D132" t="s">
        <v>618</v>
      </c>
      <c r="E132" t="s">
        <v>622</v>
      </c>
      <c r="F132" s="213" t="s">
        <v>56</v>
      </c>
      <c r="G132" t="s">
        <v>66</v>
      </c>
      <c r="H132" t="s">
        <v>84</v>
      </c>
      <c r="I132" t="s">
        <v>623</v>
      </c>
      <c r="J132" t="s">
        <v>56</v>
      </c>
      <c r="K132" t="s">
        <v>19</v>
      </c>
      <c r="L132" t="s">
        <v>625</v>
      </c>
      <c r="M132" t="s">
        <v>9</v>
      </c>
      <c r="N132" t="s">
        <v>24</v>
      </c>
      <c r="O132" t="s">
        <v>637</v>
      </c>
    </row>
    <row r="133" spans="1:15" x14ac:dyDescent="0.25">
      <c r="A133" t="s">
        <v>792</v>
      </c>
      <c r="B133" t="s">
        <v>100</v>
      </c>
      <c r="C133" t="s">
        <v>621</v>
      </c>
      <c r="D133" t="s">
        <v>618</v>
      </c>
      <c r="E133" t="s">
        <v>622</v>
      </c>
      <c r="F133" s="213" t="s">
        <v>56</v>
      </c>
      <c r="G133" t="s">
        <v>66</v>
      </c>
      <c r="H133" t="s">
        <v>84</v>
      </c>
      <c r="I133" t="s">
        <v>623</v>
      </c>
      <c r="J133" t="s">
        <v>56</v>
      </c>
      <c r="K133" t="s">
        <v>15</v>
      </c>
      <c r="L133" t="s">
        <v>632</v>
      </c>
      <c r="M133" t="s">
        <v>9</v>
      </c>
      <c r="N133" t="s">
        <v>100</v>
      </c>
      <c r="O133" t="s">
        <v>793</v>
      </c>
    </row>
    <row r="134" spans="1:15" x14ac:dyDescent="0.25">
      <c r="A134" t="s">
        <v>794</v>
      </c>
      <c r="B134" t="s">
        <v>100</v>
      </c>
      <c r="C134" t="s">
        <v>621</v>
      </c>
      <c r="D134" t="s">
        <v>618</v>
      </c>
      <c r="E134" t="s">
        <v>622</v>
      </c>
      <c r="F134" s="213" t="s">
        <v>56</v>
      </c>
      <c r="G134" t="s">
        <v>66</v>
      </c>
      <c r="H134" t="s">
        <v>84</v>
      </c>
      <c r="I134" t="s">
        <v>623</v>
      </c>
      <c r="J134" t="s">
        <v>56</v>
      </c>
      <c r="K134" t="s">
        <v>12</v>
      </c>
      <c r="L134" t="s">
        <v>629</v>
      </c>
      <c r="M134" t="s">
        <v>9</v>
      </c>
      <c r="N134" t="s">
        <v>51</v>
      </c>
      <c r="O134" t="s">
        <v>418</v>
      </c>
    </row>
    <row r="135" spans="1:15" x14ac:dyDescent="0.25">
      <c r="A135" t="s">
        <v>795</v>
      </c>
      <c r="B135" t="s">
        <v>100</v>
      </c>
      <c r="C135" t="s">
        <v>621</v>
      </c>
      <c r="D135" t="s">
        <v>618</v>
      </c>
      <c r="E135" t="s">
        <v>622</v>
      </c>
      <c r="F135" s="213" t="s">
        <v>56</v>
      </c>
      <c r="G135" t="s">
        <v>66</v>
      </c>
      <c r="H135" t="s">
        <v>84</v>
      </c>
      <c r="I135" t="s">
        <v>623</v>
      </c>
      <c r="J135" t="s">
        <v>56</v>
      </c>
      <c r="K135" t="s">
        <v>27</v>
      </c>
      <c r="L135" t="s">
        <v>626</v>
      </c>
      <c r="M135" t="s">
        <v>63</v>
      </c>
      <c r="N135" t="s">
        <v>1</v>
      </c>
      <c r="O135" t="s">
        <v>101</v>
      </c>
    </row>
    <row r="136" spans="1:15" x14ac:dyDescent="0.25">
      <c r="A136" t="s">
        <v>796</v>
      </c>
      <c r="B136" t="s">
        <v>100</v>
      </c>
      <c r="C136" t="s">
        <v>621</v>
      </c>
      <c r="D136" t="s">
        <v>618</v>
      </c>
      <c r="E136" t="s">
        <v>622</v>
      </c>
      <c r="F136" s="213" t="s">
        <v>56</v>
      </c>
      <c r="G136" t="s">
        <v>66</v>
      </c>
      <c r="H136" t="s">
        <v>84</v>
      </c>
      <c r="I136" t="s">
        <v>623</v>
      </c>
      <c r="J136" t="s">
        <v>56</v>
      </c>
      <c r="K136" t="s">
        <v>27</v>
      </c>
      <c r="L136" t="s">
        <v>626</v>
      </c>
      <c r="M136" t="s">
        <v>59</v>
      </c>
      <c r="N136" t="s">
        <v>4</v>
      </c>
      <c r="O136" t="s">
        <v>100</v>
      </c>
    </row>
    <row r="137" spans="1:15" x14ac:dyDescent="0.25">
      <c r="A137" t="s">
        <v>797</v>
      </c>
      <c r="B137" t="s">
        <v>100</v>
      </c>
      <c r="C137" t="s">
        <v>621</v>
      </c>
      <c r="D137" t="s">
        <v>618</v>
      </c>
      <c r="E137" t="s">
        <v>622</v>
      </c>
      <c r="F137" s="213" t="s">
        <v>56</v>
      </c>
      <c r="G137" t="s">
        <v>66</v>
      </c>
      <c r="H137" t="s">
        <v>84</v>
      </c>
      <c r="I137" t="s">
        <v>623</v>
      </c>
      <c r="J137" t="s">
        <v>56</v>
      </c>
      <c r="K137" t="s">
        <v>27</v>
      </c>
      <c r="L137" t="s">
        <v>626</v>
      </c>
      <c r="M137" t="s">
        <v>8</v>
      </c>
      <c r="N137" t="s">
        <v>18</v>
      </c>
      <c r="O137" t="s">
        <v>662</v>
      </c>
    </row>
    <row r="138" spans="1:15" x14ac:dyDescent="0.25">
      <c r="A138" t="s">
        <v>798</v>
      </c>
      <c r="B138" t="s">
        <v>100</v>
      </c>
      <c r="C138" t="s">
        <v>621</v>
      </c>
      <c r="D138" t="s">
        <v>618</v>
      </c>
      <c r="E138" t="s">
        <v>622</v>
      </c>
      <c r="F138" s="213" t="s">
        <v>56</v>
      </c>
      <c r="G138" t="s">
        <v>66</v>
      </c>
      <c r="H138" t="s">
        <v>84</v>
      </c>
      <c r="I138" t="s">
        <v>623</v>
      </c>
      <c r="J138" t="s">
        <v>56</v>
      </c>
      <c r="K138" t="s">
        <v>25</v>
      </c>
      <c r="L138" t="s">
        <v>628</v>
      </c>
      <c r="M138" t="s">
        <v>8</v>
      </c>
      <c r="N138" t="s">
        <v>14</v>
      </c>
      <c r="O138" t="s">
        <v>741</v>
      </c>
    </row>
    <row r="139" spans="1:15" x14ac:dyDescent="0.25">
      <c r="A139" t="s">
        <v>799</v>
      </c>
      <c r="B139" t="s">
        <v>100</v>
      </c>
      <c r="C139" t="s">
        <v>621</v>
      </c>
      <c r="D139" t="s">
        <v>618</v>
      </c>
      <c r="E139" t="s">
        <v>622</v>
      </c>
      <c r="F139" s="213" t="s">
        <v>56</v>
      </c>
      <c r="G139" t="s">
        <v>66</v>
      </c>
      <c r="H139" t="s">
        <v>84</v>
      </c>
      <c r="I139" t="s">
        <v>623</v>
      </c>
      <c r="J139" t="s">
        <v>56</v>
      </c>
      <c r="K139" t="s">
        <v>22</v>
      </c>
      <c r="L139" t="s">
        <v>630</v>
      </c>
      <c r="M139" t="s">
        <v>8</v>
      </c>
      <c r="N139" t="s">
        <v>52</v>
      </c>
      <c r="O139" t="s">
        <v>418</v>
      </c>
    </row>
    <row r="140" spans="1:15" x14ac:dyDescent="0.25">
      <c r="A140" t="s">
        <v>800</v>
      </c>
      <c r="B140" t="s">
        <v>100</v>
      </c>
      <c r="C140" t="s">
        <v>621</v>
      </c>
      <c r="D140" t="s">
        <v>618</v>
      </c>
      <c r="E140" t="s">
        <v>622</v>
      </c>
      <c r="F140" s="213" t="s">
        <v>56</v>
      </c>
      <c r="G140" t="s">
        <v>66</v>
      </c>
      <c r="H140" t="s">
        <v>84</v>
      </c>
      <c r="I140" t="s">
        <v>623</v>
      </c>
      <c r="J140" t="s">
        <v>56</v>
      </c>
      <c r="K140" t="s">
        <v>19</v>
      </c>
      <c r="L140" t="s">
        <v>625</v>
      </c>
      <c r="M140" t="s">
        <v>8</v>
      </c>
      <c r="N140" t="s">
        <v>37</v>
      </c>
      <c r="O140" t="s">
        <v>632</v>
      </c>
    </row>
    <row r="141" spans="1:15" x14ac:dyDescent="0.25">
      <c r="A141" t="s">
        <v>801</v>
      </c>
      <c r="B141" t="s">
        <v>100</v>
      </c>
      <c r="C141" t="s">
        <v>621</v>
      </c>
      <c r="D141" t="s">
        <v>618</v>
      </c>
      <c r="E141" t="s">
        <v>622</v>
      </c>
      <c r="F141" s="213" t="s">
        <v>56</v>
      </c>
      <c r="G141" t="s">
        <v>66</v>
      </c>
      <c r="H141" t="s">
        <v>84</v>
      </c>
      <c r="I141" t="s">
        <v>623</v>
      </c>
      <c r="J141" t="s">
        <v>56</v>
      </c>
      <c r="K141" t="s">
        <v>15</v>
      </c>
      <c r="L141" t="s">
        <v>632</v>
      </c>
      <c r="M141" t="s">
        <v>8</v>
      </c>
      <c r="N141" t="s">
        <v>51</v>
      </c>
      <c r="O141" t="s">
        <v>654</v>
      </c>
    </row>
    <row r="142" spans="1:15" x14ac:dyDescent="0.25">
      <c r="A142" t="s">
        <v>802</v>
      </c>
      <c r="B142" t="s">
        <v>100</v>
      </c>
      <c r="C142" t="s">
        <v>621</v>
      </c>
      <c r="D142" t="s">
        <v>618</v>
      </c>
      <c r="E142" t="s">
        <v>622</v>
      </c>
      <c r="F142" s="213" t="s">
        <v>56</v>
      </c>
      <c r="G142" t="s">
        <v>66</v>
      </c>
      <c r="H142" t="s">
        <v>84</v>
      </c>
      <c r="I142" t="s">
        <v>623</v>
      </c>
      <c r="J142" t="s">
        <v>56</v>
      </c>
      <c r="K142" t="s">
        <v>12</v>
      </c>
      <c r="L142" t="s">
        <v>629</v>
      </c>
      <c r="M142" t="s">
        <v>8</v>
      </c>
      <c r="N142" t="s">
        <v>49</v>
      </c>
      <c r="O142" t="s">
        <v>624</v>
      </c>
    </row>
    <row r="143" spans="1:15" x14ac:dyDescent="0.25">
      <c r="A143" t="s">
        <v>803</v>
      </c>
      <c r="B143" t="s">
        <v>100</v>
      </c>
      <c r="C143" t="s">
        <v>621</v>
      </c>
      <c r="D143" t="s">
        <v>618</v>
      </c>
      <c r="E143" t="s">
        <v>622</v>
      </c>
      <c r="F143" s="213" t="s">
        <v>56</v>
      </c>
      <c r="G143" t="s">
        <v>66</v>
      </c>
      <c r="H143" t="s">
        <v>84</v>
      </c>
      <c r="I143" t="s">
        <v>623</v>
      </c>
      <c r="J143" t="s">
        <v>56</v>
      </c>
      <c r="K143" t="s">
        <v>27</v>
      </c>
      <c r="L143" t="s">
        <v>626</v>
      </c>
      <c r="M143" t="s">
        <v>3</v>
      </c>
      <c r="N143" t="s">
        <v>50</v>
      </c>
      <c r="O143" t="s">
        <v>665</v>
      </c>
    </row>
    <row r="144" spans="1:15" x14ac:dyDescent="0.25">
      <c r="A144" t="s">
        <v>804</v>
      </c>
      <c r="B144" t="s">
        <v>100</v>
      </c>
      <c r="C144" t="s">
        <v>621</v>
      </c>
      <c r="D144" t="s">
        <v>618</v>
      </c>
      <c r="E144" t="s">
        <v>622</v>
      </c>
      <c r="F144" s="213" t="s">
        <v>56</v>
      </c>
      <c r="G144" t="s">
        <v>66</v>
      </c>
      <c r="H144" t="s">
        <v>84</v>
      </c>
      <c r="I144" t="s">
        <v>623</v>
      </c>
      <c r="J144" t="s">
        <v>56</v>
      </c>
      <c r="K144" t="s">
        <v>25</v>
      </c>
      <c r="L144" t="s">
        <v>628</v>
      </c>
      <c r="M144" t="s">
        <v>3</v>
      </c>
      <c r="N144" t="s">
        <v>48</v>
      </c>
      <c r="O144" t="s">
        <v>623</v>
      </c>
    </row>
    <row r="145" spans="1:15" x14ac:dyDescent="0.25">
      <c r="A145" t="s">
        <v>805</v>
      </c>
      <c r="B145" t="s">
        <v>100</v>
      </c>
      <c r="C145" t="s">
        <v>621</v>
      </c>
      <c r="D145" t="s">
        <v>618</v>
      </c>
      <c r="E145" t="s">
        <v>622</v>
      </c>
      <c r="F145" s="213" t="s">
        <v>56</v>
      </c>
      <c r="G145" t="s">
        <v>66</v>
      </c>
      <c r="H145" t="s">
        <v>84</v>
      </c>
      <c r="I145" t="s">
        <v>623</v>
      </c>
      <c r="J145" t="s">
        <v>56</v>
      </c>
      <c r="K145" t="s">
        <v>22</v>
      </c>
      <c r="L145" t="s">
        <v>630</v>
      </c>
      <c r="M145" t="s">
        <v>3</v>
      </c>
      <c r="N145" t="s">
        <v>19</v>
      </c>
      <c r="O145" t="s">
        <v>765</v>
      </c>
    </row>
    <row r="146" spans="1:15" x14ac:dyDescent="0.25">
      <c r="A146" t="s">
        <v>806</v>
      </c>
      <c r="B146" t="s">
        <v>100</v>
      </c>
      <c r="C146" t="s">
        <v>621</v>
      </c>
      <c r="D146" t="s">
        <v>618</v>
      </c>
      <c r="E146" t="s">
        <v>622</v>
      </c>
      <c r="F146" s="213" t="s">
        <v>56</v>
      </c>
      <c r="G146" t="s">
        <v>66</v>
      </c>
      <c r="H146" t="s">
        <v>84</v>
      </c>
      <c r="I146" t="s">
        <v>623</v>
      </c>
      <c r="J146" t="s">
        <v>56</v>
      </c>
      <c r="K146" t="s">
        <v>19</v>
      </c>
      <c r="L146" t="s">
        <v>625</v>
      </c>
      <c r="M146" t="s">
        <v>3</v>
      </c>
      <c r="N146" t="s">
        <v>67</v>
      </c>
      <c r="O146" t="s">
        <v>807</v>
      </c>
    </row>
    <row r="147" spans="1:15" x14ac:dyDescent="0.25">
      <c r="A147" t="s">
        <v>808</v>
      </c>
      <c r="B147" t="s">
        <v>100</v>
      </c>
      <c r="C147" t="s">
        <v>621</v>
      </c>
      <c r="D147" t="s">
        <v>618</v>
      </c>
      <c r="E147" t="s">
        <v>622</v>
      </c>
      <c r="F147" s="213" t="s">
        <v>56</v>
      </c>
      <c r="G147" t="s">
        <v>66</v>
      </c>
      <c r="H147" t="s">
        <v>84</v>
      </c>
      <c r="I147" t="s">
        <v>623</v>
      </c>
      <c r="J147" t="s">
        <v>56</v>
      </c>
      <c r="K147" t="s">
        <v>15</v>
      </c>
      <c r="L147" t="s">
        <v>632</v>
      </c>
      <c r="M147" t="s">
        <v>3</v>
      </c>
      <c r="N147" t="s">
        <v>30</v>
      </c>
      <c r="O147" t="s">
        <v>809</v>
      </c>
    </row>
    <row r="148" spans="1:15" x14ac:dyDescent="0.25">
      <c r="A148" t="s">
        <v>810</v>
      </c>
      <c r="B148" t="s">
        <v>100</v>
      </c>
      <c r="C148" t="s">
        <v>621</v>
      </c>
      <c r="D148" t="s">
        <v>618</v>
      </c>
      <c r="E148" t="s">
        <v>622</v>
      </c>
      <c r="F148" s="213" t="s">
        <v>56</v>
      </c>
      <c r="G148" t="s">
        <v>66</v>
      </c>
      <c r="H148" t="s">
        <v>84</v>
      </c>
      <c r="I148" t="s">
        <v>623</v>
      </c>
      <c r="J148" t="s">
        <v>56</v>
      </c>
      <c r="K148" t="s">
        <v>12</v>
      </c>
      <c r="L148" t="s">
        <v>629</v>
      </c>
      <c r="M148" t="s">
        <v>3</v>
      </c>
      <c r="N148" t="s">
        <v>60</v>
      </c>
      <c r="O148" t="s">
        <v>418</v>
      </c>
    </row>
    <row r="149" spans="1:15" x14ac:dyDescent="0.25">
      <c r="A149" t="s">
        <v>811</v>
      </c>
      <c r="B149" t="s">
        <v>100</v>
      </c>
      <c r="C149" t="s">
        <v>621</v>
      </c>
      <c r="D149" t="s">
        <v>618</v>
      </c>
      <c r="E149" t="s">
        <v>622</v>
      </c>
      <c r="F149" s="213" t="s">
        <v>56</v>
      </c>
      <c r="G149" t="s">
        <v>66</v>
      </c>
      <c r="H149" t="s">
        <v>84</v>
      </c>
      <c r="I149" t="s">
        <v>623</v>
      </c>
      <c r="J149" t="s">
        <v>56</v>
      </c>
      <c r="K149" t="s">
        <v>10</v>
      </c>
      <c r="L149" t="s">
        <v>635</v>
      </c>
      <c r="M149" t="s">
        <v>3</v>
      </c>
      <c r="N149" t="s">
        <v>100</v>
      </c>
      <c r="O149" t="s">
        <v>812</v>
      </c>
    </row>
    <row r="150" spans="1:15" x14ac:dyDescent="0.25">
      <c r="A150" t="s">
        <v>813</v>
      </c>
      <c r="B150" t="s">
        <v>100</v>
      </c>
      <c r="C150" t="s">
        <v>621</v>
      </c>
      <c r="D150" t="s">
        <v>618</v>
      </c>
      <c r="E150" t="s">
        <v>622</v>
      </c>
      <c r="F150" s="213" t="s">
        <v>56</v>
      </c>
      <c r="G150" t="s">
        <v>66</v>
      </c>
      <c r="H150" t="s">
        <v>84</v>
      </c>
      <c r="I150" t="s">
        <v>623</v>
      </c>
      <c r="J150" t="s">
        <v>56</v>
      </c>
      <c r="K150" t="s">
        <v>8</v>
      </c>
      <c r="L150" t="s">
        <v>637</v>
      </c>
      <c r="M150" t="s">
        <v>3</v>
      </c>
      <c r="N150" t="s">
        <v>28</v>
      </c>
      <c r="O150" t="s">
        <v>814</v>
      </c>
    </row>
    <row r="151" spans="1:15" x14ac:dyDescent="0.25">
      <c r="A151" t="s">
        <v>815</v>
      </c>
      <c r="B151" t="s">
        <v>100</v>
      </c>
      <c r="C151" t="s">
        <v>621</v>
      </c>
      <c r="D151" t="s">
        <v>618</v>
      </c>
      <c r="E151" t="s">
        <v>622</v>
      </c>
      <c r="F151" s="213" t="s">
        <v>56</v>
      </c>
      <c r="G151" t="s">
        <v>66</v>
      </c>
      <c r="H151" t="s">
        <v>84</v>
      </c>
      <c r="I151" t="s">
        <v>623</v>
      </c>
      <c r="J151" t="s">
        <v>56</v>
      </c>
      <c r="K151" t="s">
        <v>6</v>
      </c>
      <c r="L151" t="s">
        <v>639</v>
      </c>
      <c r="M151" t="s">
        <v>3</v>
      </c>
      <c r="N151" t="s">
        <v>9</v>
      </c>
      <c r="O151" t="s">
        <v>816</v>
      </c>
    </row>
    <row r="152" spans="1:15" x14ac:dyDescent="0.25">
      <c r="A152" t="s">
        <v>817</v>
      </c>
      <c r="B152" t="s">
        <v>100</v>
      </c>
      <c r="C152" t="s">
        <v>621</v>
      </c>
      <c r="D152" t="s">
        <v>618</v>
      </c>
      <c r="E152" t="s">
        <v>622</v>
      </c>
      <c r="F152" s="213" t="s">
        <v>56</v>
      </c>
      <c r="G152" t="s">
        <v>66</v>
      </c>
      <c r="H152" t="s">
        <v>84</v>
      </c>
      <c r="I152" t="s">
        <v>623</v>
      </c>
      <c r="J152" t="s">
        <v>56</v>
      </c>
      <c r="K152" t="s">
        <v>27</v>
      </c>
      <c r="L152" t="s">
        <v>626</v>
      </c>
      <c r="M152" t="s">
        <v>42</v>
      </c>
      <c r="N152" t="s">
        <v>16</v>
      </c>
      <c r="O152" t="s">
        <v>818</v>
      </c>
    </row>
    <row r="153" spans="1:15" x14ac:dyDescent="0.25">
      <c r="A153" t="s">
        <v>819</v>
      </c>
      <c r="B153" t="s">
        <v>100</v>
      </c>
      <c r="C153" t="s">
        <v>621</v>
      </c>
      <c r="D153" t="s">
        <v>618</v>
      </c>
      <c r="E153" t="s">
        <v>622</v>
      </c>
      <c r="F153" s="213" t="s">
        <v>56</v>
      </c>
      <c r="G153" t="s">
        <v>66</v>
      </c>
      <c r="H153" t="s">
        <v>84</v>
      </c>
      <c r="I153" t="s">
        <v>623</v>
      </c>
      <c r="J153" t="s">
        <v>56</v>
      </c>
      <c r="K153" t="s">
        <v>25</v>
      </c>
      <c r="L153" t="s">
        <v>628</v>
      </c>
      <c r="M153" t="s">
        <v>42</v>
      </c>
      <c r="N153" t="s">
        <v>13</v>
      </c>
      <c r="O153" t="s">
        <v>624</v>
      </c>
    </row>
    <row r="154" spans="1:15" x14ac:dyDescent="0.25">
      <c r="A154" t="s">
        <v>820</v>
      </c>
      <c r="B154" t="s">
        <v>100</v>
      </c>
      <c r="C154" t="s">
        <v>621</v>
      </c>
      <c r="D154" t="s">
        <v>618</v>
      </c>
      <c r="E154" t="s">
        <v>622</v>
      </c>
      <c r="F154" s="213" t="s">
        <v>56</v>
      </c>
      <c r="G154" t="s">
        <v>66</v>
      </c>
      <c r="H154" t="s">
        <v>84</v>
      </c>
      <c r="I154" t="s">
        <v>623</v>
      </c>
      <c r="J154" t="s">
        <v>56</v>
      </c>
      <c r="K154" t="s">
        <v>22</v>
      </c>
      <c r="L154" t="s">
        <v>630</v>
      </c>
      <c r="M154" t="s">
        <v>42</v>
      </c>
      <c r="N154" t="s">
        <v>12</v>
      </c>
      <c r="O154" t="s">
        <v>650</v>
      </c>
    </row>
    <row r="155" spans="1:15" x14ac:dyDescent="0.25">
      <c r="A155" t="s">
        <v>821</v>
      </c>
      <c r="B155" t="s">
        <v>100</v>
      </c>
      <c r="C155" t="s">
        <v>621</v>
      </c>
      <c r="D155" t="s">
        <v>618</v>
      </c>
      <c r="E155" t="s">
        <v>622</v>
      </c>
      <c r="F155" s="213" t="s">
        <v>56</v>
      </c>
      <c r="G155" t="s">
        <v>66</v>
      </c>
      <c r="H155" t="s">
        <v>84</v>
      </c>
      <c r="I155" t="s">
        <v>623</v>
      </c>
      <c r="J155" t="s">
        <v>56</v>
      </c>
      <c r="K155" t="s">
        <v>19</v>
      </c>
      <c r="L155" t="s">
        <v>625</v>
      </c>
      <c r="M155" t="s">
        <v>42</v>
      </c>
      <c r="N155" t="s">
        <v>14</v>
      </c>
      <c r="O155" t="s">
        <v>822</v>
      </c>
    </row>
    <row r="156" spans="1:15" x14ac:dyDescent="0.25">
      <c r="A156" t="s">
        <v>823</v>
      </c>
      <c r="B156" t="s">
        <v>100</v>
      </c>
      <c r="C156" t="s">
        <v>621</v>
      </c>
      <c r="D156" t="s">
        <v>618</v>
      </c>
      <c r="E156" t="s">
        <v>622</v>
      </c>
      <c r="F156" s="213" t="s">
        <v>56</v>
      </c>
      <c r="G156" t="s">
        <v>66</v>
      </c>
      <c r="H156" t="s">
        <v>84</v>
      </c>
      <c r="I156" t="s">
        <v>623</v>
      </c>
      <c r="J156" t="s">
        <v>56</v>
      </c>
      <c r="K156" t="s">
        <v>27</v>
      </c>
      <c r="L156" t="s">
        <v>626</v>
      </c>
      <c r="M156" t="s">
        <v>2</v>
      </c>
      <c r="N156" t="s">
        <v>60</v>
      </c>
      <c r="O156" t="s">
        <v>654</v>
      </c>
    </row>
    <row r="157" spans="1:15" x14ac:dyDescent="0.25">
      <c r="A157" t="s">
        <v>824</v>
      </c>
      <c r="B157" t="s">
        <v>100</v>
      </c>
      <c r="C157" t="s">
        <v>621</v>
      </c>
      <c r="D157" t="s">
        <v>618</v>
      </c>
      <c r="E157" t="s">
        <v>622</v>
      </c>
      <c r="F157" s="213" t="s">
        <v>56</v>
      </c>
      <c r="G157" t="s">
        <v>66</v>
      </c>
      <c r="H157" t="s">
        <v>84</v>
      </c>
      <c r="I157" t="s">
        <v>623</v>
      </c>
      <c r="J157" t="s">
        <v>56</v>
      </c>
      <c r="K157" t="s">
        <v>25</v>
      </c>
      <c r="L157" t="s">
        <v>628</v>
      </c>
      <c r="M157" t="s">
        <v>2</v>
      </c>
      <c r="N157" t="s">
        <v>21</v>
      </c>
      <c r="O157" t="s">
        <v>825</v>
      </c>
    </row>
    <row r="158" spans="1:15" x14ac:dyDescent="0.25">
      <c r="A158" t="s">
        <v>826</v>
      </c>
      <c r="B158" t="s">
        <v>100</v>
      </c>
      <c r="C158" t="s">
        <v>621</v>
      </c>
      <c r="D158" t="s">
        <v>618</v>
      </c>
      <c r="E158" t="s">
        <v>622</v>
      </c>
      <c r="F158" s="213" t="s">
        <v>56</v>
      </c>
      <c r="G158" t="s">
        <v>66</v>
      </c>
      <c r="H158" t="s">
        <v>84</v>
      </c>
      <c r="I158" t="s">
        <v>623</v>
      </c>
      <c r="J158" t="s">
        <v>56</v>
      </c>
      <c r="K158" t="s">
        <v>22</v>
      </c>
      <c r="L158" t="s">
        <v>630</v>
      </c>
      <c r="M158" t="s">
        <v>2</v>
      </c>
      <c r="N158" t="s">
        <v>67</v>
      </c>
      <c r="O158" t="s">
        <v>827</v>
      </c>
    </row>
    <row r="159" spans="1:15" x14ac:dyDescent="0.25">
      <c r="A159" t="s">
        <v>828</v>
      </c>
      <c r="B159" t="s">
        <v>100</v>
      </c>
      <c r="C159" t="s">
        <v>621</v>
      </c>
      <c r="D159" t="s">
        <v>618</v>
      </c>
      <c r="E159" t="s">
        <v>622</v>
      </c>
      <c r="F159" s="213" t="s">
        <v>56</v>
      </c>
      <c r="G159" t="s">
        <v>66</v>
      </c>
      <c r="H159" t="s">
        <v>84</v>
      </c>
      <c r="I159" t="s">
        <v>623</v>
      </c>
      <c r="J159" t="s">
        <v>56</v>
      </c>
      <c r="K159" t="s">
        <v>19</v>
      </c>
      <c r="L159" t="s">
        <v>625</v>
      </c>
      <c r="M159" t="s">
        <v>2</v>
      </c>
      <c r="N159" t="s">
        <v>63</v>
      </c>
      <c r="O159" t="s">
        <v>39</v>
      </c>
    </row>
    <row r="160" spans="1:15" x14ac:dyDescent="0.25">
      <c r="A160" t="s">
        <v>829</v>
      </c>
      <c r="B160" t="s">
        <v>100</v>
      </c>
      <c r="C160" t="s">
        <v>621</v>
      </c>
      <c r="D160" t="s">
        <v>618</v>
      </c>
      <c r="E160" t="s">
        <v>622</v>
      </c>
      <c r="F160" s="213" t="s">
        <v>56</v>
      </c>
      <c r="G160" t="s">
        <v>66</v>
      </c>
      <c r="H160" t="s">
        <v>84</v>
      </c>
      <c r="I160" t="s">
        <v>623</v>
      </c>
      <c r="J160" t="s">
        <v>56</v>
      </c>
      <c r="K160" t="s">
        <v>15</v>
      </c>
      <c r="L160" t="s">
        <v>632</v>
      </c>
      <c r="M160" t="s">
        <v>2</v>
      </c>
      <c r="N160" t="s">
        <v>47</v>
      </c>
      <c r="O160" t="s">
        <v>632</v>
      </c>
    </row>
    <row r="161" spans="1:15" x14ac:dyDescent="0.25">
      <c r="A161" t="s">
        <v>830</v>
      </c>
      <c r="B161" t="s">
        <v>100</v>
      </c>
      <c r="C161" t="s">
        <v>621</v>
      </c>
      <c r="D161" t="s">
        <v>618</v>
      </c>
      <c r="E161" t="s">
        <v>622</v>
      </c>
      <c r="F161" s="213" t="s">
        <v>56</v>
      </c>
      <c r="G161" t="s">
        <v>66</v>
      </c>
      <c r="H161" t="s">
        <v>84</v>
      </c>
      <c r="I161" t="s">
        <v>623</v>
      </c>
      <c r="J161" t="s">
        <v>56</v>
      </c>
      <c r="K161" t="s">
        <v>12</v>
      </c>
      <c r="L161" t="s">
        <v>629</v>
      </c>
      <c r="M161" t="s">
        <v>2</v>
      </c>
      <c r="N161" t="s">
        <v>31</v>
      </c>
      <c r="O161" t="s">
        <v>809</v>
      </c>
    </row>
    <row r="162" spans="1:15" x14ac:dyDescent="0.25">
      <c r="A162" t="s">
        <v>831</v>
      </c>
      <c r="B162" t="s">
        <v>100</v>
      </c>
      <c r="C162" t="s">
        <v>621</v>
      </c>
      <c r="D162" t="s">
        <v>618</v>
      </c>
      <c r="E162" t="s">
        <v>622</v>
      </c>
      <c r="F162" s="213" t="s">
        <v>56</v>
      </c>
      <c r="G162" t="s">
        <v>66</v>
      </c>
      <c r="H162" t="s">
        <v>84</v>
      </c>
      <c r="I162" t="s">
        <v>623</v>
      </c>
      <c r="J162" t="s">
        <v>56</v>
      </c>
      <c r="K162" t="s">
        <v>10</v>
      </c>
      <c r="L162" t="s">
        <v>635</v>
      </c>
      <c r="M162" t="s">
        <v>2</v>
      </c>
      <c r="N162" t="s">
        <v>1</v>
      </c>
      <c r="O162" t="s">
        <v>633</v>
      </c>
    </row>
    <row r="163" spans="1:15" x14ac:dyDescent="0.25">
      <c r="A163" t="s">
        <v>832</v>
      </c>
      <c r="B163" t="s">
        <v>100</v>
      </c>
      <c r="C163" t="s">
        <v>621</v>
      </c>
      <c r="D163" t="s">
        <v>618</v>
      </c>
      <c r="E163" t="s">
        <v>622</v>
      </c>
      <c r="F163" s="213" t="s">
        <v>56</v>
      </c>
      <c r="G163" t="s">
        <v>66</v>
      </c>
      <c r="H163" t="s">
        <v>84</v>
      </c>
      <c r="I163" t="s">
        <v>623</v>
      </c>
      <c r="J163" t="s">
        <v>56</v>
      </c>
      <c r="K163" t="s">
        <v>8</v>
      </c>
      <c r="L163" t="s">
        <v>637</v>
      </c>
      <c r="M163" t="s">
        <v>2</v>
      </c>
      <c r="N163" t="s">
        <v>61</v>
      </c>
      <c r="O163" t="s">
        <v>101</v>
      </c>
    </row>
    <row r="164" spans="1:15" x14ac:dyDescent="0.25">
      <c r="A164" t="s">
        <v>833</v>
      </c>
      <c r="B164" t="s">
        <v>100</v>
      </c>
      <c r="C164" t="s">
        <v>621</v>
      </c>
      <c r="D164" t="s">
        <v>618</v>
      </c>
      <c r="E164" t="s">
        <v>622</v>
      </c>
      <c r="F164" s="213" t="s">
        <v>56</v>
      </c>
      <c r="G164" t="s">
        <v>66</v>
      </c>
      <c r="H164" t="s">
        <v>84</v>
      </c>
      <c r="I164" t="s">
        <v>623</v>
      </c>
      <c r="J164" t="s">
        <v>56</v>
      </c>
      <c r="K164" t="s">
        <v>6</v>
      </c>
      <c r="L164" t="s">
        <v>639</v>
      </c>
      <c r="M164" t="s">
        <v>2</v>
      </c>
      <c r="N164" t="s">
        <v>49</v>
      </c>
      <c r="O164" t="s">
        <v>623</v>
      </c>
    </row>
    <row r="165" spans="1:15" x14ac:dyDescent="0.25">
      <c r="A165" t="s">
        <v>834</v>
      </c>
      <c r="B165" t="s">
        <v>100</v>
      </c>
      <c r="C165" t="s">
        <v>621</v>
      </c>
      <c r="D165" t="s">
        <v>618</v>
      </c>
      <c r="E165" t="s">
        <v>622</v>
      </c>
      <c r="F165" s="213" t="s">
        <v>56</v>
      </c>
      <c r="G165" t="s">
        <v>66</v>
      </c>
      <c r="H165" t="s">
        <v>84</v>
      </c>
      <c r="I165" t="s">
        <v>623</v>
      </c>
      <c r="J165" t="s">
        <v>56</v>
      </c>
      <c r="K165" t="s">
        <v>27</v>
      </c>
      <c r="L165" t="s">
        <v>626</v>
      </c>
      <c r="M165" t="s">
        <v>37</v>
      </c>
      <c r="N165" t="s">
        <v>9</v>
      </c>
      <c r="O165" t="s">
        <v>665</v>
      </c>
    </row>
    <row r="166" spans="1:15" x14ac:dyDescent="0.25">
      <c r="A166" t="s">
        <v>835</v>
      </c>
      <c r="B166" t="s">
        <v>100</v>
      </c>
      <c r="C166" t="s">
        <v>621</v>
      </c>
      <c r="D166" t="s">
        <v>618</v>
      </c>
      <c r="E166" t="s">
        <v>622</v>
      </c>
      <c r="F166" s="213" t="s">
        <v>56</v>
      </c>
      <c r="G166" t="s">
        <v>66</v>
      </c>
      <c r="H166" t="s">
        <v>84</v>
      </c>
      <c r="I166" t="s">
        <v>623</v>
      </c>
      <c r="J166" t="s">
        <v>56</v>
      </c>
      <c r="K166" t="s">
        <v>25</v>
      </c>
      <c r="L166" t="s">
        <v>628</v>
      </c>
      <c r="M166" t="s">
        <v>37</v>
      </c>
      <c r="N166" t="s">
        <v>16</v>
      </c>
      <c r="O166" t="s">
        <v>626</v>
      </c>
    </row>
    <row r="167" spans="1:15" x14ac:dyDescent="0.25">
      <c r="A167" t="s">
        <v>836</v>
      </c>
      <c r="B167" t="s">
        <v>100</v>
      </c>
      <c r="C167" t="s">
        <v>621</v>
      </c>
      <c r="D167" t="s">
        <v>618</v>
      </c>
      <c r="E167" t="s">
        <v>622</v>
      </c>
      <c r="F167" s="213" t="s">
        <v>56</v>
      </c>
      <c r="G167" t="s">
        <v>66</v>
      </c>
      <c r="H167" t="s">
        <v>84</v>
      </c>
      <c r="I167" t="s">
        <v>623</v>
      </c>
      <c r="J167" t="s">
        <v>56</v>
      </c>
      <c r="K167" t="s">
        <v>22</v>
      </c>
      <c r="L167" t="s">
        <v>630</v>
      </c>
      <c r="M167" t="s">
        <v>37</v>
      </c>
      <c r="N167" t="s">
        <v>2</v>
      </c>
      <c r="O167" t="s">
        <v>685</v>
      </c>
    </row>
    <row r="168" spans="1:15" x14ac:dyDescent="0.25">
      <c r="A168" t="s">
        <v>837</v>
      </c>
      <c r="B168" t="s">
        <v>100</v>
      </c>
      <c r="C168" t="s">
        <v>621</v>
      </c>
      <c r="D168" t="s">
        <v>618</v>
      </c>
      <c r="E168" t="s">
        <v>622</v>
      </c>
      <c r="F168" s="213" t="s">
        <v>56</v>
      </c>
      <c r="G168" t="s">
        <v>66</v>
      </c>
      <c r="H168" t="s">
        <v>84</v>
      </c>
      <c r="I168" t="s">
        <v>623</v>
      </c>
      <c r="J168" t="s">
        <v>56</v>
      </c>
      <c r="K168" t="s">
        <v>19</v>
      </c>
      <c r="L168" t="s">
        <v>625</v>
      </c>
      <c r="M168" t="s">
        <v>37</v>
      </c>
      <c r="N168" t="s">
        <v>16</v>
      </c>
      <c r="O168" t="s">
        <v>687</v>
      </c>
    </row>
    <row r="169" spans="1:15" x14ac:dyDescent="0.25">
      <c r="A169" t="s">
        <v>838</v>
      </c>
      <c r="B169" t="s">
        <v>100</v>
      </c>
      <c r="C169" t="s">
        <v>621</v>
      </c>
      <c r="D169" t="s">
        <v>618</v>
      </c>
      <c r="E169" t="s">
        <v>622</v>
      </c>
      <c r="F169" s="213" t="s">
        <v>56</v>
      </c>
      <c r="G169" t="s">
        <v>66</v>
      </c>
      <c r="H169" t="s">
        <v>84</v>
      </c>
      <c r="I169" t="s">
        <v>623</v>
      </c>
      <c r="J169" t="s">
        <v>56</v>
      </c>
      <c r="K169" t="s">
        <v>27</v>
      </c>
      <c r="L169" t="s">
        <v>626</v>
      </c>
      <c r="M169" t="s">
        <v>38</v>
      </c>
      <c r="N169" t="s">
        <v>20</v>
      </c>
      <c r="O169" t="s">
        <v>100</v>
      </c>
    </row>
    <row r="170" spans="1:15" x14ac:dyDescent="0.25">
      <c r="A170" t="s">
        <v>839</v>
      </c>
      <c r="B170" t="s">
        <v>100</v>
      </c>
      <c r="C170" t="s">
        <v>621</v>
      </c>
      <c r="D170" t="s">
        <v>618</v>
      </c>
      <c r="E170" t="s">
        <v>622</v>
      </c>
      <c r="F170" s="213" t="s">
        <v>56</v>
      </c>
      <c r="G170" t="s">
        <v>66</v>
      </c>
      <c r="H170" t="s">
        <v>84</v>
      </c>
      <c r="I170" t="s">
        <v>623</v>
      </c>
      <c r="J170" t="s">
        <v>56</v>
      </c>
      <c r="K170" t="s">
        <v>25</v>
      </c>
      <c r="L170" t="s">
        <v>628</v>
      </c>
      <c r="M170" t="s">
        <v>38</v>
      </c>
      <c r="N170" t="s">
        <v>20</v>
      </c>
      <c r="O170" t="s">
        <v>418</v>
      </c>
    </row>
    <row r="171" spans="1:15" x14ac:dyDescent="0.25">
      <c r="A171" t="s">
        <v>840</v>
      </c>
      <c r="B171" t="s">
        <v>100</v>
      </c>
      <c r="C171" t="s">
        <v>621</v>
      </c>
      <c r="D171" t="s">
        <v>618</v>
      </c>
      <c r="E171" t="s">
        <v>622</v>
      </c>
      <c r="F171" s="213" t="s">
        <v>56</v>
      </c>
      <c r="G171" t="s">
        <v>66</v>
      </c>
      <c r="H171" t="s">
        <v>84</v>
      </c>
      <c r="I171" t="s">
        <v>623</v>
      </c>
      <c r="J171" t="s">
        <v>56</v>
      </c>
      <c r="K171" t="s">
        <v>22</v>
      </c>
      <c r="L171" t="s">
        <v>630</v>
      </c>
      <c r="M171" t="s">
        <v>38</v>
      </c>
      <c r="N171" t="s">
        <v>13</v>
      </c>
      <c r="O171" t="s">
        <v>731</v>
      </c>
    </row>
    <row r="172" spans="1:15" x14ac:dyDescent="0.25">
      <c r="A172" t="s">
        <v>841</v>
      </c>
      <c r="B172" t="s">
        <v>100</v>
      </c>
      <c r="C172" t="s">
        <v>621</v>
      </c>
      <c r="D172" t="s">
        <v>618</v>
      </c>
      <c r="E172" t="s">
        <v>622</v>
      </c>
      <c r="F172" s="213" t="s">
        <v>56</v>
      </c>
      <c r="G172" t="s">
        <v>66</v>
      </c>
      <c r="H172" t="s">
        <v>84</v>
      </c>
      <c r="I172" t="s">
        <v>623</v>
      </c>
      <c r="J172" t="s">
        <v>56</v>
      </c>
      <c r="K172" t="s">
        <v>19</v>
      </c>
      <c r="L172" t="s">
        <v>625</v>
      </c>
      <c r="M172" t="s">
        <v>38</v>
      </c>
      <c r="N172" t="s">
        <v>5</v>
      </c>
      <c r="O172" t="s">
        <v>632</v>
      </c>
    </row>
    <row r="173" spans="1:15" x14ac:dyDescent="0.25">
      <c r="A173" t="s">
        <v>842</v>
      </c>
      <c r="B173" t="s">
        <v>100</v>
      </c>
      <c r="C173" t="s">
        <v>621</v>
      </c>
      <c r="D173" t="s">
        <v>618</v>
      </c>
      <c r="E173" t="s">
        <v>622</v>
      </c>
      <c r="F173" s="213" t="s">
        <v>56</v>
      </c>
      <c r="G173" t="s">
        <v>66</v>
      </c>
      <c r="H173" t="s">
        <v>84</v>
      </c>
      <c r="I173" t="s">
        <v>623</v>
      </c>
      <c r="J173" t="s">
        <v>56</v>
      </c>
      <c r="K173" t="s">
        <v>27</v>
      </c>
      <c r="L173" t="s">
        <v>626</v>
      </c>
      <c r="M173" t="s">
        <v>49</v>
      </c>
      <c r="N173" t="s">
        <v>6</v>
      </c>
      <c r="O173" t="s">
        <v>626</v>
      </c>
    </row>
    <row r="174" spans="1:15" x14ac:dyDescent="0.25">
      <c r="A174" t="s">
        <v>843</v>
      </c>
      <c r="B174" t="s">
        <v>100</v>
      </c>
      <c r="C174" t="s">
        <v>621</v>
      </c>
      <c r="D174" t="s">
        <v>618</v>
      </c>
      <c r="E174" t="s">
        <v>622</v>
      </c>
      <c r="F174" s="213" t="s">
        <v>56</v>
      </c>
      <c r="G174" t="s">
        <v>66</v>
      </c>
      <c r="H174" t="s">
        <v>84</v>
      </c>
      <c r="I174" t="s">
        <v>623</v>
      </c>
      <c r="J174" t="s">
        <v>56</v>
      </c>
      <c r="K174" t="s">
        <v>25</v>
      </c>
      <c r="L174" t="s">
        <v>628</v>
      </c>
      <c r="M174" t="s">
        <v>49</v>
      </c>
      <c r="N174" t="s">
        <v>5</v>
      </c>
      <c r="O174" t="s">
        <v>628</v>
      </c>
    </row>
    <row r="175" spans="1:15" x14ac:dyDescent="0.25">
      <c r="A175" t="s">
        <v>844</v>
      </c>
      <c r="B175" t="s">
        <v>100</v>
      </c>
      <c r="C175" t="s">
        <v>621</v>
      </c>
      <c r="D175" t="s">
        <v>618</v>
      </c>
      <c r="E175" t="s">
        <v>622</v>
      </c>
      <c r="F175" s="213" t="s">
        <v>56</v>
      </c>
      <c r="G175" t="s">
        <v>66</v>
      </c>
      <c r="H175" t="s">
        <v>84</v>
      </c>
      <c r="I175" t="s">
        <v>623</v>
      </c>
      <c r="J175" t="s">
        <v>56</v>
      </c>
      <c r="K175" t="s">
        <v>22</v>
      </c>
      <c r="L175" t="s">
        <v>630</v>
      </c>
      <c r="M175" t="s">
        <v>49</v>
      </c>
      <c r="N175" t="s">
        <v>9</v>
      </c>
      <c r="O175" t="s">
        <v>726</v>
      </c>
    </row>
    <row r="176" spans="1:15" x14ac:dyDescent="0.25">
      <c r="A176" t="s">
        <v>845</v>
      </c>
      <c r="B176" t="s">
        <v>100</v>
      </c>
      <c r="C176" t="s">
        <v>621</v>
      </c>
      <c r="D176" t="s">
        <v>618</v>
      </c>
      <c r="E176" t="s">
        <v>622</v>
      </c>
      <c r="F176" s="213" t="s">
        <v>56</v>
      </c>
      <c r="G176" t="s">
        <v>66</v>
      </c>
      <c r="H176" t="s">
        <v>84</v>
      </c>
      <c r="I176" t="s">
        <v>623</v>
      </c>
      <c r="J176" t="s">
        <v>56</v>
      </c>
      <c r="K176" t="s">
        <v>27</v>
      </c>
      <c r="L176" t="s">
        <v>626</v>
      </c>
      <c r="M176" t="s">
        <v>5</v>
      </c>
      <c r="N176" t="s">
        <v>21</v>
      </c>
      <c r="O176" t="s">
        <v>693</v>
      </c>
    </row>
    <row r="177" spans="1:15" x14ac:dyDescent="0.25">
      <c r="A177" t="s">
        <v>846</v>
      </c>
      <c r="B177" t="s">
        <v>100</v>
      </c>
      <c r="C177" t="s">
        <v>621</v>
      </c>
      <c r="D177" t="s">
        <v>618</v>
      </c>
      <c r="E177" t="s">
        <v>622</v>
      </c>
      <c r="F177" s="213" t="s">
        <v>56</v>
      </c>
      <c r="G177" t="s">
        <v>66</v>
      </c>
      <c r="H177" t="s">
        <v>84</v>
      </c>
      <c r="I177" t="s">
        <v>623</v>
      </c>
      <c r="J177" t="s">
        <v>56</v>
      </c>
      <c r="K177" t="s">
        <v>25</v>
      </c>
      <c r="L177" t="s">
        <v>628</v>
      </c>
      <c r="M177" t="s">
        <v>5</v>
      </c>
      <c r="N177" t="s">
        <v>17</v>
      </c>
      <c r="O177" t="s">
        <v>825</v>
      </c>
    </row>
    <row r="178" spans="1:15" x14ac:dyDescent="0.25">
      <c r="A178" t="s">
        <v>847</v>
      </c>
      <c r="B178" t="s">
        <v>100</v>
      </c>
      <c r="C178" t="s">
        <v>621</v>
      </c>
      <c r="D178" t="s">
        <v>618</v>
      </c>
      <c r="E178" t="s">
        <v>622</v>
      </c>
      <c r="F178" s="213" t="s">
        <v>56</v>
      </c>
      <c r="G178" t="s">
        <v>66</v>
      </c>
      <c r="H178" t="s">
        <v>84</v>
      </c>
      <c r="I178" t="s">
        <v>623</v>
      </c>
      <c r="J178" t="s">
        <v>56</v>
      </c>
      <c r="K178" t="s">
        <v>22</v>
      </c>
      <c r="L178" t="s">
        <v>630</v>
      </c>
      <c r="M178" t="s">
        <v>5</v>
      </c>
      <c r="N178" t="s">
        <v>32</v>
      </c>
      <c r="O178" t="s">
        <v>637</v>
      </c>
    </row>
    <row r="179" spans="1:15" x14ac:dyDescent="0.25">
      <c r="A179" t="s">
        <v>848</v>
      </c>
      <c r="B179" t="s">
        <v>100</v>
      </c>
      <c r="C179" t="s">
        <v>621</v>
      </c>
      <c r="D179" t="s">
        <v>618</v>
      </c>
      <c r="E179" t="s">
        <v>622</v>
      </c>
      <c r="F179" s="213" t="s">
        <v>56</v>
      </c>
      <c r="G179" t="s">
        <v>66</v>
      </c>
      <c r="H179" t="s">
        <v>84</v>
      </c>
      <c r="I179" t="s">
        <v>623</v>
      </c>
      <c r="J179" t="s">
        <v>56</v>
      </c>
      <c r="K179" t="s">
        <v>19</v>
      </c>
      <c r="L179" t="s">
        <v>625</v>
      </c>
      <c r="M179" t="s">
        <v>5</v>
      </c>
      <c r="N179" t="s">
        <v>59</v>
      </c>
      <c r="O179" t="s">
        <v>729</v>
      </c>
    </row>
    <row r="180" spans="1:15" x14ac:dyDescent="0.25">
      <c r="A180" t="s">
        <v>849</v>
      </c>
      <c r="B180" t="s">
        <v>100</v>
      </c>
      <c r="C180" t="s">
        <v>621</v>
      </c>
      <c r="D180" t="s">
        <v>618</v>
      </c>
      <c r="E180" t="s">
        <v>622</v>
      </c>
      <c r="F180" s="213" t="s">
        <v>56</v>
      </c>
      <c r="G180" t="s">
        <v>66</v>
      </c>
      <c r="H180" t="s">
        <v>84</v>
      </c>
      <c r="I180" t="s">
        <v>623</v>
      </c>
      <c r="J180" t="s">
        <v>56</v>
      </c>
      <c r="K180" t="s">
        <v>15</v>
      </c>
      <c r="L180" t="s">
        <v>632</v>
      </c>
      <c r="M180" t="s">
        <v>5</v>
      </c>
      <c r="N180" t="s">
        <v>31</v>
      </c>
      <c r="O180" t="s">
        <v>637</v>
      </c>
    </row>
    <row r="181" spans="1:15" x14ac:dyDescent="0.25">
      <c r="A181" t="s">
        <v>850</v>
      </c>
      <c r="B181" t="s">
        <v>100</v>
      </c>
      <c r="C181" t="s">
        <v>621</v>
      </c>
      <c r="D181" t="s">
        <v>618</v>
      </c>
      <c r="E181" t="s">
        <v>622</v>
      </c>
      <c r="F181" s="213" t="s">
        <v>56</v>
      </c>
      <c r="G181" t="s">
        <v>66</v>
      </c>
      <c r="H181" t="s">
        <v>84</v>
      </c>
      <c r="I181" t="s">
        <v>623</v>
      </c>
      <c r="J181" t="s">
        <v>56</v>
      </c>
      <c r="K181" t="s">
        <v>12</v>
      </c>
      <c r="L181" t="s">
        <v>629</v>
      </c>
      <c r="M181" t="s">
        <v>5</v>
      </c>
      <c r="N181" t="s">
        <v>14</v>
      </c>
      <c r="O181" t="s">
        <v>755</v>
      </c>
    </row>
    <row r="182" spans="1:15" x14ac:dyDescent="0.25">
      <c r="A182" t="s">
        <v>851</v>
      </c>
      <c r="B182" t="s">
        <v>100</v>
      </c>
      <c r="C182" t="s">
        <v>621</v>
      </c>
      <c r="D182" t="s">
        <v>618</v>
      </c>
      <c r="E182" t="s">
        <v>622</v>
      </c>
      <c r="F182" s="213" t="s">
        <v>56</v>
      </c>
      <c r="G182" t="s">
        <v>66</v>
      </c>
      <c r="H182" t="s">
        <v>84</v>
      </c>
      <c r="I182" t="s">
        <v>623</v>
      </c>
      <c r="J182" t="s">
        <v>56</v>
      </c>
      <c r="K182" t="s">
        <v>10</v>
      </c>
      <c r="L182" t="s">
        <v>635</v>
      </c>
      <c r="M182" t="s">
        <v>5</v>
      </c>
      <c r="N182" t="s">
        <v>57</v>
      </c>
      <c r="O182" t="s">
        <v>418</v>
      </c>
    </row>
    <row r="183" spans="1:15" x14ac:dyDescent="0.25">
      <c r="A183" t="s">
        <v>852</v>
      </c>
      <c r="B183" t="s">
        <v>100</v>
      </c>
      <c r="C183" t="s">
        <v>621</v>
      </c>
      <c r="D183" t="s">
        <v>618</v>
      </c>
      <c r="E183" t="s">
        <v>622</v>
      </c>
      <c r="F183" s="213" t="s">
        <v>56</v>
      </c>
      <c r="G183" t="s">
        <v>66</v>
      </c>
      <c r="H183" t="s">
        <v>84</v>
      </c>
      <c r="I183" t="s">
        <v>623</v>
      </c>
      <c r="J183" t="s">
        <v>56</v>
      </c>
      <c r="K183" t="s">
        <v>8</v>
      </c>
      <c r="L183" t="s">
        <v>637</v>
      </c>
      <c r="M183" t="s">
        <v>5</v>
      </c>
      <c r="N183" t="s">
        <v>50</v>
      </c>
      <c r="O183" t="s">
        <v>714</v>
      </c>
    </row>
    <row r="184" spans="1:15" x14ac:dyDescent="0.25">
      <c r="A184" t="s">
        <v>853</v>
      </c>
      <c r="B184" t="s">
        <v>100</v>
      </c>
      <c r="C184" t="s">
        <v>621</v>
      </c>
      <c r="D184" t="s">
        <v>618</v>
      </c>
      <c r="E184" t="s">
        <v>622</v>
      </c>
      <c r="F184" s="213" t="s">
        <v>56</v>
      </c>
      <c r="G184" t="s">
        <v>66</v>
      </c>
      <c r="H184" t="s">
        <v>84</v>
      </c>
      <c r="I184" t="s">
        <v>623</v>
      </c>
      <c r="J184" t="s">
        <v>56</v>
      </c>
      <c r="K184" t="s">
        <v>27</v>
      </c>
      <c r="L184" t="s">
        <v>626</v>
      </c>
      <c r="M184" t="s">
        <v>47</v>
      </c>
      <c r="N184" t="s">
        <v>7</v>
      </c>
      <c r="O184" t="s">
        <v>807</v>
      </c>
    </row>
    <row r="185" spans="1:15" x14ac:dyDescent="0.25">
      <c r="A185" t="s">
        <v>854</v>
      </c>
      <c r="B185" t="s">
        <v>100</v>
      </c>
      <c r="C185" t="s">
        <v>621</v>
      </c>
      <c r="D185" t="s">
        <v>618</v>
      </c>
      <c r="E185" t="s">
        <v>622</v>
      </c>
      <c r="F185" s="213" t="s">
        <v>56</v>
      </c>
      <c r="G185" t="s">
        <v>66</v>
      </c>
      <c r="H185" t="s">
        <v>84</v>
      </c>
      <c r="I185" t="s">
        <v>623</v>
      </c>
      <c r="J185" t="s">
        <v>56</v>
      </c>
      <c r="K185" t="s">
        <v>25</v>
      </c>
      <c r="L185" t="s">
        <v>628</v>
      </c>
      <c r="M185" t="s">
        <v>47</v>
      </c>
      <c r="N185" t="s">
        <v>10</v>
      </c>
      <c r="O185" t="s">
        <v>29</v>
      </c>
    </row>
    <row r="186" spans="1:15" x14ac:dyDescent="0.25">
      <c r="A186" t="s">
        <v>855</v>
      </c>
      <c r="B186" t="s">
        <v>100</v>
      </c>
      <c r="C186" t="s">
        <v>621</v>
      </c>
      <c r="D186" t="s">
        <v>618</v>
      </c>
      <c r="E186" t="s">
        <v>622</v>
      </c>
      <c r="F186" s="213" t="s">
        <v>56</v>
      </c>
      <c r="G186" t="s">
        <v>66</v>
      </c>
      <c r="H186" t="s">
        <v>84</v>
      </c>
      <c r="I186" t="s">
        <v>623</v>
      </c>
      <c r="J186" t="s">
        <v>56</v>
      </c>
      <c r="K186" t="s">
        <v>22</v>
      </c>
      <c r="L186" t="s">
        <v>630</v>
      </c>
      <c r="M186" t="s">
        <v>47</v>
      </c>
      <c r="N186" t="s">
        <v>9</v>
      </c>
      <c r="O186" t="s">
        <v>631</v>
      </c>
    </row>
    <row r="187" spans="1:15" x14ac:dyDescent="0.25">
      <c r="A187" t="s">
        <v>856</v>
      </c>
      <c r="B187" t="s">
        <v>100</v>
      </c>
      <c r="C187" t="s">
        <v>621</v>
      </c>
      <c r="D187" t="s">
        <v>618</v>
      </c>
      <c r="E187" t="s">
        <v>622</v>
      </c>
      <c r="F187" s="213" t="s">
        <v>56</v>
      </c>
      <c r="G187" t="s">
        <v>66</v>
      </c>
      <c r="H187" t="s">
        <v>84</v>
      </c>
      <c r="I187" t="s">
        <v>623</v>
      </c>
      <c r="J187" t="s">
        <v>56</v>
      </c>
      <c r="K187" t="s">
        <v>27</v>
      </c>
      <c r="L187" t="s">
        <v>626</v>
      </c>
      <c r="M187" t="s">
        <v>43</v>
      </c>
      <c r="N187" t="s">
        <v>16</v>
      </c>
      <c r="O187" t="s">
        <v>100</v>
      </c>
    </row>
    <row r="188" spans="1:15" x14ac:dyDescent="0.25">
      <c r="A188" t="s">
        <v>857</v>
      </c>
      <c r="B188" t="s">
        <v>100</v>
      </c>
      <c r="C188" t="s">
        <v>621</v>
      </c>
      <c r="D188" t="s">
        <v>618</v>
      </c>
      <c r="E188" t="s">
        <v>622</v>
      </c>
      <c r="F188" s="213" t="s">
        <v>56</v>
      </c>
      <c r="G188" t="s">
        <v>66</v>
      </c>
      <c r="H188" t="s">
        <v>84</v>
      </c>
      <c r="I188" t="s">
        <v>623</v>
      </c>
      <c r="J188" t="s">
        <v>56</v>
      </c>
      <c r="K188" t="s">
        <v>25</v>
      </c>
      <c r="L188" t="s">
        <v>628</v>
      </c>
      <c r="M188" t="s">
        <v>43</v>
      </c>
      <c r="N188" t="s">
        <v>7</v>
      </c>
      <c r="O188" t="s">
        <v>714</v>
      </c>
    </row>
    <row r="189" spans="1:15" x14ac:dyDescent="0.25">
      <c r="A189" t="s">
        <v>858</v>
      </c>
      <c r="B189" t="s">
        <v>100</v>
      </c>
      <c r="C189" t="s">
        <v>621</v>
      </c>
      <c r="D189" t="s">
        <v>618</v>
      </c>
      <c r="E189" t="s">
        <v>622</v>
      </c>
      <c r="F189" s="213" t="s">
        <v>56</v>
      </c>
      <c r="G189" t="s">
        <v>66</v>
      </c>
      <c r="H189" t="s">
        <v>84</v>
      </c>
      <c r="I189" t="s">
        <v>623</v>
      </c>
      <c r="J189" t="s">
        <v>56</v>
      </c>
      <c r="K189" t="s">
        <v>22</v>
      </c>
      <c r="L189" t="s">
        <v>630</v>
      </c>
      <c r="M189" t="s">
        <v>43</v>
      </c>
      <c r="N189" t="s">
        <v>13</v>
      </c>
      <c r="O189" t="s">
        <v>822</v>
      </c>
    </row>
    <row r="190" spans="1:15" x14ac:dyDescent="0.25">
      <c r="A190" t="s">
        <v>859</v>
      </c>
      <c r="B190" t="s">
        <v>100</v>
      </c>
      <c r="C190" t="s">
        <v>621</v>
      </c>
      <c r="D190" t="s">
        <v>618</v>
      </c>
      <c r="E190" t="s">
        <v>622</v>
      </c>
      <c r="F190" s="213" t="s">
        <v>56</v>
      </c>
      <c r="G190" t="s">
        <v>66</v>
      </c>
      <c r="H190" t="s">
        <v>84</v>
      </c>
      <c r="I190" t="s">
        <v>623</v>
      </c>
      <c r="J190" t="s">
        <v>56</v>
      </c>
      <c r="K190" t="s">
        <v>27</v>
      </c>
      <c r="L190" t="s">
        <v>626</v>
      </c>
      <c r="M190" t="s">
        <v>4</v>
      </c>
      <c r="N190" t="s">
        <v>19</v>
      </c>
      <c r="O190" t="s">
        <v>741</v>
      </c>
    </row>
    <row r="191" spans="1:15" x14ac:dyDescent="0.25">
      <c r="A191" t="s">
        <v>860</v>
      </c>
      <c r="B191" t="s">
        <v>100</v>
      </c>
      <c r="C191" t="s">
        <v>621</v>
      </c>
      <c r="D191" t="s">
        <v>618</v>
      </c>
      <c r="E191" t="s">
        <v>622</v>
      </c>
      <c r="F191" s="213" t="s">
        <v>56</v>
      </c>
      <c r="G191" t="s">
        <v>66</v>
      </c>
      <c r="H191" t="s">
        <v>84</v>
      </c>
      <c r="I191" t="s">
        <v>623</v>
      </c>
      <c r="J191" t="s">
        <v>56</v>
      </c>
      <c r="K191" t="s">
        <v>25</v>
      </c>
      <c r="L191" t="s">
        <v>628</v>
      </c>
      <c r="M191" t="s">
        <v>4</v>
      </c>
      <c r="N191" t="s">
        <v>15</v>
      </c>
      <c r="O191" t="s">
        <v>716</v>
      </c>
    </row>
    <row r="192" spans="1:15" x14ac:dyDescent="0.25">
      <c r="A192" t="s">
        <v>861</v>
      </c>
      <c r="B192" t="s">
        <v>100</v>
      </c>
      <c r="C192" t="s">
        <v>621</v>
      </c>
      <c r="D192" t="s">
        <v>618</v>
      </c>
      <c r="E192" t="s">
        <v>622</v>
      </c>
      <c r="F192" s="213" t="s">
        <v>56</v>
      </c>
      <c r="G192" t="s">
        <v>66</v>
      </c>
      <c r="H192" t="s">
        <v>84</v>
      </c>
      <c r="I192" t="s">
        <v>623</v>
      </c>
      <c r="J192" t="s">
        <v>56</v>
      </c>
      <c r="K192" t="s">
        <v>22</v>
      </c>
      <c r="L192" t="s">
        <v>630</v>
      </c>
      <c r="M192" t="s">
        <v>4</v>
      </c>
      <c r="N192" t="s">
        <v>63</v>
      </c>
      <c r="O192" t="s">
        <v>47</v>
      </c>
    </row>
    <row r="193" spans="1:15" x14ac:dyDescent="0.25">
      <c r="A193" t="s">
        <v>862</v>
      </c>
      <c r="B193" t="s">
        <v>100</v>
      </c>
      <c r="C193" t="s">
        <v>621</v>
      </c>
      <c r="D193" t="s">
        <v>618</v>
      </c>
      <c r="E193" t="s">
        <v>622</v>
      </c>
      <c r="F193" s="213" t="s">
        <v>56</v>
      </c>
      <c r="G193" t="s">
        <v>66</v>
      </c>
      <c r="H193" t="s">
        <v>84</v>
      </c>
      <c r="I193" t="s">
        <v>623</v>
      </c>
      <c r="J193" t="s">
        <v>56</v>
      </c>
      <c r="K193" t="s">
        <v>19</v>
      </c>
      <c r="L193" t="s">
        <v>625</v>
      </c>
      <c r="M193" t="s">
        <v>4</v>
      </c>
      <c r="N193" t="s">
        <v>61</v>
      </c>
      <c r="O193" t="s">
        <v>44</v>
      </c>
    </row>
    <row r="194" spans="1:15" x14ac:dyDescent="0.25">
      <c r="A194" t="s">
        <v>863</v>
      </c>
      <c r="B194" t="s">
        <v>100</v>
      </c>
      <c r="C194" t="s">
        <v>621</v>
      </c>
      <c r="D194" t="s">
        <v>618</v>
      </c>
      <c r="E194" t="s">
        <v>622</v>
      </c>
      <c r="F194" s="213" t="s">
        <v>56</v>
      </c>
      <c r="G194" t="s">
        <v>66</v>
      </c>
      <c r="H194" t="s">
        <v>84</v>
      </c>
      <c r="I194" t="s">
        <v>623</v>
      </c>
      <c r="J194" t="s">
        <v>56</v>
      </c>
      <c r="K194" t="s">
        <v>15</v>
      </c>
      <c r="L194" t="s">
        <v>632</v>
      </c>
      <c r="M194" t="s">
        <v>4</v>
      </c>
      <c r="N194" t="s">
        <v>25</v>
      </c>
      <c r="O194" t="s">
        <v>814</v>
      </c>
    </row>
    <row r="195" spans="1:15" x14ac:dyDescent="0.25">
      <c r="A195" t="s">
        <v>864</v>
      </c>
      <c r="B195" t="s">
        <v>100</v>
      </c>
      <c r="C195" t="s">
        <v>621</v>
      </c>
      <c r="D195" t="s">
        <v>618</v>
      </c>
      <c r="E195" t="s">
        <v>622</v>
      </c>
      <c r="F195" s="213" t="s">
        <v>56</v>
      </c>
      <c r="G195" t="s">
        <v>66</v>
      </c>
      <c r="H195" t="s">
        <v>84</v>
      </c>
      <c r="I195" t="s">
        <v>623</v>
      </c>
      <c r="J195" t="s">
        <v>56</v>
      </c>
      <c r="K195" t="s">
        <v>12</v>
      </c>
      <c r="L195" t="s">
        <v>629</v>
      </c>
      <c r="M195" t="s">
        <v>4</v>
      </c>
      <c r="N195" t="s">
        <v>45</v>
      </c>
      <c r="O195" t="s">
        <v>623</v>
      </c>
    </row>
    <row r="196" spans="1:15" x14ac:dyDescent="0.25">
      <c r="A196" t="s">
        <v>865</v>
      </c>
      <c r="B196" t="s">
        <v>100</v>
      </c>
      <c r="C196" t="s">
        <v>621</v>
      </c>
      <c r="D196" t="s">
        <v>618</v>
      </c>
      <c r="E196" t="s">
        <v>622</v>
      </c>
      <c r="F196" s="213" t="s">
        <v>56</v>
      </c>
      <c r="G196" t="s">
        <v>66</v>
      </c>
      <c r="H196" t="s">
        <v>84</v>
      </c>
      <c r="I196" t="s">
        <v>623</v>
      </c>
      <c r="J196" t="s">
        <v>56</v>
      </c>
      <c r="K196" t="s">
        <v>10</v>
      </c>
      <c r="L196" t="s">
        <v>635</v>
      </c>
      <c r="M196" t="s">
        <v>4</v>
      </c>
      <c r="N196" t="s">
        <v>27</v>
      </c>
      <c r="O196" t="s">
        <v>809</v>
      </c>
    </row>
    <row r="197" spans="1:15" x14ac:dyDescent="0.25">
      <c r="A197" t="s">
        <v>866</v>
      </c>
      <c r="B197" t="s">
        <v>100</v>
      </c>
      <c r="C197" t="s">
        <v>621</v>
      </c>
      <c r="D197" t="s">
        <v>618</v>
      </c>
      <c r="E197" t="s">
        <v>622</v>
      </c>
      <c r="F197" s="213" t="s">
        <v>56</v>
      </c>
      <c r="G197" t="s">
        <v>66</v>
      </c>
      <c r="H197" t="s">
        <v>84</v>
      </c>
      <c r="I197" t="s">
        <v>623</v>
      </c>
      <c r="J197" t="s">
        <v>56</v>
      </c>
      <c r="K197" t="s">
        <v>8</v>
      </c>
      <c r="L197" t="s">
        <v>637</v>
      </c>
      <c r="M197" t="s">
        <v>4</v>
      </c>
      <c r="N197" t="s">
        <v>41</v>
      </c>
      <c r="O197" t="s">
        <v>629</v>
      </c>
    </row>
    <row r="198" spans="1:15" x14ac:dyDescent="0.25">
      <c r="A198" t="s">
        <v>867</v>
      </c>
      <c r="B198" t="s">
        <v>100</v>
      </c>
      <c r="C198" t="s">
        <v>621</v>
      </c>
      <c r="D198" t="s">
        <v>618</v>
      </c>
      <c r="E198" t="s">
        <v>622</v>
      </c>
      <c r="F198" s="213" t="s">
        <v>56</v>
      </c>
      <c r="G198" t="s">
        <v>66</v>
      </c>
      <c r="H198" t="s">
        <v>84</v>
      </c>
      <c r="I198" t="s">
        <v>623</v>
      </c>
      <c r="J198" t="s">
        <v>56</v>
      </c>
      <c r="K198" t="s">
        <v>27</v>
      </c>
      <c r="L198" t="s">
        <v>626</v>
      </c>
      <c r="M198" t="s">
        <v>51</v>
      </c>
      <c r="N198" t="s">
        <v>10</v>
      </c>
      <c r="O198" t="s">
        <v>100</v>
      </c>
    </row>
    <row r="199" spans="1:15" x14ac:dyDescent="0.25">
      <c r="A199" t="s">
        <v>868</v>
      </c>
      <c r="B199" t="s">
        <v>100</v>
      </c>
      <c r="C199" t="s">
        <v>621</v>
      </c>
      <c r="D199" t="s">
        <v>618</v>
      </c>
      <c r="E199" t="s">
        <v>622</v>
      </c>
      <c r="F199" s="213" t="s">
        <v>56</v>
      </c>
      <c r="G199" t="s">
        <v>66</v>
      </c>
      <c r="H199" t="s">
        <v>84</v>
      </c>
      <c r="I199" t="s">
        <v>623</v>
      </c>
      <c r="J199" t="s">
        <v>56</v>
      </c>
      <c r="K199" t="s">
        <v>25</v>
      </c>
      <c r="L199" t="s">
        <v>628</v>
      </c>
      <c r="M199" t="s">
        <v>51</v>
      </c>
      <c r="N199" t="s">
        <v>4</v>
      </c>
      <c r="O199" t="s">
        <v>626</v>
      </c>
    </row>
    <row r="200" spans="1:15" x14ac:dyDescent="0.25">
      <c r="A200" t="s">
        <v>869</v>
      </c>
      <c r="B200" t="s">
        <v>100</v>
      </c>
      <c r="C200" t="s">
        <v>621</v>
      </c>
      <c r="D200" t="s">
        <v>618</v>
      </c>
      <c r="E200" t="s">
        <v>622</v>
      </c>
      <c r="F200" s="213" t="s">
        <v>56</v>
      </c>
      <c r="G200" t="s">
        <v>66</v>
      </c>
      <c r="H200" t="s">
        <v>84</v>
      </c>
      <c r="I200" t="s">
        <v>623</v>
      </c>
      <c r="J200" t="s">
        <v>56</v>
      </c>
      <c r="K200" t="s">
        <v>22</v>
      </c>
      <c r="L200" t="s">
        <v>630</v>
      </c>
      <c r="M200" t="s">
        <v>51</v>
      </c>
      <c r="N200" t="s">
        <v>1</v>
      </c>
      <c r="O200" t="s">
        <v>665</v>
      </c>
    </row>
    <row r="201" spans="1:15" x14ac:dyDescent="0.25">
      <c r="A201" t="s">
        <v>870</v>
      </c>
      <c r="B201" t="s">
        <v>100</v>
      </c>
      <c r="C201" t="s">
        <v>621</v>
      </c>
      <c r="D201" t="s">
        <v>618</v>
      </c>
      <c r="E201" t="s">
        <v>622</v>
      </c>
      <c r="F201" s="213" t="s">
        <v>56</v>
      </c>
      <c r="G201" t="s">
        <v>66</v>
      </c>
      <c r="H201" t="s">
        <v>84</v>
      </c>
      <c r="I201" t="s">
        <v>623</v>
      </c>
      <c r="J201" t="s">
        <v>56</v>
      </c>
      <c r="K201" t="s">
        <v>27</v>
      </c>
      <c r="L201" t="s">
        <v>626</v>
      </c>
      <c r="M201" t="s">
        <v>55</v>
      </c>
      <c r="N201" t="s">
        <v>0</v>
      </c>
      <c r="O201" t="s">
        <v>630</v>
      </c>
    </row>
    <row r="202" spans="1:15" x14ac:dyDescent="0.25">
      <c r="A202" t="s">
        <v>871</v>
      </c>
      <c r="B202" t="s">
        <v>100</v>
      </c>
      <c r="C202" t="s">
        <v>621</v>
      </c>
      <c r="D202" t="s">
        <v>618</v>
      </c>
      <c r="E202" t="s">
        <v>622</v>
      </c>
      <c r="F202" s="213" t="s">
        <v>56</v>
      </c>
      <c r="G202" t="s">
        <v>66</v>
      </c>
      <c r="H202" t="s">
        <v>84</v>
      </c>
      <c r="I202" t="s">
        <v>623</v>
      </c>
      <c r="J202" t="s">
        <v>56</v>
      </c>
      <c r="K202" t="s">
        <v>27</v>
      </c>
      <c r="L202" t="s">
        <v>626</v>
      </c>
      <c r="M202" t="s">
        <v>12</v>
      </c>
      <c r="N202" t="s">
        <v>39</v>
      </c>
      <c r="O202" t="s">
        <v>714</v>
      </c>
    </row>
    <row r="203" spans="1:15" x14ac:dyDescent="0.25">
      <c r="A203" t="s">
        <v>872</v>
      </c>
      <c r="B203" t="s">
        <v>100</v>
      </c>
      <c r="C203" t="s">
        <v>621</v>
      </c>
      <c r="D203" t="s">
        <v>618</v>
      </c>
      <c r="E203" t="s">
        <v>622</v>
      </c>
      <c r="F203" s="213" t="s">
        <v>56</v>
      </c>
      <c r="G203" t="s">
        <v>66</v>
      </c>
      <c r="H203" t="s">
        <v>84</v>
      </c>
      <c r="I203" t="s">
        <v>623</v>
      </c>
      <c r="J203" t="s">
        <v>56</v>
      </c>
      <c r="K203" t="s">
        <v>25</v>
      </c>
      <c r="L203" t="s">
        <v>628</v>
      </c>
      <c r="M203" t="s">
        <v>12</v>
      </c>
      <c r="N203" t="s">
        <v>20</v>
      </c>
      <c r="O203" t="s">
        <v>637</v>
      </c>
    </row>
    <row r="204" spans="1:15" x14ac:dyDescent="0.25">
      <c r="A204" t="s">
        <v>873</v>
      </c>
      <c r="B204" t="s">
        <v>100</v>
      </c>
      <c r="C204" t="s">
        <v>621</v>
      </c>
      <c r="D204" t="s">
        <v>618</v>
      </c>
      <c r="E204" t="s">
        <v>622</v>
      </c>
      <c r="F204" s="213" t="s">
        <v>56</v>
      </c>
      <c r="G204" t="s">
        <v>66</v>
      </c>
      <c r="H204" t="s">
        <v>84</v>
      </c>
      <c r="I204" t="s">
        <v>623</v>
      </c>
      <c r="J204" t="s">
        <v>56</v>
      </c>
      <c r="K204" t="s">
        <v>22</v>
      </c>
      <c r="L204" t="s">
        <v>630</v>
      </c>
      <c r="M204" t="s">
        <v>12</v>
      </c>
      <c r="N204" t="s">
        <v>45</v>
      </c>
      <c r="O204" t="s">
        <v>646</v>
      </c>
    </row>
    <row r="205" spans="1:15" x14ac:dyDescent="0.25">
      <c r="A205" t="s">
        <v>874</v>
      </c>
      <c r="B205" t="s">
        <v>100</v>
      </c>
      <c r="C205" t="s">
        <v>621</v>
      </c>
      <c r="D205" t="s">
        <v>618</v>
      </c>
      <c r="E205" t="s">
        <v>622</v>
      </c>
      <c r="F205" s="213" t="s">
        <v>56</v>
      </c>
      <c r="G205" t="s">
        <v>66</v>
      </c>
      <c r="H205" t="s">
        <v>84</v>
      </c>
      <c r="I205" t="s">
        <v>623</v>
      </c>
      <c r="J205" t="s">
        <v>56</v>
      </c>
      <c r="K205" t="s">
        <v>19</v>
      </c>
      <c r="L205" t="s">
        <v>625</v>
      </c>
      <c r="M205" t="s">
        <v>12</v>
      </c>
      <c r="N205" t="s">
        <v>1</v>
      </c>
      <c r="O205" t="s">
        <v>875</v>
      </c>
    </row>
    <row r="206" spans="1:15" x14ac:dyDescent="0.25">
      <c r="A206" t="s">
        <v>876</v>
      </c>
      <c r="B206" t="s">
        <v>100</v>
      </c>
      <c r="C206" t="s">
        <v>621</v>
      </c>
      <c r="D206" t="s">
        <v>618</v>
      </c>
      <c r="E206" t="s">
        <v>622</v>
      </c>
      <c r="F206" s="213" t="s">
        <v>56</v>
      </c>
      <c r="G206" t="s">
        <v>66</v>
      </c>
      <c r="H206" t="s">
        <v>84</v>
      </c>
      <c r="I206" t="s">
        <v>623</v>
      </c>
      <c r="J206" t="s">
        <v>56</v>
      </c>
      <c r="K206" t="s">
        <v>15</v>
      </c>
      <c r="L206" t="s">
        <v>632</v>
      </c>
      <c r="M206" t="s">
        <v>12</v>
      </c>
      <c r="N206" t="s">
        <v>42</v>
      </c>
      <c r="O206" t="s">
        <v>626</v>
      </c>
    </row>
    <row r="207" spans="1:15" x14ac:dyDescent="0.25">
      <c r="A207" t="s">
        <v>877</v>
      </c>
      <c r="B207" t="s">
        <v>100</v>
      </c>
      <c r="C207" t="s">
        <v>621</v>
      </c>
      <c r="D207" t="s">
        <v>618</v>
      </c>
      <c r="E207" t="s">
        <v>622</v>
      </c>
      <c r="F207" s="213" t="s">
        <v>56</v>
      </c>
      <c r="G207" t="s">
        <v>66</v>
      </c>
      <c r="H207" t="s">
        <v>84</v>
      </c>
      <c r="I207" t="s">
        <v>623</v>
      </c>
      <c r="J207" t="s">
        <v>56</v>
      </c>
      <c r="K207" t="s">
        <v>27</v>
      </c>
      <c r="L207" t="s">
        <v>626</v>
      </c>
      <c r="M207" t="s">
        <v>41</v>
      </c>
      <c r="N207" t="s">
        <v>16</v>
      </c>
      <c r="O207" t="s">
        <v>878</v>
      </c>
    </row>
    <row r="208" spans="1:15" x14ac:dyDescent="0.25">
      <c r="A208" t="s">
        <v>879</v>
      </c>
      <c r="B208" t="s">
        <v>100</v>
      </c>
      <c r="C208" t="s">
        <v>621</v>
      </c>
      <c r="D208" t="s">
        <v>618</v>
      </c>
      <c r="E208" t="s">
        <v>622</v>
      </c>
      <c r="F208" s="213" t="s">
        <v>56</v>
      </c>
      <c r="G208" t="s">
        <v>66</v>
      </c>
      <c r="H208" t="s">
        <v>84</v>
      </c>
      <c r="I208" t="s">
        <v>623</v>
      </c>
      <c r="J208" t="s">
        <v>56</v>
      </c>
      <c r="K208" t="s">
        <v>25</v>
      </c>
      <c r="L208" t="s">
        <v>628</v>
      </c>
      <c r="M208" t="s">
        <v>41</v>
      </c>
      <c r="N208" t="s">
        <v>11</v>
      </c>
      <c r="O208" t="s">
        <v>47</v>
      </c>
    </row>
    <row r="209" spans="1:15" x14ac:dyDescent="0.25">
      <c r="A209" t="s">
        <v>880</v>
      </c>
      <c r="B209" t="s">
        <v>100</v>
      </c>
      <c r="C209" t="s">
        <v>621</v>
      </c>
      <c r="D209" t="s">
        <v>618</v>
      </c>
      <c r="E209" t="s">
        <v>622</v>
      </c>
      <c r="F209" s="213" t="s">
        <v>56</v>
      </c>
      <c r="G209" t="s">
        <v>66</v>
      </c>
      <c r="H209" t="s">
        <v>84</v>
      </c>
      <c r="I209" t="s">
        <v>623</v>
      </c>
      <c r="J209" t="s">
        <v>56</v>
      </c>
      <c r="K209" t="s">
        <v>22</v>
      </c>
      <c r="L209" t="s">
        <v>630</v>
      </c>
      <c r="M209" t="s">
        <v>41</v>
      </c>
      <c r="N209" t="s">
        <v>1</v>
      </c>
      <c r="O209" t="s">
        <v>635</v>
      </c>
    </row>
    <row r="210" spans="1:15" x14ac:dyDescent="0.25">
      <c r="A210" t="s">
        <v>881</v>
      </c>
      <c r="B210" t="s">
        <v>100</v>
      </c>
      <c r="C210" t="s">
        <v>621</v>
      </c>
      <c r="D210" t="s">
        <v>618</v>
      </c>
      <c r="E210" t="s">
        <v>622</v>
      </c>
      <c r="F210" s="213" t="s">
        <v>56</v>
      </c>
      <c r="G210" t="s">
        <v>66</v>
      </c>
      <c r="H210" t="s">
        <v>84</v>
      </c>
      <c r="I210" t="s">
        <v>623</v>
      </c>
      <c r="J210" t="s">
        <v>56</v>
      </c>
      <c r="K210" t="s">
        <v>19</v>
      </c>
      <c r="L210" t="s">
        <v>625</v>
      </c>
      <c r="M210" t="s">
        <v>41</v>
      </c>
      <c r="N210" t="s">
        <v>5</v>
      </c>
      <c r="O210" t="s">
        <v>625</v>
      </c>
    </row>
    <row r="211" spans="1:15" x14ac:dyDescent="0.25">
      <c r="A211" t="s">
        <v>882</v>
      </c>
      <c r="B211" t="s">
        <v>100</v>
      </c>
      <c r="C211" t="s">
        <v>621</v>
      </c>
      <c r="D211" t="s">
        <v>618</v>
      </c>
      <c r="E211" t="s">
        <v>622</v>
      </c>
      <c r="F211" s="213" t="s">
        <v>56</v>
      </c>
      <c r="G211" t="s">
        <v>66</v>
      </c>
      <c r="H211" t="s">
        <v>84</v>
      </c>
      <c r="I211" t="s">
        <v>623</v>
      </c>
      <c r="J211" t="s">
        <v>56</v>
      </c>
      <c r="K211" t="s">
        <v>27</v>
      </c>
      <c r="L211" t="s">
        <v>626</v>
      </c>
      <c r="M211" t="s">
        <v>26</v>
      </c>
      <c r="N211" t="s">
        <v>29</v>
      </c>
      <c r="O211" t="s">
        <v>883</v>
      </c>
    </row>
    <row r="212" spans="1:15" x14ac:dyDescent="0.25">
      <c r="A212" t="s">
        <v>884</v>
      </c>
      <c r="B212" t="s">
        <v>100</v>
      </c>
      <c r="C212" t="s">
        <v>621</v>
      </c>
      <c r="D212" t="s">
        <v>618</v>
      </c>
      <c r="E212" t="s">
        <v>622</v>
      </c>
      <c r="F212" s="213" t="s">
        <v>56</v>
      </c>
      <c r="G212" t="s">
        <v>66</v>
      </c>
      <c r="H212" t="s">
        <v>84</v>
      </c>
      <c r="I212" t="s">
        <v>623</v>
      </c>
      <c r="J212" t="s">
        <v>56</v>
      </c>
      <c r="K212" t="s">
        <v>25</v>
      </c>
      <c r="L212" t="s">
        <v>628</v>
      </c>
      <c r="M212" t="s">
        <v>26</v>
      </c>
      <c r="N212" t="s">
        <v>23</v>
      </c>
      <c r="O212" t="s">
        <v>628</v>
      </c>
    </row>
    <row r="213" spans="1:15" x14ac:dyDescent="0.25">
      <c r="A213" t="s">
        <v>885</v>
      </c>
      <c r="B213" t="s">
        <v>100</v>
      </c>
      <c r="C213" t="s">
        <v>621</v>
      </c>
      <c r="D213" t="s">
        <v>618</v>
      </c>
      <c r="E213" t="s">
        <v>622</v>
      </c>
      <c r="F213" s="213" t="s">
        <v>56</v>
      </c>
      <c r="G213" t="s">
        <v>66</v>
      </c>
      <c r="H213" t="s">
        <v>84</v>
      </c>
      <c r="I213" t="s">
        <v>623</v>
      </c>
      <c r="J213" t="s">
        <v>56</v>
      </c>
      <c r="K213" t="s">
        <v>22</v>
      </c>
      <c r="L213" t="s">
        <v>630</v>
      </c>
      <c r="M213" t="s">
        <v>26</v>
      </c>
      <c r="N213" t="s">
        <v>22</v>
      </c>
      <c r="O213" t="s">
        <v>714</v>
      </c>
    </row>
    <row r="214" spans="1:15" x14ac:dyDescent="0.25">
      <c r="A214" t="s">
        <v>886</v>
      </c>
      <c r="B214" t="s">
        <v>100</v>
      </c>
      <c r="C214" t="s">
        <v>621</v>
      </c>
      <c r="D214" t="s">
        <v>618</v>
      </c>
      <c r="E214" t="s">
        <v>622</v>
      </c>
      <c r="F214" s="213" t="s">
        <v>56</v>
      </c>
      <c r="G214" t="s">
        <v>66</v>
      </c>
      <c r="H214" t="s">
        <v>84</v>
      </c>
      <c r="I214" t="s">
        <v>623</v>
      </c>
      <c r="J214" t="s">
        <v>56</v>
      </c>
      <c r="K214" t="s">
        <v>19</v>
      </c>
      <c r="L214" t="s">
        <v>625</v>
      </c>
      <c r="M214" t="s">
        <v>26</v>
      </c>
      <c r="N214" t="s">
        <v>100</v>
      </c>
      <c r="O214" t="s">
        <v>741</v>
      </c>
    </row>
    <row r="215" spans="1:15" x14ac:dyDescent="0.25">
      <c r="A215" t="s">
        <v>887</v>
      </c>
      <c r="B215" t="s">
        <v>100</v>
      </c>
      <c r="C215" t="s">
        <v>621</v>
      </c>
      <c r="D215" t="s">
        <v>618</v>
      </c>
      <c r="E215" t="s">
        <v>622</v>
      </c>
      <c r="F215" s="213" t="s">
        <v>56</v>
      </c>
      <c r="G215" t="s">
        <v>66</v>
      </c>
      <c r="H215" t="s">
        <v>84</v>
      </c>
      <c r="I215" t="s">
        <v>623</v>
      </c>
      <c r="J215" t="s">
        <v>56</v>
      </c>
      <c r="K215" t="s">
        <v>15</v>
      </c>
      <c r="L215" t="s">
        <v>632</v>
      </c>
      <c r="M215" t="s">
        <v>26</v>
      </c>
      <c r="N215" t="s">
        <v>9</v>
      </c>
      <c r="O215" t="s">
        <v>888</v>
      </c>
    </row>
    <row r="216" spans="1:15" x14ac:dyDescent="0.25">
      <c r="A216" t="s">
        <v>889</v>
      </c>
      <c r="B216" t="s">
        <v>100</v>
      </c>
      <c r="C216" t="s">
        <v>621</v>
      </c>
      <c r="D216" t="s">
        <v>618</v>
      </c>
      <c r="E216" t="s">
        <v>622</v>
      </c>
      <c r="F216" s="213" t="s">
        <v>56</v>
      </c>
      <c r="G216" t="s">
        <v>66</v>
      </c>
      <c r="H216" t="s">
        <v>84</v>
      </c>
      <c r="I216" t="s">
        <v>623</v>
      </c>
      <c r="J216" t="s">
        <v>56</v>
      </c>
      <c r="K216" t="s">
        <v>27</v>
      </c>
      <c r="L216" t="s">
        <v>626</v>
      </c>
      <c r="M216" t="s">
        <v>62</v>
      </c>
      <c r="N216" t="s">
        <v>2</v>
      </c>
      <c r="O216" t="s">
        <v>100</v>
      </c>
    </row>
    <row r="217" spans="1:15" x14ac:dyDescent="0.25">
      <c r="A217" t="s">
        <v>890</v>
      </c>
      <c r="B217" t="s">
        <v>100</v>
      </c>
      <c r="C217" t="s">
        <v>621</v>
      </c>
      <c r="D217" t="s">
        <v>618</v>
      </c>
      <c r="E217" t="s">
        <v>622</v>
      </c>
      <c r="F217" s="213" t="s">
        <v>56</v>
      </c>
      <c r="G217" t="s">
        <v>66</v>
      </c>
      <c r="H217" t="s">
        <v>84</v>
      </c>
      <c r="I217" t="s">
        <v>623</v>
      </c>
      <c r="J217" t="s">
        <v>56</v>
      </c>
      <c r="K217" t="s">
        <v>27</v>
      </c>
      <c r="L217" t="s">
        <v>626</v>
      </c>
      <c r="M217" t="s">
        <v>45</v>
      </c>
      <c r="N217" t="s">
        <v>8</v>
      </c>
      <c r="O217" t="s">
        <v>628</v>
      </c>
    </row>
    <row r="218" spans="1:15" x14ac:dyDescent="0.25">
      <c r="A218" t="s">
        <v>891</v>
      </c>
      <c r="B218" t="s">
        <v>100</v>
      </c>
      <c r="C218" t="s">
        <v>621</v>
      </c>
      <c r="D218" t="s">
        <v>618</v>
      </c>
      <c r="E218" t="s">
        <v>622</v>
      </c>
      <c r="F218" s="213" t="s">
        <v>56</v>
      </c>
      <c r="G218" t="s">
        <v>66</v>
      </c>
      <c r="H218" t="s">
        <v>84</v>
      </c>
      <c r="I218" t="s">
        <v>623</v>
      </c>
      <c r="J218" t="s">
        <v>56</v>
      </c>
      <c r="K218" t="s">
        <v>25</v>
      </c>
      <c r="L218" t="s">
        <v>628</v>
      </c>
      <c r="M218" t="s">
        <v>45</v>
      </c>
      <c r="N218" t="s">
        <v>10</v>
      </c>
      <c r="O218" t="s">
        <v>40</v>
      </c>
    </row>
    <row r="219" spans="1:15" x14ac:dyDescent="0.25">
      <c r="A219" t="s">
        <v>892</v>
      </c>
      <c r="B219" t="s">
        <v>100</v>
      </c>
      <c r="C219" t="s">
        <v>621</v>
      </c>
      <c r="D219" t="s">
        <v>618</v>
      </c>
      <c r="E219" t="s">
        <v>622</v>
      </c>
      <c r="F219" s="213" t="s">
        <v>56</v>
      </c>
      <c r="G219" t="s">
        <v>66</v>
      </c>
      <c r="H219" t="s">
        <v>84</v>
      </c>
      <c r="I219" t="s">
        <v>623</v>
      </c>
      <c r="J219" t="s">
        <v>56</v>
      </c>
      <c r="K219" t="s">
        <v>22</v>
      </c>
      <c r="L219" t="s">
        <v>630</v>
      </c>
      <c r="M219" t="s">
        <v>45</v>
      </c>
      <c r="N219" t="s">
        <v>4</v>
      </c>
      <c r="O219" t="s">
        <v>665</v>
      </c>
    </row>
    <row r="220" spans="1:15" x14ac:dyDescent="0.25">
      <c r="A220" t="s">
        <v>893</v>
      </c>
      <c r="B220" t="s">
        <v>100</v>
      </c>
      <c r="C220" t="s">
        <v>621</v>
      </c>
      <c r="D220" t="s">
        <v>618</v>
      </c>
      <c r="E220" t="s">
        <v>622</v>
      </c>
      <c r="F220" s="213" t="s">
        <v>56</v>
      </c>
      <c r="G220" t="s">
        <v>66</v>
      </c>
      <c r="H220" t="s">
        <v>84</v>
      </c>
      <c r="I220" t="s">
        <v>623</v>
      </c>
      <c r="J220" t="s">
        <v>56</v>
      </c>
      <c r="K220" t="s">
        <v>27</v>
      </c>
      <c r="L220" t="s">
        <v>626</v>
      </c>
      <c r="M220" t="s">
        <v>15</v>
      </c>
      <c r="N220" t="s">
        <v>38</v>
      </c>
      <c r="O220" t="s">
        <v>646</v>
      </c>
    </row>
    <row r="221" spans="1:15" x14ac:dyDescent="0.25">
      <c r="A221" t="s">
        <v>894</v>
      </c>
      <c r="B221" t="s">
        <v>100</v>
      </c>
      <c r="C221" t="s">
        <v>621</v>
      </c>
      <c r="D221" t="s">
        <v>618</v>
      </c>
      <c r="E221" t="s">
        <v>622</v>
      </c>
      <c r="F221" s="213" t="s">
        <v>56</v>
      </c>
      <c r="G221" t="s">
        <v>66</v>
      </c>
      <c r="H221" t="s">
        <v>84</v>
      </c>
      <c r="I221" t="s">
        <v>623</v>
      </c>
      <c r="J221" t="s">
        <v>56</v>
      </c>
      <c r="K221" t="s">
        <v>25</v>
      </c>
      <c r="L221" t="s">
        <v>628</v>
      </c>
      <c r="M221" t="s">
        <v>15</v>
      </c>
      <c r="N221" t="s">
        <v>23</v>
      </c>
      <c r="O221" t="s">
        <v>643</v>
      </c>
    </row>
    <row r="222" spans="1:15" x14ac:dyDescent="0.25">
      <c r="A222" t="s">
        <v>895</v>
      </c>
      <c r="B222" t="s">
        <v>100</v>
      </c>
      <c r="C222" t="s">
        <v>621</v>
      </c>
      <c r="D222" t="s">
        <v>618</v>
      </c>
      <c r="E222" t="s">
        <v>622</v>
      </c>
      <c r="F222" s="213" t="s">
        <v>56</v>
      </c>
      <c r="G222" t="s">
        <v>66</v>
      </c>
      <c r="H222" t="s">
        <v>84</v>
      </c>
      <c r="I222" t="s">
        <v>623</v>
      </c>
      <c r="J222" t="s">
        <v>56</v>
      </c>
      <c r="K222" t="s">
        <v>22</v>
      </c>
      <c r="L222" t="s">
        <v>630</v>
      </c>
      <c r="M222" t="s">
        <v>15</v>
      </c>
      <c r="N222" t="s">
        <v>38</v>
      </c>
      <c r="O222" t="s">
        <v>626</v>
      </c>
    </row>
    <row r="223" spans="1:15" x14ac:dyDescent="0.25">
      <c r="A223" t="s">
        <v>896</v>
      </c>
      <c r="B223" t="s">
        <v>100</v>
      </c>
      <c r="C223" t="s">
        <v>621</v>
      </c>
      <c r="D223" t="s">
        <v>618</v>
      </c>
      <c r="E223" t="s">
        <v>622</v>
      </c>
      <c r="F223" s="213" t="s">
        <v>56</v>
      </c>
      <c r="G223" t="s">
        <v>66</v>
      </c>
      <c r="H223" t="s">
        <v>84</v>
      </c>
      <c r="I223" t="s">
        <v>623</v>
      </c>
      <c r="J223" t="s">
        <v>56</v>
      </c>
      <c r="K223" t="s">
        <v>19</v>
      </c>
      <c r="L223" t="s">
        <v>625</v>
      </c>
      <c r="M223" t="s">
        <v>15</v>
      </c>
      <c r="N223" t="s">
        <v>4</v>
      </c>
      <c r="O223" t="s">
        <v>716</v>
      </c>
    </row>
    <row r="224" spans="1:15" x14ac:dyDescent="0.25">
      <c r="A224" t="s">
        <v>897</v>
      </c>
      <c r="B224" t="s">
        <v>100</v>
      </c>
      <c r="C224" t="s">
        <v>621</v>
      </c>
      <c r="D224" t="s">
        <v>618</v>
      </c>
      <c r="E224" t="s">
        <v>622</v>
      </c>
      <c r="F224" s="213" t="s">
        <v>56</v>
      </c>
      <c r="G224" t="s">
        <v>66</v>
      </c>
      <c r="H224" t="s">
        <v>84</v>
      </c>
      <c r="I224" t="s">
        <v>623</v>
      </c>
      <c r="J224" t="s">
        <v>56</v>
      </c>
      <c r="K224" t="s">
        <v>15</v>
      </c>
      <c r="L224" t="s">
        <v>632</v>
      </c>
      <c r="M224" t="s">
        <v>15</v>
      </c>
      <c r="N224" t="s">
        <v>21</v>
      </c>
      <c r="O224" t="s">
        <v>888</v>
      </c>
    </row>
    <row r="225" spans="1:15" x14ac:dyDescent="0.25">
      <c r="A225" t="s">
        <v>898</v>
      </c>
      <c r="B225" t="s">
        <v>100</v>
      </c>
      <c r="C225" t="s">
        <v>621</v>
      </c>
      <c r="D225" t="s">
        <v>618</v>
      </c>
      <c r="E225" t="s">
        <v>622</v>
      </c>
      <c r="F225" s="213" t="s">
        <v>56</v>
      </c>
      <c r="G225" t="s">
        <v>66</v>
      </c>
      <c r="H225" t="s">
        <v>84</v>
      </c>
      <c r="I225" t="s">
        <v>623</v>
      </c>
      <c r="J225" t="s">
        <v>56</v>
      </c>
      <c r="K225" t="s">
        <v>12</v>
      </c>
      <c r="L225" t="s">
        <v>629</v>
      </c>
      <c r="M225" t="s">
        <v>15</v>
      </c>
      <c r="N225" t="s">
        <v>29</v>
      </c>
      <c r="O225" t="s">
        <v>623</v>
      </c>
    </row>
    <row r="226" spans="1:15" x14ac:dyDescent="0.25">
      <c r="A226" t="s">
        <v>899</v>
      </c>
      <c r="B226" t="s">
        <v>100</v>
      </c>
      <c r="C226" t="s">
        <v>621</v>
      </c>
      <c r="D226" t="s">
        <v>618</v>
      </c>
      <c r="E226" t="s">
        <v>622</v>
      </c>
      <c r="F226" s="213" t="s">
        <v>56</v>
      </c>
      <c r="G226" t="s">
        <v>66</v>
      </c>
      <c r="H226" t="s">
        <v>84</v>
      </c>
      <c r="I226" t="s">
        <v>623</v>
      </c>
      <c r="J226" t="s">
        <v>56</v>
      </c>
      <c r="K226" t="s">
        <v>27</v>
      </c>
      <c r="L226" t="s">
        <v>626</v>
      </c>
      <c r="M226" t="s">
        <v>19</v>
      </c>
      <c r="N226" t="s">
        <v>35</v>
      </c>
      <c r="O226" t="s">
        <v>900</v>
      </c>
    </row>
    <row r="227" spans="1:15" x14ac:dyDescent="0.25">
      <c r="A227" t="s">
        <v>901</v>
      </c>
      <c r="B227" t="s">
        <v>100</v>
      </c>
      <c r="C227" t="s">
        <v>621</v>
      </c>
      <c r="D227" t="s">
        <v>618</v>
      </c>
      <c r="E227" t="s">
        <v>622</v>
      </c>
      <c r="F227" s="213" t="s">
        <v>56</v>
      </c>
      <c r="G227" t="s">
        <v>66</v>
      </c>
      <c r="H227" t="s">
        <v>84</v>
      </c>
      <c r="I227" t="s">
        <v>623</v>
      </c>
      <c r="J227" t="s">
        <v>56</v>
      </c>
      <c r="K227" t="s">
        <v>25</v>
      </c>
      <c r="L227" t="s">
        <v>628</v>
      </c>
      <c r="M227" t="s">
        <v>19</v>
      </c>
      <c r="N227" t="s">
        <v>23</v>
      </c>
      <c r="O227" t="s">
        <v>623</v>
      </c>
    </row>
    <row r="228" spans="1:15" x14ac:dyDescent="0.25">
      <c r="A228" t="s">
        <v>902</v>
      </c>
      <c r="B228" t="s">
        <v>100</v>
      </c>
      <c r="C228" t="s">
        <v>621</v>
      </c>
      <c r="D228" t="s">
        <v>618</v>
      </c>
      <c r="E228" t="s">
        <v>622</v>
      </c>
      <c r="F228" s="213" t="s">
        <v>56</v>
      </c>
      <c r="G228" t="s">
        <v>66</v>
      </c>
      <c r="H228" t="s">
        <v>84</v>
      </c>
      <c r="I228" t="s">
        <v>623</v>
      </c>
      <c r="J228" t="s">
        <v>56</v>
      </c>
      <c r="K228" t="s">
        <v>22</v>
      </c>
      <c r="L228" t="s">
        <v>630</v>
      </c>
      <c r="M228" t="s">
        <v>19</v>
      </c>
      <c r="N228" t="s">
        <v>20</v>
      </c>
      <c r="O228" t="s">
        <v>642</v>
      </c>
    </row>
    <row r="229" spans="1:15" x14ac:dyDescent="0.25">
      <c r="A229" t="s">
        <v>903</v>
      </c>
      <c r="B229" t="s">
        <v>100</v>
      </c>
      <c r="C229" t="s">
        <v>621</v>
      </c>
      <c r="D229" t="s">
        <v>618</v>
      </c>
      <c r="E229" t="s">
        <v>622</v>
      </c>
      <c r="F229" s="213" t="s">
        <v>56</v>
      </c>
      <c r="G229" t="s">
        <v>66</v>
      </c>
      <c r="H229" t="s">
        <v>84</v>
      </c>
      <c r="I229" t="s">
        <v>623</v>
      </c>
      <c r="J229" t="s">
        <v>56</v>
      </c>
      <c r="K229" t="s">
        <v>19</v>
      </c>
      <c r="L229" t="s">
        <v>625</v>
      </c>
      <c r="M229" t="s">
        <v>19</v>
      </c>
      <c r="N229" t="s">
        <v>3</v>
      </c>
      <c r="O229" t="s">
        <v>765</v>
      </c>
    </row>
    <row r="230" spans="1:15" x14ac:dyDescent="0.25">
      <c r="A230" t="s">
        <v>904</v>
      </c>
      <c r="B230" t="s">
        <v>100</v>
      </c>
      <c r="C230" t="s">
        <v>621</v>
      </c>
      <c r="D230" t="s">
        <v>618</v>
      </c>
      <c r="E230" t="s">
        <v>622</v>
      </c>
      <c r="F230" s="213" t="s">
        <v>56</v>
      </c>
      <c r="G230" t="s">
        <v>66</v>
      </c>
      <c r="H230" t="s">
        <v>84</v>
      </c>
      <c r="I230" t="s">
        <v>623</v>
      </c>
      <c r="J230" t="s">
        <v>56</v>
      </c>
      <c r="K230" t="s">
        <v>15</v>
      </c>
      <c r="L230" t="s">
        <v>632</v>
      </c>
      <c r="M230" t="s">
        <v>19</v>
      </c>
      <c r="N230" t="s">
        <v>35</v>
      </c>
      <c r="O230" t="s">
        <v>42</v>
      </c>
    </row>
    <row r="231" spans="1:15" x14ac:dyDescent="0.25">
      <c r="A231" t="s">
        <v>905</v>
      </c>
      <c r="B231" t="s">
        <v>100</v>
      </c>
      <c r="C231" t="s">
        <v>621</v>
      </c>
      <c r="D231" t="s">
        <v>618</v>
      </c>
      <c r="E231" t="s">
        <v>622</v>
      </c>
      <c r="F231" s="213" t="s">
        <v>56</v>
      </c>
      <c r="G231" t="s">
        <v>66</v>
      </c>
      <c r="H231" t="s">
        <v>84</v>
      </c>
      <c r="I231" t="s">
        <v>623</v>
      </c>
      <c r="J231" t="s">
        <v>56</v>
      </c>
      <c r="K231" t="s">
        <v>12</v>
      </c>
      <c r="L231" t="s">
        <v>629</v>
      </c>
      <c r="M231" t="s">
        <v>19</v>
      </c>
      <c r="N231" t="s">
        <v>7</v>
      </c>
      <c r="O231" t="s">
        <v>644</v>
      </c>
    </row>
    <row r="232" spans="1:15" x14ac:dyDescent="0.25">
      <c r="A232" t="s">
        <v>906</v>
      </c>
      <c r="B232" t="s">
        <v>100</v>
      </c>
      <c r="C232" t="s">
        <v>621</v>
      </c>
      <c r="D232" t="s">
        <v>618</v>
      </c>
      <c r="E232" t="s">
        <v>622</v>
      </c>
      <c r="F232" s="213" t="s">
        <v>56</v>
      </c>
      <c r="G232" t="s">
        <v>66</v>
      </c>
      <c r="H232" t="s">
        <v>84</v>
      </c>
      <c r="I232" t="s">
        <v>623</v>
      </c>
      <c r="J232" t="s">
        <v>56</v>
      </c>
      <c r="K232" t="s">
        <v>27</v>
      </c>
      <c r="L232" t="s">
        <v>626</v>
      </c>
      <c r="M232" t="s">
        <v>30</v>
      </c>
      <c r="N232" t="s">
        <v>18</v>
      </c>
      <c r="O232" t="s">
        <v>47</v>
      </c>
    </row>
    <row r="233" spans="1:15" x14ac:dyDescent="0.25">
      <c r="A233" t="s">
        <v>907</v>
      </c>
      <c r="B233" t="s">
        <v>100</v>
      </c>
      <c r="C233" t="s">
        <v>621</v>
      </c>
      <c r="D233" t="s">
        <v>618</v>
      </c>
      <c r="E233" t="s">
        <v>622</v>
      </c>
      <c r="F233" s="213" t="s">
        <v>56</v>
      </c>
      <c r="G233" t="s">
        <v>66</v>
      </c>
      <c r="H233" t="s">
        <v>84</v>
      </c>
      <c r="I233" t="s">
        <v>623</v>
      </c>
      <c r="J233" t="s">
        <v>56</v>
      </c>
      <c r="K233" t="s">
        <v>25</v>
      </c>
      <c r="L233" t="s">
        <v>628</v>
      </c>
      <c r="M233" t="s">
        <v>30</v>
      </c>
      <c r="N233" t="s">
        <v>19</v>
      </c>
      <c r="O233" t="s">
        <v>682</v>
      </c>
    </row>
    <row r="234" spans="1:15" x14ac:dyDescent="0.25">
      <c r="A234" t="s">
        <v>908</v>
      </c>
      <c r="B234" t="s">
        <v>100</v>
      </c>
      <c r="C234" t="s">
        <v>621</v>
      </c>
      <c r="D234" t="s">
        <v>618</v>
      </c>
      <c r="E234" t="s">
        <v>622</v>
      </c>
      <c r="F234" s="213" t="s">
        <v>56</v>
      </c>
      <c r="G234" t="s">
        <v>66</v>
      </c>
      <c r="H234" t="s">
        <v>84</v>
      </c>
      <c r="I234" t="s">
        <v>623</v>
      </c>
      <c r="J234" t="s">
        <v>56</v>
      </c>
      <c r="K234" t="s">
        <v>22</v>
      </c>
      <c r="L234" t="s">
        <v>630</v>
      </c>
      <c r="M234" t="s">
        <v>30</v>
      </c>
      <c r="N234" t="s">
        <v>20</v>
      </c>
      <c r="O234" t="s">
        <v>739</v>
      </c>
    </row>
    <row r="235" spans="1:15" x14ac:dyDescent="0.25">
      <c r="A235" t="s">
        <v>909</v>
      </c>
      <c r="B235" t="s">
        <v>100</v>
      </c>
      <c r="C235" t="s">
        <v>621</v>
      </c>
      <c r="D235" t="s">
        <v>618</v>
      </c>
      <c r="E235" t="s">
        <v>622</v>
      </c>
      <c r="F235" s="213" t="s">
        <v>56</v>
      </c>
      <c r="G235" t="s">
        <v>66</v>
      </c>
      <c r="H235" t="s">
        <v>84</v>
      </c>
      <c r="I235" t="s">
        <v>623</v>
      </c>
      <c r="J235" t="s">
        <v>56</v>
      </c>
      <c r="K235" t="s">
        <v>19</v>
      </c>
      <c r="L235" t="s">
        <v>625</v>
      </c>
      <c r="M235" t="s">
        <v>30</v>
      </c>
      <c r="N235" t="s">
        <v>23</v>
      </c>
      <c r="O235" t="s">
        <v>33</v>
      </c>
    </row>
    <row r="236" spans="1:15" x14ac:dyDescent="0.25">
      <c r="A236" t="s">
        <v>910</v>
      </c>
      <c r="B236" t="s">
        <v>100</v>
      </c>
      <c r="C236" t="s">
        <v>621</v>
      </c>
      <c r="D236" t="s">
        <v>618</v>
      </c>
      <c r="E236" t="s">
        <v>622</v>
      </c>
      <c r="F236" s="213" t="s">
        <v>56</v>
      </c>
      <c r="G236" t="s">
        <v>66</v>
      </c>
      <c r="H236" t="s">
        <v>84</v>
      </c>
      <c r="I236" t="s">
        <v>623</v>
      </c>
      <c r="J236" t="s">
        <v>56</v>
      </c>
      <c r="K236" t="s">
        <v>27</v>
      </c>
      <c r="L236" t="s">
        <v>626</v>
      </c>
      <c r="M236" t="s">
        <v>22</v>
      </c>
      <c r="N236" t="s">
        <v>14</v>
      </c>
      <c r="O236" t="s">
        <v>643</v>
      </c>
    </row>
    <row r="237" spans="1:15" x14ac:dyDescent="0.25">
      <c r="A237" t="s">
        <v>911</v>
      </c>
      <c r="B237" t="s">
        <v>100</v>
      </c>
      <c r="C237" t="s">
        <v>621</v>
      </c>
      <c r="D237" t="s">
        <v>618</v>
      </c>
      <c r="E237" t="s">
        <v>622</v>
      </c>
      <c r="F237" s="213" t="s">
        <v>56</v>
      </c>
      <c r="G237" t="s">
        <v>66</v>
      </c>
      <c r="H237" t="s">
        <v>84</v>
      </c>
      <c r="I237" t="s">
        <v>623</v>
      </c>
      <c r="J237" t="s">
        <v>56</v>
      </c>
      <c r="K237" t="s">
        <v>25</v>
      </c>
      <c r="L237" t="s">
        <v>628</v>
      </c>
      <c r="M237" t="s">
        <v>22</v>
      </c>
      <c r="N237" t="s">
        <v>29</v>
      </c>
      <c r="O237" t="s">
        <v>45</v>
      </c>
    </row>
    <row r="238" spans="1:15" x14ac:dyDescent="0.25">
      <c r="A238" t="s">
        <v>912</v>
      </c>
      <c r="B238" t="s">
        <v>100</v>
      </c>
      <c r="C238" t="s">
        <v>621</v>
      </c>
      <c r="D238" t="s">
        <v>618</v>
      </c>
      <c r="E238" t="s">
        <v>622</v>
      </c>
      <c r="F238" s="213" t="s">
        <v>56</v>
      </c>
      <c r="G238" t="s">
        <v>66</v>
      </c>
      <c r="H238" t="s">
        <v>84</v>
      </c>
      <c r="I238" t="s">
        <v>623</v>
      </c>
      <c r="J238" t="s">
        <v>56</v>
      </c>
      <c r="K238" t="s">
        <v>22</v>
      </c>
      <c r="L238" t="s">
        <v>630</v>
      </c>
      <c r="M238" t="s">
        <v>22</v>
      </c>
      <c r="N238" t="s">
        <v>35</v>
      </c>
      <c r="O238" t="s">
        <v>418</v>
      </c>
    </row>
    <row r="239" spans="1:15" x14ac:dyDescent="0.25">
      <c r="A239" t="s">
        <v>913</v>
      </c>
      <c r="B239" t="s">
        <v>100</v>
      </c>
      <c r="C239" t="s">
        <v>621</v>
      </c>
      <c r="D239" t="s">
        <v>618</v>
      </c>
      <c r="E239" t="s">
        <v>622</v>
      </c>
      <c r="F239" s="213" t="s">
        <v>56</v>
      </c>
      <c r="G239" t="s">
        <v>66</v>
      </c>
      <c r="H239" t="s">
        <v>84</v>
      </c>
      <c r="I239" t="s">
        <v>623</v>
      </c>
      <c r="J239" t="s">
        <v>56</v>
      </c>
      <c r="K239" t="s">
        <v>19</v>
      </c>
      <c r="L239" t="s">
        <v>625</v>
      </c>
      <c r="M239" t="s">
        <v>22</v>
      </c>
      <c r="N239" t="s">
        <v>20</v>
      </c>
      <c r="O239" t="s">
        <v>623</v>
      </c>
    </row>
    <row r="240" spans="1:15" x14ac:dyDescent="0.25">
      <c r="A240" t="s">
        <v>914</v>
      </c>
      <c r="B240" t="s">
        <v>100</v>
      </c>
      <c r="C240" t="s">
        <v>621</v>
      </c>
      <c r="D240" t="s">
        <v>618</v>
      </c>
      <c r="E240" t="s">
        <v>622</v>
      </c>
      <c r="F240" s="213" t="s">
        <v>56</v>
      </c>
      <c r="G240" t="s">
        <v>66</v>
      </c>
      <c r="H240" t="s">
        <v>84</v>
      </c>
      <c r="I240" t="s">
        <v>623</v>
      </c>
      <c r="J240" t="s">
        <v>56</v>
      </c>
      <c r="K240" t="s">
        <v>15</v>
      </c>
      <c r="L240" t="s">
        <v>632</v>
      </c>
      <c r="M240" t="s">
        <v>22</v>
      </c>
      <c r="N240" t="s">
        <v>35</v>
      </c>
      <c r="O240" t="s">
        <v>100</v>
      </c>
    </row>
    <row r="241" spans="1:15" x14ac:dyDescent="0.25">
      <c r="A241" t="s">
        <v>915</v>
      </c>
      <c r="B241" t="s">
        <v>100</v>
      </c>
      <c r="C241" t="s">
        <v>621</v>
      </c>
      <c r="D241" t="s">
        <v>618</v>
      </c>
      <c r="E241" t="s">
        <v>622</v>
      </c>
      <c r="F241" s="213" t="s">
        <v>56</v>
      </c>
      <c r="G241" t="s">
        <v>66</v>
      </c>
      <c r="H241" t="s">
        <v>84</v>
      </c>
      <c r="I241" t="s">
        <v>623</v>
      </c>
      <c r="J241" t="s">
        <v>56</v>
      </c>
      <c r="K241" t="s">
        <v>12</v>
      </c>
      <c r="L241" t="s">
        <v>629</v>
      </c>
      <c r="M241" t="s">
        <v>22</v>
      </c>
      <c r="N241" t="s">
        <v>5</v>
      </c>
      <c r="O241" t="s">
        <v>644</v>
      </c>
    </row>
    <row r="242" spans="1:15" x14ac:dyDescent="0.25">
      <c r="A242" t="s">
        <v>916</v>
      </c>
      <c r="B242" t="s">
        <v>100</v>
      </c>
      <c r="C242" t="s">
        <v>621</v>
      </c>
      <c r="D242" t="s">
        <v>618</v>
      </c>
      <c r="E242" t="s">
        <v>622</v>
      </c>
      <c r="F242" s="213" t="s">
        <v>56</v>
      </c>
      <c r="G242" t="s">
        <v>66</v>
      </c>
      <c r="H242" t="s">
        <v>84</v>
      </c>
      <c r="I242" t="s">
        <v>623</v>
      </c>
      <c r="J242" t="s">
        <v>56</v>
      </c>
      <c r="K242" t="s">
        <v>27</v>
      </c>
      <c r="L242" t="s">
        <v>626</v>
      </c>
      <c r="M242" t="s">
        <v>34</v>
      </c>
      <c r="N242" t="s">
        <v>11</v>
      </c>
      <c r="O242" t="s">
        <v>665</v>
      </c>
    </row>
    <row r="243" spans="1:15" x14ac:dyDescent="0.25">
      <c r="A243" t="s">
        <v>917</v>
      </c>
      <c r="B243" t="s">
        <v>100</v>
      </c>
      <c r="C243" t="s">
        <v>621</v>
      </c>
      <c r="D243" t="s">
        <v>618</v>
      </c>
      <c r="E243" t="s">
        <v>622</v>
      </c>
      <c r="F243" s="213" t="s">
        <v>56</v>
      </c>
      <c r="G243" t="s">
        <v>66</v>
      </c>
      <c r="H243" t="s">
        <v>84</v>
      </c>
      <c r="I243" t="s">
        <v>623</v>
      </c>
      <c r="J243" t="s">
        <v>56</v>
      </c>
      <c r="K243" t="s">
        <v>25</v>
      </c>
      <c r="L243" t="s">
        <v>628</v>
      </c>
      <c r="M243" t="s">
        <v>34</v>
      </c>
      <c r="N243" t="s">
        <v>23</v>
      </c>
      <c r="O243" t="s">
        <v>418</v>
      </c>
    </row>
    <row r="244" spans="1:15" x14ac:dyDescent="0.25">
      <c r="A244" t="s">
        <v>918</v>
      </c>
      <c r="B244" t="s">
        <v>100</v>
      </c>
      <c r="C244" t="s">
        <v>621</v>
      </c>
      <c r="D244" t="s">
        <v>618</v>
      </c>
      <c r="E244" t="s">
        <v>622</v>
      </c>
      <c r="F244" s="213" t="s">
        <v>56</v>
      </c>
      <c r="G244" t="s">
        <v>66</v>
      </c>
      <c r="H244" t="s">
        <v>84</v>
      </c>
      <c r="I244" t="s">
        <v>623</v>
      </c>
      <c r="J244" t="s">
        <v>56</v>
      </c>
      <c r="K244" t="s">
        <v>22</v>
      </c>
      <c r="L244" t="s">
        <v>630</v>
      </c>
      <c r="M244" t="s">
        <v>34</v>
      </c>
      <c r="N244" t="s">
        <v>21</v>
      </c>
      <c r="O244" t="s">
        <v>28</v>
      </c>
    </row>
    <row r="245" spans="1:15" x14ac:dyDescent="0.25">
      <c r="A245" t="s">
        <v>919</v>
      </c>
      <c r="B245" t="s">
        <v>100</v>
      </c>
      <c r="C245" t="s">
        <v>621</v>
      </c>
      <c r="D245" t="s">
        <v>618</v>
      </c>
      <c r="E245" t="s">
        <v>622</v>
      </c>
      <c r="F245" s="213" t="s">
        <v>56</v>
      </c>
      <c r="G245" t="s">
        <v>66</v>
      </c>
      <c r="H245" t="s">
        <v>84</v>
      </c>
      <c r="I245" t="s">
        <v>623</v>
      </c>
      <c r="J245" t="s">
        <v>56</v>
      </c>
      <c r="K245" t="s">
        <v>19</v>
      </c>
      <c r="L245" t="s">
        <v>625</v>
      </c>
      <c r="M245" t="s">
        <v>34</v>
      </c>
      <c r="N245" t="s">
        <v>5</v>
      </c>
      <c r="O245" t="s">
        <v>643</v>
      </c>
    </row>
    <row r="246" spans="1:15" x14ac:dyDescent="0.25">
      <c r="A246" t="s">
        <v>920</v>
      </c>
      <c r="B246" t="s">
        <v>100</v>
      </c>
      <c r="C246" t="s">
        <v>621</v>
      </c>
      <c r="D246" t="s">
        <v>618</v>
      </c>
      <c r="E246" t="s">
        <v>622</v>
      </c>
      <c r="F246" s="213" t="s">
        <v>56</v>
      </c>
      <c r="G246" t="s">
        <v>66</v>
      </c>
      <c r="H246" t="s">
        <v>84</v>
      </c>
      <c r="I246" t="s">
        <v>623</v>
      </c>
      <c r="J246" t="s">
        <v>56</v>
      </c>
      <c r="K246" t="s">
        <v>27</v>
      </c>
      <c r="L246" t="s">
        <v>626</v>
      </c>
      <c r="M246" t="s">
        <v>18</v>
      </c>
      <c r="N246" t="s">
        <v>35</v>
      </c>
      <c r="O246" t="s">
        <v>682</v>
      </c>
    </row>
    <row r="247" spans="1:15" x14ac:dyDescent="0.25">
      <c r="A247" t="s">
        <v>921</v>
      </c>
      <c r="B247" t="s">
        <v>100</v>
      </c>
      <c r="C247" t="s">
        <v>621</v>
      </c>
      <c r="D247" t="s">
        <v>618</v>
      </c>
      <c r="E247" t="s">
        <v>622</v>
      </c>
      <c r="F247" s="213" t="s">
        <v>56</v>
      </c>
      <c r="G247" t="s">
        <v>66</v>
      </c>
      <c r="H247" t="s">
        <v>84</v>
      </c>
      <c r="I247" t="s">
        <v>623</v>
      </c>
      <c r="J247" t="s">
        <v>56</v>
      </c>
      <c r="K247" t="s">
        <v>25</v>
      </c>
      <c r="L247" t="s">
        <v>628</v>
      </c>
      <c r="M247" t="s">
        <v>18</v>
      </c>
      <c r="N247" t="s">
        <v>34</v>
      </c>
      <c r="O247" t="s">
        <v>46</v>
      </c>
    </row>
    <row r="248" spans="1:15" x14ac:dyDescent="0.25">
      <c r="A248" t="s">
        <v>922</v>
      </c>
      <c r="B248" t="s">
        <v>100</v>
      </c>
      <c r="C248" t="s">
        <v>621</v>
      </c>
      <c r="D248" t="s">
        <v>618</v>
      </c>
      <c r="E248" t="s">
        <v>622</v>
      </c>
      <c r="F248" s="213" t="s">
        <v>56</v>
      </c>
      <c r="G248" t="s">
        <v>66</v>
      </c>
      <c r="H248" t="s">
        <v>84</v>
      </c>
      <c r="I248" t="s">
        <v>623</v>
      </c>
      <c r="J248" t="s">
        <v>56</v>
      </c>
      <c r="K248" t="s">
        <v>22</v>
      </c>
      <c r="L248" t="s">
        <v>630</v>
      </c>
      <c r="M248" t="s">
        <v>18</v>
      </c>
      <c r="N248" t="s">
        <v>18</v>
      </c>
      <c r="O248" t="s">
        <v>643</v>
      </c>
    </row>
    <row r="249" spans="1:15" x14ac:dyDescent="0.25">
      <c r="A249" t="s">
        <v>923</v>
      </c>
      <c r="B249" t="s">
        <v>100</v>
      </c>
      <c r="C249" t="s">
        <v>621</v>
      </c>
      <c r="D249" t="s">
        <v>618</v>
      </c>
      <c r="E249" t="s">
        <v>622</v>
      </c>
      <c r="F249" s="213" t="s">
        <v>56</v>
      </c>
      <c r="G249" t="s">
        <v>66</v>
      </c>
      <c r="H249" t="s">
        <v>84</v>
      </c>
      <c r="I249" t="s">
        <v>623</v>
      </c>
      <c r="J249" t="s">
        <v>56</v>
      </c>
      <c r="K249" t="s">
        <v>19</v>
      </c>
      <c r="L249" t="s">
        <v>625</v>
      </c>
      <c r="M249" t="s">
        <v>18</v>
      </c>
      <c r="N249" t="s">
        <v>33</v>
      </c>
      <c r="O249" t="s">
        <v>641</v>
      </c>
    </row>
    <row r="250" spans="1:15" x14ac:dyDescent="0.25">
      <c r="A250" t="s">
        <v>924</v>
      </c>
      <c r="B250" t="s">
        <v>100</v>
      </c>
      <c r="C250" t="s">
        <v>621</v>
      </c>
      <c r="D250" t="s">
        <v>618</v>
      </c>
      <c r="E250" t="s">
        <v>622</v>
      </c>
      <c r="F250" s="213" t="s">
        <v>56</v>
      </c>
      <c r="G250" t="s">
        <v>66</v>
      </c>
      <c r="H250" t="s">
        <v>84</v>
      </c>
      <c r="I250" t="s">
        <v>623</v>
      </c>
      <c r="J250" t="s">
        <v>56</v>
      </c>
      <c r="K250" t="s">
        <v>15</v>
      </c>
      <c r="L250" t="s">
        <v>632</v>
      </c>
      <c r="M250" t="s">
        <v>18</v>
      </c>
      <c r="N250" t="s">
        <v>32</v>
      </c>
      <c r="O250" t="s">
        <v>646</v>
      </c>
    </row>
    <row r="251" spans="1:15" x14ac:dyDescent="0.25">
      <c r="A251" t="s">
        <v>925</v>
      </c>
      <c r="B251" t="s">
        <v>100</v>
      </c>
      <c r="C251" t="s">
        <v>621</v>
      </c>
      <c r="D251" t="s">
        <v>618</v>
      </c>
      <c r="E251" t="s">
        <v>622</v>
      </c>
      <c r="F251" s="213" t="s">
        <v>56</v>
      </c>
      <c r="G251" t="s">
        <v>66</v>
      </c>
      <c r="H251" t="s">
        <v>84</v>
      </c>
      <c r="I251" t="s">
        <v>623</v>
      </c>
      <c r="J251" t="s">
        <v>56</v>
      </c>
      <c r="K251" t="s">
        <v>12</v>
      </c>
      <c r="L251" t="s">
        <v>629</v>
      </c>
      <c r="M251" t="s">
        <v>18</v>
      </c>
      <c r="N251" t="s">
        <v>5</v>
      </c>
      <c r="O251" t="s">
        <v>627</v>
      </c>
    </row>
    <row r="252" spans="1:15" x14ac:dyDescent="0.25">
      <c r="A252" t="s">
        <v>926</v>
      </c>
      <c r="B252" t="s">
        <v>100</v>
      </c>
      <c r="C252" t="s">
        <v>621</v>
      </c>
      <c r="D252" t="s">
        <v>618</v>
      </c>
      <c r="E252" t="s">
        <v>622</v>
      </c>
      <c r="F252" s="213" t="s">
        <v>56</v>
      </c>
      <c r="G252" t="s">
        <v>66</v>
      </c>
      <c r="H252" t="s">
        <v>84</v>
      </c>
      <c r="I252" t="s">
        <v>623</v>
      </c>
      <c r="J252" t="s">
        <v>56</v>
      </c>
      <c r="K252" t="s">
        <v>27</v>
      </c>
      <c r="L252" t="s">
        <v>626</v>
      </c>
      <c r="M252" t="s">
        <v>35</v>
      </c>
      <c r="N252" t="s">
        <v>10</v>
      </c>
      <c r="O252" t="s">
        <v>665</v>
      </c>
    </row>
    <row r="253" spans="1:15" x14ac:dyDescent="0.25">
      <c r="A253" t="s">
        <v>927</v>
      </c>
      <c r="B253" t="s">
        <v>100</v>
      </c>
      <c r="C253" t="s">
        <v>621</v>
      </c>
      <c r="D253" t="s">
        <v>618</v>
      </c>
      <c r="E253" t="s">
        <v>622</v>
      </c>
      <c r="F253" s="213" t="s">
        <v>56</v>
      </c>
      <c r="G253" t="s">
        <v>66</v>
      </c>
      <c r="H253" t="s">
        <v>84</v>
      </c>
      <c r="I253" t="s">
        <v>623</v>
      </c>
      <c r="J253" t="s">
        <v>56</v>
      </c>
      <c r="K253" t="s">
        <v>25</v>
      </c>
      <c r="L253" t="s">
        <v>628</v>
      </c>
      <c r="M253" t="s">
        <v>35</v>
      </c>
      <c r="N253" t="s">
        <v>22</v>
      </c>
      <c r="O253" t="s">
        <v>418</v>
      </c>
    </row>
    <row r="254" spans="1:15" x14ac:dyDescent="0.25">
      <c r="A254" t="s">
        <v>928</v>
      </c>
      <c r="B254" t="s">
        <v>100</v>
      </c>
      <c r="C254" t="s">
        <v>621</v>
      </c>
      <c r="D254" t="s">
        <v>618</v>
      </c>
      <c r="E254" t="s">
        <v>622</v>
      </c>
      <c r="F254" s="213" t="s">
        <v>56</v>
      </c>
      <c r="G254" t="s">
        <v>66</v>
      </c>
      <c r="H254" t="s">
        <v>84</v>
      </c>
      <c r="I254" t="s">
        <v>623</v>
      </c>
      <c r="J254" t="s">
        <v>56</v>
      </c>
      <c r="K254" t="s">
        <v>22</v>
      </c>
      <c r="L254" t="s">
        <v>630</v>
      </c>
      <c r="M254" t="s">
        <v>35</v>
      </c>
      <c r="N254" t="s">
        <v>20</v>
      </c>
      <c r="O254" t="s">
        <v>27</v>
      </c>
    </row>
    <row r="255" spans="1:15" x14ac:dyDescent="0.25">
      <c r="A255" t="s">
        <v>929</v>
      </c>
      <c r="B255" t="s">
        <v>100</v>
      </c>
      <c r="C255" t="s">
        <v>621</v>
      </c>
      <c r="D255" t="s">
        <v>618</v>
      </c>
      <c r="E255" t="s">
        <v>622</v>
      </c>
      <c r="F255" s="213" t="s">
        <v>56</v>
      </c>
      <c r="G255" t="s">
        <v>66</v>
      </c>
      <c r="H255" t="s">
        <v>84</v>
      </c>
      <c r="I255" t="s">
        <v>623</v>
      </c>
      <c r="J255" t="s">
        <v>56</v>
      </c>
      <c r="K255" t="s">
        <v>19</v>
      </c>
      <c r="L255" t="s">
        <v>625</v>
      </c>
      <c r="M255" t="s">
        <v>35</v>
      </c>
      <c r="N255" t="s">
        <v>5</v>
      </c>
      <c r="O255" t="s">
        <v>629</v>
      </c>
    </row>
    <row r="256" spans="1:15" x14ac:dyDescent="0.25">
      <c r="A256" t="s">
        <v>930</v>
      </c>
      <c r="B256" t="s">
        <v>100</v>
      </c>
      <c r="C256" t="s">
        <v>621</v>
      </c>
      <c r="D256" t="s">
        <v>618</v>
      </c>
      <c r="E256" t="s">
        <v>622</v>
      </c>
      <c r="F256" s="213" t="s">
        <v>56</v>
      </c>
      <c r="G256" t="s">
        <v>66</v>
      </c>
      <c r="H256" t="s">
        <v>84</v>
      </c>
      <c r="I256" t="s">
        <v>623</v>
      </c>
      <c r="J256" t="s">
        <v>56</v>
      </c>
      <c r="K256" t="s">
        <v>27</v>
      </c>
      <c r="L256" t="s">
        <v>626</v>
      </c>
      <c r="M256" t="s">
        <v>39</v>
      </c>
      <c r="N256" t="s">
        <v>17</v>
      </c>
      <c r="O256" t="s">
        <v>878</v>
      </c>
    </row>
    <row r="257" spans="1:15" x14ac:dyDescent="0.25">
      <c r="A257" t="s">
        <v>931</v>
      </c>
      <c r="B257" t="s">
        <v>100</v>
      </c>
      <c r="C257" t="s">
        <v>621</v>
      </c>
      <c r="D257" t="s">
        <v>618</v>
      </c>
      <c r="E257" t="s">
        <v>622</v>
      </c>
      <c r="F257" s="213" t="s">
        <v>56</v>
      </c>
      <c r="G257" t="s">
        <v>66</v>
      </c>
      <c r="H257" t="s">
        <v>84</v>
      </c>
      <c r="I257" t="s">
        <v>623</v>
      </c>
      <c r="J257" t="s">
        <v>56</v>
      </c>
      <c r="K257" t="s">
        <v>25</v>
      </c>
      <c r="L257" t="s">
        <v>628</v>
      </c>
      <c r="M257" t="s">
        <v>39</v>
      </c>
      <c r="N257" t="s">
        <v>14</v>
      </c>
      <c r="O257" t="s">
        <v>626</v>
      </c>
    </row>
    <row r="258" spans="1:15" x14ac:dyDescent="0.25">
      <c r="A258" t="s">
        <v>932</v>
      </c>
      <c r="B258" t="s">
        <v>100</v>
      </c>
      <c r="C258" t="s">
        <v>621</v>
      </c>
      <c r="D258" t="s">
        <v>618</v>
      </c>
      <c r="E258" t="s">
        <v>622</v>
      </c>
      <c r="F258" s="213" t="s">
        <v>56</v>
      </c>
      <c r="G258" t="s">
        <v>66</v>
      </c>
      <c r="H258" t="s">
        <v>84</v>
      </c>
      <c r="I258" t="s">
        <v>623</v>
      </c>
      <c r="J258" t="s">
        <v>56</v>
      </c>
      <c r="K258" t="s">
        <v>22</v>
      </c>
      <c r="L258" t="s">
        <v>630</v>
      </c>
      <c r="M258" t="s">
        <v>39</v>
      </c>
      <c r="N258" t="s">
        <v>2</v>
      </c>
      <c r="O258" t="s">
        <v>635</v>
      </c>
    </row>
    <row r="259" spans="1:15" x14ac:dyDescent="0.25">
      <c r="A259" t="s">
        <v>933</v>
      </c>
      <c r="B259" t="s">
        <v>100</v>
      </c>
      <c r="C259" t="s">
        <v>621</v>
      </c>
      <c r="D259" t="s">
        <v>618</v>
      </c>
      <c r="E259" t="s">
        <v>622</v>
      </c>
      <c r="F259" s="213" t="s">
        <v>56</v>
      </c>
      <c r="G259" t="s">
        <v>66</v>
      </c>
      <c r="H259" t="s">
        <v>84</v>
      </c>
      <c r="I259" t="s">
        <v>623</v>
      </c>
      <c r="J259" t="s">
        <v>56</v>
      </c>
      <c r="K259" t="s">
        <v>19</v>
      </c>
      <c r="L259" t="s">
        <v>625</v>
      </c>
      <c r="M259" t="s">
        <v>39</v>
      </c>
      <c r="N259" t="s">
        <v>6</v>
      </c>
      <c r="O259" t="s">
        <v>665</v>
      </c>
    </row>
    <row r="260" spans="1:15" x14ac:dyDescent="0.25">
      <c r="A260" t="s">
        <v>934</v>
      </c>
      <c r="B260" t="s">
        <v>100</v>
      </c>
      <c r="C260" t="s">
        <v>621</v>
      </c>
      <c r="D260" t="s">
        <v>618</v>
      </c>
      <c r="E260" t="s">
        <v>622</v>
      </c>
      <c r="F260" s="213" t="s">
        <v>56</v>
      </c>
      <c r="G260" t="s">
        <v>66</v>
      </c>
      <c r="H260" t="s">
        <v>84</v>
      </c>
      <c r="I260" t="s">
        <v>623</v>
      </c>
      <c r="J260" t="s">
        <v>56</v>
      </c>
      <c r="K260" t="s">
        <v>27</v>
      </c>
      <c r="L260" t="s">
        <v>626</v>
      </c>
      <c r="M260" t="s">
        <v>23</v>
      </c>
      <c r="N260" t="s">
        <v>29</v>
      </c>
      <c r="O260" t="s">
        <v>43</v>
      </c>
    </row>
    <row r="261" spans="1:15" x14ac:dyDescent="0.25">
      <c r="A261" t="s">
        <v>935</v>
      </c>
      <c r="B261" t="s">
        <v>100</v>
      </c>
      <c r="C261" t="s">
        <v>621</v>
      </c>
      <c r="D261" t="s">
        <v>618</v>
      </c>
      <c r="E261" t="s">
        <v>622</v>
      </c>
      <c r="F261" s="213" t="s">
        <v>56</v>
      </c>
      <c r="G261" t="s">
        <v>66</v>
      </c>
      <c r="H261" t="s">
        <v>84</v>
      </c>
      <c r="I261" t="s">
        <v>623</v>
      </c>
      <c r="J261" t="s">
        <v>56</v>
      </c>
      <c r="K261" t="s">
        <v>25</v>
      </c>
      <c r="L261" t="s">
        <v>628</v>
      </c>
      <c r="M261" t="s">
        <v>23</v>
      </c>
      <c r="N261" t="s">
        <v>22</v>
      </c>
      <c r="O261" t="s">
        <v>665</v>
      </c>
    </row>
    <row r="262" spans="1:15" x14ac:dyDescent="0.25">
      <c r="A262" t="s">
        <v>936</v>
      </c>
      <c r="B262" t="s">
        <v>100</v>
      </c>
      <c r="C262" t="s">
        <v>621</v>
      </c>
      <c r="D262" t="s">
        <v>618</v>
      </c>
      <c r="E262" t="s">
        <v>622</v>
      </c>
      <c r="F262" s="213" t="s">
        <v>56</v>
      </c>
      <c r="G262" t="s">
        <v>66</v>
      </c>
      <c r="H262" t="s">
        <v>84</v>
      </c>
      <c r="I262" t="s">
        <v>623</v>
      </c>
      <c r="J262" t="s">
        <v>56</v>
      </c>
      <c r="K262" t="s">
        <v>22</v>
      </c>
      <c r="L262" t="s">
        <v>630</v>
      </c>
      <c r="M262" t="s">
        <v>23</v>
      </c>
      <c r="N262" t="s">
        <v>31</v>
      </c>
      <c r="O262" t="s">
        <v>698</v>
      </c>
    </row>
    <row r="263" spans="1:15" x14ac:dyDescent="0.25">
      <c r="A263" t="s">
        <v>937</v>
      </c>
      <c r="B263" t="s">
        <v>100</v>
      </c>
      <c r="C263" t="s">
        <v>621</v>
      </c>
      <c r="D263" t="s">
        <v>618</v>
      </c>
      <c r="E263" t="s">
        <v>622</v>
      </c>
      <c r="F263" s="213" t="s">
        <v>56</v>
      </c>
      <c r="G263" t="s">
        <v>66</v>
      </c>
      <c r="H263" t="s">
        <v>84</v>
      </c>
      <c r="I263" t="s">
        <v>623</v>
      </c>
      <c r="J263" t="s">
        <v>56</v>
      </c>
      <c r="K263" t="s">
        <v>19</v>
      </c>
      <c r="L263" t="s">
        <v>625</v>
      </c>
      <c r="M263" t="s">
        <v>23</v>
      </c>
      <c r="N263" t="s">
        <v>1</v>
      </c>
      <c r="O263" t="s">
        <v>825</v>
      </c>
    </row>
    <row r="264" spans="1:15" x14ac:dyDescent="0.25">
      <c r="A264" t="s">
        <v>938</v>
      </c>
      <c r="B264" t="s">
        <v>100</v>
      </c>
      <c r="C264" t="s">
        <v>621</v>
      </c>
      <c r="D264" t="s">
        <v>618</v>
      </c>
      <c r="E264" t="s">
        <v>622</v>
      </c>
      <c r="F264" s="213" t="s">
        <v>56</v>
      </c>
      <c r="G264" t="s">
        <v>66</v>
      </c>
      <c r="H264" t="s">
        <v>84</v>
      </c>
      <c r="I264" t="s">
        <v>623</v>
      </c>
      <c r="J264" t="s">
        <v>56</v>
      </c>
      <c r="K264" t="s">
        <v>15</v>
      </c>
      <c r="L264" t="s">
        <v>632</v>
      </c>
      <c r="M264" t="s">
        <v>23</v>
      </c>
      <c r="N264" t="s">
        <v>8</v>
      </c>
      <c r="O264" t="s">
        <v>645</v>
      </c>
    </row>
    <row r="265" spans="1:15" x14ac:dyDescent="0.25">
      <c r="A265" t="s">
        <v>939</v>
      </c>
      <c r="B265" t="s">
        <v>100</v>
      </c>
      <c r="C265" t="s">
        <v>621</v>
      </c>
      <c r="D265" t="s">
        <v>618</v>
      </c>
      <c r="E265" t="s">
        <v>622</v>
      </c>
      <c r="F265" s="213" t="s">
        <v>56</v>
      </c>
      <c r="G265" t="s">
        <v>66</v>
      </c>
      <c r="H265" t="s">
        <v>84</v>
      </c>
      <c r="I265" t="s">
        <v>623</v>
      </c>
      <c r="J265" t="s">
        <v>56</v>
      </c>
      <c r="K265" t="s">
        <v>12</v>
      </c>
      <c r="L265" t="s">
        <v>629</v>
      </c>
      <c r="M265" t="s">
        <v>23</v>
      </c>
      <c r="N265" t="s">
        <v>18</v>
      </c>
      <c r="O265" t="s">
        <v>632</v>
      </c>
    </row>
    <row r="266" spans="1:15" x14ac:dyDescent="0.25">
      <c r="A266" t="s">
        <v>940</v>
      </c>
      <c r="B266" t="s">
        <v>100</v>
      </c>
      <c r="C266" t="s">
        <v>621</v>
      </c>
      <c r="D266" t="s">
        <v>618</v>
      </c>
      <c r="E266" t="s">
        <v>622</v>
      </c>
      <c r="F266" s="213" t="s">
        <v>56</v>
      </c>
      <c r="G266" t="s">
        <v>66</v>
      </c>
      <c r="H266" t="s">
        <v>84</v>
      </c>
      <c r="I266" t="s">
        <v>623</v>
      </c>
      <c r="J266" t="s">
        <v>56</v>
      </c>
      <c r="K266" t="s">
        <v>27</v>
      </c>
      <c r="L266" t="s">
        <v>626</v>
      </c>
      <c r="M266" t="s">
        <v>16</v>
      </c>
      <c r="N266" t="s">
        <v>11</v>
      </c>
      <c r="O266" t="s">
        <v>674</v>
      </c>
    </row>
    <row r="267" spans="1:15" x14ac:dyDescent="0.25">
      <c r="A267" t="s">
        <v>941</v>
      </c>
      <c r="B267" t="s">
        <v>100</v>
      </c>
      <c r="C267" t="s">
        <v>621</v>
      </c>
      <c r="D267" t="s">
        <v>618</v>
      </c>
      <c r="E267" t="s">
        <v>622</v>
      </c>
      <c r="F267" s="213" t="s">
        <v>56</v>
      </c>
      <c r="G267" t="s">
        <v>66</v>
      </c>
      <c r="H267" t="s">
        <v>84</v>
      </c>
      <c r="I267" t="s">
        <v>623</v>
      </c>
      <c r="J267" t="s">
        <v>56</v>
      </c>
      <c r="K267" t="s">
        <v>25</v>
      </c>
      <c r="L267" t="s">
        <v>628</v>
      </c>
      <c r="M267" t="s">
        <v>16</v>
      </c>
      <c r="N267" t="s">
        <v>42</v>
      </c>
      <c r="O267" t="s">
        <v>101</v>
      </c>
    </row>
    <row r="268" spans="1:15" x14ac:dyDescent="0.25">
      <c r="A268" t="s">
        <v>942</v>
      </c>
      <c r="B268" t="s">
        <v>100</v>
      </c>
      <c r="C268" t="s">
        <v>621</v>
      </c>
      <c r="D268" t="s">
        <v>618</v>
      </c>
      <c r="E268" t="s">
        <v>622</v>
      </c>
      <c r="F268" s="213" t="s">
        <v>56</v>
      </c>
      <c r="G268" t="s">
        <v>66</v>
      </c>
      <c r="H268" t="s">
        <v>84</v>
      </c>
      <c r="I268" t="s">
        <v>623</v>
      </c>
      <c r="J268" t="s">
        <v>56</v>
      </c>
      <c r="K268" t="s">
        <v>22</v>
      </c>
      <c r="L268" t="s">
        <v>630</v>
      </c>
      <c r="M268" t="s">
        <v>16</v>
      </c>
      <c r="N268" t="s">
        <v>40</v>
      </c>
      <c r="O268" t="s">
        <v>682</v>
      </c>
    </row>
    <row r="269" spans="1:15" x14ac:dyDescent="0.25">
      <c r="A269" t="s">
        <v>943</v>
      </c>
      <c r="B269" t="s">
        <v>100</v>
      </c>
      <c r="C269" t="s">
        <v>621</v>
      </c>
      <c r="D269" t="s">
        <v>618</v>
      </c>
      <c r="E269" t="s">
        <v>622</v>
      </c>
      <c r="F269" s="213" t="s">
        <v>56</v>
      </c>
      <c r="G269" t="s">
        <v>66</v>
      </c>
      <c r="H269" t="s">
        <v>84</v>
      </c>
      <c r="I269" t="s">
        <v>623</v>
      </c>
      <c r="J269" t="s">
        <v>56</v>
      </c>
      <c r="K269" t="s">
        <v>19</v>
      </c>
      <c r="L269" t="s">
        <v>625</v>
      </c>
      <c r="M269" t="s">
        <v>16</v>
      </c>
      <c r="N269" t="s">
        <v>100</v>
      </c>
      <c r="O269" t="s">
        <v>638</v>
      </c>
    </row>
    <row r="270" spans="1:15" x14ac:dyDescent="0.25">
      <c r="A270" t="s">
        <v>944</v>
      </c>
      <c r="B270" t="s">
        <v>100</v>
      </c>
      <c r="C270" t="s">
        <v>621</v>
      </c>
      <c r="D270" t="s">
        <v>618</v>
      </c>
      <c r="E270" t="s">
        <v>622</v>
      </c>
      <c r="F270" s="213" t="s">
        <v>56</v>
      </c>
      <c r="G270" t="s">
        <v>66</v>
      </c>
      <c r="H270" t="s">
        <v>84</v>
      </c>
      <c r="I270" t="s">
        <v>623</v>
      </c>
      <c r="J270" t="s">
        <v>56</v>
      </c>
      <c r="K270" t="s">
        <v>15</v>
      </c>
      <c r="L270" t="s">
        <v>632</v>
      </c>
      <c r="M270" t="s">
        <v>16</v>
      </c>
      <c r="N270" t="s">
        <v>41</v>
      </c>
      <c r="O270" t="s">
        <v>43</v>
      </c>
    </row>
    <row r="271" spans="1:15" x14ac:dyDescent="0.25">
      <c r="A271" t="s">
        <v>945</v>
      </c>
      <c r="B271" t="s">
        <v>100</v>
      </c>
      <c r="C271" t="s">
        <v>621</v>
      </c>
      <c r="D271" t="s">
        <v>618</v>
      </c>
      <c r="E271" t="s">
        <v>622</v>
      </c>
      <c r="F271" s="213" t="s">
        <v>56</v>
      </c>
      <c r="G271" t="s">
        <v>66</v>
      </c>
      <c r="H271" t="s">
        <v>84</v>
      </c>
      <c r="I271" t="s">
        <v>623</v>
      </c>
      <c r="J271" t="s">
        <v>56</v>
      </c>
      <c r="K271" t="s">
        <v>27</v>
      </c>
      <c r="L271" t="s">
        <v>626</v>
      </c>
      <c r="M271" t="s">
        <v>29</v>
      </c>
      <c r="N271" t="s">
        <v>23</v>
      </c>
      <c r="O271" t="s">
        <v>36</v>
      </c>
    </row>
    <row r="272" spans="1:15" x14ac:dyDescent="0.25">
      <c r="A272" t="s">
        <v>946</v>
      </c>
      <c r="B272" t="s">
        <v>100</v>
      </c>
      <c r="C272" t="s">
        <v>621</v>
      </c>
      <c r="D272" t="s">
        <v>618</v>
      </c>
      <c r="E272" t="s">
        <v>622</v>
      </c>
      <c r="F272" s="213" t="s">
        <v>56</v>
      </c>
      <c r="G272" t="s">
        <v>66</v>
      </c>
      <c r="H272" t="s">
        <v>84</v>
      </c>
      <c r="I272" t="s">
        <v>623</v>
      </c>
      <c r="J272" t="s">
        <v>56</v>
      </c>
      <c r="K272" t="s">
        <v>25</v>
      </c>
      <c r="L272" t="s">
        <v>628</v>
      </c>
      <c r="M272" t="s">
        <v>29</v>
      </c>
      <c r="N272" t="s">
        <v>12</v>
      </c>
      <c r="O272" t="s">
        <v>623</v>
      </c>
    </row>
    <row r="273" spans="1:15" x14ac:dyDescent="0.25">
      <c r="A273" t="s">
        <v>947</v>
      </c>
      <c r="B273" t="s">
        <v>100</v>
      </c>
      <c r="C273" t="s">
        <v>621</v>
      </c>
      <c r="D273" t="s">
        <v>618</v>
      </c>
      <c r="E273" t="s">
        <v>622</v>
      </c>
      <c r="F273" s="213" t="s">
        <v>56</v>
      </c>
      <c r="G273" t="s">
        <v>66</v>
      </c>
      <c r="H273" t="s">
        <v>84</v>
      </c>
      <c r="I273" t="s">
        <v>623</v>
      </c>
      <c r="J273" t="s">
        <v>56</v>
      </c>
      <c r="K273" t="s">
        <v>22</v>
      </c>
      <c r="L273" t="s">
        <v>630</v>
      </c>
      <c r="M273" t="s">
        <v>29</v>
      </c>
      <c r="N273" t="s">
        <v>18</v>
      </c>
      <c r="O273" t="s">
        <v>714</v>
      </c>
    </row>
    <row r="274" spans="1:15" x14ac:dyDescent="0.25">
      <c r="A274" t="s">
        <v>948</v>
      </c>
      <c r="B274" t="s">
        <v>100</v>
      </c>
      <c r="C274" t="s">
        <v>621</v>
      </c>
      <c r="D274" t="s">
        <v>618</v>
      </c>
      <c r="E274" t="s">
        <v>622</v>
      </c>
      <c r="F274" s="213" t="s">
        <v>56</v>
      </c>
      <c r="G274" t="s">
        <v>66</v>
      </c>
      <c r="H274" t="s">
        <v>84</v>
      </c>
      <c r="I274" t="s">
        <v>623</v>
      </c>
      <c r="J274" t="s">
        <v>56</v>
      </c>
      <c r="K274" t="s">
        <v>19</v>
      </c>
      <c r="L274" t="s">
        <v>625</v>
      </c>
      <c r="M274" t="s">
        <v>29</v>
      </c>
      <c r="N274" t="s">
        <v>3</v>
      </c>
      <c r="O274" t="s">
        <v>639</v>
      </c>
    </row>
    <row r="275" spans="1:15" x14ac:dyDescent="0.25">
      <c r="A275" t="s">
        <v>949</v>
      </c>
      <c r="B275" t="s">
        <v>100</v>
      </c>
      <c r="C275" t="s">
        <v>621</v>
      </c>
      <c r="D275" t="s">
        <v>618</v>
      </c>
      <c r="E275" t="s">
        <v>622</v>
      </c>
      <c r="F275" s="213" t="s">
        <v>56</v>
      </c>
      <c r="G275" t="s">
        <v>66</v>
      </c>
      <c r="H275" t="s">
        <v>84</v>
      </c>
      <c r="I275" t="s">
        <v>623</v>
      </c>
      <c r="J275" t="s">
        <v>56</v>
      </c>
      <c r="K275" t="s">
        <v>15</v>
      </c>
      <c r="L275" t="s">
        <v>632</v>
      </c>
      <c r="M275" t="s">
        <v>29</v>
      </c>
      <c r="N275" t="s">
        <v>7</v>
      </c>
      <c r="O275" t="s">
        <v>888</v>
      </c>
    </row>
    <row r="276" spans="1:15" x14ac:dyDescent="0.25">
      <c r="A276" t="s">
        <v>950</v>
      </c>
      <c r="B276" t="s">
        <v>100</v>
      </c>
      <c r="C276" t="s">
        <v>621</v>
      </c>
      <c r="D276" t="s">
        <v>618</v>
      </c>
      <c r="E276" t="s">
        <v>622</v>
      </c>
      <c r="F276" s="213" t="s">
        <v>56</v>
      </c>
      <c r="G276" t="s">
        <v>66</v>
      </c>
      <c r="H276" t="s">
        <v>84</v>
      </c>
      <c r="I276" t="s">
        <v>623</v>
      </c>
      <c r="J276" t="s">
        <v>56</v>
      </c>
      <c r="K276" t="s">
        <v>12</v>
      </c>
      <c r="L276" t="s">
        <v>629</v>
      </c>
      <c r="M276" t="s">
        <v>29</v>
      </c>
      <c r="N276" t="s">
        <v>21</v>
      </c>
      <c r="O276" t="s">
        <v>739</v>
      </c>
    </row>
    <row r="277" spans="1:15" x14ac:dyDescent="0.25">
      <c r="A277" t="s">
        <v>951</v>
      </c>
      <c r="B277" t="s">
        <v>100</v>
      </c>
      <c r="C277" t="s">
        <v>621</v>
      </c>
      <c r="D277" t="s">
        <v>618</v>
      </c>
      <c r="E277" t="s">
        <v>622</v>
      </c>
      <c r="F277" s="213" t="s">
        <v>56</v>
      </c>
      <c r="G277" t="s">
        <v>66</v>
      </c>
      <c r="H277" t="s">
        <v>84</v>
      </c>
      <c r="I277" t="s">
        <v>623</v>
      </c>
      <c r="J277" t="s">
        <v>56</v>
      </c>
      <c r="K277" t="s">
        <v>31</v>
      </c>
      <c r="L277" t="s">
        <v>418</v>
      </c>
      <c r="M277" t="s">
        <v>6</v>
      </c>
      <c r="N277" t="s">
        <v>43</v>
      </c>
      <c r="O277" t="s">
        <v>623</v>
      </c>
    </row>
    <row r="278" spans="1:15" x14ac:dyDescent="0.25">
      <c r="A278" t="s">
        <v>952</v>
      </c>
      <c r="B278" t="s">
        <v>100</v>
      </c>
      <c r="C278" t="s">
        <v>621</v>
      </c>
      <c r="D278" t="s">
        <v>618</v>
      </c>
      <c r="E278" t="s">
        <v>622</v>
      </c>
      <c r="F278" s="213" t="s">
        <v>56</v>
      </c>
      <c r="G278" t="s">
        <v>66</v>
      </c>
      <c r="H278" t="s">
        <v>84</v>
      </c>
      <c r="I278" t="s">
        <v>623</v>
      </c>
      <c r="J278" t="s">
        <v>56</v>
      </c>
      <c r="K278" t="s">
        <v>24</v>
      </c>
      <c r="L278" t="s">
        <v>628</v>
      </c>
      <c r="M278" t="s">
        <v>6</v>
      </c>
      <c r="N278" t="s">
        <v>56</v>
      </c>
      <c r="O278" t="s">
        <v>101</v>
      </c>
    </row>
    <row r="279" spans="1:15" x14ac:dyDescent="0.25">
      <c r="A279" t="s">
        <v>953</v>
      </c>
      <c r="B279" t="s">
        <v>100</v>
      </c>
      <c r="C279" t="s">
        <v>621</v>
      </c>
      <c r="D279" t="s">
        <v>618</v>
      </c>
      <c r="E279" t="s">
        <v>622</v>
      </c>
      <c r="F279" s="213" t="s">
        <v>56</v>
      </c>
      <c r="G279" t="s">
        <v>66</v>
      </c>
      <c r="H279" t="s">
        <v>84</v>
      </c>
      <c r="I279" t="s">
        <v>623</v>
      </c>
      <c r="J279" t="s">
        <v>56</v>
      </c>
      <c r="K279" t="s">
        <v>21</v>
      </c>
      <c r="L279" t="s">
        <v>630</v>
      </c>
      <c r="M279" t="s">
        <v>6</v>
      </c>
      <c r="N279" t="s">
        <v>60</v>
      </c>
      <c r="O279" t="s">
        <v>641</v>
      </c>
    </row>
    <row r="280" spans="1:15" x14ac:dyDescent="0.25">
      <c r="A280" t="s">
        <v>954</v>
      </c>
      <c r="B280" t="s">
        <v>100</v>
      </c>
      <c r="C280" t="s">
        <v>621</v>
      </c>
      <c r="D280" t="s">
        <v>618</v>
      </c>
      <c r="E280" t="s">
        <v>622</v>
      </c>
      <c r="F280" s="213" t="s">
        <v>56</v>
      </c>
      <c r="G280" t="s">
        <v>66</v>
      </c>
      <c r="H280" t="s">
        <v>84</v>
      </c>
      <c r="I280" t="s">
        <v>623</v>
      </c>
      <c r="J280" t="s">
        <v>56</v>
      </c>
      <c r="K280" t="s">
        <v>18</v>
      </c>
      <c r="L280" t="s">
        <v>625</v>
      </c>
      <c r="M280" t="s">
        <v>6</v>
      </c>
      <c r="N280" t="s">
        <v>34</v>
      </c>
      <c r="O280" t="s">
        <v>635</v>
      </c>
    </row>
    <row r="281" spans="1:15" x14ac:dyDescent="0.25">
      <c r="A281" t="s">
        <v>955</v>
      </c>
      <c r="B281" t="s">
        <v>100</v>
      </c>
      <c r="C281" t="s">
        <v>621</v>
      </c>
      <c r="D281" t="s">
        <v>618</v>
      </c>
      <c r="E281" t="s">
        <v>622</v>
      </c>
      <c r="F281" s="213" t="s">
        <v>56</v>
      </c>
      <c r="G281" t="s">
        <v>66</v>
      </c>
      <c r="H281" t="s">
        <v>84</v>
      </c>
      <c r="I281" t="s">
        <v>623</v>
      </c>
      <c r="J281" t="s">
        <v>56</v>
      </c>
      <c r="K281" t="s">
        <v>14</v>
      </c>
      <c r="L281" t="s">
        <v>632</v>
      </c>
      <c r="M281" t="s">
        <v>6</v>
      </c>
      <c r="N281" t="s">
        <v>47</v>
      </c>
      <c r="O281" t="s">
        <v>630</v>
      </c>
    </row>
    <row r="282" spans="1:15" x14ac:dyDescent="0.25">
      <c r="A282" t="s">
        <v>956</v>
      </c>
      <c r="B282" t="s">
        <v>100</v>
      </c>
      <c r="C282" t="s">
        <v>621</v>
      </c>
      <c r="D282" t="s">
        <v>618</v>
      </c>
      <c r="E282" t="s">
        <v>622</v>
      </c>
      <c r="F282" s="213" t="s">
        <v>56</v>
      </c>
      <c r="G282" t="s">
        <v>66</v>
      </c>
      <c r="H282" t="s">
        <v>84</v>
      </c>
      <c r="I282" t="s">
        <v>623</v>
      </c>
      <c r="J282" t="s">
        <v>56</v>
      </c>
      <c r="K282" t="s">
        <v>12</v>
      </c>
      <c r="L282" t="s">
        <v>642</v>
      </c>
      <c r="M282" t="s">
        <v>6</v>
      </c>
      <c r="N282" t="s">
        <v>58</v>
      </c>
      <c r="O282" t="s">
        <v>44</v>
      </c>
    </row>
    <row r="283" spans="1:15" x14ac:dyDescent="0.25">
      <c r="A283" t="s">
        <v>957</v>
      </c>
      <c r="B283" t="s">
        <v>100</v>
      </c>
      <c r="C283" t="s">
        <v>621</v>
      </c>
      <c r="D283" t="s">
        <v>618</v>
      </c>
      <c r="E283" t="s">
        <v>622</v>
      </c>
      <c r="F283" s="213" t="s">
        <v>56</v>
      </c>
      <c r="G283" t="s">
        <v>66</v>
      </c>
      <c r="H283" t="s">
        <v>84</v>
      </c>
      <c r="I283" t="s">
        <v>623</v>
      </c>
      <c r="J283" t="s">
        <v>56</v>
      </c>
      <c r="K283" t="s">
        <v>10</v>
      </c>
      <c r="L283" t="s">
        <v>643</v>
      </c>
      <c r="M283" t="s">
        <v>6</v>
      </c>
      <c r="N283" t="s">
        <v>55</v>
      </c>
      <c r="O283" t="s">
        <v>654</v>
      </c>
    </row>
    <row r="284" spans="1:15" x14ac:dyDescent="0.25">
      <c r="A284" t="s">
        <v>958</v>
      </c>
      <c r="B284" t="s">
        <v>100</v>
      </c>
      <c r="C284" t="s">
        <v>621</v>
      </c>
      <c r="D284" t="s">
        <v>618</v>
      </c>
      <c r="E284" t="s">
        <v>622</v>
      </c>
      <c r="F284" s="213" t="s">
        <v>56</v>
      </c>
      <c r="G284" t="s">
        <v>66</v>
      </c>
      <c r="H284" t="s">
        <v>84</v>
      </c>
      <c r="I284" t="s">
        <v>623</v>
      </c>
      <c r="J284" t="s">
        <v>56</v>
      </c>
      <c r="K284" t="s">
        <v>31</v>
      </c>
      <c r="L284" t="s">
        <v>418</v>
      </c>
      <c r="M284" t="s">
        <v>0</v>
      </c>
      <c r="N284" t="s">
        <v>25</v>
      </c>
      <c r="O284" t="s">
        <v>741</v>
      </c>
    </row>
    <row r="285" spans="1:15" x14ac:dyDescent="0.25">
      <c r="A285" t="s">
        <v>959</v>
      </c>
      <c r="B285" t="s">
        <v>100</v>
      </c>
      <c r="C285" t="s">
        <v>621</v>
      </c>
      <c r="D285" t="s">
        <v>618</v>
      </c>
      <c r="E285" t="s">
        <v>622</v>
      </c>
      <c r="F285" s="213" t="s">
        <v>56</v>
      </c>
      <c r="G285" t="s">
        <v>66</v>
      </c>
      <c r="H285" t="s">
        <v>84</v>
      </c>
      <c r="I285" t="s">
        <v>623</v>
      </c>
      <c r="J285" t="s">
        <v>56</v>
      </c>
      <c r="K285" t="s">
        <v>24</v>
      </c>
      <c r="L285" t="s">
        <v>628</v>
      </c>
      <c r="M285" t="s">
        <v>0</v>
      </c>
      <c r="N285" t="s">
        <v>23</v>
      </c>
      <c r="O285" t="s">
        <v>789</v>
      </c>
    </row>
    <row r="286" spans="1:15" x14ac:dyDescent="0.25">
      <c r="A286" t="s">
        <v>960</v>
      </c>
      <c r="B286" t="s">
        <v>100</v>
      </c>
      <c r="C286" t="s">
        <v>621</v>
      </c>
      <c r="D286" t="s">
        <v>618</v>
      </c>
      <c r="E286" t="s">
        <v>622</v>
      </c>
      <c r="F286" s="213" t="s">
        <v>56</v>
      </c>
      <c r="G286" t="s">
        <v>66</v>
      </c>
      <c r="H286" t="s">
        <v>84</v>
      </c>
      <c r="I286" t="s">
        <v>623</v>
      </c>
      <c r="J286" t="s">
        <v>56</v>
      </c>
      <c r="K286" t="s">
        <v>21</v>
      </c>
      <c r="L286" t="s">
        <v>630</v>
      </c>
      <c r="M286" t="s">
        <v>0</v>
      </c>
      <c r="N286" t="s">
        <v>21</v>
      </c>
      <c r="O286" t="s">
        <v>716</v>
      </c>
    </row>
    <row r="287" spans="1:15" x14ac:dyDescent="0.25">
      <c r="A287" t="s">
        <v>961</v>
      </c>
      <c r="B287" t="s">
        <v>100</v>
      </c>
      <c r="C287" t="s">
        <v>621</v>
      </c>
      <c r="D287" t="s">
        <v>618</v>
      </c>
      <c r="E287" t="s">
        <v>622</v>
      </c>
      <c r="F287" s="213" t="s">
        <v>56</v>
      </c>
      <c r="G287" t="s">
        <v>66</v>
      </c>
      <c r="H287" t="s">
        <v>84</v>
      </c>
      <c r="I287" t="s">
        <v>623</v>
      </c>
      <c r="J287" t="s">
        <v>56</v>
      </c>
      <c r="K287" t="s">
        <v>18</v>
      </c>
      <c r="L287" t="s">
        <v>625</v>
      </c>
      <c r="M287" t="s">
        <v>0</v>
      </c>
      <c r="N287" t="s">
        <v>37</v>
      </c>
      <c r="O287" t="s">
        <v>639</v>
      </c>
    </row>
    <row r="288" spans="1:15" x14ac:dyDescent="0.25">
      <c r="A288" t="s">
        <v>962</v>
      </c>
      <c r="B288" t="s">
        <v>100</v>
      </c>
      <c r="C288" t="s">
        <v>621</v>
      </c>
      <c r="D288" t="s">
        <v>618</v>
      </c>
      <c r="E288" t="s">
        <v>622</v>
      </c>
      <c r="F288" s="213" t="s">
        <v>56</v>
      </c>
      <c r="G288" t="s">
        <v>66</v>
      </c>
      <c r="H288" t="s">
        <v>84</v>
      </c>
      <c r="I288" t="s">
        <v>623</v>
      </c>
      <c r="J288" t="s">
        <v>56</v>
      </c>
      <c r="K288" t="s">
        <v>14</v>
      </c>
      <c r="L288" t="s">
        <v>632</v>
      </c>
      <c r="M288" t="s">
        <v>0</v>
      </c>
      <c r="N288" t="s">
        <v>67</v>
      </c>
      <c r="O288" t="s">
        <v>36</v>
      </c>
    </row>
    <row r="289" spans="1:15" x14ac:dyDescent="0.25">
      <c r="A289" t="s">
        <v>963</v>
      </c>
      <c r="B289" t="s">
        <v>100</v>
      </c>
      <c r="C289" t="s">
        <v>621</v>
      </c>
      <c r="D289" t="s">
        <v>618</v>
      </c>
      <c r="E289" t="s">
        <v>622</v>
      </c>
      <c r="F289" s="213" t="s">
        <v>56</v>
      </c>
      <c r="G289" t="s">
        <v>66</v>
      </c>
      <c r="H289" t="s">
        <v>84</v>
      </c>
      <c r="I289" t="s">
        <v>623</v>
      </c>
      <c r="J289" t="s">
        <v>56</v>
      </c>
      <c r="K289" t="s">
        <v>12</v>
      </c>
      <c r="L289" t="s">
        <v>642</v>
      </c>
      <c r="M289" t="s">
        <v>0</v>
      </c>
      <c r="N289" t="s">
        <v>5</v>
      </c>
      <c r="O289" t="s">
        <v>964</v>
      </c>
    </row>
    <row r="290" spans="1:15" x14ac:dyDescent="0.25">
      <c r="A290" t="s">
        <v>965</v>
      </c>
      <c r="B290" t="s">
        <v>100</v>
      </c>
      <c r="C290" t="s">
        <v>621</v>
      </c>
      <c r="D290" t="s">
        <v>618</v>
      </c>
      <c r="E290" t="s">
        <v>622</v>
      </c>
      <c r="F290" s="213" t="s">
        <v>56</v>
      </c>
      <c r="G290" t="s">
        <v>66</v>
      </c>
      <c r="H290" t="s">
        <v>84</v>
      </c>
      <c r="I290" t="s">
        <v>623</v>
      </c>
      <c r="J290" t="s">
        <v>56</v>
      </c>
      <c r="K290" t="s">
        <v>10</v>
      </c>
      <c r="L290" t="s">
        <v>643</v>
      </c>
      <c r="M290" t="s">
        <v>0</v>
      </c>
      <c r="N290" t="s">
        <v>3</v>
      </c>
      <c r="O290" t="s">
        <v>812</v>
      </c>
    </row>
    <row r="291" spans="1:15" x14ac:dyDescent="0.25">
      <c r="A291" t="s">
        <v>966</v>
      </c>
      <c r="B291" t="s">
        <v>100</v>
      </c>
      <c r="C291" t="s">
        <v>621</v>
      </c>
      <c r="D291" t="s">
        <v>618</v>
      </c>
      <c r="E291" t="s">
        <v>622</v>
      </c>
      <c r="F291" s="213" t="s">
        <v>56</v>
      </c>
      <c r="G291" t="s">
        <v>66</v>
      </c>
      <c r="H291" t="s">
        <v>84</v>
      </c>
      <c r="I291" t="s">
        <v>623</v>
      </c>
      <c r="J291" t="s">
        <v>56</v>
      </c>
      <c r="K291" t="s">
        <v>8</v>
      </c>
      <c r="L291" t="s">
        <v>685</v>
      </c>
      <c r="M291" t="s">
        <v>0</v>
      </c>
      <c r="N291" t="s">
        <v>1</v>
      </c>
      <c r="O291" t="s">
        <v>967</v>
      </c>
    </row>
    <row r="292" spans="1:15" x14ac:dyDescent="0.25">
      <c r="A292" t="s">
        <v>968</v>
      </c>
      <c r="B292" t="s">
        <v>100</v>
      </c>
      <c r="C292" t="s">
        <v>621</v>
      </c>
      <c r="D292" t="s">
        <v>618</v>
      </c>
      <c r="E292" t="s">
        <v>622</v>
      </c>
      <c r="F292" s="213" t="s">
        <v>56</v>
      </c>
      <c r="G292" t="s">
        <v>66</v>
      </c>
      <c r="H292" t="s">
        <v>84</v>
      </c>
      <c r="I292" t="s">
        <v>623</v>
      </c>
      <c r="J292" t="s">
        <v>56</v>
      </c>
      <c r="K292" t="s">
        <v>6</v>
      </c>
      <c r="L292" t="s">
        <v>645</v>
      </c>
      <c r="M292" t="s">
        <v>0</v>
      </c>
      <c r="N292" t="s">
        <v>17</v>
      </c>
      <c r="O292" t="s">
        <v>969</v>
      </c>
    </row>
    <row r="293" spans="1:15" x14ac:dyDescent="0.25">
      <c r="A293" t="s">
        <v>970</v>
      </c>
      <c r="B293" t="s">
        <v>100</v>
      </c>
      <c r="C293" t="s">
        <v>621</v>
      </c>
      <c r="D293" t="s">
        <v>618</v>
      </c>
      <c r="E293" t="s">
        <v>622</v>
      </c>
      <c r="F293" s="213" t="s">
        <v>56</v>
      </c>
      <c r="G293" t="s">
        <v>66</v>
      </c>
      <c r="H293" t="s">
        <v>84</v>
      </c>
      <c r="I293" t="s">
        <v>623</v>
      </c>
      <c r="J293" t="s">
        <v>56</v>
      </c>
      <c r="K293" t="s">
        <v>4</v>
      </c>
      <c r="L293" t="s">
        <v>674</v>
      </c>
      <c r="M293" t="s">
        <v>0</v>
      </c>
      <c r="N293" t="s">
        <v>9</v>
      </c>
      <c r="O293" t="s">
        <v>701</v>
      </c>
    </row>
    <row r="294" spans="1:15" x14ac:dyDescent="0.25">
      <c r="A294" t="s">
        <v>971</v>
      </c>
      <c r="B294" t="s">
        <v>100</v>
      </c>
      <c r="C294" t="s">
        <v>621</v>
      </c>
      <c r="D294" t="s">
        <v>618</v>
      </c>
      <c r="E294" t="s">
        <v>622</v>
      </c>
      <c r="F294" s="213" t="s">
        <v>56</v>
      </c>
      <c r="G294" t="s">
        <v>66</v>
      </c>
      <c r="H294" t="s">
        <v>84</v>
      </c>
      <c r="I294" t="s">
        <v>623</v>
      </c>
      <c r="J294" t="s">
        <v>56</v>
      </c>
      <c r="K294" t="s">
        <v>31</v>
      </c>
      <c r="L294" t="s">
        <v>418</v>
      </c>
      <c r="M294" t="s">
        <v>13</v>
      </c>
      <c r="N294" t="s">
        <v>43</v>
      </c>
      <c r="O294" t="s">
        <v>624</v>
      </c>
    </row>
    <row r="295" spans="1:15" x14ac:dyDescent="0.25">
      <c r="A295" t="s">
        <v>972</v>
      </c>
      <c r="B295" t="s">
        <v>100</v>
      </c>
      <c r="C295" t="s">
        <v>621</v>
      </c>
      <c r="D295" t="s">
        <v>618</v>
      </c>
      <c r="E295" t="s">
        <v>622</v>
      </c>
      <c r="F295" s="213" t="s">
        <v>56</v>
      </c>
      <c r="G295" t="s">
        <v>66</v>
      </c>
      <c r="H295" t="s">
        <v>84</v>
      </c>
      <c r="I295" t="s">
        <v>623</v>
      </c>
      <c r="J295" t="s">
        <v>56</v>
      </c>
      <c r="K295" t="s">
        <v>24</v>
      </c>
      <c r="L295" t="s">
        <v>628</v>
      </c>
      <c r="M295" t="s">
        <v>13</v>
      </c>
      <c r="N295" t="s">
        <v>43</v>
      </c>
      <c r="O295" t="s">
        <v>646</v>
      </c>
    </row>
    <row r="296" spans="1:15" x14ac:dyDescent="0.25">
      <c r="A296" t="s">
        <v>973</v>
      </c>
      <c r="B296" t="s">
        <v>100</v>
      </c>
      <c r="C296" t="s">
        <v>621</v>
      </c>
      <c r="D296" t="s">
        <v>618</v>
      </c>
      <c r="E296" t="s">
        <v>622</v>
      </c>
      <c r="F296" s="213" t="s">
        <v>56</v>
      </c>
      <c r="G296" t="s">
        <v>66</v>
      </c>
      <c r="H296" t="s">
        <v>84</v>
      </c>
      <c r="I296" t="s">
        <v>623</v>
      </c>
      <c r="J296" t="s">
        <v>56</v>
      </c>
      <c r="K296" t="s">
        <v>21</v>
      </c>
      <c r="L296" t="s">
        <v>630</v>
      </c>
      <c r="M296" t="s">
        <v>13</v>
      </c>
      <c r="N296" t="s">
        <v>43</v>
      </c>
      <c r="O296" t="s">
        <v>49</v>
      </c>
    </row>
    <row r="297" spans="1:15" x14ac:dyDescent="0.25">
      <c r="A297" t="s">
        <v>974</v>
      </c>
      <c r="B297" t="s">
        <v>100</v>
      </c>
      <c r="C297" t="s">
        <v>621</v>
      </c>
      <c r="D297" t="s">
        <v>618</v>
      </c>
      <c r="E297" t="s">
        <v>622</v>
      </c>
      <c r="F297" s="213" t="s">
        <v>56</v>
      </c>
      <c r="G297" t="s">
        <v>66</v>
      </c>
      <c r="H297" t="s">
        <v>84</v>
      </c>
      <c r="I297" t="s">
        <v>623</v>
      </c>
      <c r="J297" t="s">
        <v>56</v>
      </c>
      <c r="K297" t="s">
        <v>18</v>
      </c>
      <c r="L297" t="s">
        <v>625</v>
      </c>
      <c r="M297" t="s">
        <v>13</v>
      </c>
      <c r="N297" t="s">
        <v>4</v>
      </c>
      <c r="O297" t="s">
        <v>975</v>
      </c>
    </row>
    <row r="298" spans="1:15" x14ac:dyDescent="0.25">
      <c r="A298" t="s">
        <v>976</v>
      </c>
      <c r="B298" t="s">
        <v>100</v>
      </c>
      <c r="C298" t="s">
        <v>621</v>
      </c>
      <c r="D298" t="s">
        <v>618</v>
      </c>
      <c r="E298" t="s">
        <v>622</v>
      </c>
      <c r="F298" s="213" t="s">
        <v>56</v>
      </c>
      <c r="G298" t="s">
        <v>66</v>
      </c>
      <c r="H298" t="s">
        <v>84</v>
      </c>
      <c r="I298" t="s">
        <v>623</v>
      </c>
      <c r="J298" t="s">
        <v>56</v>
      </c>
      <c r="K298" t="s">
        <v>14</v>
      </c>
      <c r="L298" t="s">
        <v>632</v>
      </c>
      <c r="M298" t="s">
        <v>13</v>
      </c>
      <c r="N298" t="s">
        <v>45</v>
      </c>
      <c r="O298" t="s">
        <v>47</v>
      </c>
    </row>
    <row r="299" spans="1:15" x14ac:dyDescent="0.25">
      <c r="A299" t="s">
        <v>977</v>
      </c>
      <c r="B299" t="s">
        <v>100</v>
      </c>
      <c r="C299" t="s">
        <v>621</v>
      </c>
      <c r="D299" t="s">
        <v>618</v>
      </c>
      <c r="E299" t="s">
        <v>622</v>
      </c>
      <c r="F299" s="213" t="s">
        <v>56</v>
      </c>
      <c r="G299" t="s">
        <v>66</v>
      </c>
      <c r="H299" t="s">
        <v>84</v>
      </c>
      <c r="I299" t="s">
        <v>623</v>
      </c>
      <c r="J299" t="s">
        <v>56</v>
      </c>
      <c r="K299" t="s">
        <v>12</v>
      </c>
      <c r="L299" t="s">
        <v>642</v>
      </c>
      <c r="M299" t="s">
        <v>13</v>
      </c>
      <c r="N299" t="s">
        <v>26</v>
      </c>
      <c r="O299" t="s">
        <v>643</v>
      </c>
    </row>
    <row r="300" spans="1:15" x14ac:dyDescent="0.25">
      <c r="A300" t="s">
        <v>978</v>
      </c>
      <c r="B300" t="s">
        <v>100</v>
      </c>
      <c r="C300" t="s">
        <v>621</v>
      </c>
      <c r="D300" t="s">
        <v>618</v>
      </c>
      <c r="E300" t="s">
        <v>622</v>
      </c>
      <c r="F300" s="213" t="s">
        <v>56</v>
      </c>
      <c r="G300" t="s">
        <v>66</v>
      </c>
      <c r="H300" t="s">
        <v>84</v>
      </c>
      <c r="I300" t="s">
        <v>623</v>
      </c>
      <c r="J300" t="s">
        <v>56</v>
      </c>
      <c r="K300" t="s">
        <v>31</v>
      </c>
      <c r="L300" t="s">
        <v>418</v>
      </c>
      <c r="M300" t="s">
        <v>100</v>
      </c>
      <c r="N300" t="s">
        <v>64</v>
      </c>
      <c r="O300" t="s">
        <v>624</v>
      </c>
    </row>
    <row r="301" spans="1:15" x14ac:dyDescent="0.25">
      <c r="A301" t="s">
        <v>979</v>
      </c>
      <c r="B301" t="s">
        <v>100</v>
      </c>
      <c r="C301" t="s">
        <v>621</v>
      </c>
      <c r="D301" t="s">
        <v>618</v>
      </c>
      <c r="E301" t="s">
        <v>622</v>
      </c>
      <c r="F301" s="213" t="s">
        <v>56</v>
      </c>
      <c r="G301" t="s">
        <v>66</v>
      </c>
      <c r="H301" t="s">
        <v>84</v>
      </c>
      <c r="I301" t="s">
        <v>623</v>
      </c>
      <c r="J301" t="s">
        <v>56</v>
      </c>
      <c r="K301" t="s">
        <v>24</v>
      </c>
      <c r="L301" t="s">
        <v>628</v>
      </c>
      <c r="M301" t="s">
        <v>100</v>
      </c>
      <c r="N301" t="s">
        <v>20</v>
      </c>
      <c r="O301" t="s">
        <v>781</v>
      </c>
    </row>
    <row r="302" spans="1:15" x14ac:dyDescent="0.25">
      <c r="A302" t="s">
        <v>980</v>
      </c>
      <c r="B302" t="s">
        <v>100</v>
      </c>
      <c r="C302" t="s">
        <v>621</v>
      </c>
      <c r="D302" t="s">
        <v>618</v>
      </c>
      <c r="E302" t="s">
        <v>622</v>
      </c>
      <c r="F302" s="213" t="s">
        <v>56</v>
      </c>
      <c r="G302" t="s">
        <v>66</v>
      </c>
      <c r="H302" t="s">
        <v>84</v>
      </c>
      <c r="I302" t="s">
        <v>623</v>
      </c>
      <c r="J302" t="s">
        <v>56</v>
      </c>
      <c r="K302" t="s">
        <v>21</v>
      </c>
      <c r="L302" t="s">
        <v>630</v>
      </c>
      <c r="M302" t="s">
        <v>100</v>
      </c>
      <c r="N302" t="s">
        <v>74</v>
      </c>
      <c r="O302" t="s">
        <v>45</v>
      </c>
    </row>
    <row r="303" spans="1:15" x14ac:dyDescent="0.25">
      <c r="A303" t="s">
        <v>981</v>
      </c>
      <c r="B303" t="s">
        <v>100</v>
      </c>
      <c r="C303" t="s">
        <v>621</v>
      </c>
      <c r="D303" t="s">
        <v>618</v>
      </c>
      <c r="E303" t="s">
        <v>622</v>
      </c>
      <c r="F303" s="213" t="s">
        <v>56</v>
      </c>
      <c r="G303" t="s">
        <v>66</v>
      </c>
      <c r="H303" t="s">
        <v>84</v>
      </c>
      <c r="I303" t="s">
        <v>623</v>
      </c>
      <c r="J303" t="s">
        <v>56</v>
      </c>
      <c r="K303" t="s">
        <v>18</v>
      </c>
      <c r="L303" t="s">
        <v>625</v>
      </c>
      <c r="M303" t="s">
        <v>100</v>
      </c>
      <c r="N303" t="s">
        <v>75</v>
      </c>
      <c r="O303" t="s">
        <v>641</v>
      </c>
    </row>
    <row r="304" spans="1:15" x14ac:dyDescent="0.25">
      <c r="A304" t="s">
        <v>982</v>
      </c>
      <c r="B304" t="s">
        <v>100</v>
      </c>
      <c r="C304" t="s">
        <v>621</v>
      </c>
      <c r="D304" t="s">
        <v>618</v>
      </c>
      <c r="E304" t="s">
        <v>622</v>
      </c>
      <c r="F304" s="213" t="s">
        <v>56</v>
      </c>
      <c r="G304" t="s">
        <v>66</v>
      </c>
      <c r="H304" t="s">
        <v>84</v>
      </c>
      <c r="I304" t="s">
        <v>623</v>
      </c>
      <c r="J304" t="s">
        <v>56</v>
      </c>
      <c r="K304" t="s">
        <v>14</v>
      </c>
      <c r="L304" t="s">
        <v>632</v>
      </c>
      <c r="M304" t="s">
        <v>100</v>
      </c>
      <c r="N304" t="s">
        <v>73</v>
      </c>
      <c r="O304" t="s">
        <v>729</v>
      </c>
    </row>
    <row r="305" spans="1:15" x14ac:dyDescent="0.25">
      <c r="A305" t="s">
        <v>983</v>
      </c>
      <c r="B305" t="s">
        <v>100</v>
      </c>
      <c r="C305" t="s">
        <v>621</v>
      </c>
      <c r="D305" t="s">
        <v>618</v>
      </c>
      <c r="E305" t="s">
        <v>622</v>
      </c>
      <c r="F305" s="213" t="s">
        <v>56</v>
      </c>
      <c r="G305" t="s">
        <v>66</v>
      </c>
      <c r="H305" t="s">
        <v>84</v>
      </c>
      <c r="I305" t="s">
        <v>623</v>
      </c>
      <c r="J305" t="s">
        <v>56</v>
      </c>
      <c r="K305" t="s">
        <v>12</v>
      </c>
      <c r="L305" t="s">
        <v>642</v>
      </c>
      <c r="M305" t="s">
        <v>100</v>
      </c>
      <c r="N305" t="s">
        <v>4</v>
      </c>
      <c r="O305" t="s">
        <v>812</v>
      </c>
    </row>
    <row r="306" spans="1:15" x14ac:dyDescent="0.25">
      <c r="A306" t="s">
        <v>984</v>
      </c>
      <c r="B306" t="s">
        <v>100</v>
      </c>
      <c r="C306" t="s">
        <v>621</v>
      </c>
      <c r="D306" t="s">
        <v>618</v>
      </c>
      <c r="E306" t="s">
        <v>622</v>
      </c>
      <c r="F306" s="213" t="s">
        <v>56</v>
      </c>
      <c r="G306" t="s">
        <v>66</v>
      </c>
      <c r="H306" t="s">
        <v>84</v>
      </c>
      <c r="I306" t="s">
        <v>623</v>
      </c>
      <c r="J306" t="s">
        <v>56</v>
      </c>
      <c r="K306" t="s">
        <v>10</v>
      </c>
      <c r="L306" t="s">
        <v>643</v>
      </c>
      <c r="M306" t="s">
        <v>100</v>
      </c>
      <c r="N306" t="s">
        <v>39</v>
      </c>
      <c r="O306" t="s">
        <v>639</v>
      </c>
    </row>
    <row r="307" spans="1:15" x14ac:dyDescent="0.25">
      <c r="A307" t="s">
        <v>985</v>
      </c>
      <c r="B307" t="s">
        <v>100</v>
      </c>
      <c r="C307" t="s">
        <v>621</v>
      </c>
      <c r="D307" t="s">
        <v>618</v>
      </c>
      <c r="E307" t="s">
        <v>622</v>
      </c>
      <c r="F307" s="213" t="s">
        <v>56</v>
      </c>
      <c r="G307" t="s">
        <v>66</v>
      </c>
      <c r="H307" t="s">
        <v>84</v>
      </c>
      <c r="I307" t="s">
        <v>623</v>
      </c>
      <c r="J307" t="s">
        <v>56</v>
      </c>
      <c r="K307" t="s">
        <v>8</v>
      </c>
      <c r="L307" t="s">
        <v>685</v>
      </c>
      <c r="M307" t="s">
        <v>100</v>
      </c>
      <c r="N307" t="s">
        <v>2</v>
      </c>
      <c r="O307" t="s">
        <v>636</v>
      </c>
    </row>
    <row r="308" spans="1:15" x14ac:dyDescent="0.25">
      <c r="A308" t="s">
        <v>986</v>
      </c>
      <c r="B308" t="s">
        <v>100</v>
      </c>
      <c r="C308" t="s">
        <v>621</v>
      </c>
      <c r="D308" t="s">
        <v>618</v>
      </c>
      <c r="E308" t="s">
        <v>622</v>
      </c>
      <c r="F308" s="213" t="s">
        <v>56</v>
      </c>
      <c r="G308" t="s">
        <v>66</v>
      </c>
      <c r="H308" t="s">
        <v>84</v>
      </c>
      <c r="I308" t="s">
        <v>623</v>
      </c>
      <c r="J308" t="s">
        <v>56</v>
      </c>
      <c r="K308" t="s">
        <v>6</v>
      </c>
      <c r="L308" t="s">
        <v>645</v>
      </c>
      <c r="M308" t="s">
        <v>100</v>
      </c>
      <c r="N308" t="s">
        <v>67</v>
      </c>
      <c r="O308" t="s">
        <v>100</v>
      </c>
    </row>
    <row r="309" spans="1:15" x14ac:dyDescent="0.25">
      <c r="A309" t="s">
        <v>987</v>
      </c>
      <c r="B309" t="s">
        <v>100</v>
      </c>
      <c r="C309" t="s">
        <v>621</v>
      </c>
      <c r="D309" t="s">
        <v>618</v>
      </c>
      <c r="E309" t="s">
        <v>622</v>
      </c>
      <c r="F309" s="213" t="s">
        <v>56</v>
      </c>
      <c r="G309" t="s">
        <v>66</v>
      </c>
      <c r="H309" t="s">
        <v>84</v>
      </c>
      <c r="I309" t="s">
        <v>623</v>
      </c>
      <c r="J309" t="s">
        <v>56</v>
      </c>
      <c r="K309" t="s">
        <v>4</v>
      </c>
      <c r="L309" t="s">
        <v>674</v>
      </c>
      <c r="M309" t="s">
        <v>100</v>
      </c>
      <c r="N309" t="s">
        <v>10</v>
      </c>
      <c r="O309" t="s">
        <v>701</v>
      </c>
    </row>
    <row r="310" spans="1:15" x14ac:dyDescent="0.25">
      <c r="A310" t="s">
        <v>988</v>
      </c>
      <c r="B310" t="s">
        <v>100</v>
      </c>
      <c r="C310" t="s">
        <v>621</v>
      </c>
      <c r="D310" t="s">
        <v>618</v>
      </c>
      <c r="E310" t="s">
        <v>622</v>
      </c>
      <c r="F310" s="213" t="s">
        <v>56</v>
      </c>
      <c r="G310" t="s">
        <v>66</v>
      </c>
      <c r="H310" t="s">
        <v>84</v>
      </c>
      <c r="I310" t="s">
        <v>623</v>
      </c>
      <c r="J310" t="s">
        <v>56</v>
      </c>
      <c r="K310" t="s">
        <v>32</v>
      </c>
      <c r="L310" t="s">
        <v>654</v>
      </c>
      <c r="M310" t="s">
        <v>16</v>
      </c>
      <c r="N310" t="s">
        <v>37</v>
      </c>
      <c r="O310" t="s">
        <v>682</v>
      </c>
    </row>
    <row r="311" spans="1:15" x14ac:dyDescent="0.25">
      <c r="A311" t="s">
        <v>989</v>
      </c>
      <c r="B311" t="s">
        <v>100</v>
      </c>
      <c r="C311" t="s">
        <v>621</v>
      </c>
      <c r="D311" t="s">
        <v>618</v>
      </c>
      <c r="E311" t="s">
        <v>622</v>
      </c>
      <c r="F311" s="213" t="s">
        <v>56</v>
      </c>
      <c r="G311" t="s">
        <v>66</v>
      </c>
      <c r="H311" t="s">
        <v>84</v>
      </c>
      <c r="I311" t="s">
        <v>623</v>
      </c>
      <c r="J311" t="s">
        <v>56</v>
      </c>
      <c r="K311" t="s">
        <v>26</v>
      </c>
      <c r="L311" t="s">
        <v>714</v>
      </c>
      <c r="M311" t="s">
        <v>16</v>
      </c>
      <c r="N311" t="s">
        <v>37</v>
      </c>
      <c r="O311" t="s">
        <v>44</v>
      </c>
    </row>
    <row r="312" spans="1:15" x14ac:dyDescent="0.25">
      <c r="A312" t="s">
        <v>990</v>
      </c>
      <c r="B312" t="s">
        <v>100</v>
      </c>
      <c r="C312" t="s">
        <v>621</v>
      </c>
      <c r="D312" t="s">
        <v>618</v>
      </c>
      <c r="E312" t="s">
        <v>622</v>
      </c>
      <c r="F312" s="213" t="s">
        <v>56</v>
      </c>
      <c r="G312" t="s">
        <v>66</v>
      </c>
      <c r="H312" t="s">
        <v>84</v>
      </c>
      <c r="I312" t="s">
        <v>623</v>
      </c>
      <c r="J312" t="s">
        <v>56</v>
      </c>
      <c r="K312" t="s">
        <v>24</v>
      </c>
      <c r="L312" t="s">
        <v>630</v>
      </c>
      <c r="M312" t="s">
        <v>16</v>
      </c>
      <c r="N312" t="s">
        <v>37</v>
      </c>
      <c r="O312" t="s">
        <v>624</v>
      </c>
    </row>
    <row r="313" spans="1:15" x14ac:dyDescent="0.25">
      <c r="A313" t="s">
        <v>991</v>
      </c>
      <c r="B313" t="s">
        <v>100</v>
      </c>
      <c r="C313" t="s">
        <v>621</v>
      </c>
      <c r="D313" t="s">
        <v>618</v>
      </c>
      <c r="E313" t="s">
        <v>622</v>
      </c>
      <c r="F313" s="213" t="s">
        <v>56</v>
      </c>
      <c r="G313" t="s">
        <v>66</v>
      </c>
      <c r="H313" t="s">
        <v>84</v>
      </c>
      <c r="I313" t="s">
        <v>623</v>
      </c>
      <c r="J313" t="s">
        <v>56</v>
      </c>
      <c r="K313" t="s">
        <v>21</v>
      </c>
      <c r="L313" t="s">
        <v>625</v>
      </c>
      <c r="M313" t="s">
        <v>16</v>
      </c>
      <c r="N313" t="s">
        <v>4</v>
      </c>
      <c r="O313" t="s">
        <v>765</v>
      </c>
    </row>
    <row r="314" spans="1:15" x14ac:dyDescent="0.25">
      <c r="A314" t="s">
        <v>992</v>
      </c>
      <c r="B314" t="s">
        <v>100</v>
      </c>
      <c r="C314" t="s">
        <v>621</v>
      </c>
      <c r="D314" t="s">
        <v>618</v>
      </c>
      <c r="E314" t="s">
        <v>622</v>
      </c>
      <c r="F314" s="213" t="s">
        <v>56</v>
      </c>
      <c r="G314" t="s">
        <v>66</v>
      </c>
      <c r="H314" t="s">
        <v>84</v>
      </c>
      <c r="I314" t="s">
        <v>623</v>
      </c>
      <c r="J314" t="s">
        <v>56</v>
      </c>
      <c r="K314" t="s">
        <v>18</v>
      </c>
      <c r="L314" t="s">
        <v>632</v>
      </c>
      <c r="M314" t="s">
        <v>16</v>
      </c>
      <c r="N314" t="s">
        <v>39</v>
      </c>
      <c r="O314" t="s">
        <v>41</v>
      </c>
    </row>
    <row r="315" spans="1:15" x14ac:dyDescent="0.25">
      <c r="A315" t="s">
        <v>993</v>
      </c>
      <c r="B315" t="s">
        <v>100</v>
      </c>
      <c r="C315" t="s">
        <v>621</v>
      </c>
      <c r="D315" t="s">
        <v>618</v>
      </c>
      <c r="E315" t="s">
        <v>622</v>
      </c>
      <c r="F315" s="213" t="s">
        <v>56</v>
      </c>
      <c r="G315" t="s">
        <v>66</v>
      </c>
      <c r="H315" t="s">
        <v>84</v>
      </c>
      <c r="I315" t="s">
        <v>623</v>
      </c>
      <c r="J315" t="s">
        <v>56</v>
      </c>
      <c r="K315" t="s">
        <v>16</v>
      </c>
      <c r="L315" t="s">
        <v>642</v>
      </c>
      <c r="M315" t="s">
        <v>16</v>
      </c>
      <c r="N315" t="s">
        <v>12</v>
      </c>
      <c r="O315" t="s">
        <v>645</v>
      </c>
    </row>
    <row r="316" spans="1:15" x14ac:dyDescent="0.25">
      <c r="A316" t="s">
        <v>994</v>
      </c>
      <c r="B316" t="s">
        <v>100</v>
      </c>
      <c r="C316" t="s">
        <v>621</v>
      </c>
      <c r="D316" t="s">
        <v>618</v>
      </c>
      <c r="E316" t="s">
        <v>622</v>
      </c>
      <c r="F316" s="213" t="s">
        <v>56</v>
      </c>
      <c r="G316" t="s">
        <v>66</v>
      </c>
      <c r="H316" t="s">
        <v>84</v>
      </c>
      <c r="I316" t="s">
        <v>623</v>
      </c>
      <c r="J316" t="s">
        <v>56</v>
      </c>
      <c r="K316" t="s">
        <v>31</v>
      </c>
      <c r="L316" t="s">
        <v>654</v>
      </c>
      <c r="M316" t="s">
        <v>3</v>
      </c>
      <c r="N316" t="s">
        <v>25</v>
      </c>
      <c r="O316" t="s">
        <v>674</v>
      </c>
    </row>
    <row r="317" spans="1:15" x14ac:dyDescent="0.25">
      <c r="A317" t="s">
        <v>995</v>
      </c>
      <c r="B317" t="s">
        <v>100</v>
      </c>
      <c r="C317" t="s">
        <v>621</v>
      </c>
      <c r="D317" t="s">
        <v>618</v>
      </c>
      <c r="E317" t="s">
        <v>622</v>
      </c>
      <c r="F317" s="213" t="s">
        <v>56</v>
      </c>
      <c r="G317" t="s">
        <v>66</v>
      </c>
      <c r="H317" t="s">
        <v>84</v>
      </c>
      <c r="I317" t="s">
        <v>623</v>
      </c>
      <c r="J317" t="s">
        <v>56</v>
      </c>
      <c r="K317" t="s">
        <v>33</v>
      </c>
      <c r="L317" t="s">
        <v>418</v>
      </c>
      <c r="M317" t="s">
        <v>3</v>
      </c>
      <c r="N317" t="s">
        <v>44</v>
      </c>
      <c r="O317" t="s">
        <v>642</v>
      </c>
    </row>
    <row r="318" spans="1:15" x14ac:dyDescent="0.25">
      <c r="A318" t="s">
        <v>996</v>
      </c>
      <c r="B318" t="s">
        <v>100</v>
      </c>
      <c r="C318" t="s">
        <v>621</v>
      </c>
      <c r="D318" t="s">
        <v>618</v>
      </c>
      <c r="E318" t="s">
        <v>622</v>
      </c>
      <c r="F318" s="213" t="s">
        <v>56</v>
      </c>
      <c r="G318" t="s">
        <v>66</v>
      </c>
      <c r="H318" t="s">
        <v>84</v>
      </c>
      <c r="I318" t="s">
        <v>623</v>
      </c>
      <c r="J318" t="s">
        <v>56</v>
      </c>
      <c r="K318" t="s">
        <v>23</v>
      </c>
      <c r="L318" t="s">
        <v>630</v>
      </c>
      <c r="M318" t="s">
        <v>3</v>
      </c>
      <c r="N318" t="s">
        <v>66</v>
      </c>
      <c r="O318" t="s">
        <v>49</v>
      </c>
    </row>
    <row r="319" spans="1:15" x14ac:dyDescent="0.25">
      <c r="A319" t="s">
        <v>997</v>
      </c>
      <c r="B319" t="s">
        <v>100</v>
      </c>
      <c r="C319" t="s">
        <v>621</v>
      </c>
      <c r="D319" t="s">
        <v>618</v>
      </c>
      <c r="E319" t="s">
        <v>622</v>
      </c>
      <c r="F319" s="213" t="s">
        <v>56</v>
      </c>
      <c r="G319" t="s">
        <v>66</v>
      </c>
      <c r="H319" t="s">
        <v>84</v>
      </c>
      <c r="I319" t="s">
        <v>623</v>
      </c>
      <c r="J319" t="s">
        <v>56</v>
      </c>
      <c r="K319" t="s">
        <v>20</v>
      </c>
      <c r="L319" t="s">
        <v>625</v>
      </c>
      <c r="M319" t="s">
        <v>3</v>
      </c>
      <c r="N319" t="s">
        <v>60</v>
      </c>
      <c r="O319" t="s">
        <v>40</v>
      </c>
    </row>
    <row r="320" spans="1:15" x14ac:dyDescent="0.25">
      <c r="A320" t="s">
        <v>998</v>
      </c>
      <c r="B320" t="s">
        <v>100</v>
      </c>
      <c r="C320" t="s">
        <v>621</v>
      </c>
      <c r="D320" t="s">
        <v>618</v>
      </c>
      <c r="E320" t="s">
        <v>622</v>
      </c>
      <c r="F320" s="213" t="s">
        <v>56</v>
      </c>
      <c r="G320" t="s">
        <v>66</v>
      </c>
      <c r="H320" t="s">
        <v>84</v>
      </c>
      <c r="I320" t="s">
        <v>623</v>
      </c>
      <c r="J320" t="s">
        <v>56</v>
      </c>
      <c r="K320" t="s">
        <v>16</v>
      </c>
      <c r="L320" t="s">
        <v>632</v>
      </c>
      <c r="M320" t="s">
        <v>3</v>
      </c>
      <c r="N320" t="s">
        <v>4</v>
      </c>
      <c r="O320" t="s">
        <v>701</v>
      </c>
    </row>
    <row r="321" spans="1:15" x14ac:dyDescent="0.25">
      <c r="A321" t="s">
        <v>999</v>
      </c>
      <c r="B321" t="s">
        <v>100</v>
      </c>
      <c r="C321" t="s">
        <v>621</v>
      </c>
      <c r="D321" t="s">
        <v>618</v>
      </c>
      <c r="E321" t="s">
        <v>622</v>
      </c>
      <c r="F321" s="213" t="s">
        <v>56</v>
      </c>
      <c r="G321" t="s">
        <v>66</v>
      </c>
      <c r="H321" t="s">
        <v>84</v>
      </c>
      <c r="I321" t="s">
        <v>623</v>
      </c>
      <c r="J321" t="s">
        <v>56</v>
      </c>
      <c r="K321" t="s">
        <v>13</v>
      </c>
      <c r="L321" t="s">
        <v>629</v>
      </c>
      <c r="M321" t="s">
        <v>3</v>
      </c>
      <c r="N321" t="s">
        <v>46</v>
      </c>
      <c r="O321" t="s">
        <v>623</v>
      </c>
    </row>
    <row r="322" spans="1:15" x14ac:dyDescent="0.25">
      <c r="A322" t="s">
        <v>1000</v>
      </c>
      <c r="B322" t="s">
        <v>100</v>
      </c>
      <c r="C322" t="s">
        <v>621</v>
      </c>
      <c r="D322" t="s">
        <v>618</v>
      </c>
      <c r="E322" t="s">
        <v>622</v>
      </c>
      <c r="F322" s="213" t="s">
        <v>56</v>
      </c>
      <c r="G322" t="s">
        <v>66</v>
      </c>
      <c r="H322" t="s">
        <v>84</v>
      </c>
      <c r="I322" t="s">
        <v>623</v>
      </c>
      <c r="J322" t="s">
        <v>56</v>
      </c>
      <c r="K322" t="s">
        <v>10</v>
      </c>
      <c r="L322" t="s">
        <v>695</v>
      </c>
      <c r="M322" t="s">
        <v>3</v>
      </c>
      <c r="N322" t="s">
        <v>12</v>
      </c>
      <c r="O322" t="s">
        <v>969</v>
      </c>
    </row>
    <row r="323" spans="1:15" x14ac:dyDescent="0.25">
      <c r="A323" t="s">
        <v>1001</v>
      </c>
      <c r="B323" t="s">
        <v>100</v>
      </c>
      <c r="C323" t="s">
        <v>621</v>
      </c>
      <c r="D323" t="s">
        <v>618</v>
      </c>
      <c r="E323" t="s">
        <v>622</v>
      </c>
      <c r="F323" s="213" t="s">
        <v>56</v>
      </c>
      <c r="G323" t="s">
        <v>66</v>
      </c>
      <c r="H323" t="s">
        <v>84</v>
      </c>
      <c r="I323" t="s">
        <v>623</v>
      </c>
      <c r="J323" t="s">
        <v>56</v>
      </c>
      <c r="K323" t="s">
        <v>8</v>
      </c>
      <c r="L323" t="s">
        <v>656</v>
      </c>
      <c r="M323" t="s">
        <v>3</v>
      </c>
      <c r="N323" t="s">
        <v>45</v>
      </c>
      <c r="O323" t="s">
        <v>632</v>
      </c>
    </row>
    <row r="324" spans="1:15" x14ac:dyDescent="0.25">
      <c r="A324" t="s">
        <v>1002</v>
      </c>
      <c r="B324" t="s">
        <v>100</v>
      </c>
      <c r="C324" t="s">
        <v>621</v>
      </c>
      <c r="D324" t="s">
        <v>618</v>
      </c>
      <c r="E324" t="s">
        <v>622</v>
      </c>
      <c r="F324" s="213" t="s">
        <v>56</v>
      </c>
      <c r="G324" t="s">
        <v>66</v>
      </c>
      <c r="H324" t="s">
        <v>84</v>
      </c>
      <c r="I324" t="s">
        <v>623</v>
      </c>
      <c r="J324" t="s">
        <v>56</v>
      </c>
      <c r="K324" t="s">
        <v>32</v>
      </c>
      <c r="L324" t="s">
        <v>654</v>
      </c>
      <c r="M324" t="s">
        <v>0</v>
      </c>
      <c r="N324" t="s">
        <v>22</v>
      </c>
      <c r="O324" t="s">
        <v>741</v>
      </c>
    </row>
    <row r="325" spans="1:15" x14ac:dyDescent="0.25">
      <c r="A325" t="s">
        <v>1003</v>
      </c>
      <c r="B325" t="s">
        <v>100</v>
      </c>
      <c r="C325" t="s">
        <v>621</v>
      </c>
      <c r="D325" t="s">
        <v>618</v>
      </c>
      <c r="E325" t="s">
        <v>622</v>
      </c>
      <c r="F325" s="213" t="s">
        <v>56</v>
      </c>
      <c r="G325" t="s">
        <v>66</v>
      </c>
      <c r="H325" t="s">
        <v>84</v>
      </c>
      <c r="I325" t="s">
        <v>623</v>
      </c>
      <c r="J325" t="s">
        <v>56</v>
      </c>
      <c r="K325" t="s">
        <v>26</v>
      </c>
      <c r="L325" t="s">
        <v>714</v>
      </c>
      <c r="M325" t="s">
        <v>0</v>
      </c>
      <c r="N325" t="s">
        <v>42</v>
      </c>
      <c r="O325" t="s">
        <v>635</v>
      </c>
    </row>
    <row r="326" spans="1:15" x14ac:dyDescent="0.25">
      <c r="A326" t="s">
        <v>1004</v>
      </c>
      <c r="B326" t="s">
        <v>100</v>
      </c>
      <c r="C326" t="s">
        <v>621</v>
      </c>
      <c r="D326" t="s">
        <v>618</v>
      </c>
      <c r="E326" t="s">
        <v>622</v>
      </c>
      <c r="F326" s="213" t="s">
        <v>56</v>
      </c>
      <c r="G326" t="s">
        <v>66</v>
      </c>
      <c r="H326" t="s">
        <v>84</v>
      </c>
      <c r="I326" t="s">
        <v>623</v>
      </c>
      <c r="J326" t="s">
        <v>56</v>
      </c>
      <c r="K326" t="s">
        <v>24</v>
      </c>
      <c r="L326" t="s">
        <v>630</v>
      </c>
      <c r="M326" t="s">
        <v>0</v>
      </c>
      <c r="N326" t="s">
        <v>63</v>
      </c>
      <c r="O326" t="s">
        <v>687</v>
      </c>
    </row>
    <row r="327" spans="1:15" x14ac:dyDescent="0.25">
      <c r="A327" t="s">
        <v>1005</v>
      </c>
      <c r="B327" t="s">
        <v>100</v>
      </c>
      <c r="C327" t="s">
        <v>621</v>
      </c>
      <c r="D327" t="s">
        <v>618</v>
      </c>
      <c r="E327" t="s">
        <v>622</v>
      </c>
      <c r="F327" s="213" t="s">
        <v>56</v>
      </c>
      <c r="G327" t="s">
        <v>66</v>
      </c>
      <c r="H327" t="s">
        <v>84</v>
      </c>
      <c r="I327" t="s">
        <v>623</v>
      </c>
      <c r="J327" t="s">
        <v>56</v>
      </c>
      <c r="K327" t="s">
        <v>21</v>
      </c>
      <c r="L327" t="s">
        <v>625</v>
      </c>
      <c r="M327" t="s">
        <v>0</v>
      </c>
      <c r="N327" t="s">
        <v>70</v>
      </c>
      <c r="O327" t="s">
        <v>49</v>
      </c>
    </row>
    <row r="328" spans="1:15" x14ac:dyDescent="0.25">
      <c r="A328" t="s">
        <v>1006</v>
      </c>
      <c r="B328" t="s">
        <v>100</v>
      </c>
      <c r="C328" t="s">
        <v>621</v>
      </c>
      <c r="D328" t="s">
        <v>618</v>
      </c>
      <c r="E328" t="s">
        <v>622</v>
      </c>
      <c r="F328" s="213" t="s">
        <v>56</v>
      </c>
      <c r="G328" t="s">
        <v>66</v>
      </c>
      <c r="H328" t="s">
        <v>84</v>
      </c>
      <c r="I328" t="s">
        <v>623</v>
      </c>
      <c r="J328" t="s">
        <v>56</v>
      </c>
      <c r="K328" t="s">
        <v>18</v>
      </c>
      <c r="L328" t="s">
        <v>632</v>
      </c>
      <c r="M328" t="s">
        <v>0</v>
      </c>
      <c r="N328" t="s">
        <v>67</v>
      </c>
      <c r="O328" t="s">
        <v>44</v>
      </c>
    </row>
    <row r="329" spans="1:15" x14ac:dyDescent="0.25">
      <c r="A329" t="s">
        <v>1007</v>
      </c>
      <c r="B329" t="s">
        <v>100</v>
      </c>
      <c r="C329" t="s">
        <v>621</v>
      </c>
      <c r="D329" t="s">
        <v>618</v>
      </c>
      <c r="E329" t="s">
        <v>622</v>
      </c>
      <c r="F329" s="213" t="s">
        <v>56</v>
      </c>
      <c r="G329" t="s">
        <v>66</v>
      </c>
      <c r="H329" t="s">
        <v>84</v>
      </c>
      <c r="I329" t="s">
        <v>623</v>
      </c>
      <c r="J329" t="s">
        <v>56</v>
      </c>
      <c r="K329" t="s">
        <v>16</v>
      </c>
      <c r="L329" t="s">
        <v>642</v>
      </c>
      <c r="M329" t="s">
        <v>0</v>
      </c>
      <c r="N329" t="s">
        <v>63</v>
      </c>
      <c r="O329" t="s">
        <v>37</v>
      </c>
    </row>
    <row r="330" spans="1:15" x14ac:dyDescent="0.25">
      <c r="A330" t="s">
        <v>1008</v>
      </c>
      <c r="B330" t="s">
        <v>100</v>
      </c>
      <c r="C330" t="s">
        <v>621</v>
      </c>
      <c r="D330" t="s">
        <v>618</v>
      </c>
      <c r="E330" t="s">
        <v>622</v>
      </c>
      <c r="F330" s="213" t="s">
        <v>56</v>
      </c>
      <c r="G330" t="s">
        <v>66</v>
      </c>
      <c r="H330" t="s">
        <v>84</v>
      </c>
      <c r="I330" t="s">
        <v>623</v>
      </c>
      <c r="J330" t="s">
        <v>56</v>
      </c>
      <c r="K330" t="s">
        <v>13</v>
      </c>
      <c r="L330" t="s">
        <v>643</v>
      </c>
      <c r="M330" t="s">
        <v>0</v>
      </c>
      <c r="N330" t="s">
        <v>39</v>
      </c>
      <c r="O330" t="s">
        <v>685</v>
      </c>
    </row>
    <row r="331" spans="1:15" x14ac:dyDescent="0.25">
      <c r="A331" t="s">
        <v>1009</v>
      </c>
      <c r="B331" t="s">
        <v>100</v>
      </c>
      <c r="C331" t="s">
        <v>621</v>
      </c>
      <c r="D331" t="s">
        <v>618</v>
      </c>
      <c r="E331" t="s">
        <v>622</v>
      </c>
      <c r="F331" s="213" t="s">
        <v>56</v>
      </c>
      <c r="G331" t="s">
        <v>66</v>
      </c>
      <c r="H331" t="s">
        <v>84</v>
      </c>
      <c r="I331" t="s">
        <v>623</v>
      </c>
      <c r="J331" t="s">
        <v>56</v>
      </c>
      <c r="K331" t="s">
        <v>11</v>
      </c>
      <c r="L331" t="s">
        <v>635</v>
      </c>
      <c r="M331" t="s">
        <v>0</v>
      </c>
      <c r="N331" t="s">
        <v>61</v>
      </c>
      <c r="O331" t="s">
        <v>654</v>
      </c>
    </row>
    <row r="332" spans="1:15" x14ac:dyDescent="0.25">
      <c r="A332" t="s">
        <v>1010</v>
      </c>
      <c r="B332" t="s">
        <v>100</v>
      </c>
      <c r="C332" t="s">
        <v>621</v>
      </c>
      <c r="D332" t="s">
        <v>618</v>
      </c>
      <c r="E332" t="s">
        <v>622</v>
      </c>
      <c r="F332" s="213" t="s">
        <v>56</v>
      </c>
      <c r="G332" t="s">
        <v>66</v>
      </c>
      <c r="H332" t="s">
        <v>84</v>
      </c>
      <c r="I332" t="s">
        <v>623</v>
      </c>
      <c r="J332" t="s">
        <v>56</v>
      </c>
      <c r="K332" t="s">
        <v>9</v>
      </c>
      <c r="L332" t="s">
        <v>637</v>
      </c>
      <c r="M332" t="s">
        <v>0</v>
      </c>
      <c r="N332" t="s">
        <v>10</v>
      </c>
      <c r="O332" t="s">
        <v>712</v>
      </c>
    </row>
    <row r="333" spans="1:15" x14ac:dyDescent="0.25">
      <c r="A333" t="s">
        <v>1011</v>
      </c>
      <c r="B333" t="s">
        <v>100</v>
      </c>
      <c r="C333" t="s">
        <v>621</v>
      </c>
      <c r="D333" t="s">
        <v>618</v>
      </c>
      <c r="E333" t="s">
        <v>622</v>
      </c>
      <c r="F333" s="213" t="s">
        <v>56</v>
      </c>
      <c r="G333" t="s">
        <v>66</v>
      </c>
      <c r="H333" t="s">
        <v>84</v>
      </c>
      <c r="I333" t="s">
        <v>623</v>
      </c>
      <c r="J333" t="s">
        <v>56</v>
      </c>
      <c r="K333" t="s">
        <v>31</v>
      </c>
      <c r="L333" t="s">
        <v>654</v>
      </c>
      <c r="M333" t="s">
        <v>7</v>
      </c>
      <c r="N333" t="s">
        <v>40</v>
      </c>
      <c r="O333" t="s">
        <v>623</v>
      </c>
    </row>
    <row r="334" spans="1:15" x14ac:dyDescent="0.25">
      <c r="A334" t="s">
        <v>1012</v>
      </c>
      <c r="B334" t="s">
        <v>100</v>
      </c>
      <c r="C334" t="s">
        <v>621</v>
      </c>
      <c r="D334" t="s">
        <v>618</v>
      </c>
      <c r="E334" t="s">
        <v>622</v>
      </c>
      <c r="F334" s="213" t="s">
        <v>56</v>
      </c>
      <c r="G334" t="s">
        <v>66</v>
      </c>
      <c r="H334" t="s">
        <v>84</v>
      </c>
      <c r="I334" t="s">
        <v>623</v>
      </c>
      <c r="J334" t="s">
        <v>56</v>
      </c>
      <c r="K334" t="s">
        <v>33</v>
      </c>
      <c r="L334" t="s">
        <v>418</v>
      </c>
      <c r="M334" t="s">
        <v>7</v>
      </c>
      <c r="N334" t="s">
        <v>31</v>
      </c>
      <c r="O334" t="s">
        <v>635</v>
      </c>
    </row>
    <row r="335" spans="1:15" x14ac:dyDescent="0.25">
      <c r="A335" t="s">
        <v>1013</v>
      </c>
      <c r="B335" t="s">
        <v>100</v>
      </c>
      <c r="C335" t="s">
        <v>621</v>
      </c>
      <c r="D335" t="s">
        <v>618</v>
      </c>
      <c r="E335" t="s">
        <v>622</v>
      </c>
      <c r="F335" s="213" t="s">
        <v>56</v>
      </c>
      <c r="G335" t="s">
        <v>66</v>
      </c>
      <c r="H335" t="s">
        <v>84</v>
      </c>
      <c r="I335" t="s">
        <v>623</v>
      </c>
      <c r="J335" t="s">
        <v>56</v>
      </c>
      <c r="K335" t="s">
        <v>23</v>
      </c>
      <c r="L335" t="s">
        <v>630</v>
      </c>
      <c r="M335" t="s">
        <v>7</v>
      </c>
      <c r="N335" t="s">
        <v>56</v>
      </c>
      <c r="O335" t="s">
        <v>807</v>
      </c>
    </row>
    <row r="336" spans="1:15" x14ac:dyDescent="0.25">
      <c r="A336" t="s">
        <v>1014</v>
      </c>
      <c r="B336" t="s">
        <v>100</v>
      </c>
      <c r="C336" t="s">
        <v>621</v>
      </c>
      <c r="D336" t="s">
        <v>618</v>
      </c>
      <c r="E336" t="s">
        <v>622</v>
      </c>
      <c r="F336" s="213" t="s">
        <v>56</v>
      </c>
      <c r="G336" t="s">
        <v>66</v>
      </c>
      <c r="H336" t="s">
        <v>84</v>
      </c>
      <c r="I336" t="s">
        <v>623</v>
      </c>
      <c r="J336" t="s">
        <v>56</v>
      </c>
      <c r="K336" t="s">
        <v>20</v>
      </c>
      <c r="L336" t="s">
        <v>625</v>
      </c>
      <c r="M336" t="s">
        <v>7</v>
      </c>
      <c r="N336" t="s">
        <v>54</v>
      </c>
      <c r="O336" t="s">
        <v>46</v>
      </c>
    </row>
    <row r="337" spans="1:15" x14ac:dyDescent="0.25">
      <c r="A337" t="s">
        <v>1015</v>
      </c>
      <c r="B337" t="s">
        <v>100</v>
      </c>
      <c r="C337" t="s">
        <v>621</v>
      </c>
      <c r="D337" t="s">
        <v>618</v>
      </c>
      <c r="E337" t="s">
        <v>622</v>
      </c>
      <c r="F337" s="213" t="s">
        <v>56</v>
      </c>
      <c r="G337" t="s">
        <v>66</v>
      </c>
      <c r="H337" t="s">
        <v>84</v>
      </c>
      <c r="I337" t="s">
        <v>623</v>
      </c>
      <c r="J337" t="s">
        <v>56</v>
      </c>
      <c r="K337" t="s">
        <v>16</v>
      </c>
      <c r="L337" t="s">
        <v>632</v>
      </c>
      <c r="M337" t="s">
        <v>7</v>
      </c>
      <c r="N337" t="s">
        <v>49</v>
      </c>
      <c r="O337" t="s">
        <v>626</v>
      </c>
    </row>
    <row r="338" spans="1:15" x14ac:dyDescent="0.25">
      <c r="A338" t="s">
        <v>1016</v>
      </c>
      <c r="B338" t="s">
        <v>100</v>
      </c>
      <c r="C338" t="s">
        <v>621</v>
      </c>
      <c r="D338" t="s">
        <v>618</v>
      </c>
      <c r="E338" t="s">
        <v>622</v>
      </c>
      <c r="F338" s="213" t="s">
        <v>56</v>
      </c>
      <c r="G338" t="s">
        <v>66</v>
      </c>
      <c r="H338" t="s">
        <v>84</v>
      </c>
      <c r="I338" t="s">
        <v>623</v>
      </c>
      <c r="J338" t="s">
        <v>56</v>
      </c>
      <c r="K338" t="s">
        <v>13</v>
      </c>
      <c r="L338" t="s">
        <v>629</v>
      </c>
      <c r="M338" t="s">
        <v>7</v>
      </c>
      <c r="N338" t="s">
        <v>41</v>
      </c>
      <c r="O338" t="s">
        <v>625</v>
      </c>
    </row>
    <row r="339" spans="1:15" x14ac:dyDescent="0.25">
      <c r="A339" t="s">
        <v>1017</v>
      </c>
      <c r="B339" t="s">
        <v>100</v>
      </c>
      <c r="C339" t="s">
        <v>621</v>
      </c>
      <c r="D339" t="s">
        <v>618</v>
      </c>
      <c r="E339" t="s">
        <v>622</v>
      </c>
      <c r="F339" s="213" t="s">
        <v>56</v>
      </c>
      <c r="G339" t="s">
        <v>66</v>
      </c>
      <c r="H339" t="s">
        <v>84</v>
      </c>
      <c r="I339" t="s">
        <v>623</v>
      </c>
      <c r="J339" t="s">
        <v>56</v>
      </c>
      <c r="K339" t="s">
        <v>10</v>
      </c>
      <c r="L339" t="s">
        <v>695</v>
      </c>
      <c r="M339" t="s">
        <v>7</v>
      </c>
      <c r="N339" t="s">
        <v>33</v>
      </c>
      <c r="O339" t="s">
        <v>888</v>
      </c>
    </row>
    <row r="340" spans="1:15" x14ac:dyDescent="0.25">
      <c r="A340" t="s">
        <v>1018</v>
      </c>
      <c r="B340" t="s">
        <v>100</v>
      </c>
      <c r="C340" t="s">
        <v>621</v>
      </c>
      <c r="D340" t="s">
        <v>618</v>
      </c>
      <c r="E340" t="s">
        <v>622</v>
      </c>
      <c r="F340" s="213" t="s">
        <v>56</v>
      </c>
      <c r="G340" t="s">
        <v>66</v>
      </c>
      <c r="H340" t="s">
        <v>84</v>
      </c>
      <c r="I340" t="s">
        <v>623</v>
      </c>
      <c r="J340" t="s">
        <v>56</v>
      </c>
      <c r="K340" t="s">
        <v>31</v>
      </c>
      <c r="L340" t="s">
        <v>654</v>
      </c>
      <c r="M340" t="s">
        <v>25</v>
      </c>
      <c r="N340" t="s">
        <v>25</v>
      </c>
      <c r="O340" t="s">
        <v>729</v>
      </c>
    </row>
    <row r="341" spans="1:15" x14ac:dyDescent="0.25">
      <c r="A341" t="s">
        <v>1019</v>
      </c>
      <c r="B341" t="s">
        <v>100</v>
      </c>
      <c r="C341" t="s">
        <v>621</v>
      </c>
      <c r="D341" t="s">
        <v>618</v>
      </c>
      <c r="E341" t="s">
        <v>622</v>
      </c>
      <c r="F341" s="213" t="s">
        <v>56</v>
      </c>
      <c r="G341" t="s">
        <v>66</v>
      </c>
      <c r="H341" t="s">
        <v>84</v>
      </c>
      <c r="I341" t="s">
        <v>623</v>
      </c>
      <c r="J341" t="s">
        <v>56</v>
      </c>
      <c r="K341" t="s">
        <v>33</v>
      </c>
      <c r="L341" t="s">
        <v>418</v>
      </c>
      <c r="M341" t="s">
        <v>25</v>
      </c>
      <c r="N341" t="s">
        <v>22</v>
      </c>
      <c r="O341" t="s">
        <v>49</v>
      </c>
    </row>
    <row r="342" spans="1:15" x14ac:dyDescent="0.25">
      <c r="A342" t="s">
        <v>1020</v>
      </c>
      <c r="B342" t="s">
        <v>100</v>
      </c>
      <c r="C342" t="s">
        <v>621</v>
      </c>
      <c r="D342" t="s">
        <v>618</v>
      </c>
      <c r="E342" t="s">
        <v>622</v>
      </c>
      <c r="F342" s="213" t="s">
        <v>56</v>
      </c>
      <c r="G342" t="s">
        <v>66</v>
      </c>
      <c r="H342" t="s">
        <v>84</v>
      </c>
      <c r="I342" t="s">
        <v>623</v>
      </c>
      <c r="J342" t="s">
        <v>56</v>
      </c>
      <c r="K342" t="s">
        <v>23</v>
      </c>
      <c r="L342" t="s">
        <v>630</v>
      </c>
      <c r="M342" t="s">
        <v>25</v>
      </c>
      <c r="N342" t="s">
        <v>31</v>
      </c>
      <c r="O342" t="s">
        <v>418</v>
      </c>
    </row>
    <row r="343" spans="1:15" x14ac:dyDescent="0.25">
      <c r="A343" t="s">
        <v>1021</v>
      </c>
      <c r="B343" t="s">
        <v>100</v>
      </c>
      <c r="C343" t="s">
        <v>621</v>
      </c>
      <c r="D343" t="s">
        <v>618</v>
      </c>
      <c r="E343" t="s">
        <v>622</v>
      </c>
      <c r="F343" s="213" t="s">
        <v>56</v>
      </c>
      <c r="G343" t="s">
        <v>66</v>
      </c>
      <c r="H343" t="s">
        <v>84</v>
      </c>
      <c r="I343" t="s">
        <v>623</v>
      </c>
      <c r="J343" t="s">
        <v>56</v>
      </c>
      <c r="K343" t="s">
        <v>20</v>
      </c>
      <c r="L343" t="s">
        <v>625</v>
      </c>
      <c r="M343" t="s">
        <v>25</v>
      </c>
      <c r="N343" t="s">
        <v>4</v>
      </c>
      <c r="O343" t="s">
        <v>674</v>
      </c>
    </row>
    <row r="344" spans="1:15" x14ac:dyDescent="0.25">
      <c r="A344" t="s">
        <v>1022</v>
      </c>
      <c r="B344" t="s">
        <v>100</v>
      </c>
      <c r="C344" t="s">
        <v>621</v>
      </c>
      <c r="D344" t="s">
        <v>618</v>
      </c>
      <c r="E344" t="s">
        <v>622</v>
      </c>
      <c r="F344" s="213" t="s">
        <v>56</v>
      </c>
      <c r="G344" t="s">
        <v>66</v>
      </c>
      <c r="H344" t="s">
        <v>84</v>
      </c>
      <c r="I344" t="s">
        <v>623</v>
      </c>
      <c r="J344" t="s">
        <v>56</v>
      </c>
      <c r="K344" t="s">
        <v>16</v>
      </c>
      <c r="L344" t="s">
        <v>632</v>
      </c>
      <c r="M344" t="s">
        <v>25</v>
      </c>
      <c r="N344" t="s">
        <v>8</v>
      </c>
      <c r="O344" t="s">
        <v>685</v>
      </c>
    </row>
    <row r="345" spans="1:15" x14ac:dyDescent="0.25">
      <c r="A345" t="s">
        <v>1023</v>
      </c>
      <c r="B345" t="s">
        <v>100</v>
      </c>
      <c r="C345" t="s">
        <v>621</v>
      </c>
      <c r="D345" t="s">
        <v>618</v>
      </c>
      <c r="E345" t="s">
        <v>622</v>
      </c>
      <c r="F345" s="213" t="s">
        <v>56</v>
      </c>
      <c r="G345" t="s">
        <v>66</v>
      </c>
      <c r="H345" t="s">
        <v>84</v>
      </c>
      <c r="I345" t="s">
        <v>623</v>
      </c>
      <c r="J345" t="s">
        <v>56</v>
      </c>
      <c r="K345" t="s">
        <v>13</v>
      </c>
      <c r="L345" t="s">
        <v>629</v>
      </c>
      <c r="M345" t="s">
        <v>25</v>
      </c>
      <c r="N345" t="s">
        <v>5</v>
      </c>
      <c r="O345" t="s">
        <v>809</v>
      </c>
    </row>
    <row r="346" spans="1:15" x14ac:dyDescent="0.25">
      <c r="A346" t="s">
        <v>1024</v>
      </c>
      <c r="B346" t="s">
        <v>100</v>
      </c>
      <c r="C346" t="s">
        <v>621</v>
      </c>
      <c r="D346" t="s">
        <v>618</v>
      </c>
      <c r="E346" t="s">
        <v>622</v>
      </c>
      <c r="F346" s="213" t="s">
        <v>56</v>
      </c>
      <c r="G346" t="s">
        <v>66</v>
      </c>
      <c r="H346" t="s">
        <v>84</v>
      </c>
      <c r="I346" t="s">
        <v>623</v>
      </c>
      <c r="J346" t="s">
        <v>56</v>
      </c>
      <c r="K346" t="s">
        <v>30</v>
      </c>
      <c r="L346" t="s">
        <v>418</v>
      </c>
      <c r="M346" t="s">
        <v>100</v>
      </c>
      <c r="N346" t="s">
        <v>68</v>
      </c>
      <c r="O346" t="s">
        <v>100</v>
      </c>
    </row>
    <row r="347" spans="1:15" x14ac:dyDescent="0.25">
      <c r="A347" t="s">
        <v>1025</v>
      </c>
      <c r="B347" t="s">
        <v>100</v>
      </c>
      <c r="C347" t="s">
        <v>621</v>
      </c>
      <c r="D347" t="s">
        <v>618</v>
      </c>
      <c r="E347" t="s">
        <v>622</v>
      </c>
      <c r="F347" s="213" t="s">
        <v>56</v>
      </c>
      <c r="G347" t="s">
        <v>66</v>
      </c>
      <c r="H347" t="s">
        <v>84</v>
      </c>
      <c r="I347" t="s">
        <v>623</v>
      </c>
      <c r="J347" t="s">
        <v>56</v>
      </c>
      <c r="K347" t="s">
        <v>23</v>
      </c>
      <c r="L347" t="s">
        <v>628</v>
      </c>
      <c r="M347" t="s">
        <v>100</v>
      </c>
      <c r="N347" t="s">
        <v>44</v>
      </c>
      <c r="O347" t="s">
        <v>637</v>
      </c>
    </row>
    <row r="348" spans="1:15" x14ac:dyDescent="0.25">
      <c r="A348" t="s">
        <v>1026</v>
      </c>
      <c r="B348" t="s">
        <v>100</v>
      </c>
      <c r="C348" t="s">
        <v>621</v>
      </c>
      <c r="D348" t="s">
        <v>618</v>
      </c>
      <c r="E348" t="s">
        <v>622</v>
      </c>
      <c r="F348" s="213" t="s">
        <v>56</v>
      </c>
      <c r="G348" t="s">
        <v>66</v>
      </c>
      <c r="H348" t="s">
        <v>84</v>
      </c>
      <c r="I348" t="s">
        <v>623</v>
      </c>
      <c r="J348" t="s">
        <v>56</v>
      </c>
      <c r="K348" t="s">
        <v>20</v>
      </c>
      <c r="L348" t="s">
        <v>630</v>
      </c>
      <c r="M348" t="s">
        <v>100</v>
      </c>
      <c r="N348" t="s">
        <v>75</v>
      </c>
      <c r="O348" t="s">
        <v>731</v>
      </c>
    </row>
    <row r="349" spans="1:15" x14ac:dyDescent="0.25">
      <c r="A349" t="s">
        <v>1027</v>
      </c>
      <c r="B349" t="s">
        <v>100</v>
      </c>
      <c r="C349" t="s">
        <v>621</v>
      </c>
      <c r="D349" t="s">
        <v>618</v>
      </c>
      <c r="E349" t="s">
        <v>622</v>
      </c>
      <c r="F349" s="213" t="s">
        <v>56</v>
      </c>
      <c r="G349" t="s">
        <v>66</v>
      </c>
      <c r="H349" t="s">
        <v>84</v>
      </c>
      <c r="I349" t="s">
        <v>623</v>
      </c>
      <c r="J349" t="s">
        <v>56</v>
      </c>
      <c r="K349" t="s">
        <v>17</v>
      </c>
      <c r="L349" t="s">
        <v>625</v>
      </c>
      <c r="M349" t="s">
        <v>100</v>
      </c>
      <c r="N349" t="s">
        <v>39</v>
      </c>
      <c r="O349" t="s">
        <v>809</v>
      </c>
    </row>
    <row r="350" spans="1:15" x14ac:dyDescent="0.25">
      <c r="A350" t="s">
        <v>1028</v>
      </c>
      <c r="B350" t="s">
        <v>100</v>
      </c>
      <c r="C350" t="s">
        <v>621</v>
      </c>
      <c r="D350" t="s">
        <v>618</v>
      </c>
      <c r="E350" t="s">
        <v>622</v>
      </c>
      <c r="F350" s="213" t="s">
        <v>56</v>
      </c>
      <c r="G350" t="s">
        <v>66</v>
      </c>
      <c r="H350" t="s">
        <v>84</v>
      </c>
      <c r="I350" t="s">
        <v>623</v>
      </c>
      <c r="J350" t="s">
        <v>56</v>
      </c>
      <c r="K350" t="s">
        <v>15</v>
      </c>
      <c r="L350" t="s">
        <v>623</v>
      </c>
      <c r="M350" t="s">
        <v>100</v>
      </c>
      <c r="N350" t="s">
        <v>73</v>
      </c>
      <c r="O350" t="s">
        <v>652</v>
      </c>
    </row>
    <row r="351" spans="1:15" x14ac:dyDescent="0.25">
      <c r="A351" t="s">
        <v>1029</v>
      </c>
      <c r="B351" t="s">
        <v>100</v>
      </c>
      <c r="C351" t="s">
        <v>621</v>
      </c>
      <c r="D351" t="s">
        <v>618</v>
      </c>
      <c r="E351" t="s">
        <v>622</v>
      </c>
      <c r="F351" s="213" t="s">
        <v>56</v>
      </c>
      <c r="G351" t="s">
        <v>66</v>
      </c>
      <c r="H351" t="s">
        <v>84</v>
      </c>
      <c r="I351" t="s">
        <v>623</v>
      </c>
      <c r="J351" t="s">
        <v>56</v>
      </c>
      <c r="K351" t="s">
        <v>11</v>
      </c>
      <c r="L351" t="s">
        <v>642</v>
      </c>
      <c r="M351" t="s">
        <v>100</v>
      </c>
      <c r="N351" t="s">
        <v>42</v>
      </c>
      <c r="O351" t="s">
        <v>645</v>
      </c>
    </row>
    <row r="352" spans="1:15" x14ac:dyDescent="0.25">
      <c r="A352" t="s">
        <v>1030</v>
      </c>
      <c r="B352" t="s">
        <v>100</v>
      </c>
      <c r="C352" t="s">
        <v>621</v>
      </c>
      <c r="D352" t="s">
        <v>618</v>
      </c>
      <c r="E352" t="s">
        <v>622</v>
      </c>
      <c r="F352" s="213" t="s">
        <v>56</v>
      </c>
      <c r="G352" t="s">
        <v>66</v>
      </c>
      <c r="H352" t="s">
        <v>84</v>
      </c>
      <c r="I352" t="s">
        <v>623</v>
      </c>
      <c r="J352" t="s">
        <v>56</v>
      </c>
      <c r="K352" t="s">
        <v>9</v>
      </c>
      <c r="L352" t="s">
        <v>888</v>
      </c>
      <c r="M352" t="s">
        <v>100</v>
      </c>
      <c r="N352" t="s">
        <v>55</v>
      </c>
      <c r="O352" t="s">
        <v>632</v>
      </c>
    </row>
    <row r="353" spans="1:15" x14ac:dyDescent="0.25">
      <c r="A353" t="s">
        <v>1031</v>
      </c>
      <c r="B353" t="s">
        <v>100</v>
      </c>
      <c r="C353" t="s">
        <v>621</v>
      </c>
      <c r="D353" t="s">
        <v>618</v>
      </c>
      <c r="E353" t="s">
        <v>622</v>
      </c>
      <c r="F353" s="213" t="s">
        <v>56</v>
      </c>
      <c r="G353" t="s">
        <v>66</v>
      </c>
      <c r="H353" t="s">
        <v>84</v>
      </c>
      <c r="I353" t="s">
        <v>623</v>
      </c>
      <c r="J353" t="s">
        <v>56</v>
      </c>
      <c r="K353" t="s">
        <v>7</v>
      </c>
      <c r="L353" t="s">
        <v>685</v>
      </c>
      <c r="M353" t="s">
        <v>100</v>
      </c>
      <c r="N353" t="s">
        <v>1</v>
      </c>
      <c r="O353" t="s">
        <v>1032</v>
      </c>
    </row>
    <row r="354" spans="1:15" x14ac:dyDescent="0.25">
      <c r="A354" t="s">
        <v>1033</v>
      </c>
      <c r="B354" t="s">
        <v>100</v>
      </c>
      <c r="C354" t="s">
        <v>621</v>
      </c>
      <c r="D354" t="s">
        <v>618</v>
      </c>
      <c r="E354" t="s">
        <v>622</v>
      </c>
      <c r="F354" s="213" t="s">
        <v>56</v>
      </c>
      <c r="G354" t="s">
        <v>66</v>
      </c>
      <c r="H354" t="s">
        <v>84</v>
      </c>
      <c r="I354" t="s">
        <v>623</v>
      </c>
      <c r="J354" t="s">
        <v>56</v>
      </c>
      <c r="K354" t="s">
        <v>5</v>
      </c>
      <c r="L354" t="s">
        <v>639</v>
      </c>
      <c r="M354" t="s">
        <v>100</v>
      </c>
      <c r="N354" t="s">
        <v>19</v>
      </c>
      <c r="O354" t="s">
        <v>638</v>
      </c>
    </row>
    <row r="355" spans="1:15" x14ac:dyDescent="0.25">
      <c r="A355" t="s">
        <v>1034</v>
      </c>
      <c r="B355" t="s">
        <v>100</v>
      </c>
      <c r="C355" t="s">
        <v>621</v>
      </c>
      <c r="D355" t="s">
        <v>618</v>
      </c>
      <c r="E355" t="s">
        <v>622</v>
      </c>
      <c r="F355" s="213" t="s">
        <v>56</v>
      </c>
      <c r="G355" t="s">
        <v>66</v>
      </c>
      <c r="H355" t="s">
        <v>84</v>
      </c>
      <c r="I355" t="s">
        <v>623</v>
      </c>
      <c r="J355" t="s">
        <v>56</v>
      </c>
      <c r="K355" t="s">
        <v>3</v>
      </c>
      <c r="L355" t="s">
        <v>674</v>
      </c>
      <c r="M355" t="s">
        <v>100</v>
      </c>
      <c r="N355" t="s">
        <v>9</v>
      </c>
      <c r="O355" t="s">
        <v>1035</v>
      </c>
    </row>
    <row r="356" spans="1:15" x14ac:dyDescent="0.25">
      <c r="A356" t="s">
        <v>1036</v>
      </c>
      <c r="B356" t="s">
        <v>100</v>
      </c>
      <c r="C356" t="s">
        <v>621</v>
      </c>
      <c r="D356" t="s">
        <v>618</v>
      </c>
      <c r="E356" t="s">
        <v>622</v>
      </c>
      <c r="F356" s="213" t="s">
        <v>56</v>
      </c>
      <c r="G356" t="s">
        <v>66</v>
      </c>
      <c r="H356" t="s">
        <v>84</v>
      </c>
      <c r="I356" t="s">
        <v>623</v>
      </c>
      <c r="J356" t="s">
        <v>56</v>
      </c>
      <c r="K356" t="s">
        <v>26</v>
      </c>
      <c r="L356" t="s">
        <v>624</v>
      </c>
      <c r="M356" t="s">
        <v>100</v>
      </c>
      <c r="N356" t="s">
        <v>59</v>
      </c>
      <c r="O356" t="s">
        <v>625</v>
      </c>
    </row>
    <row r="357" spans="1:15" x14ac:dyDescent="0.25">
      <c r="A357" t="s">
        <v>1037</v>
      </c>
      <c r="B357" t="s">
        <v>100</v>
      </c>
      <c r="C357" t="s">
        <v>621</v>
      </c>
      <c r="D357" t="s">
        <v>618</v>
      </c>
      <c r="E357" t="s">
        <v>622</v>
      </c>
      <c r="F357" s="213" t="s">
        <v>56</v>
      </c>
      <c r="G357" t="s">
        <v>66</v>
      </c>
      <c r="H357" t="s">
        <v>84</v>
      </c>
      <c r="I357" t="s">
        <v>623</v>
      </c>
      <c r="J357" t="s">
        <v>56</v>
      </c>
      <c r="K357" t="s">
        <v>22</v>
      </c>
      <c r="L357" t="s">
        <v>628</v>
      </c>
      <c r="M357" t="s">
        <v>100</v>
      </c>
      <c r="N357" t="s">
        <v>25</v>
      </c>
      <c r="O357" t="s">
        <v>716</v>
      </c>
    </row>
    <row r="358" spans="1:15" x14ac:dyDescent="0.25">
      <c r="A358" t="s">
        <v>1038</v>
      </c>
      <c r="B358" t="s">
        <v>100</v>
      </c>
      <c r="C358" t="s">
        <v>621</v>
      </c>
      <c r="D358" t="s">
        <v>618</v>
      </c>
      <c r="E358" t="s">
        <v>622</v>
      </c>
      <c r="F358" s="213" t="s">
        <v>56</v>
      </c>
      <c r="G358" t="s">
        <v>66</v>
      </c>
      <c r="H358" t="s">
        <v>84</v>
      </c>
      <c r="I358" t="s">
        <v>623</v>
      </c>
      <c r="J358" t="s">
        <v>56</v>
      </c>
      <c r="K358" t="s">
        <v>20</v>
      </c>
      <c r="L358" t="s">
        <v>714</v>
      </c>
      <c r="M358" t="s">
        <v>100</v>
      </c>
      <c r="N358" t="s">
        <v>24</v>
      </c>
      <c r="O358" t="s">
        <v>755</v>
      </c>
    </row>
    <row r="359" spans="1:15" x14ac:dyDescent="0.25">
      <c r="A359" t="s">
        <v>1039</v>
      </c>
      <c r="B359" t="s">
        <v>100</v>
      </c>
      <c r="C359" t="s">
        <v>621</v>
      </c>
      <c r="D359" t="s">
        <v>618</v>
      </c>
      <c r="E359" t="s">
        <v>622</v>
      </c>
      <c r="F359" s="213" t="s">
        <v>56</v>
      </c>
      <c r="G359" t="s">
        <v>66</v>
      </c>
      <c r="H359" t="s">
        <v>84</v>
      </c>
      <c r="I359" t="s">
        <v>623</v>
      </c>
      <c r="J359" t="s">
        <v>56</v>
      </c>
      <c r="K359" t="s">
        <v>17</v>
      </c>
      <c r="L359" t="s">
        <v>665</v>
      </c>
      <c r="M359" t="s">
        <v>100</v>
      </c>
      <c r="N359" t="s">
        <v>75</v>
      </c>
      <c r="O359" t="s">
        <v>900</v>
      </c>
    </row>
    <row r="360" spans="1:15" x14ac:dyDescent="0.25">
      <c r="A360" t="s">
        <v>1040</v>
      </c>
      <c r="B360" t="s">
        <v>100</v>
      </c>
      <c r="C360" t="s">
        <v>621</v>
      </c>
      <c r="D360" t="s">
        <v>618</v>
      </c>
      <c r="E360" t="s">
        <v>622</v>
      </c>
      <c r="F360" s="213" t="s">
        <v>56</v>
      </c>
      <c r="G360" t="s">
        <v>66</v>
      </c>
      <c r="H360" t="s">
        <v>84</v>
      </c>
      <c r="I360" t="s">
        <v>623</v>
      </c>
      <c r="J360" t="s">
        <v>56</v>
      </c>
      <c r="K360" t="s">
        <v>14</v>
      </c>
      <c r="L360" t="s">
        <v>623</v>
      </c>
      <c r="M360" t="s">
        <v>100</v>
      </c>
      <c r="N360" t="s">
        <v>33</v>
      </c>
      <c r="O360" t="s">
        <v>749</v>
      </c>
    </row>
    <row r="361" spans="1:15" x14ac:dyDescent="0.25">
      <c r="A361" t="s">
        <v>1041</v>
      </c>
      <c r="B361" t="s">
        <v>100</v>
      </c>
      <c r="C361" t="s">
        <v>621</v>
      </c>
      <c r="D361" t="s">
        <v>618</v>
      </c>
      <c r="E361" t="s">
        <v>622</v>
      </c>
      <c r="F361" s="213" t="s">
        <v>56</v>
      </c>
      <c r="G361" t="s">
        <v>66</v>
      </c>
      <c r="H361" t="s">
        <v>84</v>
      </c>
      <c r="I361" t="s">
        <v>623</v>
      </c>
      <c r="J361" t="s">
        <v>56</v>
      </c>
      <c r="K361" t="s">
        <v>10</v>
      </c>
      <c r="L361" t="s">
        <v>642</v>
      </c>
      <c r="M361" t="s">
        <v>100</v>
      </c>
      <c r="N361" t="s">
        <v>72</v>
      </c>
      <c r="O361" t="s">
        <v>35</v>
      </c>
    </row>
    <row r="362" spans="1:15" x14ac:dyDescent="0.25">
      <c r="A362" t="s">
        <v>1042</v>
      </c>
      <c r="B362" t="s">
        <v>100</v>
      </c>
      <c r="C362" t="s">
        <v>621</v>
      </c>
      <c r="D362" t="s">
        <v>618</v>
      </c>
      <c r="E362" t="s">
        <v>622</v>
      </c>
      <c r="F362" s="213" t="s">
        <v>56</v>
      </c>
      <c r="G362" t="s">
        <v>66</v>
      </c>
      <c r="H362" t="s">
        <v>84</v>
      </c>
      <c r="I362" t="s">
        <v>623</v>
      </c>
      <c r="J362" t="s">
        <v>56</v>
      </c>
      <c r="K362" t="s">
        <v>8</v>
      </c>
      <c r="L362" t="s">
        <v>635</v>
      </c>
      <c r="M362" t="s">
        <v>100</v>
      </c>
      <c r="N362" t="s">
        <v>8</v>
      </c>
      <c r="O362" t="s">
        <v>964</v>
      </c>
    </row>
    <row r="363" spans="1:15" x14ac:dyDescent="0.25">
      <c r="A363" t="s">
        <v>1043</v>
      </c>
      <c r="B363" t="s">
        <v>100</v>
      </c>
      <c r="C363" t="s">
        <v>621</v>
      </c>
      <c r="D363" t="s">
        <v>618</v>
      </c>
      <c r="E363" t="s">
        <v>622</v>
      </c>
      <c r="F363" s="213" t="s">
        <v>56</v>
      </c>
      <c r="G363" t="s">
        <v>66</v>
      </c>
      <c r="H363" t="s">
        <v>84</v>
      </c>
      <c r="I363" t="s">
        <v>623</v>
      </c>
      <c r="J363" t="s">
        <v>56</v>
      </c>
      <c r="K363" t="s">
        <v>6</v>
      </c>
      <c r="L363" t="s">
        <v>637</v>
      </c>
      <c r="M363" t="s">
        <v>100</v>
      </c>
      <c r="N363" t="s">
        <v>100</v>
      </c>
      <c r="O363" t="s">
        <v>1044</v>
      </c>
    </row>
    <row r="364" spans="1:15" x14ac:dyDescent="0.25">
      <c r="A364" t="s">
        <v>1045</v>
      </c>
      <c r="B364" t="s">
        <v>100</v>
      </c>
      <c r="C364" t="s">
        <v>621</v>
      </c>
      <c r="D364" t="s">
        <v>618</v>
      </c>
      <c r="E364" t="s">
        <v>622</v>
      </c>
      <c r="F364" s="213" t="s">
        <v>56</v>
      </c>
      <c r="G364" t="s">
        <v>66</v>
      </c>
      <c r="H364" t="s">
        <v>84</v>
      </c>
      <c r="I364" t="s">
        <v>623</v>
      </c>
      <c r="J364" t="s">
        <v>56</v>
      </c>
      <c r="K364" t="s">
        <v>4</v>
      </c>
      <c r="L364" t="s">
        <v>639</v>
      </c>
      <c r="M364" t="s">
        <v>100</v>
      </c>
      <c r="N364" t="s">
        <v>69</v>
      </c>
      <c r="O364" t="s">
        <v>101</v>
      </c>
    </row>
    <row r="365" spans="1:15" x14ac:dyDescent="0.25">
      <c r="A365" t="s">
        <v>1046</v>
      </c>
      <c r="B365" t="s">
        <v>100</v>
      </c>
      <c r="C365" t="s">
        <v>621</v>
      </c>
      <c r="D365" t="s">
        <v>618</v>
      </c>
      <c r="E365" t="s">
        <v>622</v>
      </c>
      <c r="F365" s="213" t="s">
        <v>56</v>
      </c>
      <c r="G365" t="s">
        <v>66</v>
      </c>
      <c r="H365" t="s">
        <v>84</v>
      </c>
      <c r="I365" t="s">
        <v>623</v>
      </c>
      <c r="J365" t="s">
        <v>56</v>
      </c>
      <c r="K365" t="s">
        <v>2</v>
      </c>
      <c r="L365" t="s">
        <v>662</v>
      </c>
      <c r="M365" t="s">
        <v>100</v>
      </c>
      <c r="N365" t="s">
        <v>69</v>
      </c>
      <c r="O365" t="s">
        <v>418</v>
      </c>
    </row>
    <row r="366" spans="1:15" x14ac:dyDescent="0.25">
      <c r="A366" t="s">
        <v>1047</v>
      </c>
      <c r="B366" t="s">
        <v>100</v>
      </c>
      <c r="C366" t="s">
        <v>621</v>
      </c>
      <c r="D366" t="s">
        <v>618</v>
      </c>
      <c r="E366" t="s">
        <v>622</v>
      </c>
      <c r="F366" s="213" t="s">
        <v>56</v>
      </c>
      <c r="G366" t="s">
        <v>66</v>
      </c>
      <c r="H366" t="s">
        <v>84</v>
      </c>
      <c r="I366" t="s">
        <v>623</v>
      </c>
      <c r="J366" t="s">
        <v>56</v>
      </c>
      <c r="K366" t="s">
        <v>0</v>
      </c>
      <c r="L366" t="s">
        <v>749</v>
      </c>
      <c r="M366" t="s">
        <v>100</v>
      </c>
      <c r="N366" t="s">
        <v>36</v>
      </c>
      <c r="O366" t="s">
        <v>662</v>
      </c>
    </row>
    <row r="367" spans="1:15" x14ac:dyDescent="0.25">
      <c r="A367" t="s">
        <v>1048</v>
      </c>
      <c r="B367" t="s">
        <v>100</v>
      </c>
      <c r="C367" t="s">
        <v>621</v>
      </c>
      <c r="D367" t="s">
        <v>618</v>
      </c>
      <c r="E367" t="s">
        <v>622</v>
      </c>
      <c r="F367" s="213" t="s">
        <v>56</v>
      </c>
      <c r="G367" t="s">
        <v>66</v>
      </c>
      <c r="H367" t="s">
        <v>84</v>
      </c>
      <c r="I367" t="s">
        <v>623</v>
      </c>
      <c r="J367" t="s">
        <v>56</v>
      </c>
      <c r="K367" t="s">
        <v>26</v>
      </c>
      <c r="L367" t="s">
        <v>654</v>
      </c>
      <c r="M367" t="s">
        <v>100</v>
      </c>
      <c r="N367" t="s">
        <v>30</v>
      </c>
      <c r="O367" t="s">
        <v>741</v>
      </c>
    </row>
    <row r="368" spans="1:15" x14ac:dyDescent="0.25">
      <c r="A368" t="s">
        <v>1049</v>
      </c>
      <c r="B368" t="s">
        <v>100</v>
      </c>
      <c r="C368" t="s">
        <v>621</v>
      </c>
      <c r="D368" t="s">
        <v>618</v>
      </c>
      <c r="E368" t="s">
        <v>622</v>
      </c>
      <c r="F368" s="213" t="s">
        <v>56</v>
      </c>
      <c r="G368" t="s">
        <v>66</v>
      </c>
      <c r="H368" t="s">
        <v>84</v>
      </c>
      <c r="I368" t="s">
        <v>623</v>
      </c>
      <c r="J368" t="s">
        <v>56</v>
      </c>
      <c r="K368" t="s">
        <v>21</v>
      </c>
      <c r="L368" t="s">
        <v>628</v>
      </c>
      <c r="M368" t="s">
        <v>100</v>
      </c>
      <c r="N368" t="s">
        <v>21</v>
      </c>
      <c r="O368" t="s">
        <v>638</v>
      </c>
    </row>
    <row r="369" spans="1:15" x14ac:dyDescent="0.25">
      <c r="A369" t="s">
        <v>1050</v>
      </c>
      <c r="B369" t="s">
        <v>100</v>
      </c>
      <c r="C369" t="s">
        <v>621</v>
      </c>
      <c r="D369" t="s">
        <v>618</v>
      </c>
      <c r="E369" t="s">
        <v>622</v>
      </c>
      <c r="F369" s="213" t="s">
        <v>56</v>
      </c>
      <c r="G369" t="s">
        <v>66</v>
      </c>
      <c r="H369" t="s">
        <v>84</v>
      </c>
      <c r="I369" t="s">
        <v>623</v>
      </c>
      <c r="J369" t="s">
        <v>56</v>
      </c>
      <c r="K369" t="s">
        <v>18</v>
      </c>
      <c r="L369" t="s">
        <v>630</v>
      </c>
      <c r="M369" t="s">
        <v>100</v>
      </c>
      <c r="N369" t="s">
        <v>69</v>
      </c>
      <c r="O369" t="s">
        <v>654</v>
      </c>
    </row>
    <row r="370" spans="1:15" x14ac:dyDescent="0.25">
      <c r="A370" t="s">
        <v>1051</v>
      </c>
      <c r="B370" t="s">
        <v>100</v>
      </c>
      <c r="C370" t="s">
        <v>621</v>
      </c>
      <c r="D370" t="s">
        <v>618</v>
      </c>
      <c r="E370" t="s">
        <v>622</v>
      </c>
      <c r="F370" s="213" t="s">
        <v>56</v>
      </c>
      <c r="G370" t="s">
        <v>66</v>
      </c>
      <c r="H370" t="s">
        <v>84</v>
      </c>
      <c r="I370" t="s">
        <v>623</v>
      </c>
      <c r="J370" t="s">
        <v>56</v>
      </c>
      <c r="K370" t="s">
        <v>14</v>
      </c>
      <c r="L370" t="s">
        <v>625</v>
      </c>
      <c r="M370" t="s">
        <v>100</v>
      </c>
      <c r="N370" t="s">
        <v>78</v>
      </c>
      <c r="O370" t="s">
        <v>641</v>
      </c>
    </row>
    <row r="371" spans="1:15" x14ac:dyDescent="0.25">
      <c r="A371" t="s">
        <v>1052</v>
      </c>
      <c r="B371" t="s">
        <v>100</v>
      </c>
      <c r="C371" t="s">
        <v>621</v>
      </c>
      <c r="D371" t="s">
        <v>618</v>
      </c>
      <c r="E371" t="s">
        <v>622</v>
      </c>
      <c r="F371" s="213" t="s">
        <v>56</v>
      </c>
      <c r="G371" t="s">
        <v>66</v>
      </c>
      <c r="H371" t="s">
        <v>84</v>
      </c>
      <c r="I371" t="s">
        <v>623</v>
      </c>
      <c r="J371" t="s">
        <v>56</v>
      </c>
      <c r="K371" t="s">
        <v>11</v>
      </c>
      <c r="L371" t="s">
        <v>632</v>
      </c>
      <c r="M371" t="s">
        <v>100</v>
      </c>
      <c r="N371" t="s">
        <v>32</v>
      </c>
      <c r="O371" t="s">
        <v>735</v>
      </c>
    </row>
    <row r="372" spans="1:15" x14ac:dyDescent="0.25">
      <c r="A372" t="s">
        <v>1053</v>
      </c>
      <c r="B372" t="s">
        <v>100</v>
      </c>
      <c r="C372" t="s">
        <v>621</v>
      </c>
      <c r="D372" t="s">
        <v>618</v>
      </c>
      <c r="E372" t="s">
        <v>622</v>
      </c>
      <c r="F372" s="213" t="s">
        <v>56</v>
      </c>
      <c r="G372" t="s">
        <v>66</v>
      </c>
      <c r="H372" t="s">
        <v>84</v>
      </c>
      <c r="I372" t="s">
        <v>623</v>
      </c>
      <c r="J372" t="s">
        <v>56</v>
      </c>
      <c r="K372" t="s">
        <v>8</v>
      </c>
      <c r="L372" t="s">
        <v>888</v>
      </c>
      <c r="M372" t="s">
        <v>100</v>
      </c>
      <c r="N372" t="s">
        <v>5</v>
      </c>
      <c r="O372" t="s">
        <v>967</v>
      </c>
    </row>
    <row r="373" spans="1:15" x14ac:dyDescent="0.25">
      <c r="A373" t="s">
        <v>1054</v>
      </c>
      <c r="B373" t="s">
        <v>100</v>
      </c>
      <c r="C373" t="s">
        <v>621</v>
      </c>
      <c r="D373" t="s">
        <v>618</v>
      </c>
      <c r="E373" t="s">
        <v>622</v>
      </c>
      <c r="F373" s="213" t="s">
        <v>56</v>
      </c>
      <c r="G373" t="s">
        <v>66</v>
      </c>
      <c r="H373" t="s">
        <v>84</v>
      </c>
      <c r="I373" t="s">
        <v>623</v>
      </c>
      <c r="J373" t="s">
        <v>56</v>
      </c>
      <c r="K373" t="s">
        <v>6</v>
      </c>
      <c r="L373" t="s">
        <v>685</v>
      </c>
      <c r="M373" t="s">
        <v>100</v>
      </c>
      <c r="N373" t="s">
        <v>4</v>
      </c>
      <c r="O373" t="s">
        <v>1055</v>
      </c>
    </row>
    <row r="374" spans="1:15" x14ac:dyDescent="0.25">
      <c r="A374" t="s">
        <v>1056</v>
      </c>
      <c r="B374" t="s">
        <v>100</v>
      </c>
      <c r="C374" t="s">
        <v>621</v>
      </c>
      <c r="D374" t="s">
        <v>618</v>
      </c>
      <c r="E374" t="s">
        <v>622</v>
      </c>
      <c r="F374" s="213" t="s">
        <v>56</v>
      </c>
      <c r="G374" t="s">
        <v>66</v>
      </c>
      <c r="H374" t="s">
        <v>84</v>
      </c>
      <c r="I374" t="s">
        <v>623</v>
      </c>
      <c r="J374" t="s">
        <v>56</v>
      </c>
      <c r="K374" t="s">
        <v>4</v>
      </c>
      <c r="L374" t="s">
        <v>645</v>
      </c>
      <c r="M374" t="s">
        <v>100</v>
      </c>
      <c r="N374" t="s">
        <v>61</v>
      </c>
      <c r="O374" t="s">
        <v>665</v>
      </c>
    </row>
    <row r="375" spans="1:15" x14ac:dyDescent="0.25">
      <c r="A375" t="s">
        <v>1057</v>
      </c>
      <c r="B375" t="s">
        <v>100</v>
      </c>
      <c r="C375" t="s">
        <v>621</v>
      </c>
      <c r="D375" t="s">
        <v>618</v>
      </c>
      <c r="E375" t="s">
        <v>622</v>
      </c>
      <c r="F375" s="213" t="s">
        <v>56</v>
      </c>
      <c r="G375" t="s">
        <v>66</v>
      </c>
      <c r="H375" t="s">
        <v>84</v>
      </c>
      <c r="I375" t="s">
        <v>623</v>
      </c>
      <c r="J375" t="s">
        <v>56</v>
      </c>
      <c r="K375" t="s">
        <v>2</v>
      </c>
      <c r="L375" t="s">
        <v>674</v>
      </c>
      <c r="M375" t="s">
        <v>100</v>
      </c>
      <c r="N375" t="s">
        <v>16</v>
      </c>
      <c r="O375" t="s">
        <v>677</v>
      </c>
    </row>
    <row r="376" spans="1:15" x14ac:dyDescent="0.25">
      <c r="A376" t="s">
        <v>1058</v>
      </c>
      <c r="B376" t="s">
        <v>100</v>
      </c>
      <c r="C376" t="s">
        <v>621</v>
      </c>
      <c r="D376" t="s">
        <v>618</v>
      </c>
      <c r="E376" t="s">
        <v>622</v>
      </c>
      <c r="F376" s="213" t="s">
        <v>56</v>
      </c>
      <c r="G376" t="s">
        <v>66</v>
      </c>
      <c r="H376" t="s">
        <v>84</v>
      </c>
      <c r="I376" t="s">
        <v>623</v>
      </c>
      <c r="J376" t="s">
        <v>56</v>
      </c>
      <c r="K376" t="s">
        <v>0</v>
      </c>
      <c r="L376" t="s">
        <v>693</v>
      </c>
      <c r="M376" t="s">
        <v>100</v>
      </c>
      <c r="N376" t="s">
        <v>12</v>
      </c>
      <c r="O376" t="s">
        <v>640</v>
      </c>
    </row>
    <row r="377" spans="1:15" x14ac:dyDescent="0.25">
      <c r="A377" t="s">
        <v>1059</v>
      </c>
      <c r="B377" t="s">
        <v>100</v>
      </c>
      <c r="C377" t="s">
        <v>621</v>
      </c>
      <c r="D377" t="s">
        <v>618</v>
      </c>
      <c r="E377" t="s">
        <v>622</v>
      </c>
      <c r="F377" s="213" t="s">
        <v>56</v>
      </c>
      <c r="G377" t="s">
        <v>66</v>
      </c>
      <c r="H377" t="s">
        <v>84</v>
      </c>
      <c r="I377" t="s">
        <v>623</v>
      </c>
      <c r="J377" t="s">
        <v>56</v>
      </c>
      <c r="K377" t="s">
        <v>24</v>
      </c>
      <c r="L377" t="s">
        <v>624</v>
      </c>
      <c r="M377" t="s">
        <v>100</v>
      </c>
      <c r="N377" t="s">
        <v>60</v>
      </c>
      <c r="O377" t="s">
        <v>623</v>
      </c>
    </row>
    <row r="378" spans="1:15" x14ac:dyDescent="0.25">
      <c r="A378" t="s">
        <v>1060</v>
      </c>
      <c r="B378" t="s">
        <v>100</v>
      </c>
      <c r="C378" t="s">
        <v>621</v>
      </c>
      <c r="D378" t="s">
        <v>618</v>
      </c>
      <c r="E378" t="s">
        <v>622</v>
      </c>
      <c r="F378" s="213" t="s">
        <v>56</v>
      </c>
      <c r="G378" t="s">
        <v>66</v>
      </c>
      <c r="H378" t="s">
        <v>84</v>
      </c>
      <c r="I378" t="s">
        <v>623</v>
      </c>
      <c r="J378" t="s">
        <v>56</v>
      </c>
      <c r="K378" t="s">
        <v>20</v>
      </c>
      <c r="L378" t="s">
        <v>628</v>
      </c>
      <c r="M378" t="s">
        <v>100</v>
      </c>
      <c r="N378" t="s">
        <v>31</v>
      </c>
      <c r="O378" t="s">
        <v>741</v>
      </c>
    </row>
    <row r="379" spans="1:15" x14ac:dyDescent="0.25">
      <c r="A379" t="s">
        <v>1061</v>
      </c>
      <c r="B379" t="s">
        <v>100</v>
      </c>
      <c r="C379" t="s">
        <v>621</v>
      </c>
      <c r="D379" t="s">
        <v>618</v>
      </c>
      <c r="E379" t="s">
        <v>622</v>
      </c>
      <c r="F379" s="213" t="s">
        <v>56</v>
      </c>
      <c r="G379" t="s">
        <v>66</v>
      </c>
      <c r="H379" t="s">
        <v>84</v>
      </c>
      <c r="I379" t="s">
        <v>623</v>
      </c>
      <c r="J379" t="s">
        <v>56</v>
      </c>
      <c r="K379" t="s">
        <v>17</v>
      </c>
      <c r="L379" t="s">
        <v>630</v>
      </c>
      <c r="M379" t="s">
        <v>100</v>
      </c>
      <c r="N379" t="s">
        <v>24</v>
      </c>
      <c r="O379" t="s">
        <v>781</v>
      </c>
    </row>
    <row r="380" spans="1:15" x14ac:dyDescent="0.25">
      <c r="A380" t="s">
        <v>1062</v>
      </c>
      <c r="B380" t="s">
        <v>100</v>
      </c>
      <c r="C380" t="s">
        <v>621</v>
      </c>
      <c r="D380" t="s">
        <v>618</v>
      </c>
      <c r="E380" t="s">
        <v>622</v>
      </c>
      <c r="F380" s="213" t="s">
        <v>56</v>
      </c>
      <c r="G380" t="s">
        <v>66</v>
      </c>
      <c r="H380" t="s">
        <v>84</v>
      </c>
      <c r="I380" t="s">
        <v>623</v>
      </c>
      <c r="J380" t="s">
        <v>56</v>
      </c>
      <c r="K380" t="s">
        <v>13</v>
      </c>
      <c r="L380" t="s">
        <v>625</v>
      </c>
      <c r="M380" t="s">
        <v>100</v>
      </c>
      <c r="N380" t="s">
        <v>78</v>
      </c>
      <c r="O380" t="s">
        <v>44</v>
      </c>
    </row>
    <row r="381" spans="1:15" x14ac:dyDescent="0.25">
      <c r="A381" t="s">
        <v>1063</v>
      </c>
      <c r="B381" t="s">
        <v>100</v>
      </c>
      <c r="C381" t="s">
        <v>621</v>
      </c>
      <c r="D381" t="s">
        <v>618</v>
      </c>
      <c r="E381" t="s">
        <v>622</v>
      </c>
      <c r="F381" s="213" t="s">
        <v>56</v>
      </c>
      <c r="G381" t="s">
        <v>66</v>
      </c>
      <c r="H381" t="s">
        <v>84</v>
      </c>
      <c r="I381" t="s">
        <v>623</v>
      </c>
      <c r="J381" t="s">
        <v>56</v>
      </c>
      <c r="K381" t="s">
        <v>11</v>
      </c>
      <c r="L381" t="s">
        <v>623</v>
      </c>
      <c r="M381" t="s">
        <v>100</v>
      </c>
      <c r="N381" t="s">
        <v>41</v>
      </c>
      <c r="O381" t="s">
        <v>814</v>
      </c>
    </row>
    <row r="382" spans="1:15" x14ac:dyDescent="0.25">
      <c r="A382" t="s">
        <v>1064</v>
      </c>
      <c r="B382" t="s">
        <v>100</v>
      </c>
      <c r="C382" t="s">
        <v>621</v>
      </c>
      <c r="D382" t="s">
        <v>618</v>
      </c>
      <c r="E382" t="s">
        <v>622</v>
      </c>
      <c r="F382" s="213" t="s">
        <v>56</v>
      </c>
      <c r="G382" t="s">
        <v>66</v>
      </c>
      <c r="H382" t="s">
        <v>84</v>
      </c>
      <c r="I382" t="s">
        <v>623</v>
      </c>
      <c r="J382" t="s">
        <v>56</v>
      </c>
      <c r="K382" t="s">
        <v>9</v>
      </c>
      <c r="L382" t="s">
        <v>642</v>
      </c>
      <c r="M382" t="s">
        <v>100</v>
      </c>
      <c r="N382" t="s">
        <v>76</v>
      </c>
      <c r="O382" t="s">
        <v>698</v>
      </c>
    </row>
    <row r="383" spans="1:15" x14ac:dyDescent="0.25">
      <c r="A383" t="s">
        <v>1065</v>
      </c>
      <c r="B383" t="s">
        <v>100</v>
      </c>
      <c r="C383" t="s">
        <v>621</v>
      </c>
      <c r="D383" t="s">
        <v>618</v>
      </c>
      <c r="E383" t="s">
        <v>622</v>
      </c>
      <c r="F383" s="213" t="s">
        <v>56</v>
      </c>
      <c r="G383" t="s">
        <v>66</v>
      </c>
      <c r="H383" t="s">
        <v>84</v>
      </c>
      <c r="I383" t="s">
        <v>623</v>
      </c>
      <c r="J383" t="s">
        <v>56</v>
      </c>
      <c r="K383" t="s">
        <v>7</v>
      </c>
      <c r="L383" t="s">
        <v>888</v>
      </c>
      <c r="M383" t="s">
        <v>100</v>
      </c>
      <c r="N383" t="s">
        <v>45</v>
      </c>
      <c r="O383" t="s">
        <v>645</v>
      </c>
    </row>
    <row r="384" spans="1:15" x14ac:dyDescent="0.25">
      <c r="A384" t="s">
        <v>1066</v>
      </c>
      <c r="B384" t="s">
        <v>100</v>
      </c>
      <c r="C384" t="s">
        <v>621</v>
      </c>
      <c r="D384" t="s">
        <v>618</v>
      </c>
      <c r="E384" t="s">
        <v>622</v>
      </c>
      <c r="F384" s="213" t="s">
        <v>56</v>
      </c>
      <c r="G384" t="s">
        <v>66</v>
      </c>
      <c r="H384" t="s">
        <v>84</v>
      </c>
      <c r="I384" t="s">
        <v>623</v>
      </c>
      <c r="J384" t="s">
        <v>56</v>
      </c>
      <c r="K384" t="s">
        <v>5</v>
      </c>
      <c r="L384" t="s">
        <v>637</v>
      </c>
      <c r="M384" t="s">
        <v>100</v>
      </c>
      <c r="N384" t="s">
        <v>53</v>
      </c>
      <c r="O384" t="s">
        <v>888</v>
      </c>
    </row>
    <row r="385" spans="1:15" x14ac:dyDescent="0.25">
      <c r="A385" t="s">
        <v>1067</v>
      </c>
      <c r="B385" t="s">
        <v>100</v>
      </c>
      <c r="C385" t="s">
        <v>621</v>
      </c>
      <c r="D385" t="s">
        <v>618</v>
      </c>
      <c r="E385" t="s">
        <v>622</v>
      </c>
      <c r="F385" s="213" t="s">
        <v>56</v>
      </c>
      <c r="G385" t="s">
        <v>66</v>
      </c>
      <c r="H385" t="s">
        <v>84</v>
      </c>
      <c r="I385" t="s">
        <v>623</v>
      </c>
      <c r="J385" t="s">
        <v>56</v>
      </c>
      <c r="K385" t="s">
        <v>3</v>
      </c>
      <c r="L385" t="s">
        <v>639</v>
      </c>
      <c r="M385" t="s">
        <v>100</v>
      </c>
      <c r="N385" t="s">
        <v>34</v>
      </c>
      <c r="O385" t="s">
        <v>735</v>
      </c>
    </row>
    <row r="386" spans="1:15" x14ac:dyDescent="0.25">
      <c r="A386" t="s">
        <v>1068</v>
      </c>
      <c r="B386" t="s">
        <v>100</v>
      </c>
      <c r="C386" t="s">
        <v>621</v>
      </c>
      <c r="D386" t="s">
        <v>618</v>
      </c>
      <c r="E386" t="s">
        <v>622</v>
      </c>
      <c r="F386" s="213" t="s">
        <v>56</v>
      </c>
      <c r="G386" t="s">
        <v>66</v>
      </c>
      <c r="H386" t="s">
        <v>84</v>
      </c>
      <c r="I386" t="s">
        <v>623</v>
      </c>
      <c r="J386" t="s">
        <v>56</v>
      </c>
      <c r="K386" t="s">
        <v>1</v>
      </c>
      <c r="L386" t="s">
        <v>662</v>
      </c>
      <c r="M386" t="s">
        <v>100</v>
      </c>
      <c r="N386" t="s">
        <v>18</v>
      </c>
      <c r="O386" t="s">
        <v>712</v>
      </c>
    </row>
    <row r="387" spans="1:15" x14ac:dyDescent="0.25">
      <c r="A387" t="s">
        <v>1069</v>
      </c>
      <c r="B387" t="s">
        <v>100</v>
      </c>
      <c r="C387" t="s">
        <v>621</v>
      </c>
      <c r="D387" t="s">
        <v>618</v>
      </c>
      <c r="E387" t="s">
        <v>622</v>
      </c>
      <c r="F387" s="213" t="s">
        <v>56</v>
      </c>
      <c r="G387" t="s">
        <v>66</v>
      </c>
      <c r="H387" t="s">
        <v>84</v>
      </c>
      <c r="I387" t="s">
        <v>623</v>
      </c>
      <c r="J387" t="s">
        <v>56</v>
      </c>
      <c r="K387" t="s">
        <v>100</v>
      </c>
      <c r="L387" t="s">
        <v>749</v>
      </c>
      <c r="M387" t="s">
        <v>100</v>
      </c>
      <c r="N387" t="s">
        <v>49</v>
      </c>
      <c r="O387" t="s">
        <v>685</v>
      </c>
    </row>
    <row r="388" spans="1:15" x14ac:dyDescent="0.25">
      <c r="A388" t="s">
        <v>1070</v>
      </c>
      <c r="B388" t="s">
        <v>100</v>
      </c>
      <c r="C388" t="s">
        <v>621</v>
      </c>
      <c r="D388" t="s">
        <v>618</v>
      </c>
      <c r="E388" t="s">
        <v>622</v>
      </c>
      <c r="F388" s="213" t="s">
        <v>56</v>
      </c>
      <c r="G388" t="s">
        <v>66</v>
      </c>
      <c r="H388" t="s">
        <v>84</v>
      </c>
      <c r="I388" t="s">
        <v>623</v>
      </c>
      <c r="J388" t="s">
        <v>56</v>
      </c>
      <c r="K388" t="s">
        <v>23</v>
      </c>
      <c r="L388" t="s">
        <v>624</v>
      </c>
      <c r="M388" t="s">
        <v>100</v>
      </c>
      <c r="N388" t="s">
        <v>27</v>
      </c>
      <c r="O388" t="s">
        <v>755</v>
      </c>
    </row>
    <row r="389" spans="1:15" x14ac:dyDescent="0.25">
      <c r="A389" t="s">
        <v>1071</v>
      </c>
      <c r="B389" t="s">
        <v>100</v>
      </c>
      <c r="C389" t="s">
        <v>621</v>
      </c>
      <c r="D389" t="s">
        <v>618</v>
      </c>
      <c r="E389" t="s">
        <v>622</v>
      </c>
      <c r="F389" s="213" t="s">
        <v>56</v>
      </c>
      <c r="G389" t="s">
        <v>66</v>
      </c>
      <c r="H389" t="s">
        <v>84</v>
      </c>
      <c r="I389" t="s">
        <v>623</v>
      </c>
      <c r="J389" t="s">
        <v>56</v>
      </c>
      <c r="K389" t="s">
        <v>19</v>
      </c>
      <c r="L389" t="s">
        <v>628</v>
      </c>
      <c r="M389" t="s">
        <v>100</v>
      </c>
      <c r="N389" t="s">
        <v>62</v>
      </c>
      <c r="O389" t="s">
        <v>625</v>
      </c>
    </row>
    <row r="390" spans="1:15" x14ac:dyDescent="0.25">
      <c r="A390" t="s">
        <v>1072</v>
      </c>
      <c r="B390" t="s">
        <v>100</v>
      </c>
      <c r="C390" t="s">
        <v>621</v>
      </c>
      <c r="D390" t="s">
        <v>618</v>
      </c>
      <c r="E390" t="s">
        <v>622</v>
      </c>
      <c r="F390" s="213" t="s">
        <v>56</v>
      </c>
      <c r="G390" t="s">
        <v>66</v>
      </c>
      <c r="H390" t="s">
        <v>84</v>
      </c>
      <c r="I390" t="s">
        <v>623</v>
      </c>
      <c r="J390" t="s">
        <v>56</v>
      </c>
      <c r="K390" t="s">
        <v>16</v>
      </c>
      <c r="L390" t="s">
        <v>630</v>
      </c>
      <c r="M390" t="s">
        <v>100</v>
      </c>
      <c r="N390" t="s">
        <v>53</v>
      </c>
      <c r="O390" t="s">
        <v>635</v>
      </c>
    </row>
    <row r="391" spans="1:15" x14ac:dyDescent="0.25">
      <c r="A391" t="s">
        <v>1073</v>
      </c>
      <c r="B391" t="s">
        <v>100</v>
      </c>
      <c r="C391" t="s">
        <v>621</v>
      </c>
      <c r="D391" t="s">
        <v>618</v>
      </c>
      <c r="E391" t="s">
        <v>622</v>
      </c>
      <c r="F391" s="213" t="s">
        <v>56</v>
      </c>
      <c r="G391" t="s">
        <v>66</v>
      </c>
      <c r="H391" t="s">
        <v>84</v>
      </c>
      <c r="I391" t="s">
        <v>623</v>
      </c>
      <c r="J391" t="s">
        <v>56</v>
      </c>
      <c r="K391" t="s">
        <v>12</v>
      </c>
      <c r="L391" t="s">
        <v>625</v>
      </c>
      <c r="M391" t="s">
        <v>100</v>
      </c>
      <c r="N391" t="s">
        <v>78</v>
      </c>
      <c r="O391" t="s">
        <v>41</v>
      </c>
    </row>
    <row r="392" spans="1:15" x14ac:dyDescent="0.25">
      <c r="A392" t="s">
        <v>1074</v>
      </c>
      <c r="B392" t="s">
        <v>100</v>
      </c>
      <c r="C392" t="s">
        <v>621</v>
      </c>
      <c r="D392" t="s">
        <v>618</v>
      </c>
      <c r="E392" t="s">
        <v>622</v>
      </c>
      <c r="F392" s="213" t="s">
        <v>56</v>
      </c>
      <c r="G392" t="s">
        <v>66</v>
      </c>
      <c r="H392" t="s">
        <v>84</v>
      </c>
      <c r="I392" t="s">
        <v>623</v>
      </c>
      <c r="J392" t="s">
        <v>56</v>
      </c>
      <c r="K392" t="s">
        <v>9</v>
      </c>
      <c r="L392" t="s">
        <v>632</v>
      </c>
      <c r="M392" t="s">
        <v>100</v>
      </c>
      <c r="N392" t="s">
        <v>76</v>
      </c>
      <c r="O392" t="s">
        <v>1075</v>
      </c>
    </row>
    <row r="393" spans="1:15" x14ac:dyDescent="0.25">
      <c r="A393" t="s">
        <v>1076</v>
      </c>
      <c r="B393" t="s">
        <v>100</v>
      </c>
      <c r="C393" t="s">
        <v>621</v>
      </c>
      <c r="D393" t="s">
        <v>618</v>
      </c>
      <c r="E393" t="s">
        <v>622</v>
      </c>
      <c r="F393" s="213" t="s">
        <v>56</v>
      </c>
      <c r="G393" t="s">
        <v>66</v>
      </c>
      <c r="H393" t="s">
        <v>84</v>
      </c>
      <c r="I393" t="s">
        <v>623</v>
      </c>
      <c r="J393" t="s">
        <v>56</v>
      </c>
      <c r="K393" t="s">
        <v>7</v>
      </c>
      <c r="L393" t="s">
        <v>643</v>
      </c>
      <c r="M393" t="s">
        <v>100</v>
      </c>
      <c r="N393" t="s">
        <v>75</v>
      </c>
      <c r="O393" t="s">
        <v>1077</v>
      </c>
    </row>
    <row r="394" spans="1:15" x14ac:dyDescent="0.25">
      <c r="A394" t="s">
        <v>1078</v>
      </c>
      <c r="B394" t="s">
        <v>100</v>
      </c>
      <c r="C394" t="s">
        <v>621</v>
      </c>
      <c r="D394" t="s">
        <v>618</v>
      </c>
      <c r="E394" t="s">
        <v>622</v>
      </c>
      <c r="F394" s="213" t="s">
        <v>56</v>
      </c>
      <c r="G394" t="s">
        <v>66</v>
      </c>
      <c r="H394" t="s">
        <v>84</v>
      </c>
      <c r="I394" t="s">
        <v>623</v>
      </c>
      <c r="J394" t="s">
        <v>56</v>
      </c>
      <c r="K394" t="s">
        <v>5</v>
      </c>
      <c r="L394" t="s">
        <v>685</v>
      </c>
      <c r="M394" t="s">
        <v>100</v>
      </c>
      <c r="N394" t="s">
        <v>38</v>
      </c>
      <c r="O394" t="s">
        <v>693</v>
      </c>
    </row>
    <row r="395" spans="1:15" x14ac:dyDescent="0.25">
      <c r="A395" t="s">
        <v>1079</v>
      </c>
      <c r="B395" t="s">
        <v>100</v>
      </c>
      <c r="C395" t="s">
        <v>621</v>
      </c>
      <c r="D395" t="s">
        <v>618</v>
      </c>
      <c r="E395" t="s">
        <v>622</v>
      </c>
      <c r="F395" s="213" t="s">
        <v>56</v>
      </c>
      <c r="G395" t="s">
        <v>66</v>
      </c>
      <c r="H395" t="s">
        <v>84</v>
      </c>
      <c r="I395" t="s">
        <v>623</v>
      </c>
      <c r="J395" t="s">
        <v>56</v>
      </c>
      <c r="K395" t="s">
        <v>3</v>
      </c>
      <c r="L395" t="s">
        <v>645</v>
      </c>
      <c r="M395" t="s">
        <v>100</v>
      </c>
      <c r="N395" t="s">
        <v>0</v>
      </c>
      <c r="O395" t="s">
        <v>1080</v>
      </c>
    </row>
    <row r="396" spans="1:15" x14ac:dyDescent="0.25">
      <c r="A396" t="s">
        <v>1081</v>
      </c>
      <c r="B396" t="s">
        <v>100</v>
      </c>
      <c r="C396" t="s">
        <v>621</v>
      </c>
      <c r="D396" t="s">
        <v>618</v>
      </c>
      <c r="E396" t="s">
        <v>622</v>
      </c>
      <c r="F396" s="213" t="s">
        <v>56</v>
      </c>
      <c r="G396" t="s">
        <v>66</v>
      </c>
      <c r="H396" t="s">
        <v>84</v>
      </c>
      <c r="I396" t="s">
        <v>623</v>
      </c>
      <c r="J396" t="s">
        <v>56</v>
      </c>
      <c r="K396" t="s">
        <v>1</v>
      </c>
      <c r="L396" t="s">
        <v>674</v>
      </c>
      <c r="M396" t="s">
        <v>100</v>
      </c>
      <c r="N396" t="s">
        <v>9</v>
      </c>
      <c r="O396" t="s">
        <v>1082</v>
      </c>
    </row>
    <row r="397" spans="1:15" x14ac:dyDescent="0.25">
      <c r="A397" t="s">
        <v>1083</v>
      </c>
      <c r="B397" t="s">
        <v>100</v>
      </c>
      <c r="C397" t="s">
        <v>621</v>
      </c>
      <c r="D397" t="s">
        <v>618</v>
      </c>
      <c r="E397" t="s">
        <v>622</v>
      </c>
      <c r="F397" s="213" t="s">
        <v>56</v>
      </c>
      <c r="G397" t="s">
        <v>66</v>
      </c>
      <c r="H397" t="s">
        <v>84</v>
      </c>
      <c r="I397" t="s">
        <v>623</v>
      </c>
      <c r="J397" t="s">
        <v>56</v>
      </c>
      <c r="K397" t="s">
        <v>100</v>
      </c>
      <c r="L397" t="s">
        <v>693</v>
      </c>
      <c r="M397" t="s">
        <v>100</v>
      </c>
      <c r="N397" t="s">
        <v>40</v>
      </c>
      <c r="O397" t="s">
        <v>662</v>
      </c>
    </row>
    <row r="398" spans="1:15" x14ac:dyDescent="0.25">
      <c r="A398" t="s">
        <v>1084</v>
      </c>
      <c r="B398" t="s">
        <v>100</v>
      </c>
      <c r="C398" t="s">
        <v>621</v>
      </c>
      <c r="D398" t="s">
        <v>618</v>
      </c>
      <c r="E398" t="s">
        <v>622</v>
      </c>
      <c r="F398" s="213" t="s">
        <v>56</v>
      </c>
      <c r="G398" t="s">
        <v>66</v>
      </c>
      <c r="H398" t="s">
        <v>84</v>
      </c>
      <c r="I398" t="s">
        <v>623</v>
      </c>
      <c r="J398" t="s">
        <v>56</v>
      </c>
      <c r="K398" t="s">
        <v>19</v>
      </c>
      <c r="L398" t="s">
        <v>682</v>
      </c>
      <c r="M398" t="s">
        <v>100</v>
      </c>
      <c r="N398" t="s">
        <v>47</v>
      </c>
      <c r="O398" t="s">
        <v>645</v>
      </c>
    </row>
    <row r="399" spans="1:15" x14ac:dyDescent="0.25">
      <c r="A399" t="s">
        <v>1085</v>
      </c>
      <c r="B399" t="s">
        <v>100</v>
      </c>
      <c r="C399" t="s">
        <v>621</v>
      </c>
      <c r="D399" t="s">
        <v>618</v>
      </c>
      <c r="E399" t="s">
        <v>622</v>
      </c>
      <c r="F399" s="213" t="s">
        <v>56</v>
      </c>
      <c r="G399" t="s">
        <v>66</v>
      </c>
      <c r="H399" t="s">
        <v>84</v>
      </c>
      <c r="I399" t="s">
        <v>623</v>
      </c>
      <c r="J399" t="s">
        <v>56</v>
      </c>
      <c r="K399" t="s">
        <v>22</v>
      </c>
      <c r="L399" t="s">
        <v>624</v>
      </c>
      <c r="M399" t="s">
        <v>100</v>
      </c>
      <c r="N399" t="s">
        <v>55</v>
      </c>
      <c r="O399" t="s">
        <v>888</v>
      </c>
    </row>
    <row r="400" spans="1:15" x14ac:dyDescent="0.25">
      <c r="A400" t="s">
        <v>1086</v>
      </c>
      <c r="B400" t="s">
        <v>100</v>
      </c>
      <c r="C400" t="s">
        <v>621</v>
      </c>
      <c r="D400" t="s">
        <v>618</v>
      </c>
      <c r="E400" t="s">
        <v>622</v>
      </c>
      <c r="F400" s="213" t="s">
        <v>56</v>
      </c>
      <c r="G400" t="s">
        <v>66</v>
      </c>
      <c r="H400" t="s">
        <v>84</v>
      </c>
      <c r="I400" t="s">
        <v>623</v>
      </c>
      <c r="J400" t="s">
        <v>56</v>
      </c>
      <c r="K400" t="s">
        <v>18</v>
      </c>
      <c r="L400" t="s">
        <v>628</v>
      </c>
      <c r="M400" t="s">
        <v>100</v>
      </c>
      <c r="N400" t="s">
        <v>47</v>
      </c>
      <c r="O400" t="s">
        <v>639</v>
      </c>
    </row>
    <row r="401" spans="1:15" x14ac:dyDescent="0.25">
      <c r="A401" t="s">
        <v>1087</v>
      </c>
      <c r="B401" t="s">
        <v>100</v>
      </c>
      <c r="C401" t="s">
        <v>621</v>
      </c>
      <c r="D401" t="s">
        <v>618</v>
      </c>
      <c r="E401" t="s">
        <v>622</v>
      </c>
      <c r="F401" s="213" t="s">
        <v>56</v>
      </c>
      <c r="G401" t="s">
        <v>66</v>
      </c>
      <c r="H401" t="s">
        <v>84</v>
      </c>
      <c r="I401" t="s">
        <v>623</v>
      </c>
      <c r="J401" t="s">
        <v>56</v>
      </c>
      <c r="K401" t="s">
        <v>15</v>
      </c>
      <c r="L401" t="s">
        <v>630</v>
      </c>
      <c r="M401" t="s">
        <v>100</v>
      </c>
      <c r="N401" t="s">
        <v>52</v>
      </c>
      <c r="O401" t="s">
        <v>685</v>
      </c>
    </row>
    <row r="402" spans="1:15" x14ac:dyDescent="0.25">
      <c r="A402" t="s">
        <v>1088</v>
      </c>
      <c r="B402" t="s">
        <v>100</v>
      </c>
      <c r="C402" t="s">
        <v>621</v>
      </c>
      <c r="D402" t="s">
        <v>618</v>
      </c>
      <c r="E402" t="s">
        <v>622</v>
      </c>
      <c r="F402" s="213" t="s">
        <v>56</v>
      </c>
      <c r="G402" t="s">
        <v>66</v>
      </c>
      <c r="H402" t="s">
        <v>84</v>
      </c>
      <c r="I402" t="s">
        <v>623</v>
      </c>
      <c r="J402" t="s">
        <v>56</v>
      </c>
      <c r="K402" t="s">
        <v>11</v>
      </c>
      <c r="L402" t="s">
        <v>625</v>
      </c>
      <c r="M402" t="s">
        <v>100</v>
      </c>
      <c r="N402" t="s">
        <v>79</v>
      </c>
      <c r="O402" t="s">
        <v>739</v>
      </c>
    </row>
    <row r="403" spans="1:15" x14ac:dyDescent="0.25">
      <c r="A403" t="s">
        <v>1089</v>
      </c>
      <c r="B403" t="s">
        <v>100</v>
      </c>
      <c r="C403" t="s">
        <v>621</v>
      </c>
      <c r="D403" t="s">
        <v>618</v>
      </c>
      <c r="E403" t="s">
        <v>622</v>
      </c>
      <c r="F403" s="213" t="s">
        <v>56</v>
      </c>
      <c r="G403" t="s">
        <v>66</v>
      </c>
      <c r="H403" t="s">
        <v>84</v>
      </c>
      <c r="I403" t="s">
        <v>623</v>
      </c>
      <c r="J403" t="s">
        <v>56</v>
      </c>
      <c r="K403" t="s">
        <v>8</v>
      </c>
      <c r="L403" t="s">
        <v>632</v>
      </c>
      <c r="M403" t="s">
        <v>100</v>
      </c>
      <c r="N403" t="s">
        <v>73</v>
      </c>
      <c r="O403" t="s">
        <v>100</v>
      </c>
    </row>
    <row r="404" spans="1:15" x14ac:dyDescent="0.25">
      <c r="A404" t="s">
        <v>1090</v>
      </c>
      <c r="B404" t="s">
        <v>100</v>
      </c>
      <c r="C404" t="s">
        <v>621</v>
      </c>
      <c r="D404" t="s">
        <v>618</v>
      </c>
      <c r="E404" t="s">
        <v>622</v>
      </c>
      <c r="F404" s="213" t="s">
        <v>56</v>
      </c>
      <c r="G404" t="s">
        <v>66</v>
      </c>
      <c r="H404" t="s">
        <v>84</v>
      </c>
      <c r="I404" t="s">
        <v>623</v>
      </c>
      <c r="J404" t="s">
        <v>56</v>
      </c>
      <c r="K404" t="s">
        <v>6</v>
      </c>
      <c r="L404" t="s">
        <v>888</v>
      </c>
      <c r="M404" t="s">
        <v>100</v>
      </c>
      <c r="N404" t="s">
        <v>74</v>
      </c>
      <c r="O404" t="s">
        <v>1091</v>
      </c>
    </row>
    <row r="405" spans="1:15" x14ac:dyDescent="0.25">
      <c r="A405" t="s">
        <v>1092</v>
      </c>
      <c r="B405" t="s">
        <v>100</v>
      </c>
      <c r="C405" t="s">
        <v>621</v>
      </c>
      <c r="D405" t="s">
        <v>618</v>
      </c>
      <c r="E405" t="s">
        <v>622</v>
      </c>
      <c r="F405" s="213" t="s">
        <v>56</v>
      </c>
      <c r="G405" t="s">
        <v>66</v>
      </c>
      <c r="H405" t="s">
        <v>84</v>
      </c>
      <c r="I405" t="s">
        <v>623</v>
      </c>
      <c r="J405" t="s">
        <v>56</v>
      </c>
      <c r="K405" t="s">
        <v>4</v>
      </c>
      <c r="L405" t="s">
        <v>685</v>
      </c>
      <c r="M405" t="s">
        <v>100</v>
      </c>
      <c r="N405" t="s">
        <v>9</v>
      </c>
      <c r="O405" t="s">
        <v>812</v>
      </c>
    </row>
    <row r="406" spans="1:15" x14ac:dyDescent="0.25">
      <c r="A406" t="s">
        <v>1093</v>
      </c>
      <c r="B406" t="s">
        <v>100</v>
      </c>
      <c r="C406" t="s">
        <v>621</v>
      </c>
      <c r="D406" t="s">
        <v>618</v>
      </c>
      <c r="E406" t="s">
        <v>622</v>
      </c>
      <c r="F406" s="213" t="s">
        <v>56</v>
      </c>
      <c r="G406" t="s">
        <v>66</v>
      </c>
      <c r="H406" t="s">
        <v>84</v>
      </c>
      <c r="I406" t="s">
        <v>623</v>
      </c>
      <c r="J406" t="s">
        <v>56</v>
      </c>
      <c r="K406" t="s">
        <v>2</v>
      </c>
      <c r="L406" t="s">
        <v>639</v>
      </c>
      <c r="M406" t="s">
        <v>100</v>
      </c>
      <c r="N406" t="s">
        <v>100</v>
      </c>
      <c r="O406" t="s">
        <v>1094</v>
      </c>
    </row>
    <row r="407" spans="1:15" x14ac:dyDescent="0.25">
      <c r="A407" t="s">
        <v>1095</v>
      </c>
      <c r="B407" t="s">
        <v>100</v>
      </c>
      <c r="C407" t="s">
        <v>621</v>
      </c>
      <c r="D407" t="s">
        <v>618</v>
      </c>
      <c r="E407" t="s">
        <v>622</v>
      </c>
      <c r="F407" s="213" t="s">
        <v>56</v>
      </c>
      <c r="G407" t="s">
        <v>66</v>
      </c>
      <c r="H407" t="s">
        <v>84</v>
      </c>
      <c r="I407" t="s">
        <v>623</v>
      </c>
      <c r="J407" t="s">
        <v>56</v>
      </c>
      <c r="K407" t="s">
        <v>0</v>
      </c>
      <c r="L407" t="s">
        <v>674</v>
      </c>
      <c r="M407" t="s">
        <v>100</v>
      </c>
      <c r="N407" t="s">
        <v>17</v>
      </c>
      <c r="O407" t="s">
        <v>770</v>
      </c>
    </row>
    <row r="408" spans="1:15" x14ac:dyDescent="0.25">
      <c r="A408" t="s">
        <v>1096</v>
      </c>
      <c r="B408" t="s">
        <v>100</v>
      </c>
      <c r="C408" t="s">
        <v>621</v>
      </c>
      <c r="D408" t="s">
        <v>618</v>
      </c>
      <c r="E408" t="s">
        <v>622</v>
      </c>
      <c r="F408" s="213" t="s">
        <v>56</v>
      </c>
      <c r="G408" t="s">
        <v>66</v>
      </c>
      <c r="H408" t="s">
        <v>84</v>
      </c>
      <c r="I408" t="s">
        <v>623</v>
      </c>
      <c r="J408" t="s">
        <v>56</v>
      </c>
      <c r="K408" t="s">
        <v>17</v>
      </c>
      <c r="L408" t="s">
        <v>641</v>
      </c>
      <c r="M408" t="s">
        <v>100</v>
      </c>
      <c r="N408" t="s">
        <v>39</v>
      </c>
      <c r="O408" t="s">
        <v>693</v>
      </c>
    </row>
    <row r="409" spans="1:15" x14ac:dyDescent="0.25">
      <c r="A409" t="s">
        <v>1097</v>
      </c>
      <c r="B409" t="s">
        <v>100</v>
      </c>
      <c r="C409" t="s">
        <v>621</v>
      </c>
      <c r="D409" t="s">
        <v>618</v>
      </c>
      <c r="E409" t="s">
        <v>622</v>
      </c>
      <c r="F409" s="213" t="s">
        <v>56</v>
      </c>
      <c r="G409" t="s">
        <v>66</v>
      </c>
      <c r="H409" t="s">
        <v>84</v>
      </c>
      <c r="I409" t="s">
        <v>623</v>
      </c>
      <c r="J409" t="s">
        <v>56</v>
      </c>
      <c r="K409" t="s">
        <v>19</v>
      </c>
      <c r="L409" t="s">
        <v>739</v>
      </c>
      <c r="M409" t="s">
        <v>100</v>
      </c>
      <c r="N409" t="s">
        <v>64</v>
      </c>
      <c r="O409" t="s">
        <v>665</v>
      </c>
    </row>
    <row r="410" spans="1:15" x14ac:dyDescent="0.25">
      <c r="A410" t="s">
        <v>1098</v>
      </c>
      <c r="B410" t="s">
        <v>100</v>
      </c>
      <c r="C410" t="s">
        <v>621</v>
      </c>
      <c r="D410" t="s">
        <v>618</v>
      </c>
      <c r="E410" t="s">
        <v>622</v>
      </c>
      <c r="F410" s="213" t="s">
        <v>56</v>
      </c>
      <c r="G410" t="s">
        <v>66</v>
      </c>
      <c r="H410" t="s">
        <v>84</v>
      </c>
      <c r="I410" t="s">
        <v>623</v>
      </c>
      <c r="J410" t="s">
        <v>56</v>
      </c>
      <c r="K410" t="s">
        <v>21</v>
      </c>
      <c r="L410" t="s">
        <v>624</v>
      </c>
      <c r="M410" t="s">
        <v>100</v>
      </c>
      <c r="N410" t="s">
        <v>60</v>
      </c>
      <c r="O410" t="s">
        <v>642</v>
      </c>
    </row>
    <row r="411" spans="1:15" x14ac:dyDescent="0.25">
      <c r="A411" t="s">
        <v>1099</v>
      </c>
      <c r="B411" t="s">
        <v>100</v>
      </c>
      <c r="C411" t="s">
        <v>621</v>
      </c>
      <c r="D411" t="s">
        <v>618</v>
      </c>
      <c r="E411" t="s">
        <v>622</v>
      </c>
      <c r="F411" s="213" t="s">
        <v>56</v>
      </c>
      <c r="G411" t="s">
        <v>66</v>
      </c>
      <c r="H411" t="s">
        <v>84</v>
      </c>
      <c r="I411" t="s">
        <v>623</v>
      </c>
      <c r="J411" t="s">
        <v>56</v>
      </c>
      <c r="K411" t="s">
        <v>19</v>
      </c>
      <c r="L411" t="s">
        <v>626</v>
      </c>
      <c r="M411" t="s">
        <v>100</v>
      </c>
      <c r="N411" t="s">
        <v>24</v>
      </c>
      <c r="O411" t="s">
        <v>1100</v>
      </c>
    </row>
    <row r="412" spans="1:15" x14ac:dyDescent="0.25">
      <c r="A412" t="s">
        <v>1101</v>
      </c>
      <c r="B412" t="s">
        <v>100</v>
      </c>
      <c r="C412" t="s">
        <v>621</v>
      </c>
      <c r="D412" t="s">
        <v>618</v>
      </c>
      <c r="E412" t="s">
        <v>622</v>
      </c>
      <c r="F412" s="213" t="s">
        <v>56</v>
      </c>
      <c r="G412" t="s">
        <v>66</v>
      </c>
      <c r="H412" t="s">
        <v>84</v>
      </c>
      <c r="I412" t="s">
        <v>623</v>
      </c>
      <c r="J412" t="s">
        <v>56</v>
      </c>
      <c r="K412" t="s">
        <v>15</v>
      </c>
      <c r="L412" t="s">
        <v>714</v>
      </c>
      <c r="M412" t="s">
        <v>100</v>
      </c>
      <c r="N412" t="s">
        <v>56</v>
      </c>
      <c r="O412" t="s">
        <v>888</v>
      </c>
    </row>
    <row r="413" spans="1:15" x14ac:dyDescent="0.25">
      <c r="A413" t="s">
        <v>1102</v>
      </c>
      <c r="B413" t="s">
        <v>100</v>
      </c>
      <c r="C413" t="s">
        <v>621</v>
      </c>
      <c r="D413" t="s">
        <v>618</v>
      </c>
      <c r="E413" t="s">
        <v>622</v>
      </c>
      <c r="F413" s="213" t="s">
        <v>56</v>
      </c>
      <c r="G413" t="s">
        <v>66</v>
      </c>
      <c r="H413" t="s">
        <v>84</v>
      </c>
      <c r="I413" t="s">
        <v>623</v>
      </c>
      <c r="J413" t="s">
        <v>56</v>
      </c>
      <c r="K413" t="s">
        <v>13</v>
      </c>
      <c r="L413" t="s">
        <v>630</v>
      </c>
      <c r="M413" t="s">
        <v>100</v>
      </c>
      <c r="N413" t="s">
        <v>81</v>
      </c>
      <c r="O413" t="s">
        <v>682</v>
      </c>
    </row>
    <row r="414" spans="1:15" x14ac:dyDescent="0.25">
      <c r="A414" t="s">
        <v>1103</v>
      </c>
      <c r="B414" t="s">
        <v>100</v>
      </c>
      <c r="C414" t="s">
        <v>621</v>
      </c>
      <c r="D414" t="s">
        <v>618</v>
      </c>
      <c r="E414" t="s">
        <v>622</v>
      </c>
      <c r="F414" s="213" t="s">
        <v>56</v>
      </c>
      <c r="G414" t="s">
        <v>66</v>
      </c>
      <c r="H414" t="s">
        <v>84</v>
      </c>
      <c r="I414" t="s">
        <v>623</v>
      </c>
      <c r="J414" t="s">
        <v>56</v>
      </c>
      <c r="K414" t="s">
        <v>10</v>
      </c>
      <c r="L414" t="s">
        <v>625</v>
      </c>
      <c r="M414" t="s">
        <v>100</v>
      </c>
      <c r="N414" t="s">
        <v>75</v>
      </c>
      <c r="O414" t="s">
        <v>26</v>
      </c>
    </row>
    <row r="415" spans="1:15" x14ac:dyDescent="0.25">
      <c r="A415" t="s">
        <v>1104</v>
      </c>
      <c r="B415" t="s">
        <v>100</v>
      </c>
      <c r="C415" t="s">
        <v>621</v>
      </c>
      <c r="D415" t="s">
        <v>618</v>
      </c>
      <c r="E415" t="s">
        <v>622</v>
      </c>
      <c r="F415" s="213" t="s">
        <v>56</v>
      </c>
      <c r="G415" t="s">
        <v>66</v>
      </c>
      <c r="H415" t="s">
        <v>84</v>
      </c>
      <c r="I415" t="s">
        <v>623</v>
      </c>
      <c r="J415" t="s">
        <v>56</v>
      </c>
      <c r="K415" t="s">
        <v>7</v>
      </c>
      <c r="L415" t="s">
        <v>642</v>
      </c>
      <c r="M415" t="s">
        <v>100</v>
      </c>
      <c r="N415" t="s">
        <v>76</v>
      </c>
      <c r="O415" t="s">
        <v>822</v>
      </c>
    </row>
    <row r="416" spans="1:15" x14ac:dyDescent="0.25">
      <c r="A416" t="s">
        <v>1105</v>
      </c>
      <c r="B416" t="s">
        <v>100</v>
      </c>
      <c r="C416" t="s">
        <v>621</v>
      </c>
      <c r="D416" t="s">
        <v>618</v>
      </c>
      <c r="E416" t="s">
        <v>622</v>
      </c>
      <c r="F416" s="213" t="s">
        <v>56</v>
      </c>
      <c r="G416" t="s">
        <v>66</v>
      </c>
      <c r="H416" t="s">
        <v>84</v>
      </c>
      <c r="I416" t="s">
        <v>623</v>
      </c>
      <c r="J416" t="s">
        <v>56</v>
      </c>
      <c r="K416" t="s">
        <v>5</v>
      </c>
      <c r="L416" t="s">
        <v>888</v>
      </c>
      <c r="M416" t="s">
        <v>100</v>
      </c>
      <c r="N416" t="s">
        <v>7</v>
      </c>
      <c r="O416" t="s">
        <v>1055</v>
      </c>
    </row>
    <row r="417" spans="1:15" x14ac:dyDescent="0.25">
      <c r="A417" t="s">
        <v>1106</v>
      </c>
      <c r="B417" t="s">
        <v>100</v>
      </c>
      <c r="C417" t="s">
        <v>621</v>
      </c>
      <c r="D417" t="s">
        <v>618</v>
      </c>
      <c r="E417" t="s">
        <v>622</v>
      </c>
      <c r="F417" s="213" t="s">
        <v>56</v>
      </c>
      <c r="G417" t="s">
        <v>66</v>
      </c>
      <c r="H417" t="s">
        <v>84</v>
      </c>
      <c r="I417" t="s">
        <v>623</v>
      </c>
      <c r="J417" t="s">
        <v>56</v>
      </c>
      <c r="K417" t="s">
        <v>3</v>
      </c>
      <c r="L417" t="s">
        <v>637</v>
      </c>
      <c r="M417" t="s">
        <v>100</v>
      </c>
      <c r="N417" t="s">
        <v>18</v>
      </c>
      <c r="O417" t="s">
        <v>770</v>
      </c>
    </row>
    <row r="418" spans="1:15" x14ac:dyDescent="0.25">
      <c r="A418" t="s">
        <v>1107</v>
      </c>
      <c r="B418" t="s">
        <v>100</v>
      </c>
      <c r="C418" t="s">
        <v>621</v>
      </c>
      <c r="D418" t="s">
        <v>618</v>
      </c>
      <c r="E418" t="s">
        <v>622</v>
      </c>
      <c r="F418" s="213" t="s">
        <v>56</v>
      </c>
      <c r="G418" t="s">
        <v>66</v>
      </c>
      <c r="H418" t="s">
        <v>84</v>
      </c>
      <c r="I418" t="s">
        <v>623</v>
      </c>
      <c r="J418" t="s">
        <v>56</v>
      </c>
      <c r="K418" t="s">
        <v>1</v>
      </c>
      <c r="L418" t="s">
        <v>639</v>
      </c>
      <c r="M418" t="s">
        <v>100</v>
      </c>
      <c r="N418" t="s">
        <v>2</v>
      </c>
      <c r="O418" t="s">
        <v>1108</v>
      </c>
    </row>
    <row r="419" spans="1:15" x14ac:dyDescent="0.25">
      <c r="A419" t="s">
        <v>1109</v>
      </c>
      <c r="B419" t="s">
        <v>100</v>
      </c>
      <c r="C419" t="s">
        <v>621</v>
      </c>
      <c r="D419" t="s">
        <v>618</v>
      </c>
      <c r="E419" t="s">
        <v>622</v>
      </c>
      <c r="F419" s="213" t="s">
        <v>56</v>
      </c>
      <c r="G419" t="s">
        <v>66</v>
      </c>
      <c r="H419" t="s">
        <v>84</v>
      </c>
      <c r="I419" t="s">
        <v>623</v>
      </c>
      <c r="J419" t="s">
        <v>56</v>
      </c>
      <c r="K419" t="s">
        <v>100</v>
      </c>
      <c r="L419" t="s">
        <v>662</v>
      </c>
      <c r="M419" t="s">
        <v>100</v>
      </c>
      <c r="N419" t="s">
        <v>73</v>
      </c>
      <c r="O419" t="s">
        <v>654</v>
      </c>
    </row>
    <row r="420" spans="1:15" x14ac:dyDescent="0.25">
      <c r="A420" t="s">
        <v>1110</v>
      </c>
      <c r="B420" t="s">
        <v>100</v>
      </c>
      <c r="C420" t="s">
        <v>621</v>
      </c>
      <c r="D420" t="s">
        <v>618</v>
      </c>
      <c r="E420" t="s">
        <v>622</v>
      </c>
      <c r="F420" s="213" t="s">
        <v>56</v>
      </c>
      <c r="G420" t="s">
        <v>66</v>
      </c>
      <c r="H420" t="s">
        <v>84</v>
      </c>
      <c r="I420" t="s">
        <v>623</v>
      </c>
      <c r="J420" t="s">
        <v>56</v>
      </c>
      <c r="K420" t="s">
        <v>17</v>
      </c>
      <c r="L420" t="s">
        <v>682</v>
      </c>
      <c r="M420" t="s">
        <v>100</v>
      </c>
      <c r="N420" t="s">
        <v>11</v>
      </c>
      <c r="O420" t="s">
        <v>1082</v>
      </c>
    </row>
    <row r="421" spans="1:15" x14ac:dyDescent="0.25">
      <c r="A421" t="s">
        <v>1111</v>
      </c>
      <c r="B421" t="s">
        <v>100</v>
      </c>
      <c r="C421" t="s">
        <v>621</v>
      </c>
      <c r="D421" t="s">
        <v>618</v>
      </c>
      <c r="E421" t="s">
        <v>622</v>
      </c>
      <c r="F421" s="213" t="s">
        <v>56</v>
      </c>
      <c r="G421" t="s">
        <v>66</v>
      </c>
      <c r="H421" t="s">
        <v>84</v>
      </c>
      <c r="I421" t="s">
        <v>623</v>
      </c>
      <c r="J421" t="s">
        <v>56</v>
      </c>
      <c r="K421" t="s">
        <v>18</v>
      </c>
      <c r="L421" t="s">
        <v>626</v>
      </c>
      <c r="M421" t="s">
        <v>100</v>
      </c>
      <c r="N421" t="s">
        <v>60</v>
      </c>
      <c r="O421" t="s">
        <v>629</v>
      </c>
    </row>
    <row r="422" spans="1:15" x14ac:dyDescent="0.25">
      <c r="A422" t="s">
        <v>1112</v>
      </c>
      <c r="B422" t="s">
        <v>100</v>
      </c>
      <c r="C422" t="s">
        <v>621</v>
      </c>
      <c r="D422" t="s">
        <v>618</v>
      </c>
      <c r="E422" t="s">
        <v>622</v>
      </c>
      <c r="F422" s="213" t="s">
        <v>56</v>
      </c>
      <c r="G422" t="s">
        <v>66</v>
      </c>
      <c r="H422" t="s">
        <v>84</v>
      </c>
      <c r="I422" t="s">
        <v>623</v>
      </c>
      <c r="J422" t="s">
        <v>56</v>
      </c>
      <c r="K422" t="s">
        <v>14</v>
      </c>
      <c r="L422" t="s">
        <v>714</v>
      </c>
      <c r="M422" t="s">
        <v>100</v>
      </c>
      <c r="N422" t="s">
        <v>66</v>
      </c>
      <c r="O422" t="s">
        <v>665</v>
      </c>
    </row>
    <row r="423" spans="1:15" x14ac:dyDescent="0.25">
      <c r="A423" t="s">
        <v>1113</v>
      </c>
      <c r="B423" t="s">
        <v>100</v>
      </c>
      <c r="C423" t="s">
        <v>621</v>
      </c>
      <c r="D423" t="s">
        <v>618</v>
      </c>
      <c r="E423" t="s">
        <v>622</v>
      </c>
      <c r="F423" s="213" t="s">
        <v>56</v>
      </c>
      <c r="G423" t="s">
        <v>66</v>
      </c>
      <c r="H423" t="s">
        <v>84</v>
      </c>
      <c r="I423" t="s">
        <v>623</v>
      </c>
      <c r="J423" t="s">
        <v>56</v>
      </c>
      <c r="K423" t="s">
        <v>11</v>
      </c>
      <c r="L423" t="s">
        <v>665</v>
      </c>
      <c r="M423" t="s">
        <v>100</v>
      </c>
      <c r="N423" t="s">
        <v>24</v>
      </c>
      <c r="O423" t="s">
        <v>875</v>
      </c>
    </row>
    <row r="424" spans="1:15" x14ac:dyDescent="0.25">
      <c r="A424" t="s">
        <v>1114</v>
      </c>
      <c r="B424" t="s">
        <v>100</v>
      </c>
      <c r="C424" t="s">
        <v>621</v>
      </c>
      <c r="D424" t="s">
        <v>618</v>
      </c>
      <c r="E424" t="s">
        <v>622</v>
      </c>
      <c r="F424" s="213" t="s">
        <v>56</v>
      </c>
      <c r="G424" t="s">
        <v>66</v>
      </c>
      <c r="H424" t="s">
        <v>84</v>
      </c>
      <c r="I424" t="s">
        <v>623</v>
      </c>
      <c r="J424" t="s">
        <v>56</v>
      </c>
      <c r="K424" t="s">
        <v>7</v>
      </c>
      <c r="L424" t="s">
        <v>632</v>
      </c>
      <c r="M424" t="s">
        <v>100</v>
      </c>
      <c r="N424" t="s">
        <v>41</v>
      </c>
      <c r="O424" t="s">
        <v>693</v>
      </c>
    </row>
    <row r="425" spans="1:15" x14ac:dyDescent="0.25">
      <c r="A425" t="s">
        <v>1115</v>
      </c>
      <c r="B425" t="s">
        <v>100</v>
      </c>
      <c r="C425" t="s">
        <v>621</v>
      </c>
      <c r="D425" t="s">
        <v>618</v>
      </c>
      <c r="E425" t="s">
        <v>622</v>
      </c>
      <c r="F425" s="213" t="s">
        <v>56</v>
      </c>
      <c r="G425" t="s">
        <v>66</v>
      </c>
      <c r="H425" t="s">
        <v>84</v>
      </c>
      <c r="I425" t="s">
        <v>623</v>
      </c>
      <c r="J425" t="s">
        <v>56</v>
      </c>
      <c r="K425" t="s">
        <v>5</v>
      </c>
      <c r="L425" t="s">
        <v>643</v>
      </c>
      <c r="M425" t="s">
        <v>100</v>
      </c>
      <c r="N425" t="s">
        <v>82</v>
      </c>
      <c r="O425" t="s">
        <v>44</v>
      </c>
    </row>
    <row r="426" spans="1:15" x14ac:dyDescent="0.25">
      <c r="A426" t="s">
        <v>1116</v>
      </c>
      <c r="B426" t="s">
        <v>100</v>
      </c>
      <c r="C426" t="s">
        <v>621</v>
      </c>
      <c r="D426" t="s">
        <v>618</v>
      </c>
      <c r="E426" t="s">
        <v>622</v>
      </c>
      <c r="F426" s="213" t="s">
        <v>56</v>
      </c>
      <c r="G426" t="s">
        <v>66</v>
      </c>
      <c r="H426" t="s">
        <v>84</v>
      </c>
      <c r="I426" t="s">
        <v>623</v>
      </c>
      <c r="J426" t="s">
        <v>56</v>
      </c>
      <c r="K426" t="s">
        <v>3</v>
      </c>
      <c r="L426" t="s">
        <v>685</v>
      </c>
      <c r="M426" t="s">
        <v>100</v>
      </c>
      <c r="N426" t="s">
        <v>81</v>
      </c>
      <c r="O426" t="s">
        <v>41</v>
      </c>
    </row>
    <row r="427" spans="1:15" x14ac:dyDescent="0.25">
      <c r="A427" t="s">
        <v>1117</v>
      </c>
      <c r="B427" t="s">
        <v>100</v>
      </c>
      <c r="C427" t="s">
        <v>621</v>
      </c>
      <c r="D427" t="s">
        <v>618</v>
      </c>
      <c r="E427" t="s">
        <v>622</v>
      </c>
      <c r="F427" s="213" t="s">
        <v>56</v>
      </c>
      <c r="G427" t="s">
        <v>66</v>
      </c>
      <c r="H427" t="s">
        <v>84</v>
      </c>
      <c r="I427" t="s">
        <v>623</v>
      </c>
      <c r="J427" t="s">
        <v>56</v>
      </c>
      <c r="K427" t="s">
        <v>1</v>
      </c>
      <c r="L427" t="s">
        <v>645</v>
      </c>
      <c r="M427" t="s">
        <v>100</v>
      </c>
      <c r="N427" t="s">
        <v>45</v>
      </c>
      <c r="O427" t="s">
        <v>674</v>
      </c>
    </row>
    <row r="428" spans="1:15" x14ac:dyDescent="0.25">
      <c r="A428" t="s">
        <v>1118</v>
      </c>
      <c r="B428" t="s">
        <v>100</v>
      </c>
      <c r="C428" t="s">
        <v>621</v>
      </c>
      <c r="D428" t="s">
        <v>618</v>
      </c>
      <c r="E428" t="s">
        <v>622</v>
      </c>
      <c r="F428" s="213" t="s">
        <v>56</v>
      </c>
      <c r="G428" t="s">
        <v>66</v>
      </c>
      <c r="H428" t="s">
        <v>84</v>
      </c>
      <c r="I428" t="s">
        <v>623</v>
      </c>
      <c r="J428" t="s">
        <v>56</v>
      </c>
      <c r="K428" t="s">
        <v>100</v>
      </c>
      <c r="L428" t="s">
        <v>674</v>
      </c>
      <c r="M428" t="s">
        <v>100</v>
      </c>
      <c r="N428" t="s">
        <v>53</v>
      </c>
      <c r="O428" t="s">
        <v>637</v>
      </c>
    </row>
    <row r="429" spans="1:15" x14ac:dyDescent="0.25">
      <c r="A429" t="s">
        <v>1119</v>
      </c>
      <c r="B429" t="s">
        <v>100</v>
      </c>
      <c r="C429" t="s">
        <v>621</v>
      </c>
      <c r="D429" t="s">
        <v>618</v>
      </c>
      <c r="E429" t="s">
        <v>622</v>
      </c>
      <c r="F429" s="213" t="s">
        <v>56</v>
      </c>
      <c r="G429" t="s">
        <v>66</v>
      </c>
      <c r="H429" t="s">
        <v>84</v>
      </c>
      <c r="I429" t="s">
        <v>623</v>
      </c>
      <c r="J429" t="s">
        <v>56</v>
      </c>
      <c r="K429" t="s">
        <v>16</v>
      </c>
      <c r="L429" t="s">
        <v>682</v>
      </c>
      <c r="M429" t="s">
        <v>100</v>
      </c>
      <c r="N429" t="s">
        <v>75</v>
      </c>
      <c r="O429" t="s">
        <v>418</v>
      </c>
    </row>
    <row r="430" spans="1:15" x14ac:dyDescent="0.25">
      <c r="A430" t="s">
        <v>1120</v>
      </c>
      <c r="B430" t="s">
        <v>100</v>
      </c>
      <c r="C430" t="s">
        <v>621</v>
      </c>
      <c r="D430" t="s">
        <v>618</v>
      </c>
      <c r="E430" t="s">
        <v>622</v>
      </c>
      <c r="F430" s="213" t="s">
        <v>56</v>
      </c>
      <c r="G430" t="s">
        <v>66</v>
      </c>
      <c r="H430" t="s">
        <v>84</v>
      </c>
      <c r="I430" t="s">
        <v>623</v>
      </c>
      <c r="J430" t="s">
        <v>56</v>
      </c>
      <c r="K430" t="s">
        <v>18</v>
      </c>
      <c r="L430" t="s">
        <v>650</v>
      </c>
      <c r="M430" t="s">
        <v>100</v>
      </c>
      <c r="N430" t="s">
        <v>36</v>
      </c>
      <c r="O430" t="s">
        <v>741</v>
      </c>
    </row>
    <row r="431" spans="1:15" x14ac:dyDescent="0.25">
      <c r="A431" t="s">
        <v>1121</v>
      </c>
      <c r="B431" t="s">
        <v>100</v>
      </c>
      <c r="C431" t="s">
        <v>621</v>
      </c>
      <c r="D431" t="s">
        <v>618</v>
      </c>
      <c r="E431" t="s">
        <v>622</v>
      </c>
      <c r="F431" s="213" t="s">
        <v>56</v>
      </c>
      <c r="G431" t="s">
        <v>66</v>
      </c>
      <c r="H431" t="s">
        <v>84</v>
      </c>
      <c r="I431" t="s">
        <v>623</v>
      </c>
      <c r="J431" t="s">
        <v>56</v>
      </c>
      <c r="K431" t="s">
        <v>20</v>
      </c>
      <c r="L431" t="s">
        <v>883</v>
      </c>
      <c r="M431" t="s">
        <v>100</v>
      </c>
      <c r="N431" t="s">
        <v>54</v>
      </c>
      <c r="O431" t="s">
        <v>685</v>
      </c>
    </row>
    <row r="432" spans="1:15" x14ac:dyDescent="0.25">
      <c r="A432" t="s">
        <v>1122</v>
      </c>
      <c r="B432" t="s">
        <v>100</v>
      </c>
      <c r="C432" t="s">
        <v>621</v>
      </c>
      <c r="D432" t="s">
        <v>618</v>
      </c>
      <c r="E432" t="s">
        <v>622</v>
      </c>
      <c r="F432" s="213" t="s">
        <v>56</v>
      </c>
      <c r="G432" t="s">
        <v>66</v>
      </c>
      <c r="H432" t="s">
        <v>84</v>
      </c>
      <c r="I432" t="s">
        <v>623</v>
      </c>
      <c r="J432" t="s">
        <v>56</v>
      </c>
      <c r="K432" t="s">
        <v>22</v>
      </c>
      <c r="L432" t="s">
        <v>878</v>
      </c>
      <c r="M432" t="s">
        <v>100</v>
      </c>
      <c r="N432" t="s">
        <v>13</v>
      </c>
      <c r="O432" t="s">
        <v>633</v>
      </c>
    </row>
    <row r="433" spans="1:15" x14ac:dyDescent="0.25">
      <c r="A433" t="s">
        <v>1123</v>
      </c>
      <c r="B433" t="s">
        <v>100</v>
      </c>
      <c r="C433" t="s">
        <v>621</v>
      </c>
      <c r="D433" t="s">
        <v>618</v>
      </c>
      <c r="E433" t="s">
        <v>622</v>
      </c>
      <c r="F433" s="213" t="s">
        <v>56</v>
      </c>
      <c r="G433" t="s">
        <v>66</v>
      </c>
      <c r="H433" t="s">
        <v>84</v>
      </c>
      <c r="I433" t="s">
        <v>623</v>
      </c>
      <c r="J433" t="s">
        <v>56</v>
      </c>
      <c r="K433" t="s">
        <v>17</v>
      </c>
      <c r="L433" t="s">
        <v>626</v>
      </c>
      <c r="M433" t="s">
        <v>100</v>
      </c>
      <c r="N433" t="s">
        <v>70</v>
      </c>
      <c r="O433" t="s">
        <v>714</v>
      </c>
    </row>
    <row r="434" spans="1:15" x14ac:dyDescent="0.25">
      <c r="A434" t="s">
        <v>1124</v>
      </c>
      <c r="B434" t="s">
        <v>100</v>
      </c>
      <c r="C434" t="s">
        <v>621</v>
      </c>
      <c r="D434" t="s">
        <v>618</v>
      </c>
      <c r="E434" t="s">
        <v>622</v>
      </c>
      <c r="F434" s="213" t="s">
        <v>56</v>
      </c>
      <c r="G434" t="s">
        <v>66</v>
      </c>
      <c r="H434" t="s">
        <v>84</v>
      </c>
      <c r="I434" t="s">
        <v>623</v>
      </c>
      <c r="J434" t="s">
        <v>56</v>
      </c>
      <c r="K434" t="s">
        <v>13</v>
      </c>
      <c r="L434" t="s">
        <v>714</v>
      </c>
      <c r="M434" t="s">
        <v>100</v>
      </c>
      <c r="N434" t="s">
        <v>22</v>
      </c>
      <c r="O434" t="s">
        <v>677</v>
      </c>
    </row>
    <row r="435" spans="1:15" x14ac:dyDescent="0.25">
      <c r="A435" t="s">
        <v>1125</v>
      </c>
      <c r="B435" t="s">
        <v>100</v>
      </c>
      <c r="C435" t="s">
        <v>621</v>
      </c>
      <c r="D435" t="s">
        <v>618</v>
      </c>
      <c r="E435" t="s">
        <v>622</v>
      </c>
      <c r="F435" s="213" t="s">
        <v>56</v>
      </c>
      <c r="G435" t="s">
        <v>66</v>
      </c>
      <c r="H435" t="s">
        <v>84</v>
      </c>
      <c r="I435" t="s">
        <v>623</v>
      </c>
      <c r="J435" t="s">
        <v>56</v>
      </c>
      <c r="K435" t="s">
        <v>10</v>
      </c>
      <c r="L435" t="s">
        <v>665</v>
      </c>
      <c r="M435" t="s">
        <v>100</v>
      </c>
      <c r="N435" t="s">
        <v>82</v>
      </c>
      <c r="O435" t="s">
        <v>41</v>
      </c>
    </row>
    <row r="436" spans="1:15" x14ac:dyDescent="0.25">
      <c r="A436" t="s">
        <v>1126</v>
      </c>
      <c r="B436" t="s">
        <v>100</v>
      </c>
      <c r="C436" t="s">
        <v>621</v>
      </c>
      <c r="D436" t="s">
        <v>618</v>
      </c>
      <c r="E436" t="s">
        <v>622</v>
      </c>
      <c r="F436" s="213" t="s">
        <v>56</v>
      </c>
      <c r="G436" t="s">
        <v>66</v>
      </c>
      <c r="H436" t="s">
        <v>84</v>
      </c>
      <c r="I436" t="s">
        <v>623</v>
      </c>
      <c r="J436" t="s">
        <v>56</v>
      </c>
      <c r="K436" t="s">
        <v>7</v>
      </c>
      <c r="L436" t="s">
        <v>623</v>
      </c>
      <c r="M436" t="s">
        <v>100</v>
      </c>
      <c r="N436" t="s">
        <v>43</v>
      </c>
      <c r="O436" t="s">
        <v>693</v>
      </c>
    </row>
    <row r="437" spans="1:15" x14ac:dyDescent="0.25">
      <c r="A437" t="s">
        <v>1127</v>
      </c>
      <c r="B437" t="s">
        <v>100</v>
      </c>
      <c r="C437" t="s">
        <v>621</v>
      </c>
      <c r="D437" t="s">
        <v>618</v>
      </c>
      <c r="E437" t="s">
        <v>622</v>
      </c>
      <c r="F437" s="213" t="s">
        <v>56</v>
      </c>
      <c r="G437" t="s">
        <v>66</v>
      </c>
      <c r="H437" t="s">
        <v>84</v>
      </c>
      <c r="I437" t="s">
        <v>623</v>
      </c>
      <c r="J437" t="s">
        <v>56</v>
      </c>
      <c r="K437" t="s">
        <v>5</v>
      </c>
      <c r="L437" t="s">
        <v>629</v>
      </c>
      <c r="M437" t="s">
        <v>100</v>
      </c>
      <c r="N437" t="s">
        <v>34</v>
      </c>
      <c r="O437" t="s">
        <v>789</v>
      </c>
    </row>
    <row r="438" spans="1:15" x14ac:dyDescent="0.25">
      <c r="A438" t="s">
        <v>1128</v>
      </c>
      <c r="B438" t="s">
        <v>100</v>
      </c>
      <c r="C438" t="s">
        <v>621</v>
      </c>
      <c r="D438" t="s">
        <v>618</v>
      </c>
      <c r="E438" t="s">
        <v>622</v>
      </c>
      <c r="F438" s="213" t="s">
        <v>56</v>
      </c>
      <c r="G438" t="s">
        <v>66</v>
      </c>
      <c r="H438" t="s">
        <v>84</v>
      </c>
      <c r="I438" t="s">
        <v>623</v>
      </c>
      <c r="J438" t="s">
        <v>56</v>
      </c>
      <c r="K438" t="s">
        <v>3</v>
      </c>
      <c r="L438" t="s">
        <v>695</v>
      </c>
      <c r="M438" t="s">
        <v>100</v>
      </c>
      <c r="N438" t="s">
        <v>67</v>
      </c>
      <c r="O438" t="s">
        <v>665</v>
      </c>
    </row>
    <row r="439" spans="1:15" x14ac:dyDescent="0.25">
      <c r="A439" t="s">
        <v>1129</v>
      </c>
      <c r="B439" t="s">
        <v>100</v>
      </c>
      <c r="C439" t="s">
        <v>621</v>
      </c>
      <c r="D439" t="s">
        <v>618</v>
      </c>
      <c r="E439" t="s">
        <v>622</v>
      </c>
      <c r="F439" s="213" t="s">
        <v>56</v>
      </c>
      <c r="G439" t="s">
        <v>66</v>
      </c>
      <c r="H439" t="s">
        <v>84</v>
      </c>
      <c r="I439" t="s">
        <v>623</v>
      </c>
      <c r="J439" t="s">
        <v>56</v>
      </c>
      <c r="K439" t="s">
        <v>1</v>
      </c>
      <c r="L439" t="s">
        <v>656</v>
      </c>
      <c r="M439" t="s">
        <v>100</v>
      </c>
      <c r="N439" t="s">
        <v>8</v>
      </c>
      <c r="O439" t="s">
        <v>1032</v>
      </c>
    </row>
    <row r="440" spans="1:15" x14ac:dyDescent="0.25">
      <c r="A440" t="s">
        <v>1130</v>
      </c>
      <c r="B440" t="s">
        <v>100</v>
      </c>
      <c r="C440" t="s">
        <v>621</v>
      </c>
      <c r="D440" t="s">
        <v>618</v>
      </c>
      <c r="E440" t="s">
        <v>622</v>
      </c>
      <c r="F440" s="213" t="s">
        <v>56</v>
      </c>
      <c r="G440" t="s">
        <v>66</v>
      </c>
      <c r="H440" t="s">
        <v>84</v>
      </c>
      <c r="I440" t="s">
        <v>623</v>
      </c>
      <c r="J440" t="s">
        <v>56</v>
      </c>
      <c r="K440" t="s">
        <v>100</v>
      </c>
      <c r="L440" t="s">
        <v>814</v>
      </c>
      <c r="M440" t="s">
        <v>100</v>
      </c>
      <c r="N440" t="s">
        <v>1</v>
      </c>
      <c r="O440" t="s">
        <v>1131</v>
      </c>
    </row>
    <row r="441" spans="1:15" x14ac:dyDescent="0.25">
      <c r="A441" t="s">
        <v>1132</v>
      </c>
      <c r="B441" t="s">
        <v>100</v>
      </c>
      <c r="C441" t="s">
        <v>621</v>
      </c>
      <c r="D441" t="s">
        <v>618</v>
      </c>
      <c r="E441" t="s">
        <v>622</v>
      </c>
      <c r="F441" s="213" t="s">
        <v>56</v>
      </c>
      <c r="G441" t="s">
        <v>66</v>
      </c>
      <c r="H441" t="s">
        <v>84</v>
      </c>
      <c r="I441" t="s">
        <v>623</v>
      </c>
      <c r="J441" t="s">
        <v>56</v>
      </c>
      <c r="K441" t="s">
        <v>15</v>
      </c>
      <c r="L441" t="s">
        <v>682</v>
      </c>
      <c r="M441" t="s">
        <v>100</v>
      </c>
      <c r="N441" t="s">
        <v>17</v>
      </c>
      <c r="O441" t="s">
        <v>1133</v>
      </c>
    </row>
    <row r="442" spans="1:15" x14ac:dyDescent="0.25">
      <c r="A442" t="s">
        <v>1134</v>
      </c>
      <c r="B442" t="s">
        <v>100</v>
      </c>
      <c r="C442" t="s">
        <v>621</v>
      </c>
      <c r="D442" t="s">
        <v>618</v>
      </c>
      <c r="E442" t="s">
        <v>622</v>
      </c>
      <c r="F442" s="213" t="s">
        <v>56</v>
      </c>
      <c r="G442" t="s">
        <v>66</v>
      </c>
      <c r="H442" t="s">
        <v>84</v>
      </c>
      <c r="I442" t="s">
        <v>623</v>
      </c>
      <c r="J442" t="s">
        <v>56</v>
      </c>
      <c r="K442" t="s">
        <v>17</v>
      </c>
      <c r="L442" t="s">
        <v>650</v>
      </c>
      <c r="M442" t="s">
        <v>100</v>
      </c>
      <c r="N442" t="s">
        <v>77</v>
      </c>
      <c r="O442" t="s">
        <v>786</v>
      </c>
    </row>
    <row r="443" spans="1:15" x14ac:dyDescent="0.25">
      <c r="A443" t="s">
        <v>1135</v>
      </c>
      <c r="B443" t="s">
        <v>100</v>
      </c>
      <c r="C443" t="s">
        <v>621</v>
      </c>
      <c r="D443" t="s">
        <v>618</v>
      </c>
      <c r="E443" t="s">
        <v>622</v>
      </c>
      <c r="F443" s="213" t="s">
        <v>56</v>
      </c>
      <c r="G443" t="s">
        <v>66</v>
      </c>
      <c r="H443" t="s">
        <v>84</v>
      </c>
      <c r="I443" t="s">
        <v>623</v>
      </c>
      <c r="J443" t="s">
        <v>56</v>
      </c>
      <c r="K443" t="s">
        <v>19</v>
      </c>
      <c r="L443" t="s">
        <v>883</v>
      </c>
      <c r="M443" t="s">
        <v>100</v>
      </c>
      <c r="N443" t="s">
        <v>66</v>
      </c>
      <c r="O443" t="s">
        <v>625</v>
      </c>
    </row>
    <row r="444" spans="1:15" x14ac:dyDescent="0.25">
      <c r="A444" t="s">
        <v>1136</v>
      </c>
      <c r="B444" t="s">
        <v>100</v>
      </c>
      <c r="C444" t="s">
        <v>621</v>
      </c>
      <c r="D444" t="s">
        <v>618</v>
      </c>
      <c r="E444" t="s">
        <v>622</v>
      </c>
      <c r="F444" s="213" t="s">
        <v>56</v>
      </c>
      <c r="G444" t="s">
        <v>66</v>
      </c>
      <c r="H444" t="s">
        <v>84</v>
      </c>
      <c r="I444" t="s">
        <v>623</v>
      </c>
      <c r="J444" t="s">
        <v>56</v>
      </c>
      <c r="K444" t="s">
        <v>16</v>
      </c>
      <c r="L444" t="s">
        <v>626</v>
      </c>
      <c r="M444" t="s">
        <v>100</v>
      </c>
      <c r="N444" t="s">
        <v>60</v>
      </c>
      <c r="O444" t="s">
        <v>888</v>
      </c>
    </row>
    <row r="445" spans="1:15" x14ac:dyDescent="0.25">
      <c r="A445" t="s">
        <v>1137</v>
      </c>
      <c r="B445" t="s">
        <v>100</v>
      </c>
      <c r="C445" t="s">
        <v>621</v>
      </c>
      <c r="D445" t="s">
        <v>618</v>
      </c>
      <c r="E445" t="s">
        <v>622</v>
      </c>
      <c r="F445" s="213" t="s">
        <v>56</v>
      </c>
      <c r="G445" t="s">
        <v>66</v>
      </c>
      <c r="H445" t="s">
        <v>84</v>
      </c>
      <c r="I445" t="s">
        <v>623</v>
      </c>
      <c r="J445" t="s">
        <v>56</v>
      </c>
      <c r="K445" t="s">
        <v>12</v>
      </c>
      <c r="L445" t="s">
        <v>714</v>
      </c>
      <c r="M445" t="s">
        <v>100</v>
      </c>
      <c r="N445" t="s">
        <v>24</v>
      </c>
      <c r="O445" t="s">
        <v>816</v>
      </c>
    </row>
    <row r="446" spans="1:15" x14ac:dyDescent="0.25">
      <c r="A446" t="s">
        <v>1138</v>
      </c>
      <c r="B446" t="s">
        <v>100</v>
      </c>
      <c r="C446" t="s">
        <v>621</v>
      </c>
      <c r="D446" t="s">
        <v>618</v>
      </c>
      <c r="E446" t="s">
        <v>622</v>
      </c>
      <c r="F446" s="213" t="s">
        <v>56</v>
      </c>
      <c r="G446" t="s">
        <v>66</v>
      </c>
      <c r="H446" t="s">
        <v>84</v>
      </c>
      <c r="I446" t="s">
        <v>623</v>
      </c>
      <c r="J446" t="s">
        <v>56</v>
      </c>
      <c r="K446" t="s">
        <v>9</v>
      </c>
      <c r="L446" t="s">
        <v>665</v>
      </c>
      <c r="M446" t="s">
        <v>100</v>
      </c>
      <c r="N446" t="s">
        <v>55</v>
      </c>
      <c r="O446" t="s">
        <v>637</v>
      </c>
    </row>
    <row r="447" spans="1:15" x14ac:dyDescent="0.25">
      <c r="A447" t="s">
        <v>1139</v>
      </c>
      <c r="B447" t="s">
        <v>100</v>
      </c>
      <c r="C447" t="s">
        <v>621</v>
      </c>
      <c r="D447" t="s">
        <v>618</v>
      </c>
      <c r="E447" t="s">
        <v>622</v>
      </c>
      <c r="F447" s="213" t="s">
        <v>56</v>
      </c>
      <c r="G447" t="s">
        <v>66</v>
      </c>
      <c r="H447" t="s">
        <v>84</v>
      </c>
      <c r="I447" t="s">
        <v>623</v>
      </c>
      <c r="J447" t="s">
        <v>56</v>
      </c>
      <c r="K447" t="s">
        <v>6</v>
      </c>
      <c r="L447" t="s">
        <v>632</v>
      </c>
      <c r="M447" t="s">
        <v>100</v>
      </c>
      <c r="N447" t="s">
        <v>84</v>
      </c>
      <c r="O447" t="s">
        <v>731</v>
      </c>
    </row>
    <row r="448" spans="1:15" x14ac:dyDescent="0.25">
      <c r="A448" t="s">
        <v>1140</v>
      </c>
      <c r="B448" t="s">
        <v>100</v>
      </c>
      <c r="C448" t="s">
        <v>621</v>
      </c>
      <c r="D448" t="s">
        <v>618</v>
      </c>
      <c r="E448" t="s">
        <v>622</v>
      </c>
      <c r="F448" s="213" t="s">
        <v>56</v>
      </c>
      <c r="G448" t="s">
        <v>66</v>
      </c>
      <c r="H448" t="s">
        <v>84</v>
      </c>
      <c r="I448" t="s">
        <v>623</v>
      </c>
      <c r="J448" t="s">
        <v>56</v>
      </c>
      <c r="K448" t="s">
        <v>4</v>
      </c>
      <c r="L448" t="s">
        <v>643</v>
      </c>
      <c r="M448" t="s">
        <v>100</v>
      </c>
      <c r="N448" t="s">
        <v>78</v>
      </c>
      <c r="O448" t="s">
        <v>23</v>
      </c>
    </row>
    <row r="449" spans="1:15" x14ac:dyDescent="0.25">
      <c r="A449" t="s">
        <v>1141</v>
      </c>
      <c r="B449" t="s">
        <v>100</v>
      </c>
      <c r="C449" t="s">
        <v>621</v>
      </c>
      <c r="D449" t="s">
        <v>618</v>
      </c>
      <c r="E449" t="s">
        <v>622</v>
      </c>
      <c r="F449" s="213" t="s">
        <v>56</v>
      </c>
      <c r="G449" t="s">
        <v>66</v>
      </c>
      <c r="H449" t="s">
        <v>84</v>
      </c>
      <c r="I449" t="s">
        <v>623</v>
      </c>
      <c r="J449" t="s">
        <v>56</v>
      </c>
      <c r="K449" t="s">
        <v>2</v>
      </c>
      <c r="L449" t="s">
        <v>685</v>
      </c>
      <c r="M449" t="s">
        <v>100</v>
      </c>
      <c r="N449" t="s">
        <v>79</v>
      </c>
      <c r="O449" t="s">
        <v>1091</v>
      </c>
    </row>
    <row r="450" spans="1:15" x14ac:dyDescent="0.25">
      <c r="A450" t="s">
        <v>1142</v>
      </c>
      <c r="B450" t="s">
        <v>100</v>
      </c>
      <c r="C450" t="s">
        <v>621</v>
      </c>
      <c r="D450" t="s">
        <v>618</v>
      </c>
      <c r="E450" t="s">
        <v>622</v>
      </c>
      <c r="F450" s="213" t="s">
        <v>56</v>
      </c>
      <c r="G450" t="s">
        <v>66</v>
      </c>
      <c r="H450" t="s">
        <v>84</v>
      </c>
      <c r="I450" t="s">
        <v>623</v>
      </c>
      <c r="J450" t="s">
        <v>56</v>
      </c>
      <c r="K450" t="s">
        <v>0</v>
      </c>
      <c r="L450" t="s">
        <v>645</v>
      </c>
      <c r="M450" t="s">
        <v>100</v>
      </c>
      <c r="N450" t="s">
        <v>7</v>
      </c>
      <c r="O450" t="s">
        <v>1143</v>
      </c>
    </row>
    <row r="451" spans="1:15" x14ac:dyDescent="0.25">
      <c r="A451" t="s">
        <v>1144</v>
      </c>
      <c r="B451" t="s">
        <v>100</v>
      </c>
      <c r="C451" t="s">
        <v>621</v>
      </c>
      <c r="D451" t="s">
        <v>618</v>
      </c>
      <c r="E451" t="s">
        <v>622</v>
      </c>
      <c r="F451" s="213" t="s">
        <v>56</v>
      </c>
      <c r="G451" t="s">
        <v>66</v>
      </c>
      <c r="H451" t="s">
        <v>84</v>
      </c>
      <c r="I451" t="s">
        <v>623</v>
      </c>
      <c r="J451" t="s">
        <v>56</v>
      </c>
      <c r="K451" t="s">
        <v>13</v>
      </c>
      <c r="L451" t="s">
        <v>807</v>
      </c>
      <c r="M451" t="s">
        <v>100</v>
      </c>
      <c r="N451" t="s">
        <v>18</v>
      </c>
      <c r="O451" t="s">
        <v>1133</v>
      </c>
    </row>
    <row r="452" spans="1:15" x14ac:dyDescent="0.25">
      <c r="A452" t="s">
        <v>1145</v>
      </c>
      <c r="B452" t="s">
        <v>100</v>
      </c>
      <c r="C452" t="s">
        <v>621</v>
      </c>
      <c r="D452" t="s">
        <v>618</v>
      </c>
      <c r="E452" t="s">
        <v>622</v>
      </c>
      <c r="F452" s="213" t="s">
        <v>56</v>
      </c>
      <c r="G452" t="s">
        <v>66</v>
      </c>
      <c r="H452" t="s">
        <v>84</v>
      </c>
      <c r="I452" t="s">
        <v>623</v>
      </c>
      <c r="J452" t="s">
        <v>56</v>
      </c>
      <c r="K452" t="s">
        <v>15</v>
      </c>
      <c r="L452" t="s">
        <v>739</v>
      </c>
      <c r="M452" t="s">
        <v>100</v>
      </c>
      <c r="N452" t="s">
        <v>2</v>
      </c>
      <c r="O452" t="s">
        <v>1094</v>
      </c>
    </row>
    <row r="453" spans="1:15" x14ac:dyDescent="0.25">
      <c r="A453" t="s">
        <v>1146</v>
      </c>
      <c r="B453" t="s">
        <v>100</v>
      </c>
      <c r="C453" t="s">
        <v>621</v>
      </c>
      <c r="D453" t="s">
        <v>618</v>
      </c>
      <c r="E453" t="s">
        <v>622</v>
      </c>
      <c r="F453" s="213" t="s">
        <v>56</v>
      </c>
      <c r="G453" t="s">
        <v>66</v>
      </c>
      <c r="H453" t="s">
        <v>84</v>
      </c>
      <c r="I453" t="s">
        <v>623</v>
      </c>
      <c r="J453" t="s">
        <v>56</v>
      </c>
      <c r="K453" t="s">
        <v>17</v>
      </c>
      <c r="L453" t="s">
        <v>1147</v>
      </c>
      <c r="M453" t="s">
        <v>100</v>
      </c>
      <c r="N453" t="s">
        <v>76</v>
      </c>
      <c r="O453" t="s">
        <v>654</v>
      </c>
    </row>
    <row r="454" spans="1:15" x14ac:dyDescent="0.25">
      <c r="A454" t="s">
        <v>1148</v>
      </c>
      <c r="B454" t="s">
        <v>100</v>
      </c>
      <c r="C454" t="s">
        <v>621</v>
      </c>
      <c r="D454" t="s">
        <v>618</v>
      </c>
      <c r="E454" t="s">
        <v>622</v>
      </c>
      <c r="F454" s="213" t="s">
        <v>56</v>
      </c>
      <c r="G454" t="s">
        <v>66</v>
      </c>
      <c r="H454" t="s">
        <v>84</v>
      </c>
      <c r="I454" t="s">
        <v>623</v>
      </c>
      <c r="J454" t="s">
        <v>56</v>
      </c>
      <c r="K454" t="s">
        <v>19</v>
      </c>
      <c r="L454" t="s">
        <v>1091</v>
      </c>
      <c r="M454" t="s">
        <v>100</v>
      </c>
      <c r="N454" t="s">
        <v>11</v>
      </c>
      <c r="O454" t="s">
        <v>967</v>
      </c>
    </row>
    <row r="455" spans="1:15" x14ac:dyDescent="0.25">
      <c r="A455" t="s">
        <v>1149</v>
      </c>
      <c r="B455" t="s">
        <v>100</v>
      </c>
      <c r="C455" t="s">
        <v>621</v>
      </c>
      <c r="D455" t="s">
        <v>618</v>
      </c>
      <c r="E455" t="s">
        <v>622</v>
      </c>
      <c r="F455" s="213" t="s">
        <v>56</v>
      </c>
      <c r="G455" t="s">
        <v>66</v>
      </c>
      <c r="H455" t="s">
        <v>84</v>
      </c>
      <c r="I455" t="s">
        <v>623</v>
      </c>
      <c r="J455" t="s">
        <v>56</v>
      </c>
      <c r="K455" t="s">
        <v>15</v>
      </c>
      <c r="L455" t="s">
        <v>626</v>
      </c>
      <c r="M455" t="s">
        <v>100</v>
      </c>
      <c r="N455" t="s">
        <v>63</v>
      </c>
      <c r="O455" t="s">
        <v>629</v>
      </c>
    </row>
    <row r="456" spans="1:15" x14ac:dyDescent="0.25">
      <c r="A456" t="s">
        <v>1150</v>
      </c>
      <c r="B456" t="s">
        <v>100</v>
      </c>
      <c r="C456" t="s">
        <v>621</v>
      </c>
      <c r="D456" t="s">
        <v>618</v>
      </c>
      <c r="E456" t="s">
        <v>622</v>
      </c>
      <c r="F456" s="213" t="s">
        <v>56</v>
      </c>
      <c r="G456" t="s">
        <v>66</v>
      </c>
      <c r="H456" t="s">
        <v>84</v>
      </c>
      <c r="I456" t="s">
        <v>623</v>
      </c>
      <c r="J456" t="s">
        <v>56</v>
      </c>
      <c r="K456" t="s">
        <v>11</v>
      </c>
      <c r="L456" t="s">
        <v>714</v>
      </c>
      <c r="M456" t="s">
        <v>100</v>
      </c>
      <c r="N456" t="s">
        <v>71</v>
      </c>
      <c r="O456" t="s">
        <v>630</v>
      </c>
    </row>
    <row r="457" spans="1:15" x14ac:dyDescent="0.25">
      <c r="A457" t="s">
        <v>1151</v>
      </c>
      <c r="B457" t="s">
        <v>100</v>
      </c>
      <c r="C457" t="s">
        <v>621</v>
      </c>
      <c r="D457" t="s">
        <v>618</v>
      </c>
      <c r="E457" t="s">
        <v>622</v>
      </c>
      <c r="F457" s="213" t="s">
        <v>56</v>
      </c>
      <c r="G457" t="s">
        <v>66</v>
      </c>
      <c r="H457" t="s">
        <v>84</v>
      </c>
      <c r="I457" t="s">
        <v>623</v>
      </c>
      <c r="J457" t="s">
        <v>56</v>
      </c>
      <c r="K457" t="s">
        <v>8</v>
      </c>
      <c r="L457" t="s">
        <v>665</v>
      </c>
      <c r="M457" t="s">
        <v>100</v>
      </c>
      <c r="N457" t="s">
        <v>23</v>
      </c>
      <c r="O457" t="s">
        <v>705</v>
      </c>
    </row>
    <row r="458" spans="1:15" x14ac:dyDescent="0.25">
      <c r="A458" t="s">
        <v>1152</v>
      </c>
      <c r="B458" t="s">
        <v>100</v>
      </c>
      <c r="C458" t="s">
        <v>621</v>
      </c>
      <c r="D458" t="s">
        <v>618</v>
      </c>
      <c r="E458" t="s">
        <v>622</v>
      </c>
      <c r="F458" s="213" t="s">
        <v>56</v>
      </c>
      <c r="G458" t="s">
        <v>66</v>
      </c>
      <c r="H458" t="s">
        <v>84</v>
      </c>
      <c r="I458" t="s">
        <v>623</v>
      </c>
      <c r="J458" t="s">
        <v>56</v>
      </c>
      <c r="K458" t="s">
        <v>6</v>
      </c>
      <c r="L458" t="s">
        <v>625</v>
      </c>
      <c r="M458" t="s">
        <v>100</v>
      </c>
      <c r="N458" t="s">
        <v>83</v>
      </c>
      <c r="O458" t="s">
        <v>37</v>
      </c>
    </row>
    <row r="459" spans="1:15" x14ac:dyDescent="0.25">
      <c r="A459" t="s">
        <v>1153</v>
      </c>
      <c r="B459" t="s">
        <v>100</v>
      </c>
      <c r="C459" t="s">
        <v>621</v>
      </c>
      <c r="D459" t="s">
        <v>618</v>
      </c>
      <c r="E459" t="s">
        <v>622</v>
      </c>
      <c r="F459" s="213" t="s">
        <v>56</v>
      </c>
      <c r="G459" t="s">
        <v>66</v>
      </c>
      <c r="H459" t="s">
        <v>84</v>
      </c>
      <c r="I459" t="s">
        <v>623</v>
      </c>
      <c r="J459" t="s">
        <v>56</v>
      </c>
      <c r="K459" t="s">
        <v>4</v>
      </c>
      <c r="L459" t="s">
        <v>629</v>
      </c>
      <c r="M459" t="s">
        <v>100</v>
      </c>
      <c r="N459" t="s">
        <v>86</v>
      </c>
      <c r="O459" t="s">
        <v>646</v>
      </c>
    </row>
    <row r="460" spans="1:15" x14ac:dyDescent="0.25">
      <c r="A460" t="s">
        <v>1154</v>
      </c>
      <c r="B460" t="s">
        <v>100</v>
      </c>
      <c r="C460" t="s">
        <v>621</v>
      </c>
      <c r="D460" t="s">
        <v>618</v>
      </c>
      <c r="E460" t="s">
        <v>622</v>
      </c>
      <c r="F460" s="213" t="s">
        <v>56</v>
      </c>
      <c r="G460" t="s">
        <v>66</v>
      </c>
      <c r="H460" t="s">
        <v>84</v>
      </c>
      <c r="I460" t="s">
        <v>623</v>
      </c>
      <c r="J460" t="s">
        <v>56</v>
      </c>
      <c r="K460" t="s">
        <v>2</v>
      </c>
      <c r="L460" t="s">
        <v>695</v>
      </c>
      <c r="M460" t="s">
        <v>100</v>
      </c>
      <c r="N460" t="s">
        <v>35</v>
      </c>
      <c r="O460" t="s">
        <v>647</v>
      </c>
    </row>
    <row r="461" spans="1:15" x14ac:dyDescent="0.25">
      <c r="A461" t="s">
        <v>1155</v>
      </c>
      <c r="B461" t="s">
        <v>100</v>
      </c>
      <c r="C461" t="s">
        <v>621</v>
      </c>
      <c r="D461" t="s">
        <v>618</v>
      </c>
      <c r="E461" t="s">
        <v>622</v>
      </c>
      <c r="F461" s="213" t="s">
        <v>56</v>
      </c>
      <c r="G461" t="s">
        <v>66</v>
      </c>
      <c r="H461" t="s">
        <v>84</v>
      </c>
      <c r="I461" t="s">
        <v>623</v>
      </c>
      <c r="J461" t="s">
        <v>56</v>
      </c>
      <c r="K461" t="s">
        <v>0</v>
      </c>
      <c r="L461" t="s">
        <v>656</v>
      </c>
      <c r="M461" t="s">
        <v>100</v>
      </c>
      <c r="N461" t="s">
        <v>61</v>
      </c>
      <c r="O461" t="s">
        <v>888</v>
      </c>
    </row>
    <row r="462" spans="1:15" x14ac:dyDescent="0.25">
      <c r="A462" t="s">
        <v>1156</v>
      </c>
      <c r="B462" t="s">
        <v>100</v>
      </c>
      <c r="C462" t="s">
        <v>621</v>
      </c>
      <c r="D462" t="s">
        <v>618</v>
      </c>
      <c r="E462" t="s">
        <v>622</v>
      </c>
      <c r="F462" s="213" t="s">
        <v>56</v>
      </c>
      <c r="G462" t="s">
        <v>66</v>
      </c>
      <c r="H462" t="s">
        <v>84</v>
      </c>
      <c r="I462" t="s">
        <v>623</v>
      </c>
      <c r="J462" t="s">
        <v>56</v>
      </c>
      <c r="K462" t="s">
        <v>12</v>
      </c>
      <c r="L462" t="s">
        <v>646</v>
      </c>
      <c r="M462" t="s">
        <v>100</v>
      </c>
      <c r="N462" t="s">
        <v>46</v>
      </c>
      <c r="O462" t="s">
        <v>644</v>
      </c>
    </row>
    <row r="463" spans="1:15" x14ac:dyDescent="0.25">
      <c r="A463" t="s">
        <v>1157</v>
      </c>
      <c r="B463" t="s">
        <v>100</v>
      </c>
      <c r="C463" t="s">
        <v>621</v>
      </c>
      <c r="D463" t="s">
        <v>618</v>
      </c>
      <c r="E463" t="s">
        <v>622</v>
      </c>
      <c r="F463" s="213" t="s">
        <v>56</v>
      </c>
      <c r="G463" t="s">
        <v>66</v>
      </c>
      <c r="H463" t="s">
        <v>84</v>
      </c>
      <c r="I463" t="s">
        <v>623</v>
      </c>
      <c r="J463" t="s">
        <v>56</v>
      </c>
      <c r="K463" t="s">
        <v>14</v>
      </c>
      <c r="L463" t="s">
        <v>739</v>
      </c>
      <c r="M463" t="s">
        <v>100</v>
      </c>
      <c r="N463" t="s">
        <v>100</v>
      </c>
      <c r="O463" t="s">
        <v>1158</v>
      </c>
    </row>
    <row r="464" spans="1:15" x14ac:dyDescent="0.25">
      <c r="A464" t="s">
        <v>1159</v>
      </c>
      <c r="B464" t="s">
        <v>100</v>
      </c>
      <c r="C464" t="s">
        <v>621</v>
      </c>
      <c r="D464" t="s">
        <v>618</v>
      </c>
      <c r="E464" t="s">
        <v>622</v>
      </c>
      <c r="F464" s="213" t="s">
        <v>56</v>
      </c>
      <c r="G464" t="s">
        <v>66</v>
      </c>
      <c r="H464" t="s">
        <v>84</v>
      </c>
      <c r="I464" t="s">
        <v>623</v>
      </c>
      <c r="J464" t="s">
        <v>56</v>
      </c>
      <c r="K464" t="s">
        <v>16</v>
      </c>
      <c r="L464" t="s">
        <v>1147</v>
      </c>
      <c r="M464" t="s">
        <v>100</v>
      </c>
      <c r="N464" t="s">
        <v>39</v>
      </c>
      <c r="O464" t="s">
        <v>825</v>
      </c>
    </row>
    <row r="465" spans="1:15" x14ac:dyDescent="0.25">
      <c r="A465" t="s">
        <v>1160</v>
      </c>
      <c r="B465" t="s">
        <v>100</v>
      </c>
      <c r="C465" t="s">
        <v>621</v>
      </c>
      <c r="D465" t="s">
        <v>618</v>
      </c>
      <c r="E465" t="s">
        <v>622</v>
      </c>
      <c r="F465" s="213" t="s">
        <v>56</v>
      </c>
      <c r="G465" t="s">
        <v>66</v>
      </c>
      <c r="H465" t="s">
        <v>84</v>
      </c>
      <c r="I465" t="s">
        <v>623</v>
      </c>
      <c r="J465" t="s">
        <v>56</v>
      </c>
      <c r="K465" t="s">
        <v>18</v>
      </c>
      <c r="L465" t="s">
        <v>1091</v>
      </c>
      <c r="M465" t="s">
        <v>100</v>
      </c>
      <c r="N465" t="s">
        <v>78</v>
      </c>
      <c r="O465" t="s">
        <v>100</v>
      </c>
    </row>
    <row r="466" spans="1:15" x14ac:dyDescent="0.25">
      <c r="A466" t="s">
        <v>1161</v>
      </c>
      <c r="B466" t="s">
        <v>100</v>
      </c>
      <c r="C466" t="s">
        <v>621</v>
      </c>
      <c r="D466" t="s">
        <v>618</v>
      </c>
      <c r="E466" t="s">
        <v>622</v>
      </c>
      <c r="F466" s="213" t="s">
        <v>56</v>
      </c>
      <c r="G466" t="s">
        <v>66</v>
      </c>
      <c r="H466" t="s">
        <v>84</v>
      </c>
      <c r="I466" t="s">
        <v>623</v>
      </c>
      <c r="J466" t="s">
        <v>56</v>
      </c>
      <c r="K466" t="s">
        <v>20</v>
      </c>
      <c r="L466" t="s">
        <v>101</v>
      </c>
      <c r="M466" t="s">
        <v>100</v>
      </c>
      <c r="N466" t="s">
        <v>11</v>
      </c>
      <c r="O466" t="s">
        <v>636</v>
      </c>
    </row>
    <row r="467" spans="1:15" x14ac:dyDescent="0.25">
      <c r="A467" t="s">
        <v>1162</v>
      </c>
      <c r="B467" t="s">
        <v>100</v>
      </c>
      <c r="C467" t="s">
        <v>621</v>
      </c>
      <c r="D467" t="s">
        <v>618</v>
      </c>
      <c r="E467" t="s">
        <v>622</v>
      </c>
      <c r="F467" s="213" t="s">
        <v>56</v>
      </c>
      <c r="G467" t="s">
        <v>66</v>
      </c>
      <c r="H467" t="s">
        <v>84</v>
      </c>
      <c r="I467" t="s">
        <v>623</v>
      </c>
      <c r="J467" t="s">
        <v>56</v>
      </c>
      <c r="K467" t="s">
        <v>14</v>
      </c>
      <c r="L467" t="s">
        <v>626</v>
      </c>
      <c r="M467" t="s">
        <v>100</v>
      </c>
      <c r="N467" t="s">
        <v>30</v>
      </c>
      <c r="O467" t="s">
        <v>638</v>
      </c>
    </row>
    <row r="468" spans="1:15" x14ac:dyDescent="0.25">
      <c r="A468" t="s">
        <v>1163</v>
      </c>
      <c r="B468" t="s">
        <v>100</v>
      </c>
      <c r="C468" t="s">
        <v>621</v>
      </c>
      <c r="D468" t="s">
        <v>618</v>
      </c>
      <c r="E468" t="s">
        <v>622</v>
      </c>
      <c r="F468" s="213" t="s">
        <v>56</v>
      </c>
      <c r="G468" t="s">
        <v>66</v>
      </c>
      <c r="H468" t="s">
        <v>84</v>
      </c>
      <c r="I468" t="s">
        <v>623</v>
      </c>
      <c r="J468" t="s">
        <v>56</v>
      </c>
      <c r="K468" t="s">
        <v>10</v>
      </c>
      <c r="L468" t="s">
        <v>714</v>
      </c>
      <c r="M468" t="s">
        <v>100</v>
      </c>
      <c r="N468" t="s">
        <v>66</v>
      </c>
      <c r="O468" t="s">
        <v>642</v>
      </c>
    </row>
    <row r="469" spans="1:15" x14ac:dyDescent="0.25">
      <c r="A469" t="s">
        <v>1164</v>
      </c>
      <c r="B469" t="s">
        <v>100</v>
      </c>
      <c r="C469" t="s">
        <v>621</v>
      </c>
      <c r="D469" t="s">
        <v>618</v>
      </c>
      <c r="E469" t="s">
        <v>622</v>
      </c>
      <c r="F469" s="213" t="s">
        <v>56</v>
      </c>
      <c r="G469" t="s">
        <v>66</v>
      </c>
      <c r="H469" t="s">
        <v>84</v>
      </c>
      <c r="I469" t="s">
        <v>623</v>
      </c>
      <c r="J469" t="s">
        <v>56</v>
      </c>
      <c r="K469" t="s">
        <v>6</v>
      </c>
      <c r="L469" t="s">
        <v>665</v>
      </c>
      <c r="M469" t="s">
        <v>100</v>
      </c>
      <c r="N469" t="s">
        <v>52</v>
      </c>
      <c r="O469" t="s">
        <v>809</v>
      </c>
    </row>
    <row r="470" spans="1:15" x14ac:dyDescent="0.25">
      <c r="A470" t="s">
        <v>1165</v>
      </c>
      <c r="B470" t="s">
        <v>100</v>
      </c>
      <c r="C470" t="s">
        <v>621</v>
      </c>
      <c r="D470" t="s">
        <v>618</v>
      </c>
      <c r="E470" t="s">
        <v>622</v>
      </c>
      <c r="F470" s="213" t="s">
        <v>56</v>
      </c>
      <c r="G470" t="s">
        <v>66</v>
      </c>
      <c r="H470" t="s">
        <v>84</v>
      </c>
      <c r="I470" t="s">
        <v>623</v>
      </c>
      <c r="J470" t="s">
        <v>56</v>
      </c>
      <c r="K470" t="s">
        <v>4</v>
      </c>
      <c r="L470" t="s">
        <v>642</v>
      </c>
      <c r="M470" t="s">
        <v>100</v>
      </c>
      <c r="N470" t="s">
        <v>83</v>
      </c>
      <c r="O470" t="s">
        <v>33</v>
      </c>
    </row>
    <row r="471" spans="1:15" x14ac:dyDescent="0.25">
      <c r="A471" t="s">
        <v>1166</v>
      </c>
      <c r="B471" t="s">
        <v>100</v>
      </c>
      <c r="C471" t="s">
        <v>621</v>
      </c>
      <c r="D471" t="s">
        <v>618</v>
      </c>
      <c r="E471" t="s">
        <v>622</v>
      </c>
      <c r="F471" s="213" t="s">
        <v>56</v>
      </c>
      <c r="G471" t="s">
        <v>66</v>
      </c>
      <c r="H471" t="s">
        <v>84</v>
      </c>
      <c r="I471" t="s">
        <v>623</v>
      </c>
      <c r="J471" t="s">
        <v>56</v>
      </c>
      <c r="K471" t="s">
        <v>2</v>
      </c>
      <c r="L471" t="s">
        <v>635</v>
      </c>
      <c r="M471" t="s">
        <v>100</v>
      </c>
      <c r="N471" t="s">
        <v>85</v>
      </c>
      <c r="O471" t="s">
        <v>900</v>
      </c>
    </row>
    <row r="472" spans="1:15" x14ac:dyDescent="0.25">
      <c r="A472" t="s">
        <v>1167</v>
      </c>
      <c r="B472" t="s">
        <v>100</v>
      </c>
      <c r="C472" t="s">
        <v>621</v>
      </c>
      <c r="D472" t="s">
        <v>618</v>
      </c>
      <c r="E472" t="s">
        <v>622</v>
      </c>
      <c r="F472" s="213" t="s">
        <v>56</v>
      </c>
      <c r="G472" t="s">
        <v>66</v>
      </c>
      <c r="H472" t="s">
        <v>84</v>
      </c>
      <c r="I472" t="s">
        <v>623</v>
      </c>
      <c r="J472" t="s">
        <v>56</v>
      </c>
      <c r="K472" t="s">
        <v>0</v>
      </c>
      <c r="L472" t="s">
        <v>637</v>
      </c>
      <c r="M472" t="s">
        <v>100</v>
      </c>
      <c r="N472" t="s">
        <v>82</v>
      </c>
      <c r="O472" t="s">
        <v>822</v>
      </c>
    </row>
    <row r="473" spans="1:15" x14ac:dyDescent="0.25">
      <c r="A473" t="s">
        <v>1168</v>
      </c>
      <c r="B473" t="s">
        <v>100</v>
      </c>
      <c r="C473" t="s">
        <v>621</v>
      </c>
      <c r="D473" t="s">
        <v>618</v>
      </c>
      <c r="E473" t="s">
        <v>622</v>
      </c>
      <c r="F473" s="213" t="s">
        <v>56</v>
      </c>
      <c r="G473" t="s">
        <v>66</v>
      </c>
      <c r="H473" t="s">
        <v>84</v>
      </c>
      <c r="I473" t="s">
        <v>623</v>
      </c>
      <c r="J473" t="s">
        <v>56</v>
      </c>
      <c r="K473" t="s">
        <v>12</v>
      </c>
      <c r="L473" t="s">
        <v>827</v>
      </c>
      <c r="M473" t="s">
        <v>100</v>
      </c>
      <c r="N473" t="s">
        <v>51</v>
      </c>
      <c r="O473" t="s">
        <v>814</v>
      </c>
    </row>
    <row r="474" spans="1:15" x14ac:dyDescent="0.25">
      <c r="A474" t="s">
        <v>1169</v>
      </c>
      <c r="B474" t="s">
        <v>100</v>
      </c>
      <c r="C474" t="s">
        <v>621</v>
      </c>
      <c r="D474" t="s">
        <v>618</v>
      </c>
      <c r="E474" t="s">
        <v>622</v>
      </c>
      <c r="F474" s="213" t="s">
        <v>56</v>
      </c>
      <c r="G474" t="s">
        <v>66</v>
      </c>
      <c r="H474" t="s">
        <v>84</v>
      </c>
      <c r="I474" t="s">
        <v>623</v>
      </c>
      <c r="J474" t="s">
        <v>56</v>
      </c>
      <c r="K474" t="s">
        <v>14</v>
      </c>
      <c r="L474" t="s">
        <v>650</v>
      </c>
      <c r="M474" t="s">
        <v>100</v>
      </c>
      <c r="N474" t="s">
        <v>79</v>
      </c>
      <c r="O474" t="s">
        <v>418</v>
      </c>
    </row>
    <row r="475" spans="1:15" x14ac:dyDescent="0.25">
      <c r="A475" t="s">
        <v>1170</v>
      </c>
      <c r="B475" t="s">
        <v>100</v>
      </c>
      <c r="C475" t="s">
        <v>621</v>
      </c>
      <c r="D475" t="s">
        <v>618</v>
      </c>
      <c r="E475" t="s">
        <v>622</v>
      </c>
      <c r="F475" s="213" t="s">
        <v>56</v>
      </c>
      <c r="G475" t="s">
        <v>66</v>
      </c>
      <c r="H475" t="s">
        <v>84</v>
      </c>
      <c r="I475" t="s">
        <v>623</v>
      </c>
      <c r="J475" t="s">
        <v>56</v>
      </c>
      <c r="K475" t="s">
        <v>16</v>
      </c>
      <c r="L475" t="s">
        <v>822</v>
      </c>
      <c r="M475" t="s">
        <v>100</v>
      </c>
      <c r="N475" t="s">
        <v>4</v>
      </c>
      <c r="O475" t="s">
        <v>1094</v>
      </c>
    </row>
    <row r="476" spans="1:15" x14ac:dyDescent="0.25">
      <c r="A476" t="s">
        <v>1171</v>
      </c>
      <c r="B476" t="s">
        <v>100</v>
      </c>
      <c r="C476" t="s">
        <v>621</v>
      </c>
      <c r="D476" t="s">
        <v>618</v>
      </c>
      <c r="E476" t="s">
        <v>622</v>
      </c>
      <c r="F476" s="213" t="s">
        <v>56</v>
      </c>
      <c r="G476" t="s">
        <v>66</v>
      </c>
      <c r="H476" t="s">
        <v>84</v>
      </c>
      <c r="I476" t="s">
        <v>623</v>
      </c>
      <c r="J476" t="s">
        <v>56</v>
      </c>
      <c r="K476" t="s">
        <v>18</v>
      </c>
      <c r="L476" t="s">
        <v>1172</v>
      </c>
      <c r="M476" t="s">
        <v>100</v>
      </c>
      <c r="N476" t="s">
        <v>36</v>
      </c>
      <c r="O476" t="s">
        <v>716</v>
      </c>
    </row>
    <row r="477" spans="1:15" x14ac:dyDescent="0.25">
      <c r="A477" t="s">
        <v>1173</v>
      </c>
      <c r="B477" t="s">
        <v>100</v>
      </c>
      <c r="C477" t="s">
        <v>621</v>
      </c>
      <c r="D477" t="s">
        <v>618</v>
      </c>
      <c r="E477" t="s">
        <v>622</v>
      </c>
      <c r="F477" s="213" t="s">
        <v>56</v>
      </c>
      <c r="G477" t="s">
        <v>66</v>
      </c>
      <c r="H477" t="s">
        <v>84</v>
      </c>
      <c r="I477" t="s">
        <v>623</v>
      </c>
      <c r="J477" t="s">
        <v>56</v>
      </c>
      <c r="K477" t="s">
        <v>12</v>
      </c>
      <c r="L477" t="s">
        <v>46</v>
      </c>
      <c r="M477" t="s">
        <v>100</v>
      </c>
      <c r="N477" t="s">
        <v>12</v>
      </c>
      <c r="O477" t="s">
        <v>636</v>
      </c>
    </row>
    <row r="478" spans="1:15" x14ac:dyDescent="0.25">
      <c r="A478" t="s">
        <v>1174</v>
      </c>
      <c r="B478" t="s">
        <v>100</v>
      </c>
      <c r="C478" t="s">
        <v>621</v>
      </c>
      <c r="D478" t="s">
        <v>618</v>
      </c>
      <c r="E478" t="s">
        <v>622</v>
      </c>
      <c r="F478" s="213" t="s">
        <v>56</v>
      </c>
      <c r="G478" t="s">
        <v>66</v>
      </c>
      <c r="H478" t="s">
        <v>84</v>
      </c>
      <c r="I478" t="s">
        <v>623</v>
      </c>
      <c r="J478" t="s">
        <v>56</v>
      </c>
      <c r="K478" t="s">
        <v>14</v>
      </c>
      <c r="L478" t="s">
        <v>38</v>
      </c>
      <c r="M478" t="s">
        <v>100</v>
      </c>
      <c r="N478" t="s">
        <v>63</v>
      </c>
      <c r="O478" t="s">
        <v>643</v>
      </c>
    </row>
    <row r="479" spans="1:15" x14ac:dyDescent="0.25">
      <c r="A479" t="s">
        <v>1175</v>
      </c>
      <c r="B479" t="s">
        <v>100</v>
      </c>
      <c r="C479" t="s">
        <v>621</v>
      </c>
      <c r="D479" t="s">
        <v>618</v>
      </c>
      <c r="E479" t="s">
        <v>622</v>
      </c>
      <c r="F479" s="213" t="s">
        <v>56</v>
      </c>
      <c r="G479" t="s">
        <v>66</v>
      </c>
      <c r="H479" t="s">
        <v>84</v>
      </c>
      <c r="I479" t="s">
        <v>623</v>
      </c>
      <c r="J479" t="s">
        <v>56</v>
      </c>
      <c r="K479" t="s">
        <v>13</v>
      </c>
      <c r="L479" t="s">
        <v>626</v>
      </c>
      <c r="M479" t="s">
        <v>100</v>
      </c>
      <c r="N479" t="s">
        <v>33</v>
      </c>
      <c r="O479" t="s">
        <v>781</v>
      </c>
    </row>
    <row r="480" spans="1:15" x14ac:dyDescent="0.25">
      <c r="A480" t="s">
        <v>1176</v>
      </c>
      <c r="B480" t="s">
        <v>100</v>
      </c>
      <c r="C480" t="s">
        <v>621</v>
      </c>
      <c r="D480" t="s">
        <v>618</v>
      </c>
      <c r="E480" t="s">
        <v>622</v>
      </c>
      <c r="F480" s="213" t="s">
        <v>56</v>
      </c>
      <c r="G480" t="s">
        <v>66</v>
      </c>
      <c r="H480" t="s">
        <v>84</v>
      </c>
      <c r="I480" t="s">
        <v>623</v>
      </c>
      <c r="J480" t="s">
        <v>56</v>
      </c>
      <c r="K480" t="s">
        <v>9</v>
      </c>
      <c r="L480" t="s">
        <v>714</v>
      </c>
      <c r="M480" t="s">
        <v>100</v>
      </c>
      <c r="N480" t="s">
        <v>25</v>
      </c>
      <c r="O480" t="s">
        <v>705</v>
      </c>
    </row>
    <row r="481" spans="1:15" x14ac:dyDescent="0.25">
      <c r="A481" t="s">
        <v>1177</v>
      </c>
      <c r="B481" t="s">
        <v>100</v>
      </c>
      <c r="C481" t="s">
        <v>621</v>
      </c>
      <c r="D481" t="s">
        <v>618</v>
      </c>
      <c r="E481" t="s">
        <v>622</v>
      </c>
      <c r="F481" s="213" t="s">
        <v>56</v>
      </c>
      <c r="G481" t="s">
        <v>66</v>
      </c>
      <c r="H481" t="s">
        <v>84</v>
      </c>
      <c r="I481" t="s">
        <v>623</v>
      </c>
      <c r="J481" t="s">
        <v>56</v>
      </c>
      <c r="K481" t="s">
        <v>5</v>
      </c>
      <c r="L481" t="s">
        <v>625</v>
      </c>
      <c r="M481" t="s">
        <v>100</v>
      </c>
      <c r="N481" t="s">
        <v>55</v>
      </c>
      <c r="O481" t="s">
        <v>639</v>
      </c>
    </row>
    <row r="482" spans="1:15" x14ac:dyDescent="0.25">
      <c r="A482" t="s">
        <v>1178</v>
      </c>
      <c r="B482" t="s">
        <v>100</v>
      </c>
      <c r="C482" t="s">
        <v>621</v>
      </c>
      <c r="D482" t="s">
        <v>618</v>
      </c>
      <c r="E482" t="s">
        <v>622</v>
      </c>
      <c r="F482" s="213" t="s">
        <v>56</v>
      </c>
      <c r="G482" t="s">
        <v>66</v>
      </c>
      <c r="H482" t="s">
        <v>84</v>
      </c>
      <c r="I482" t="s">
        <v>623</v>
      </c>
      <c r="J482" t="s">
        <v>56</v>
      </c>
      <c r="K482" t="s">
        <v>3</v>
      </c>
      <c r="L482" t="s">
        <v>629</v>
      </c>
      <c r="M482" t="s">
        <v>100</v>
      </c>
      <c r="N482" t="s">
        <v>46</v>
      </c>
      <c r="O482" t="s">
        <v>735</v>
      </c>
    </row>
    <row r="483" spans="1:15" x14ac:dyDescent="0.25">
      <c r="A483" t="s">
        <v>1179</v>
      </c>
      <c r="B483" t="s">
        <v>100</v>
      </c>
      <c r="C483" t="s">
        <v>621</v>
      </c>
      <c r="D483" t="s">
        <v>618</v>
      </c>
      <c r="E483" t="s">
        <v>622</v>
      </c>
      <c r="F483" s="213" t="s">
        <v>56</v>
      </c>
      <c r="G483" t="s">
        <v>66</v>
      </c>
      <c r="H483" t="s">
        <v>84</v>
      </c>
      <c r="I483" t="s">
        <v>623</v>
      </c>
      <c r="J483" t="s">
        <v>56</v>
      </c>
      <c r="K483" t="s">
        <v>1</v>
      </c>
      <c r="L483" t="s">
        <v>635</v>
      </c>
      <c r="M483" t="s">
        <v>100</v>
      </c>
      <c r="N483" t="s">
        <v>37</v>
      </c>
      <c r="O483" t="s">
        <v>716</v>
      </c>
    </row>
    <row r="484" spans="1:15" x14ac:dyDescent="0.25">
      <c r="A484" t="s">
        <v>1180</v>
      </c>
      <c r="B484" t="s">
        <v>100</v>
      </c>
      <c r="C484" t="s">
        <v>621</v>
      </c>
      <c r="D484" t="s">
        <v>618</v>
      </c>
      <c r="E484" t="s">
        <v>622</v>
      </c>
      <c r="F484" s="213" t="s">
        <v>56</v>
      </c>
      <c r="G484" t="s">
        <v>66</v>
      </c>
      <c r="H484" t="s">
        <v>84</v>
      </c>
      <c r="I484" t="s">
        <v>623</v>
      </c>
      <c r="J484" t="s">
        <v>56</v>
      </c>
      <c r="K484" t="s">
        <v>100</v>
      </c>
      <c r="L484" t="s">
        <v>656</v>
      </c>
      <c r="M484" t="s">
        <v>100</v>
      </c>
      <c r="N484" t="s">
        <v>81</v>
      </c>
      <c r="O484" t="s">
        <v>1181</v>
      </c>
    </row>
    <row r="485" spans="1:15" x14ac:dyDescent="0.25">
      <c r="A485" t="s">
        <v>1182</v>
      </c>
      <c r="B485" t="s">
        <v>100</v>
      </c>
      <c r="C485" t="s">
        <v>621</v>
      </c>
      <c r="D485" t="s">
        <v>618</v>
      </c>
      <c r="E485" t="s">
        <v>622</v>
      </c>
      <c r="F485" s="213" t="s">
        <v>56</v>
      </c>
      <c r="G485" t="s">
        <v>66</v>
      </c>
      <c r="H485" t="s">
        <v>84</v>
      </c>
      <c r="I485" t="s">
        <v>623</v>
      </c>
      <c r="J485" t="s">
        <v>56</v>
      </c>
      <c r="K485" t="s">
        <v>12</v>
      </c>
      <c r="L485" t="s">
        <v>900</v>
      </c>
      <c r="M485" t="s">
        <v>100</v>
      </c>
      <c r="N485" t="s">
        <v>9</v>
      </c>
      <c r="O485" t="s">
        <v>1183</v>
      </c>
    </row>
    <row r="486" spans="1:15" x14ac:dyDescent="0.25">
      <c r="A486" t="s">
        <v>1184</v>
      </c>
      <c r="B486" t="s">
        <v>100</v>
      </c>
      <c r="C486" t="s">
        <v>621</v>
      </c>
      <c r="D486" t="s">
        <v>618</v>
      </c>
      <c r="E486" t="s">
        <v>622</v>
      </c>
      <c r="F486" s="213" t="s">
        <v>56</v>
      </c>
      <c r="G486" t="s">
        <v>66</v>
      </c>
      <c r="H486" t="s">
        <v>84</v>
      </c>
      <c r="I486" t="s">
        <v>623</v>
      </c>
      <c r="J486" t="s">
        <v>56</v>
      </c>
      <c r="K486" t="s">
        <v>14</v>
      </c>
      <c r="L486" t="s">
        <v>1077</v>
      </c>
      <c r="M486" t="s">
        <v>100</v>
      </c>
      <c r="N486" t="s">
        <v>1</v>
      </c>
      <c r="O486" t="s">
        <v>1158</v>
      </c>
    </row>
    <row r="487" spans="1:15" x14ac:dyDescent="0.25">
      <c r="A487" t="s">
        <v>1185</v>
      </c>
      <c r="B487" t="s">
        <v>100</v>
      </c>
      <c r="C487" t="s">
        <v>621</v>
      </c>
      <c r="D487" t="s">
        <v>618</v>
      </c>
      <c r="E487" t="s">
        <v>622</v>
      </c>
      <c r="F487" s="213" t="s">
        <v>56</v>
      </c>
      <c r="G487" t="s">
        <v>66</v>
      </c>
      <c r="H487" t="s">
        <v>84</v>
      </c>
      <c r="I487" t="s">
        <v>623</v>
      </c>
      <c r="J487" t="s">
        <v>56</v>
      </c>
      <c r="K487" t="s">
        <v>16</v>
      </c>
      <c r="L487" t="s">
        <v>878</v>
      </c>
      <c r="M487" t="s">
        <v>100</v>
      </c>
      <c r="N487" t="s">
        <v>58</v>
      </c>
      <c r="O487" t="s">
        <v>637</v>
      </c>
    </row>
    <row r="488" spans="1:15" x14ac:dyDescent="0.25">
      <c r="A488" t="s">
        <v>1186</v>
      </c>
      <c r="B488" t="s">
        <v>100</v>
      </c>
      <c r="C488" t="s">
        <v>621</v>
      </c>
      <c r="D488" t="s">
        <v>618</v>
      </c>
      <c r="E488" t="s">
        <v>622</v>
      </c>
      <c r="F488" s="213" t="s">
        <v>56</v>
      </c>
      <c r="G488" t="s">
        <v>66</v>
      </c>
      <c r="H488" t="s">
        <v>84</v>
      </c>
      <c r="I488" t="s">
        <v>623</v>
      </c>
      <c r="J488" t="s">
        <v>56</v>
      </c>
      <c r="K488" t="s">
        <v>18</v>
      </c>
      <c r="L488" t="s">
        <v>101</v>
      </c>
      <c r="M488" t="s">
        <v>100</v>
      </c>
      <c r="N488" t="s">
        <v>21</v>
      </c>
      <c r="O488" t="s">
        <v>1133</v>
      </c>
    </row>
    <row r="489" spans="1:15" x14ac:dyDescent="0.25">
      <c r="A489" t="s">
        <v>1187</v>
      </c>
      <c r="B489" t="s">
        <v>100</v>
      </c>
      <c r="C489" t="s">
        <v>621</v>
      </c>
      <c r="D489" t="s">
        <v>618</v>
      </c>
      <c r="E489" t="s">
        <v>622</v>
      </c>
      <c r="F489" s="213" t="s">
        <v>56</v>
      </c>
      <c r="G489" t="s">
        <v>66</v>
      </c>
      <c r="H489" t="s">
        <v>84</v>
      </c>
      <c r="I489" t="s">
        <v>623</v>
      </c>
      <c r="J489" t="s">
        <v>56</v>
      </c>
      <c r="K489" t="s">
        <v>12</v>
      </c>
      <c r="L489" t="s">
        <v>42</v>
      </c>
      <c r="M489" t="s">
        <v>100</v>
      </c>
      <c r="N489" t="s">
        <v>13</v>
      </c>
      <c r="O489" t="s">
        <v>636</v>
      </c>
    </row>
    <row r="490" spans="1:15" x14ac:dyDescent="0.25">
      <c r="A490" t="s">
        <v>1188</v>
      </c>
      <c r="B490" t="s">
        <v>100</v>
      </c>
      <c r="C490" t="s">
        <v>621</v>
      </c>
      <c r="D490" t="s">
        <v>618</v>
      </c>
      <c r="E490" t="s">
        <v>622</v>
      </c>
      <c r="F490" s="213" t="s">
        <v>56</v>
      </c>
      <c r="G490" t="s">
        <v>66</v>
      </c>
      <c r="H490" t="s">
        <v>84</v>
      </c>
      <c r="I490" t="s">
        <v>623</v>
      </c>
      <c r="J490" t="s">
        <v>56</v>
      </c>
      <c r="K490" t="s">
        <v>14</v>
      </c>
      <c r="L490" t="s">
        <v>33</v>
      </c>
      <c r="M490" t="s">
        <v>100</v>
      </c>
      <c r="N490" t="s">
        <v>63</v>
      </c>
      <c r="O490" t="s">
        <v>888</v>
      </c>
    </row>
    <row r="491" spans="1:15" x14ac:dyDescent="0.25">
      <c r="A491" t="s">
        <v>1189</v>
      </c>
      <c r="B491" t="s">
        <v>100</v>
      </c>
      <c r="C491" t="s">
        <v>621</v>
      </c>
      <c r="D491" t="s">
        <v>618</v>
      </c>
      <c r="E491" t="s">
        <v>622</v>
      </c>
      <c r="F491" s="213" t="s">
        <v>56</v>
      </c>
      <c r="G491" t="s">
        <v>66</v>
      </c>
      <c r="H491" t="s">
        <v>84</v>
      </c>
      <c r="I491" t="s">
        <v>623</v>
      </c>
      <c r="J491" t="s">
        <v>56</v>
      </c>
      <c r="K491" t="s">
        <v>12</v>
      </c>
      <c r="L491" t="s">
        <v>626</v>
      </c>
      <c r="M491" t="s">
        <v>100</v>
      </c>
      <c r="N491" t="s">
        <v>34</v>
      </c>
      <c r="O491" t="s">
        <v>672</v>
      </c>
    </row>
    <row r="492" spans="1:15" x14ac:dyDescent="0.25">
      <c r="A492" t="s">
        <v>1190</v>
      </c>
      <c r="B492" t="s">
        <v>100</v>
      </c>
      <c r="C492" t="s">
        <v>621</v>
      </c>
      <c r="D492" t="s">
        <v>618</v>
      </c>
      <c r="E492" t="s">
        <v>622</v>
      </c>
      <c r="F492" s="213" t="s">
        <v>56</v>
      </c>
      <c r="G492" t="s">
        <v>66</v>
      </c>
      <c r="H492" t="s">
        <v>84</v>
      </c>
      <c r="I492" t="s">
        <v>623</v>
      </c>
      <c r="J492" t="s">
        <v>56</v>
      </c>
      <c r="K492" t="s">
        <v>8</v>
      </c>
      <c r="L492" t="s">
        <v>714</v>
      </c>
      <c r="M492" t="s">
        <v>100</v>
      </c>
      <c r="N492" t="s">
        <v>48</v>
      </c>
      <c r="O492" t="s">
        <v>749</v>
      </c>
    </row>
    <row r="493" spans="1:15" x14ac:dyDescent="0.25">
      <c r="A493" t="s">
        <v>1191</v>
      </c>
      <c r="B493" t="s">
        <v>100</v>
      </c>
      <c r="C493" t="s">
        <v>621</v>
      </c>
      <c r="D493" t="s">
        <v>618</v>
      </c>
      <c r="E493" t="s">
        <v>622</v>
      </c>
      <c r="F493" s="213" t="s">
        <v>56</v>
      </c>
      <c r="G493" t="s">
        <v>66</v>
      </c>
      <c r="H493" t="s">
        <v>84</v>
      </c>
      <c r="I493" t="s">
        <v>623</v>
      </c>
      <c r="J493" t="s">
        <v>56</v>
      </c>
      <c r="K493" t="s">
        <v>5</v>
      </c>
      <c r="L493" t="s">
        <v>665</v>
      </c>
      <c r="M493" t="s">
        <v>100</v>
      </c>
      <c r="N493" t="s">
        <v>56</v>
      </c>
      <c r="O493" t="s">
        <v>639</v>
      </c>
    </row>
    <row r="494" spans="1:15" x14ac:dyDescent="0.25">
      <c r="A494" t="s">
        <v>1192</v>
      </c>
      <c r="B494" t="s">
        <v>100</v>
      </c>
      <c r="C494" t="s">
        <v>621</v>
      </c>
      <c r="D494" t="s">
        <v>618</v>
      </c>
      <c r="E494" t="s">
        <v>622</v>
      </c>
      <c r="F494" s="213" t="s">
        <v>56</v>
      </c>
      <c r="G494" t="s">
        <v>66</v>
      </c>
      <c r="H494" t="s">
        <v>84</v>
      </c>
      <c r="I494" t="s">
        <v>623</v>
      </c>
      <c r="J494" t="s">
        <v>56</v>
      </c>
      <c r="K494" t="s">
        <v>3</v>
      </c>
      <c r="L494" t="s">
        <v>642</v>
      </c>
      <c r="M494" t="s">
        <v>100</v>
      </c>
      <c r="N494" t="s">
        <v>88</v>
      </c>
      <c r="O494" t="s">
        <v>48</v>
      </c>
    </row>
    <row r="495" spans="1:15" x14ac:dyDescent="0.25">
      <c r="A495" t="s">
        <v>1193</v>
      </c>
      <c r="B495" t="s">
        <v>100</v>
      </c>
      <c r="C495" t="s">
        <v>621</v>
      </c>
      <c r="D495" t="s">
        <v>618</v>
      </c>
      <c r="E495" t="s">
        <v>622</v>
      </c>
      <c r="F495" s="213" t="s">
        <v>56</v>
      </c>
      <c r="G495" t="s">
        <v>66</v>
      </c>
      <c r="H495" t="s">
        <v>84</v>
      </c>
      <c r="I495" t="s">
        <v>623</v>
      </c>
      <c r="J495" t="s">
        <v>56</v>
      </c>
      <c r="K495" t="s">
        <v>1</v>
      </c>
      <c r="L495" t="s">
        <v>888</v>
      </c>
      <c r="M495" t="s">
        <v>100</v>
      </c>
      <c r="N495" t="s">
        <v>73</v>
      </c>
      <c r="O495" t="s">
        <v>665</v>
      </c>
    </row>
    <row r="496" spans="1:15" x14ac:dyDescent="0.25">
      <c r="A496" t="s">
        <v>1194</v>
      </c>
      <c r="B496" t="s">
        <v>100</v>
      </c>
      <c r="C496" t="s">
        <v>621</v>
      </c>
      <c r="D496" t="s">
        <v>618</v>
      </c>
      <c r="E496" t="s">
        <v>622</v>
      </c>
      <c r="F496" s="213" t="s">
        <v>56</v>
      </c>
      <c r="G496" t="s">
        <v>66</v>
      </c>
      <c r="H496" t="s">
        <v>84</v>
      </c>
      <c r="I496" t="s">
        <v>623</v>
      </c>
      <c r="J496" t="s">
        <v>56</v>
      </c>
      <c r="K496" t="s">
        <v>100</v>
      </c>
      <c r="L496" t="s">
        <v>637</v>
      </c>
      <c r="M496" t="s">
        <v>100</v>
      </c>
      <c r="N496" t="s">
        <v>83</v>
      </c>
      <c r="O496" t="s">
        <v>24</v>
      </c>
    </row>
    <row r="497" spans="1:15" x14ac:dyDescent="0.25">
      <c r="A497" t="s">
        <v>1195</v>
      </c>
      <c r="B497" t="s">
        <v>100</v>
      </c>
      <c r="C497" t="s">
        <v>621</v>
      </c>
      <c r="D497" t="s">
        <v>618</v>
      </c>
      <c r="E497" t="s">
        <v>622</v>
      </c>
      <c r="F497" s="213" t="s">
        <v>56</v>
      </c>
      <c r="G497" t="s">
        <v>66</v>
      </c>
      <c r="H497" t="s">
        <v>84</v>
      </c>
      <c r="I497" t="s">
        <v>623</v>
      </c>
      <c r="J497" t="s">
        <v>56</v>
      </c>
      <c r="K497" t="s">
        <v>11</v>
      </c>
      <c r="L497" t="s">
        <v>729</v>
      </c>
      <c r="M497" t="s">
        <v>100</v>
      </c>
      <c r="N497" t="s">
        <v>10</v>
      </c>
      <c r="O497" t="s">
        <v>1183</v>
      </c>
    </row>
    <row r="498" spans="1:15" x14ac:dyDescent="0.25">
      <c r="A498" t="s">
        <v>1196</v>
      </c>
      <c r="B498" t="s">
        <v>100</v>
      </c>
      <c r="C498" t="s">
        <v>621</v>
      </c>
      <c r="D498" t="s">
        <v>618</v>
      </c>
      <c r="E498" t="s">
        <v>622</v>
      </c>
      <c r="F498" s="213" t="s">
        <v>56</v>
      </c>
      <c r="G498" t="s">
        <v>66</v>
      </c>
      <c r="H498" t="s">
        <v>84</v>
      </c>
      <c r="I498" t="s">
        <v>623</v>
      </c>
      <c r="J498" t="s">
        <v>56</v>
      </c>
      <c r="K498" t="s">
        <v>13</v>
      </c>
      <c r="L498" t="s">
        <v>1077</v>
      </c>
      <c r="M498" t="s">
        <v>100</v>
      </c>
      <c r="N498" t="s">
        <v>42</v>
      </c>
      <c r="O498" t="s">
        <v>765</v>
      </c>
    </row>
    <row r="499" spans="1:15" x14ac:dyDescent="0.25">
      <c r="A499" t="s">
        <v>1197</v>
      </c>
      <c r="B499" t="s">
        <v>100</v>
      </c>
      <c r="C499" t="s">
        <v>621</v>
      </c>
      <c r="D499" t="s">
        <v>618</v>
      </c>
      <c r="E499" t="s">
        <v>622</v>
      </c>
      <c r="F499" s="213" t="s">
        <v>56</v>
      </c>
      <c r="G499" t="s">
        <v>66</v>
      </c>
      <c r="H499" t="s">
        <v>84</v>
      </c>
      <c r="I499" t="s">
        <v>623</v>
      </c>
      <c r="J499" t="s">
        <v>56</v>
      </c>
      <c r="K499" t="s">
        <v>15</v>
      </c>
      <c r="L499" t="s">
        <v>786</v>
      </c>
      <c r="M499" t="s">
        <v>100</v>
      </c>
      <c r="N499" t="s">
        <v>69</v>
      </c>
      <c r="O499" t="s">
        <v>632</v>
      </c>
    </row>
    <row r="500" spans="1:15" x14ac:dyDescent="0.25">
      <c r="A500" t="s">
        <v>1198</v>
      </c>
      <c r="B500" t="s">
        <v>100</v>
      </c>
      <c r="C500" t="s">
        <v>621</v>
      </c>
      <c r="D500" t="s">
        <v>618</v>
      </c>
      <c r="E500" t="s">
        <v>622</v>
      </c>
      <c r="F500" s="213" t="s">
        <v>56</v>
      </c>
      <c r="G500" t="s">
        <v>66</v>
      </c>
      <c r="H500" t="s">
        <v>84</v>
      </c>
      <c r="I500" t="s">
        <v>623</v>
      </c>
      <c r="J500" t="s">
        <v>56</v>
      </c>
      <c r="K500" t="s">
        <v>17</v>
      </c>
      <c r="L500" t="s">
        <v>101</v>
      </c>
      <c r="M500" t="s">
        <v>100</v>
      </c>
      <c r="N500" t="s">
        <v>22</v>
      </c>
      <c r="O500" t="s">
        <v>1133</v>
      </c>
    </row>
    <row r="501" spans="1:15" x14ac:dyDescent="0.25">
      <c r="A501" t="s">
        <v>1199</v>
      </c>
      <c r="B501" t="s">
        <v>100</v>
      </c>
      <c r="C501" t="s">
        <v>621</v>
      </c>
      <c r="D501" t="s">
        <v>618</v>
      </c>
      <c r="E501" t="s">
        <v>622</v>
      </c>
      <c r="F501" s="213" t="s">
        <v>56</v>
      </c>
      <c r="G501" t="s">
        <v>66</v>
      </c>
      <c r="H501" t="s">
        <v>84</v>
      </c>
      <c r="I501" t="s">
        <v>623</v>
      </c>
      <c r="J501" t="s">
        <v>56</v>
      </c>
      <c r="K501" t="s">
        <v>11</v>
      </c>
      <c r="L501" t="s">
        <v>43</v>
      </c>
      <c r="M501" t="s">
        <v>100</v>
      </c>
      <c r="N501" t="s">
        <v>49</v>
      </c>
      <c r="O501" t="s">
        <v>693</v>
      </c>
    </row>
    <row r="502" spans="1:15" x14ac:dyDescent="0.25">
      <c r="A502" t="s">
        <v>1200</v>
      </c>
      <c r="B502" t="s">
        <v>100</v>
      </c>
      <c r="C502" t="s">
        <v>621</v>
      </c>
      <c r="D502" t="s">
        <v>618</v>
      </c>
      <c r="E502" t="s">
        <v>622</v>
      </c>
      <c r="F502" s="213" t="s">
        <v>56</v>
      </c>
      <c r="G502" t="s">
        <v>66</v>
      </c>
      <c r="H502" t="s">
        <v>84</v>
      </c>
      <c r="I502" t="s">
        <v>623</v>
      </c>
      <c r="J502" t="s">
        <v>56</v>
      </c>
      <c r="K502" t="s">
        <v>11</v>
      </c>
      <c r="L502" t="s">
        <v>626</v>
      </c>
      <c r="M502" t="s">
        <v>100</v>
      </c>
      <c r="N502" t="s">
        <v>31</v>
      </c>
      <c r="O502" t="s">
        <v>875</v>
      </c>
    </row>
    <row r="503" spans="1:15" x14ac:dyDescent="0.25">
      <c r="A503" t="s">
        <v>1201</v>
      </c>
      <c r="B503" t="s">
        <v>100</v>
      </c>
      <c r="C503" t="s">
        <v>621</v>
      </c>
      <c r="D503" t="s">
        <v>618</v>
      </c>
      <c r="E503" t="s">
        <v>622</v>
      </c>
      <c r="F503" s="213" t="s">
        <v>56</v>
      </c>
      <c r="G503" t="s">
        <v>66</v>
      </c>
      <c r="H503" t="s">
        <v>84</v>
      </c>
      <c r="I503" t="s">
        <v>623</v>
      </c>
      <c r="J503" t="s">
        <v>56</v>
      </c>
      <c r="K503" t="s">
        <v>9</v>
      </c>
      <c r="L503" t="s">
        <v>628</v>
      </c>
      <c r="M503" t="s">
        <v>100</v>
      </c>
      <c r="N503" t="s">
        <v>35</v>
      </c>
      <c r="O503" t="s">
        <v>672</v>
      </c>
    </row>
    <row r="504" spans="1:15" x14ac:dyDescent="0.25">
      <c r="A504" t="s">
        <v>1202</v>
      </c>
      <c r="B504" t="s">
        <v>100</v>
      </c>
      <c r="C504" t="s">
        <v>621</v>
      </c>
      <c r="D504" t="s">
        <v>618</v>
      </c>
      <c r="E504" t="s">
        <v>622</v>
      </c>
      <c r="F504" s="213" t="s">
        <v>56</v>
      </c>
      <c r="G504" t="s">
        <v>66</v>
      </c>
      <c r="H504" t="s">
        <v>84</v>
      </c>
      <c r="I504" t="s">
        <v>623</v>
      </c>
      <c r="J504" t="s">
        <v>56</v>
      </c>
      <c r="K504" t="s">
        <v>5</v>
      </c>
      <c r="L504" t="s">
        <v>630</v>
      </c>
      <c r="M504" t="s">
        <v>100</v>
      </c>
      <c r="N504" t="s">
        <v>51</v>
      </c>
      <c r="O504" t="s">
        <v>644</v>
      </c>
    </row>
    <row r="505" spans="1:15" x14ac:dyDescent="0.25">
      <c r="A505" t="s">
        <v>1203</v>
      </c>
      <c r="B505" t="s">
        <v>100</v>
      </c>
      <c r="C505" t="s">
        <v>621</v>
      </c>
      <c r="D505" t="s">
        <v>618</v>
      </c>
      <c r="E505" t="s">
        <v>622</v>
      </c>
      <c r="F505" s="213" t="s">
        <v>56</v>
      </c>
      <c r="G505" t="s">
        <v>66</v>
      </c>
      <c r="H505" t="s">
        <v>84</v>
      </c>
      <c r="I505" t="s">
        <v>623</v>
      </c>
      <c r="J505" t="s">
        <v>56</v>
      </c>
      <c r="K505" t="s">
        <v>3</v>
      </c>
      <c r="L505" t="s">
        <v>632</v>
      </c>
      <c r="M505" t="s">
        <v>100</v>
      </c>
      <c r="N505" t="s">
        <v>36</v>
      </c>
      <c r="O505" t="s">
        <v>781</v>
      </c>
    </row>
    <row r="506" spans="1:15" x14ac:dyDescent="0.25">
      <c r="A506" t="s">
        <v>1204</v>
      </c>
      <c r="B506" t="s">
        <v>100</v>
      </c>
      <c r="C506" t="s">
        <v>621</v>
      </c>
      <c r="D506" t="s">
        <v>618</v>
      </c>
      <c r="E506" t="s">
        <v>622</v>
      </c>
      <c r="F506" s="213" t="s">
        <v>56</v>
      </c>
      <c r="G506" t="s">
        <v>66</v>
      </c>
      <c r="H506" t="s">
        <v>84</v>
      </c>
      <c r="I506" t="s">
        <v>623</v>
      </c>
      <c r="J506" t="s">
        <v>56</v>
      </c>
      <c r="K506" t="s">
        <v>1</v>
      </c>
      <c r="L506" t="s">
        <v>643</v>
      </c>
      <c r="M506" t="s">
        <v>100</v>
      </c>
      <c r="N506" t="s">
        <v>47</v>
      </c>
      <c r="O506" t="s">
        <v>627</v>
      </c>
    </row>
    <row r="507" spans="1:15" x14ac:dyDescent="0.25">
      <c r="A507" t="s">
        <v>1205</v>
      </c>
      <c r="B507" t="s">
        <v>100</v>
      </c>
      <c r="C507" t="s">
        <v>621</v>
      </c>
      <c r="D507" t="s">
        <v>618</v>
      </c>
      <c r="E507" t="s">
        <v>622</v>
      </c>
      <c r="F507" s="213" t="s">
        <v>56</v>
      </c>
      <c r="G507" t="s">
        <v>66</v>
      </c>
      <c r="H507" t="s">
        <v>84</v>
      </c>
      <c r="I507" t="s">
        <v>623</v>
      </c>
      <c r="J507" t="s">
        <v>56</v>
      </c>
      <c r="K507" t="s">
        <v>100</v>
      </c>
      <c r="L507" t="s">
        <v>685</v>
      </c>
      <c r="M507" t="s">
        <v>100</v>
      </c>
      <c r="N507" t="s">
        <v>75</v>
      </c>
      <c r="O507" t="s">
        <v>630</v>
      </c>
    </row>
    <row r="508" spans="1:15" x14ac:dyDescent="0.25">
      <c r="A508" t="s">
        <v>1206</v>
      </c>
      <c r="B508" t="s">
        <v>100</v>
      </c>
      <c r="C508" t="s">
        <v>621</v>
      </c>
      <c r="D508" t="s">
        <v>618</v>
      </c>
      <c r="E508" t="s">
        <v>622</v>
      </c>
      <c r="F508" s="213" t="s">
        <v>56</v>
      </c>
      <c r="G508" t="s">
        <v>66</v>
      </c>
      <c r="H508" t="s">
        <v>84</v>
      </c>
      <c r="I508" t="s">
        <v>623</v>
      </c>
      <c r="J508" t="s">
        <v>56</v>
      </c>
      <c r="K508" t="s">
        <v>10</v>
      </c>
      <c r="L508" t="s">
        <v>682</v>
      </c>
      <c r="M508" t="s">
        <v>100</v>
      </c>
      <c r="N508" t="s">
        <v>84</v>
      </c>
      <c r="O508" t="s">
        <v>786</v>
      </c>
    </row>
    <row r="509" spans="1:15" x14ac:dyDescent="0.25">
      <c r="A509" t="s">
        <v>1207</v>
      </c>
      <c r="B509" t="s">
        <v>100</v>
      </c>
      <c r="C509" t="s">
        <v>621</v>
      </c>
      <c r="D509" t="s">
        <v>618</v>
      </c>
      <c r="E509" t="s">
        <v>622</v>
      </c>
      <c r="F509" s="213" t="s">
        <v>56</v>
      </c>
      <c r="G509" t="s">
        <v>66</v>
      </c>
      <c r="H509" t="s">
        <v>84</v>
      </c>
      <c r="I509" t="s">
        <v>623</v>
      </c>
      <c r="J509" t="s">
        <v>56</v>
      </c>
      <c r="K509" t="s">
        <v>12</v>
      </c>
      <c r="L509" t="s">
        <v>1147</v>
      </c>
      <c r="M509" t="s">
        <v>100</v>
      </c>
      <c r="N509" t="s">
        <v>9</v>
      </c>
      <c r="O509" t="s">
        <v>1108</v>
      </c>
    </row>
    <row r="510" spans="1:15" x14ac:dyDescent="0.25">
      <c r="A510" t="s">
        <v>1208</v>
      </c>
      <c r="B510" t="s">
        <v>100</v>
      </c>
      <c r="C510" t="s">
        <v>621</v>
      </c>
      <c r="D510" t="s">
        <v>618</v>
      </c>
      <c r="E510" t="s">
        <v>622</v>
      </c>
      <c r="F510" s="213" t="s">
        <v>56</v>
      </c>
      <c r="G510" t="s">
        <v>66</v>
      </c>
      <c r="H510" t="s">
        <v>84</v>
      </c>
      <c r="I510" t="s">
        <v>623</v>
      </c>
      <c r="J510" t="s">
        <v>56</v>
      </c>
      <c r="K510" t="s">
        <v>14</v>
      </c>
      <c r="L510" t="s">
        <v>786</v>
      </c>
      <c r="M510" t="s">
        <v>100</v>
      </c>
      <c r="N510" t="s">
        <v>1</v>
      </c>
      <c r="O510" t="s">
        <v>1209</v>
      </c>
    </row>
    <row r="511" spans="1:15" x14ac:dyDescent="0.25">
      <c r="A511" t="s">
        <v>1210</v>
      </c>
      <c r="B511" t="s">
        <v>100</v>
      </c>
      <c r="C511" t="s">
        <v>621</v>
      </c>
      <c r="D511" t="s">
        <v>618</v>
      </c>
      <c r="E511" t="s">
        <v>622</v>
      </c>
      <c r="F511" s="213" t="s">
        <v>56</v>
      </c>
      <c r="G511" t="s">
        <v>66</v>
      </c>
      <c r="H511" t="s">
        <v>84</v>
      </c>
      <c r="I511" t="s">
        <v>623</v>
      </c>
      <c r="J511" t="s">
        <v>56</v>
      </c>
      <c r="K511" t="s">
        <v>16</v>
      </c>
      <c r="L511" t="s">
        <v>101</v>
      </c>
      <c r="M511" t="s">
        <v>100</v>
      </c>
      <c r="N511" t="s">
        <v>53</v>
      </c>
      <c r="O511" t="s">
        <v>662</v>
      </c>
    </row>
    <row r="512" spans="1:15" x14ac:dyDescent="0.25">
      <c r="A512" t="s">
        <v>1211</v>
      </c>
      <c r="B512" t="s">
        <v>100</v>
      </c>
      <c r="C512" t="s">
        <v>621</v>
      </c>
      <c r="D512" t="s">
        <v>618</v>
      </c>
      <c r="E512" t="s">
        <v>622</v>
      </c>
      <c r="F512" s="213" t="s">
        <v>56</v>
      </c>
      <c r="G512" t="s">
        <v>66</v>
      </c>
      <c r="H512" t="s">
        <v>84</v>
      </c>
      <c r="I512" t="s">
        <v>623</v>
      </c>
      <c r="J512" t="s">
        <v>56</v>
      </c>
      <c r="K512" t="s">
        <v>10</v>
      </c>
      <c r="L512" t="s">
        <v>44</v>
      </c>
      <c r="M512" t="s">
        <v>100</v>
      </c>
      <c r="N512" t="s">
        <v>78</v>
      </c>
      <c r="O512" t="s">
        <v>626</v>
      </c>
    </row>
    <row r="513" spans="1:15" x14ac:dyDescent="0.25">
      <c r="A513" t="s">
        <v>1212</v>
      </c>
      <c r="B513" t="s">
        <v>100</v>
      </c>
      <c r="C513" t="s">
        <v>621</v>
      </c>
      <c r="D513" t="s">
        <v>618</v>
      </c>
      <c r="E513" t="s">
        <v>622</v>
      </c>
      <c r="F513" s="213" t="s">
        <v>56</v>
      </c>
      <c r="G513" t="s">
        <v>66</v>
      </c>
      <c r="H513" t="s">
        <v>84</v>
      </c>
      <c r="I513" t="s">
        <v>623</v>
      </c>
      <c r="J513" t="s">
        <v>56</v>
      </c>
      <c r="K513" t="s">
        <v>12</v>
      </c>
      <c r="L513" t="s">
        <v>34</v>
      </c>
      <c r="M513" t="s">
        <v>100</v>
      </c>
      <c r="N513" t="s">
        <v>13</v>
      </c>
      <c r="O513" t="s">
        <v>1213</v>
      </c>
    </row>
    <row r="514" spans="1:15" x14ac:dyDescent="0.25">
      <c r="A514" t="s">
        <v>1214</v>
      </c>
      <c r="B514" t="s">
        <v>100</v>
      </c>
      <c r="C514" t="s">
        <v>621</v>
      </c>
      <c r="D514" t="s">
        <v>618</v>
      </c>
      <c r="E514" t="s">
        <v>622</v>
      </c>
      <c r="F514" s="213" t="s">
        <v>56</v>
      </c>
      <c r="G514" t="s">
        <v>66</v>
      </c>
      <c r="H514" t="s">
        <v>84</v>
      </c>
      <c r="I514" t="s">
        <v>623</v>
      </c>
      <c r="J514" t="s">
        <v>56</v>
      </c>
      <c r="K514" t="s">
        <v>14</v>
      </c>
      <c r="L514" t="s">
        <v>24</v>
      </c>
      <c r="M514" t="s">
        <v>100</v>
      </c>
      <c r="N514" t="s">
        <v>63</v>
      </c>
      <c r="O514" t="s">
        <v>695</v>
      </c>
    </row>
    <row r="515" spans="1:15" x14ac:dyDescent="0.25">
      <c r="A515" t="s">
        <v>1215</v>
      </c>
      <c r="B515" t="s">
        <v>100</v>
      </c>
      <c r="C515" t="s">
        <v>621</v>
      </c>
      <c r="D515" t="s">
        <v>618</v>
      </c>
      <c r="E515" t="s">
        <v>622</v>
      </c>
      <c r="F515" s="213" t="s">
        <v>56</v>
      </c>
      <c r="G515" t="s">
        <v>66</v>
      </c>
      <c r="H515" t="s">
        <v>84</v>
      </c>
      <c r="I515" t="s">
        <v>623</v>
      </c>
      <c r="J515" t="s">
        <v>56</v>
      </c>
      <c r="K515" t="s">
        <v>9</v>
      </c>
      <c r="L515" t="s">
        <v>626</v>
      </c>
      <c r="M515" t="s">
        <v>100</v>
      </c>
      <c r="N515" t="s">
        <v>33</v>
      </c>
      <c r="O515" t="s">
        <v>1100</v>
      </c>
    </row>
    <row r="516" spans="1:15" x14ac:dyDescent="0.25">
      <c r="A516" t="s">
        <v>1216</v>
      </c>
      <c r="B516" t="s">
        <v>100</v>
      </c>
      <c r="C516" t="s">
        <v>621</v>
      </c>
      <c r="D516" t="s">
        <v>618</v>
      </c>
      <c r="E516" t="s">
        <v>622</v>
      </c>
      <c r="F516" s="213" t="s">
        <v>56</v>
      </c>
      <c r="G516" t="s">
        <v>66</v>
      </c>
      <c r="H516" t="s">
        <v>84</v>
      </c>
      <c r="I516" t="s">
        <v>623</v>
      </c>
      <c r="J516" t="s">
        <v>56</v>
      </c>
      <c r="K516" t="s">
        <v>6</v>
      </c>
      <c r="L516" t="s">
        <v>714</v>
      </c>
      <c r="M516" t="s">
        <v>100</v>
      </c>
      <c r="N516" t="s">
        <v>25</v>
      </c>
      <c r="O516" t="s">
        <v>640</v>
      </c>
    </row>
    <row r="517" spans="1:15" x14ac:dyDescent="0.25">
      <c r="A517" t="s">
        <v>1217</v>
      </c>
      <c r="B517" t="s">
        <v>100</v>
      </c>
      <c r="C517" t="s">
        <v>621</v>
      </c>
      <c r="D517" t="s">
        <v>618</v>
      </c>
      <c r="E517" t="s">
        <v>622</v>
      </c>
      <c r="F517" s="213" t="s">
        <v>56</v>
      </c>
      <c r="G517" t="s">
        <v>66</v>
      </c>
      <c r="H517" t="s">
        <v>84</v>
      </c>
      <c r="I517" t="s">
        <v>623</v>
      </c>
      <c r="J517" t="s">
        <v>56</v>
      </c>
      <c r="K517" t="s">
        <v>3</v>
      </c>
      <c r="L517" t="s">
        <v>623</v>
      </c>
      <c r="M517" t="s">
        <v>100</v>
      </c>
      <c r="N517" t="s">
        <v>55</v>
      </c>
      <c r="O517" t="s">
        <v>674</v>
      </c>
    </row>
    <row r="518" spans="1:15" x14ac:dyDescent="0.25">
      <c r="A518" t="s">
        <v>1218</v>
      </c>
      <c r="B518" t="s">
        <v>100</v>
      </c>
      <c r="C518" t="s">
        <v>621</v>
      </c>
      <c r="D518" t="s">
        <v>618</v>
      </c>
      <c r="E518" t="s">
        <v>622</v>
      </c>
      <c r="F518" s="213" t="s">
        <v>56</v>
      </c>
      <c r="G518" t="s">
        <v>66</v>
      </c>
      <c r="H518" t="s">
        <v>84</v>
      </c>
      <c r="I518" t="s">
        <v>623</v>
      </c>
      <c r="J518" t="s">
        <v>56</v>
      </c>
      <c r="K518" t="s">
        <v>1</v>
      </c>
      <c r="L518" t="s">
        <v>629</v>
      </c>
      <c r="M518" t="s">
        <v>100</v>
      </c>
      <c r="N518" t="s">
        <v>45</v>
      </c>
      <c r="O518" t="s">
        <v>765</v>
      </c>
    </row>
    <row r="519" spans="1:15" x14ac:dyDescent="0.25">
      <c r="A519" t="s">
        <v>1219</v>
      </c>
      <c r="B519" t="s">
        <v>100</v>
      </c>
      <c r="C519" t="s">
        <v>621</v>
      </c>
      <c r="D519" t="s">
        <v>618</v>
      </c>
      <c r="E519" t="s">
        <v>622</v>
      </c>
      <c r="F519" s="213" t="s">
        <v>56</v>
      </c>
      <c r="G519" t="s">
        <v>66</v>
      </c>
      <c r="H519" t="s">
        <v>84</v>
      </c>
      <c r="I519" t="s">
        <v>623</v>
      </c>
      <c r="J519" t="s">
        <v>56</v>
      </c>
      <c r="K519" t="s">
        <v>100</v>
      </c>
      <c r="L519" t="s">
        <v>695</v>
      </c>
      <c r="M519" t="s">
        <v>100</v>
      </c>
      <c r="N519" t="s">
        <v>37</v>
      </c>
      <c r="O519" t="s">
        <v>781</v>
      </c>
    </row>
    <row r="520" spans="1:15" x14ac:dyDescent="0.25">
      <c r="A520" t="s">
        <v>1220</v>
      </c>
      <c r="B520" t="s">
        <v>100</v>
      </c>
      <c r="C520" t="s">
        <v>621</v>
      </c>
      <c r="D520" t="s">
        <v>618</v>
      </c>
      <c r="E520" t="s">
        <v>622</v>
      </c>
      <c r="F520" s="213" t="s">
        <v>56</v>
      </c>
      <c r="G520" t="s">
        <v>66</v>
      </c>
      <c r="H520" t="s">
        <v>84</v>
      </c>
      <c r="I520" t="s">
        <v>623</v>
      </c>
      <c r="J520" t="s">
        <v>56</v>
      </c>
      <c r="K520" t="s">
        <v>10</v>
      </c>
      <c r="L520" t="s">
        <v>652</v>
      </c>
      <c r="M520" t="s">
        <v>100</v>
      </c>
      <c r="N520" t="s">
        <v>81</v>
      </c>
      <c r="O520" t="s">
        <v>624</v>
      </c>
    </row>
    <row r="521" spans="1:15" x14ac:dyDescent="0.25">
      <c r="A521" t="s">
        <v>1221</v>
      </c>
      <c r="B521" t="s">
        <v>100</v>
      </c>
      <c r="C521" t="s">
        <v>621</v>
      </c>
      <c r="D521" t="s">
        <v>618</v>
      </c>
      <c r="E521" t="s">
        <v>622</v>
      </c>
      <c r="F521" s="213" t="s">
        <v>56</v>
      </c>
      <c r="G521" t="s">
        <v>66</v>
      </c>
      <c r="H521" t="s">
        <v>84</v>
      </c>
      <c r="I521" t="s">
        <v>623</v>
      </c>
      <c r="J521" t="s">
        <v>56</v>
      </c>
      <c r="K521" t="s">
        <v>12</v>
      </c>
      <c r="L521" t="s">
        <v>822</v>
      </c>
      <c r="M521" t="s">
        <v>100</v>
      </c>
      <c r="N521" t="s">
        <v>9</v>
      </c>
      <c r="O521" t="s">
        <v>1080</v>
      </c>
    </row>
    <row r="522" spans="1:15" x14ac:dyDescent="0.25">
      <c r="A522" t="s">
        <v>1222</v>
      </c>
      <c r="B522" t="s">
        <v>100</v>
      </c>
      <c r="C522" t="s">
        <v>621</v>
      </c>
      <c r="D522" t="s">
        <v>618</v>
      </c>
      <c r="E522" t="s">
        <v>622</v>
      </c>
      <c r="F522" s="213" t="s">
        <v>56</v>
      </c>
      <c r="G522" t="s">
        <v>66</v>
      </c>
      <c r="H522" t="s">
        <v>84</v>
      </c>
      <c r="I522" t="s">
        <v>623</v>
      </c>
      <c r="J522" t="s">
        <v>56</v>
      </c>
      <c r="K522" t="s">
        <v>14</v>
      </c>
      <c r="L522" t="s">
        <v>1223</v>
      </c>
      <c r="M522" t="s">
        <v>100</v>
      </c>
      <c r="N522" t="s">
        <v>1</v>
      </c>
      <c r="O522" t="s">
        <v>1224</v>
      </c>
    </row>
    <row r="523" spans="1:15" x14ac:dyDescent="0.25">
      <c r="A523" t="s">
        <v>1225</v>
      </c>
      <c r="B523" t="s">
        <v>100</v>
      </c>
      <c r="C523" t="s">
        <v>621</v>
      </c>
      <c r="D523" t="s">
        <v>618</v>
      </c>
      <c r="E523" t="s">
        <v>622</v>
      </c>
      <c r="F523" s="213" t="s">
        <v>56</v>
      </c>
      <c r="G523" t="s">
        <v>66</v>
      </c>
      <c r="H523" t="s">
        <v>84</v>
      </c>
      <c r="I523" t="s">
        <v>623</v>
      </c>
      <c r="J523" t="s">
        <v>56</v>
      </c>
      <c r="K523" t="s">
        <v>9</v>
      </c>
      <c r="L523" t="s">
        <v>45</v>
      </c>
      <c r="M523" t="s">
        <v>100</v>
      </c>
      <c r="N523" t="s">
        <v>53</v>
      </c>
      <c r="O523" t="s">
        <v>644</v>
      </c>
    </row>
    <row r="524" spans="1:15" x14ac:dyDescent="0.25">
      <c r="A524" t="s">
        <v>1226</v>
      </c>
      <c r="B524" t="s">
        <v>100</v>
      </c>
      <c r="C524" t="s">
        <v>621</v>
      </c>
      <c r="D524" t="s">
        <v>618</v>
      </c>
      <c r="E524" t="s">
        <v>622</v>
      </c>
      <c r="F524" s="213" t="s">
        <v>56</v>
      </c>
      <c r="G524" t="s">
        <v>66</v>
      </c>
      <c r="H524" t="s">
        <v>84</v>
      </c>
      <c r="I524" t="s">
        <v>623</v>
      </c>
      <c r="J524" t="s">
        <v>56</v>
      </c>
      <c r="K524" t="s">
        <v>11</v>
      </c>
      <c r="L524" t="s">
        <v>34</v>
      </c>
      <c r="M524" t="s">
        <v>100</v>
      </c>
      <c r="N524" t="s">
        <v>21</v>
      </c>
      <c r="O524" t="s">
        <v>964</v>
      </c>
    </row>
    <row r="525" spans="1:15" x14ac:dyDescent="0.25">
      <c r="A525" t="s">
        <v>1227</v>
      </c>
      <c r="B525" t="s">
        <v>100</v>
      </c>
      <c r="C525" t="s">
        <v>621</v>
      </c>
      <c r="D525" t="s">
        <v>618</v>
      </c>
      <c r="E525" t="s">
        <v>622</v>
      </c>
      <c r="F525" s="213" t="s">
        <v>56</v>
      </c>
      <c r="G525" t="s">
        <v>66</v>
      </c>
      <c r="H525" t="s">
        <v>84</v>
      </c>
      <c r="I525" t="s">
        <v>623</v>
      </c>
      <c r="J525" t="s">
        <v>56</v>
      </c>
      <c r="K525" t="s">
        <v>13</v>
      </c>
      <c r="L525" t="s">
        <v>23</v>
      </c>
      <c r="M525" t="s">
        <v>100</v>
      </c>
      <c r="N525" t="s">
        <v>13</v>
      </c>
      <c r="O525" t="s">
        <v>1143</v>
      </c>
    </row>
    <row r="526" spans="1:15" x14ac:dyDescent="0.25">
      <c r="A526" t="s">
        <v>1228</v>
      </c>
      <c r="B526" t="s">
        <v>100</v>
      </c>
      <c r="C526" t="s">
        <v>621</v>
      </c>
      <c r="D526" t="s">
        <v>618</v>
      </c>
      <c r="E526" t="s">
        <v>622</v>
      </c>
      <c r="F526" s="213" t="s">
        <v>56</v>
      </c>
      <c r="G526" t="s">
        <v>66</v>
      </c>
      <c r="H526" t="s">
        <v>84</v>
      </c>
      <c r="I526" t="s">
        <v>623</v>
      </c>
      <c r="J526" t="s">
        <v>56</v>
      </c>
      <c r="K526" t="s">
        <v>11</v>
      </c>
      <c r="L526" t="s">
        <v>654</v>
      </c>
      <c r="M526" t="s">
        <v>0</v>
      </c>
      <c r="N526" t="s">
        <v>63</v>
      </c>
      <c r="O526" t="s">
        <v>685</v>
      </c>
    </row>
    <row r="527" spans="1:15" x14ac:dyDescent="0.25">
      <c r="A527" t="s">
        <v>1229</v>
      </c>
      <c r="B527" t="s">
        <v>100</v>
      </c>
      <c r="C527" t="s">
        <v>621</v>
      </c>
      <c r="D527" t="s">
        <v>618</v>
      </c>
      <c r="E527" t="s">
        <v>622</v>
      </c>
      <c r="F527" s="213" t="s">
        <v>56</v>
      </c>
      <c r="G527" t="s">
        <v>66</v>
      </c>
      <c r="H527" t="s">
        <v>84</v>
      </c>
      <c r="I527" t="s">
        <v>623</v>
      </c>
      <c r="J527" t="s">
        <v>56</v>
      </c>
      <c r="K527" t="s">
        <v>8</v>
      </c>
      <c r="L527" t="s">
        <v>626</v>
      </c>
      <c r="M527" t="s">
        <v>100</v>
      </c>
      <c r="N527" t="s">
        <v>72</v>
      </c>
      <c r="O527" t="s">
        <v>632</v>
      </c>
    </row>
    <row r="528" spans="1:15" x14ac:dyDescent="0.25">
      <c r="A528" t="s">
        <v>1230</v>
      </c>
      <c r="B528" t="s">
        <v>100</v>
      </c>
      <c r="C528" t="s">
        <v>621</v>
      </c>
      <c r="D528" t="s">
        <v>618</v>
      </c>
      <c r="E528" t="s">
        <v>622</v>
      </c>
      <c r="F528" s="213" t="s">
        <v>56</v>
      </c>
      <c r="G528" t="s">
        <v>66</v>
      </c>
      <c r="H528" t="s">
        <v>84</v>
      </c>
      <c r="I528" t="s">
        <v>623</v>
      </c>
      <c r="J528" t="s">
        <v>56</v>
      </c>
      <c r="K528" t="s">
        <v>5</v>
      </c>
      <c r="L528" t="s">
        <v>714</v>
      </c>
      <c r="M528" t="s">
        <v>100</v>
      </c>
      <c r="N528" t="s">
        <v>23</v>
      </c>
      <c r="O528" t="s">
        <v>1231</v>
      </c>
    </row>
    <row r="529" spans="1:15" x14ac:dyDescent="0.25">
      <c r="A529" t="s">
        <v>1232</v>
      </c>
      <c r="B529" t="s">
        <v>100</v>
      </c>
      <c r="C529" t="s">
        <v>621</v>
      </c>
      <c r="D529" t="s">
        <v>618</v>
      </c>
      <c r="E529" t="s">
        <v>622</v>
      </c>
      <c r="F529" s="213" t="s">
        <v>56</v>
      </c>
      <c r="G529" t="s">
        <v>66</v>
      </c>
      <c r="H529" t="s">
        <v>84</v>
      </c>
      <c r="I529" t="s">
        <v>623</v>
      </c>
      <c r="J529" t="s">
        <v>56</v>
      </c>
      <c r="K529" t="s">
        <v>3</v>
      </c>
      <c r="L529" t="s">
        <v>625</v>
      </c>
      <c r="M529" t="s">
        <v>100</v>
      </c>
      <c r="N529" t="s">
        <v>27</v>
      </c>
      <c r="O529" t="s">
        <v>701</v>
      </c>
    </row>
    <row r="530" spans="1:15" x14ac:dyDescent="0.25">
      <c r="A530" t="s">
        <v>1233</v>
      </c>
      <c r="B530" t="s">
        <v>100</v>
      </c>
      <c r="C530" t="s">
        <v>621</v>
      </c>
      <c r="D530" t="s">
        <v>618</v>
      </c>
      <c r="E530" t="s">
        <v>622</v>
      </c>
      <c r="F530" s="213" t="s">
        <v>56</v>
      </c>
      <c r="G530" t="s">
        <v>66</v>
      </c>
      <c r="H530" t="s">
        <v>84</v>
      </c>
      <c r="I530" t="s">
        <v>623</v>
      </c>
      <c r="J530" t="s">
        <v>56</v>
      </c>
      <c r="K530" t="s">
        <v>1</v>
      </c>
      <c r="L530" t="s">
        <v>642</v>
      </c>
      <c r="M530" t="s">
        <v>100</v>
      </c>
      <c r="N530" t="s">
        <v>89</v>
      </c>
      <c r="O530" t="s">
        <v>739</v>
      </c>
    </row>
    <row r="531" spans="1:15" x14ac:dyDescent="0.25">
      <c r="A531" t="s">
        <v>1234</v>
      </c>
      <c r="B531" t="s">
        <v>100</v>
      </c>
      <c r="C531" t="s">
        <v>621</v>
      </c>
      <c r="D531" t="s">
        <v>618</v>
      </c>
      <c r="E531" t="s">
        <v>622</v>
      </c>
      <c r="F531" s="213" t="s">
        <v>56</v>
      </c>
      <c r="G531" t="s">
        <v>66</v>
      </c>
      <c r="H531" t="s">
        <v>84</v>
      </c>
      <c r="I531" t="s">
        <v>623</v>
      </c>
      <c r="J531" t="s">
        <v>56</v>
      </c>
      <c r="K531" t="s">
        <v>100</v>
      </c>
      <c r="L531" t="s">
        <v>635</v>
      </c>
      <c r="M531" t="s">
        <v>100</v>
      </c>
      <c r="N531" t="s">
        <v>79</v>
      </c>
      <c r="O531" t="s">
        <v>628</v>
      </c>
    </row>
    <row r="532" spans="1:15" x14ac:dyDescent="0.25">
      <c r="A532" t="s">
        <v>1235</v>
      </c>
      <c r="B532" t="s">
        <v>100</v>
      </c>
      <c r="C532" t="s">
        <v>621</v>
      </c>
      <c r="D532" t="s">
        <v>618</v>
      </c>
      <c r="E532" t="s">
        <v>622</v>
      </c>
      <c r="F532" s="213" t="s">
        <v>56</v>
      </c>
      <c r="G532" t="s">
        <v>66</v>
      </c>
      <c r="H532" t="s">
        <v>84</v>
      </c>
      <c r="I532" t="s">
        <v>623</v>
      </c>
      <c r="J532" t="s">
        <v>56</v>
      </c>
      <c r="K532" t="s">
        <v>9</v>
      </c>
      <c r="L532" t="s">
        <v>739</v>
      </c>
      <c r="M532" t="s">
        <v>100</v>
      </c>
      <c r="N532" t="s">
        <v>39</v>
      </c>
      <c r="O532" t="s">
        <v>975</v>
      </c>
    </row>
    <row r="533" spans="1:15" x14ac:dyDescent="0.25">
      <c r="A533" t="s">
        <v>1236</v>
      </c>
      <c r="B533" t="s">
        <v>100</v>
      </c>
      <c r="C533" t="s">
        <v>621</v>
      </c>
      <c r="D533" t="s">
        <v>618</v>
      </c>
      <c r="E533" t="s">
        <v>622</v>
      </c>
      <c r="F533" s="213" t="s">
        <v>56</v>
      </c>
      <c r="G533" t="s">
        <v>66</v>
      </c>
      <c r="H533" t="s">
        <v>84</v>
      </c>
      <c r="I533" t="s">
        <v>623</v>
      </c>
      <c r="J533" t="s">
        <v>56</v>
      </c>
      <c r="K533" t="s">
        <v>11</v>
      </c>
      <c r="L533" t="s">
        <v>822</v>
      </c>
      <c r="M533" t="s">
        <v>100</v>
      </c>
      <c r="N533" t="s">
        <v>9</v>
      </c>
      <c r="O533" t="s">
        <v>1237</v>
      </c>
    </row>
    <row r="534" spans="1:15" x14ac:dyDescent="0.25">
      <c r="A534" t="s">
        <v>1238</v>
      </c>
      <c r="B534" t="s">
        <v>100</v>
      </c>
      <c r="C534" t="s">
        <v>621</v>
      </c>
      <c r="D534" t="s">
        <v>618</v>
      </c>
      <c r="E534" t="s">
        <v>622</v>
      </c>
      <c r="F534" s="213" t="s">
        <v>56</v>
      </c>
      <c r="G534" t="s">
        <v>66</v>
      </c>
      <c r="H534" t="s">
        <v>84</v>
      </c>
      <c r="I534" t="s">
        <v>623</v>
      </c>
      <c r="J534" t="s">
        <v>56</v>
      </c>
      <c r="K534" t="s">
        <v>13</v>
      </c>
      <c r="L534" t="s">
        <v>720</v>
      </c>
      <c r="M534" t="s">
        <v>100</v>
      </c>
      <c r="N534" t="s">
        <v>1</v>
      </c>
      <c r="O534" t="s">
        <v>1239</v>
      </c>
    </row>
    <row r="535" spans="1:15" x14ac:dyDescent="0.25">
      <c r="A535" t="s">
        <v>1240</v>
      </c>
      <c r="B535" t="s">
        <v>100</v>
      </c>
      <c r="C535" t="s">
        <v>621</v>
      </c>
      <c r="D535" t="s">
        <v>618</v>
      </c>
      <c r="E535" t="s">
        <v>622</v>
      </c>
      <c r="F535" s="213" t="s">
        <v>56</v>
      </c>
      <c r="G535" t="s">
        <v>66</v>
      </c>
      <c r="H535" t="s">
        <v>84</v>
      </c>
      <c r="I535" t="s">
        <v>623</v>
      </c>
      <c r="J535" t="s">
        <v>56</v>
      </c>
      <c r="K535" t="s">
        <v>8</v>
      </c>
      <c r="L535" t="s">
        <v>46</v>
      </c>
      <c r="M535" t="s">
        <v>100</v>
      </c>
      <c r="N535" t="s">
        <v>53</v>
      </c>
      <c r="O535" t="s">
        <v>693</v>
      </c>
    </row>
    <row r="536" spans="1:15" x14ac:dyDescent="0.25">
      <c r="A536" t="s">
        <v>1241</v>
      </c>
      <c r="B536" t="s">
        <v>100</v>
      </c>
      <c r="C536" t="s">
        <v>621</v>
      </c>
      <c r="D536" t="s">
        <v>618</v>
      </c>
      <c r="E536" t="s">
        <v>622</v>
      </c>
      <c r="F536" s="213" t="s">
        <v>56</v>
      </c>
      <c r="G536" t="s">
        <v>66</v>
      </c>
      <c r="H536" t="s">
        <v>84</v>
      </c>
      <c r="I536" t="s">
        <v>623</v>
      </c>
      <c r="J536" t="s">
        <v>56</v>
      </c>
      <c r="K536" t="s">
        <v>10</v>
      </c>
      <c r="L536" t="s">
        <v>35</v>
      </c>
      <c r="M536" t="s">
        <v>100</v>
      </c>
      <c r="N536" t="s">
        <v>78</v>
      </c>
      <c r="O536" t="s">
        <v>714</v>
      </c>
    </row>
    <row r="537" spans="1:15" x14ac:dyDescent="0.25">
      <c r="A537" t="s">
        <v>1242</v>
      </c>
      <c r="B537" t="s">
        <v>100</v>
      </c>
      <c r="C537" t="s">
        <v>621</v>
      </c>
      <c r="D537" t="s">
        <v>618</v>
      </c>
      <c r="E537" t="s">
        <v>622</v>
      </c>
      <c r="F537" s="213" t="s">
        <v>56</v>
      </c>
      <c r="G537" t="s">
        <v>66</v>
      </c>
      <c r="H537" t="s">
        <v>84</v>
      </c>
      <c r="I537" t="s">
        <v>623</v>
      </c>
      <c r="J537" t="s">
        <v>56</v>
      </c>
      <c r="K537" t="s">
        <v>12</v>
      </c>
      <c r="L537" t="s">
        <v>23</v>
      </c>
      <c r="M537" t="s">
        <v>100</v>
      </c>
      <c r="N537" t="s">
        <v>13</v>
      </c>
      <c r="O537" t="s">
        <v>1183</v>
      </c>
    </row>
    <row r="538" spans="1:15" x14ac:dyDescent="0.25">
      <c r="A538" t="s">
        <v>1243</v>
      </c>
      <c r="B538" t="s">
        <v>100</v>
      </c>
      <c r="C538" t="s">
        <v>621</v>
      </c>
      <c r="D538" t="s">
        <v>618</v>
      </c>
      <c r="E538" t="s">
        <v>622</v>
      </c>
      <c r="F538" s="213" t="s">
        <v>56</v>
      </c>
      <c r="G538" t="s">
        <v>66</v>
      </c>
      <c r="H538" t="s">
        <v>84</v>
      </c>
      <c r="I538" t="s">
        <v>623</v>
      </c>
      <c r="J538" t="s">
        <v>56</v>
      </c>
      <c r="K538" t="s">
        <v>10</v>
      </c>
      <c r="L538" t="s">
        <v>654</v>
      </c>
      <c r="M538" t="s">
        <v>0</v>
      </c>
      <c r="N538" t="s">
        <v>63</v>
      </c>
      <c r="O538" t="s">
        <v>637</v>
      </c>
    </row>
    <row r="539" spans="1:15" x14ac:dyDescent="0.25">
      <c r="A539" t="s">
        <v>1244</v>
      </c>
      <c r="B539" t="s">
        <v>100</v>
      </c>
      <c r="C539" t="s">
        <v>621</v>
      </c>
      <c r="D539" t="s">
        <v>618</v>
      </c>
      <c r="E539" t="s">
        <v>622</v>
      </c>
      <c r="F539" s="213" t="s">
        <v>56</v>
      </c>
      <c r="G539" t="s">
        <v>66</v>
      </c>
      <c r="H539" t="s">
        <v>84</v>
      </c>
      <c r="I539" t="s">
        <v>623</v>
      </c>
      <c r="J539" t="s">
        <v>56</v>
      </c>
      <c r="K539" t="s">
        <v>7</v>
      </c>
      <c r="L539" t="s">
        <v>626</v>
      </c>
      <c r="M539" t="s">
        <v>100</v>
      </c>
      <c r="N539" t="s">
        <v>72</v>
      </c>
      <c r="O539" t="s">
        <v>642</v>
      </c>
    </row>
    <row r="540" spans="1:15" x14ac:dyDescent="0.25">
      <c r="A540" t="s">
        <v>1245</v>
      </c>
      <c r="B540" t="s">
        <v>100</v>
      </c>
      <c r="C540" t="s">
        <v>621</v>
      </c>
      <c r="D540" t="s">
        <v>618</v>
      </c>
      <c r="E540" t="s">
        <v>622</v>
      </c>
      <c r="F540" s="213" t="s">
        <v>56</v>
      </c>
      <c r="G540" t="s">
        <v>66</v>
      </c>
      <c r="H540" t="s">
        <v>84</v>
      </c>
      <c r="I540" t="s">
        <v>623</v>
      </c>
      <c r="J540" t="s">
        <v>56</v>
      </c>
      <c r="K540" t="s">
        <v>4</v>
      </c>
      <c r="L540" t="s">
        <v>714</v>
      </c>
      <c r="M540" t="s">
        <v>100</v>
      </c>
      <c r="N540" t="s">
        <v>56</v>
      </c>
      <c r="O540" t="s">
        <v>662</v>
      </c>
    </row>
    <row r="541" spans="1:15" x14ac:dyDescent="0.25">
      <c r="A541" t="s">
        <v>1246</v>
      </c>
      <c r="B541" t="s">
        <v>100</v>
      </c>
      <c r="C541" t="s">
        <v>621</v>
      </c>
      <c r="D541" t="s">
        <v>618</v>
      </c>
      <c r="E541" t="s">
        <v>622</v>
      </c>
      <c r="F541" s="213" t="s">
        <v>56</v>
      </c>
      <c r="G541" t="s">
        <v>66</v>
      </c>
      <c r="H541" t="s">
        <v>84</v>
      </c>
      <c r="I541" t="s">
        <v>623</v>
      </c>
      <c r="J541" t="s">
        <v>56</v>
      </c>
      <c r="K541" t="s">
        <v>2</v>
      </c>
      <c r="L541" t="s">
        <v>625</v>
      </c>
      <c r="M541" t="s">
        <v>100</v>
      </c>
      <c r="N541" t="s">
        <v>27</v>
      </c>
      <c r="O541" t="s">
        <v>640</v>
      </c>
    </row>
    <row r="542" spans="1:15" x14ac:dyDescent="0.25">
      <c r="A542" t="s">
        <v>1247</v>
      </c>
      <c r="B542" t="s">
        <v>100</v>
      </c>
      <c r="C542" t="s">
        <v>621</v>
      </c>
      <c r="D542" t="s">
        <v>618</v>
      </c>
      <c r="E542" t="s">
        <v>622</v>
      </c>
      <c r="F542" s="213" t="s">
        <v>56</v>
      </c>
      <c r="G542" t="s">
        <v>66</v>
      </c>
      <c r="H542" t="s">
        <v>84</v>
      </c>
      <c r="I542" t="s">
        <v>623</v>
      </c>
      <c r="J542" t="s">
        <v>56</v>
      </c>
      <c r="K542" t="s">
        <v>0</v>
      </c>
      <c r="L542" t="s">
        <v>629</v>
      </c>
      <c r="M542" t="s">
        <v>100</v>
      </c>
      <c r="N542" t="s">
        <v>43</v>
      </c>
      <c r="O542" t="s">
        <v>755</v>
      </c>
    </row>
    <row r="543" spans="1:15" x14ac:dyDescent="0.25">
      <c r="A543" t="s">
        <v>1248</v>
      </c>
      <c r="B543" t="s">
        <v>100</v>
      </c>
      <c r="C543" t="s">
        <v>621</v>
      </c>
      <c r="D543" t="s">
        <v>618</v>
      </c>
      <c r="E543" t="s">
        <v>622</v>
      </c>
      <c r="F543" s="213" t="s">
        <v>56</v>
      </c>
      <c r="G543" t="s">
        <v>66</v>
      </c>
      <c r="H543" t="s">
        <v>84</v>
      </c>
      <c r="I543" t="s">
        <v>623</v>
      </c>
      <c r="J543" t="s">
        <v>56</v>
      </c>
      <c r="K543" t="s">
        <v>7</v>
      </c>
      <c r="L543" t="s">
        <v>807</v>
      </c>
      <c r="M543" t="s">
        <v>100</v>
      </c>
      <c r="N543" t="s">
        <v>79</v>
      </c>
      <c r="O543" t="s">
        <v>714</v>
      </c>
    </row>
    <row r="544" spans="1:15" x14ac:dyDescent="0.25">
      <c r="A544" t="s">
        <v>1249</v>
      </c>
      <c r="B544" t="s">
        <v>100</v>
      </c>
      <c r="C544" t="s">
        <v>621</v>
      </c>
      <c r="D544" t="s">
        <v>618</v>
      </c>
      <c r="E544" t="s">
        <v>622</v>
      </c>
      <c r="F544" s="213" t="s">
        <v>56</v>
      </c>
      <c r="G544" t="s">
        <v>66</v>
      </c>
      <c r="H544" t="s">
        <v>84</v>
      </c>
      <c r="I544" t="s">
        <v>623</v>
      </c>
      <c r="J544" t="s">
        <v>56</v>
      </c>
      <c r="K544" t="s">
        <v>9</v>
      </c>
      <c r="L544" t="s">
        <v>631</v>
      </c>
      <c r="M544" t="s">
        <v>100</v>
      </c>
      <c r="N544" t="s">
        <v>39</v>
      </c>
      <c r="O544" t="s">
        <v>781</v>
      </c>
    </row>
    <row r="545" spans="1:15" x14ac:dyDescent="0.25">
      <c r="A545" t="s">
        <v>1250</v>
      </c>
      <c r="B545" t="s">
        <v>100</v>
      </c>
      <c r="C545" t="s">
        <v>621</v>
      </c>
      <c r="D545" t="s">
        <v>618</v>
      </c>
      <c r="E545" t="s">
        <v>622</v>
      </c>
      <c r="F545" s="213" t="s">
        <v>56</v>
      </c>
      <c r="G545" t="s">
        <v>66</v>
      </c>
      <c r="H545" t="s">
        <v>84</v>
      </c>
      <c r="I545" t="s">
        <v>623</v>
      </c>
      <c r="J545" t="s">
        <v>56</v>
      </c>
      <c r="K545" t="s">
        <v>11</v>
      </c>
      <c r="L545" t="s">
        <v>1251</v>
      </c>
      <c r="M545" t="s">
        <v>100</v>
      </c>
      <c r="N545" t="s">
        <v>5</v>
      </c>
      <c r="O545" t="s">
        <v>1158</v>
      </c>
    </row>
    <row r="546" spans="1:15" x14ac:dyDescent="0.25">
      <c r="A546" t="s">
        <v>1252</v>
      </c>
      <c r="B546" t="s">
        <v>100</v>
      </c>
      <c r="C546" t="s">
        <v>621</v>
      </c>
      <c r="D546" t="s">
        <v>618</v>
      </c>
      <c r="E546" t="s">
        <v>622</v>
      </c>
      <c r="F546" s="213" t="s">
        <v>56</v>
      </c>
      <c r="G546" t="s">
        <v>66</v>
      </c>
      <c r="H546" t="s">
        <v>84</v>
      </c>
      <c r="I546" t="s">
        <v>623</v>
      </c>
      <c r="J546" t="s">
        <v>56</v>
      </c>
      <c r="K546" t="s">
        <v>13</v>
      </c>
      <c r="L546" t="s">
        <v>101</v>
      </c>
      <c r="M546" t="s">
        <v>100</v>
      </c>
      <c r="N546" t="s">
        <v>53</v>
      </c>
      <c r="O546" t="s">
        <v>749</v>
      </c>
    </row>
    <row r="547" spans="1:15" x14ac:dyDescent="0.25">
      <c r="A547" t="s">
        <v>1253</v>
      </c>
      <c r="B547" t="s">
        <v>100</v>
      </c>
      <c r="C547" t="s">
        <v>621</v>
      </c>
      <c r="D547" t="s">
        <v>618</v>
      </c>
      <c r="E547" t="s">
        <v>622</v>
      </c>
      <c r="F547" s="213" t="s">
        <v>56</v>
      </c>
      <c r="G547" t="s">
        <v>66</v>
      </c>
      <c r="H547" t="s">
        <v>84</v>
      </c>
      <c r="I547" t="s">
        <v>623</v>
      </c>
      <c r="J547" t="s">
        <v>56</v>
      </c>
      <c r="K547" t="s">
        <v>8</v>
      </c>
      <c r="L547" t="s">
        <v>42</v>
      </c>
      <c r="M547" t="s">
        <v>100</v>
      </c>
      <c r="N547" t="s">
        <v>45</v>
      </c>
      <c r="O547" t="s">
        <v>647</v>
      </c>
    </row>
    <row r="548" spans="1:15" x14ac:dyDescent="0.25">
      <c r="A548" t="s">
        <v>1254</v>
      </c>
      <c r="B548" t="s">
        <v>100</v>
      </c>
      <c r="C548" t="s">
        <v>621</v>
      </c>
      <c r="D548" t="s">
        <v>618</v>
      </c>
      <c r="E548" t="s">
        <v>622</v>
      </c>
      <c r="F548" s="213" t="s">
        <v>56</v>
      </c>
      <c r="G548" t="s">
        <v>66</v>
      </c>
      <c r="H548" t="s">
        <v>84</v>
      </c>
      <c r="I548" t="s">
        <v>623</v>
      </c>
      <c r="J548" t="s">
        <v>56</v>
      </c>
      <c r="K548" t="s">
        <v>10</v>
      </c>
      <c r="L548" t="s">
        <v>29</v>
      </c>
      <c r="M548" t="s">
        <v>100</v>
      </c>
      <c r="N548" t="s">
        <v>17</v>
      </c>
      <c r="O548" t="s">
        <v>1055</v>
      </c>
    </row>
    <row r="549" spans="1:15" x14ac:dyDescent="0.25">
      <c r="A549" t="s">
        <v>1255</v>
      </c>
      <c r="B549" t="s">
        <v>100</v>
      </c>
      <c r="C549" t="s">
        <v>621</v>
      </c>
      <c r="D549" t="s">
        <v>618</v>
      </c>
      <c r="E549" t="s">
        <v>622</v>
      </c>
      <c r="F549" s="213" t="s">
        <v>56</v>
      </c>
      <c r="G549" t="s">
        <v>66</v>
      </c>
      <c r="H549" t="s">
        <v>84</v>
      </c>
      <c r="I549" t="s">
        <v>623</v>
      </c>
      <c r="J549" t="s">
        <v>56</v>
      </c>
      <c r="K549" t="s">
        <v>12</v>
      </c>
      <c r="L549" t="s">
        <v>16</v>
      </c>
      <c r="M549" t="s">
        <v>100</v>
      </c>
      <c r="N549" t="s">
        <v>21</v>
      </c>
      <c r="O549" t="s">
        <v>812</v>
      </c>
    </row>
    <row r="550" spans="1:15" x14ac:dyDescent="0.25">
      <c r="A550" t="s">
        <v>1256</v>
      </c>
      <c r="B550" t="s">
        <v>100</v>
      </c>
      <c r="C550" t="s">
        <v>621</v>
      </c>
      <c r="D550" t="s">
        <v>618</v>
      </c>
      <c r="E550" t="s">
        <v>622</v>
      </c>
      <c r="F550" s="213" t="s">
        <v>56</v>
      </c>
      <c r="G550" t="s">
        <v>66</v>
      </c>
      <c r="H550" t="s">
        <v>84</v>
      </c>
      <c r="I550" t="s">
        <v>623</v>
      </c>
      <c r="J550" t="s">
        <v>56</v>
      </c>
      <c r="K550" t="s">
        <v>9</v>
      </c>
      <c r="L550" t="s">
        <v>654</v>
      </c>
      <c r="M550" t="s">
        <v>0</v>
      </c>
      <c r="N550" t="s">
        <v>71</v>
      </c>
      <c r="O550" t="s">
        <v>629</v>
      </c>
    </row>
    <row r="551" spans="1:15" x14ac:dyDescent="0.25">
      <c r="A551" t="s">
        <v>1257</v>
      </c>
      <c r="B551" t="s">
        <v>100</v>
      </c>
      <c r="C551" t="s">
        <v>621</v>
      </c>
      <c r="D551" t="s">
        <v>618</v>
      </c>
      <c r="E551" t="s">
        <v>622</v>
      </c>
      <c r="F551" s="213" t="s">
        <v>56</v>
      </c>
      <c r="G551" t="s">
        <v>66</v>
      </c>
      <c r="H551" t="s">
        <v>84</v>
      </c>
      <c r="I551" t="s">
        <v>623</v>
      </c>
      <c r="J551" t="s">
        <v>56</v>
      </c>
      <c r="K551" t="s">
        <v>6</v>
      </c>
      <c r="L551" t="s">
        <v>626</v>
      </c>
      <c r="M551" t="s">
        <v>100</v>
      </c>
      <c r="N551" t="s">
        <v>30</v>
      </c>
      <c r="O551" t="s">
        <v>793</v>
      </c>
    </row>
    <row r="552" spans="1:15" x14ac:dyDescent="0.25">
      <c r="A552" t="s">
        <v>1258</v>
      </c>
      <c r="B552" t="s">
        <v>100</v>
      </c>
      <c r="C552" t="s">
        <v>621</v>
      </c>
      <c r="D552" t="s">
        <v>618</v>
      </c>
      <c r="E552" t="s">
        <v>622</v>
      </c>
      <c r="F552" s="213" t="s">
        <v>56</v>
      </c>
      <c r="G552" t="s">
        <v>66</v>
      </c>
      <c r="H552" t="s">
        <v>84</v>
      </c>
      <c r="I552" t="s">
        <v>623</v>
      </c>
      <c r="J552" t="s">
        <v>56</v>
      </c>
      <c r="K552" t="s">
        <v>3</v>
      </c>
      <c r="L552" t="s">
        <v>630</v>
      </c>
      <c r="M552" t="s">
        <v>100</v>
      </c>
      <c r="N552" t="s">
        <v>52</v>
      </c>
      <c r="O552" t="s">
        <v>627</v>
      </c>
    </row>
    <row r="553" spans="1:15" x14ac:dyDescent="0.25">
      <c r="A553" t="s">
        <v>1259</v>
      </c>
      <c r="B553" t="s">
        <v>100</v>
      </c>
      <c r="C553" t="s">
        <v>621</v>
      </c>
      <c r="D553" t="s">
        <v>618</v>
      </c>
      <c r="E553" t="s">
        <v>622</v>
      </c>
      <c r="F553" s="213" t="s">
        <v>56</v>
      </c>
      <c r="G553" t="s">
        <v>66</v>
      </c>
      <c r="H553" t="s">
        <v>84</v>
      </c>
      <c r="I553" t="s">
        <v>623</v>
      </c>
      <c r="J553" t="s">
        <v>56</v>
      </c>
      <c r="K553" t="s">
        <v>1</v>
      </c>
      <c r="L553" t="s">
        <v>623</v>
      </c>
      <c r="M553" t="s">
        <v>100</v>
      </c>
      <c r="N553" t="s">
        <v>60</v>
      </c>
      <c r="O553" t="s">
        <v>814</v>
      </c>
    </row>
    <row r="554" spans="1:15" x14ac:dyDescent="0.25">
      <c r="A554" t="s">
        <v>1260</v>
      </c>
      <c r="B554" t="s">
        <v>100</v>
      </c>
      <c r="C554" t="s">
        <v>621</v>
      </c>
      <c r="D554" t="s">
        <v>618</v>
      </c>
      <c r="E554" t="s">
        <v>622</v>
      </c>
      <c r="F554" s="213" t="s">
        <v>56</v>
      </c>
      <c r="G554" t="s">
        <v>66</v>
      </c>
      <c r="H554" t="s">
        <v>84</v>
      </c>
      <c r="I554" t="s">
        <v>623</v>
      </c>
      <c r="J554" t="s">
        <v>56</v>
      </c>
      <c r="K554" t="s">
        <v>100</v>
      </c>
      <c r="L554" t="s">
        <v>643</v>
      </c>
      <c r="M554" t="s">
        <v>100</v>
      </c>
      <c r="N554" t="s">
        <v>87</v>
      </c>
      <c r="O554" t="s">
        <v>16</v>
      </c>
    </row>
    <row r="555" spans="1:15" x14ac:dyDescent="0.25">
      <c r="A555" t="s">
        <v>1261</v>
      </c>
      <c r="B555" t="s">
        <v>100</v>
      </c>
      <c r="C555" t="s">
        <v>621</v>
      </c>
      <c r="D555" t="s">
        <v>618</v>
      </c>
      <c r="E555" t="s">
        <v>622</v>
      </c>
      <c r="F555" s="213" t="s">
        <v>56</v>
      </c>
      <c r="G555" t="s">
        <v>66</v>
      </c>
      <c r="H555" t="s">
        <v>84</v>
      </c>
      <c r="I555" t="s">
        <v>623</v>
      </c>
      <c r="J555" t="s">
        <v>56</v>
      </c>
      <c r="K555" t="s">
        <v>8</v>
      </c>
      <c r="L555" t="s">
        <v>687</v>
      </c>
      <c r="M555" t="s">
        <v>100</v>
      </c>
      <c r="N555" t="s">
        <v>91</v>
      </c>
      <c r="O555" t="s">
        <v>44</v>
      </c>
    </row>
    <row r="556" spans="1:15" x14ac:dyDescent="0.25">
      <c r="A556" t="s">
        <v>1262</v>
      </c>
      <c r="B556" t="s">
        <v>100</v>
      </c>
      <c r="C556" t="s">
        <v>621</v>
      </c>
      <c r="D556" t="s">
        <v>618</v>
      </c>
      <c r="E556" t="s">
        <v>622</v>
      </c>
      <c r="F556" s="213" t="s">
        <v>56</v>
      </c>
      <c r="G556" t="s">
        <v>66</v>
      </c>
      <c r="H556" t="s">
        <v>84</v>
      </c>
      <c r="I556" t="s">
        <v>623</v>
      </c>
      <c r="J556" t="s">
        <v>56</v>
      </c>
      <c r="K556" t="s">
        <v>10</v>
      </c>
      <c r="L556" t="s">
        <v>1251</v>
      </c>
      <c r="M556" t="s">
        <v>100</v>
      </c>
      <c r="N556" t="s">
        <v>41</v>
      </c>
      <c r="O556" t="s">
        <v>781</v>
      </c>
    </row>
    <row r="557" spans="1:15" x14ac:dyDescent="0.25">
      <c r="A557" t="s">
        <v>1263</v>
      </c>
      <c r="B557" t="s">
        <v>100</v>
      </c>
      <c r="C557" t="s">
        <v>621</v>
      </c>
      <c r="D557" t="s">
        <v>618</v>
      </c>
      <c r="E557" t="s">
        <v>622</v>
      </c>
      <c r="F557" s="213" t="s">
        <v>56</v>
      </c>
      <c r="G557" t="s">
        <v>66</v>
      </c>
      <c r="H557" t="s">
        <v>84</v>
      </c>
      <c r="I557" t="s">
        <v>623</v>
      </c>
      <c r="J557" t="s">
        <v>56</v>
      </c>
      <c r="K557" t="s">
        <v>12</v>
      </c>
      <c r="L557" t="s">
        <v>101</v>
      </c>
      <c r="M557" t="s">
        <v>100</v>
      </c>
      <c r="N557" t="s">
        <v>50</v>
      </c>
      <c r="O557" t="s">
        <v>825</v>
      </c>
    </row>
    <row r="558" spans="1:15" x14ac:dyDescent="0.25">
      <c r="A558" t="s">
        <v>1264</v>
      </c>
      <c r="B558" t="s">
        <v>100</v>
      </c>
      <c r="C558" t="s">
        <v>621</v>
      </c>
      <c r="D558" t="s">
        <v>618</v>
      </c>
      <c r="E558" t="s">
        <v>622</v>
      </c>
      <c r="F558" s="213" t="s">
        <v>56</v>
      </c>
      <c r="G558" t="s">
        <v>66</v>
      </c>
      <c r="H558" t="s">
        <v>84</v>
      </c>
      <c r="I558" t="s">
        <v>623</v>
      </c>
      <c r="J558" t="s">
        <v>56</v>
      </c>
      <c r="K558" t="s">
        <v>8</v>
      </c>
      <c r="L558" t="s">
        <v>37</v>
      </c>
      <c r="M558" t="s">
        <v>100</v>
      </c>
      <c r="N558" t="s">
        <v>83</v>
      </c>
      <c r="O558" t="s">
        <v>626</v>
      </c>
    </row>
    <row r="559" spans="1:15" x14ac:dyDescent="0.25">
      <c r="A559" t="s">
        <v>1265</v>
      </c>
      <c r="B559" t="s">
        <v>100</v>
      </c>
      <c r="C559" t="s">
        <v>621</v>
      </c>
      <c r="D559" t="s">
        <v>618</v>
      </c>
      <c r="E559" t="s">
        <v>622</v>
      </c>
      <c r="F559" s="213" t="s">
        <v>56</v>
      </c>
      <c r="G559" t="s">
        <v>66</v>
      </c>
      <c r="H559" t="s">
        <v>84</v>
      </c>
      <c r="I559" t="s">
        <v>623</v>
      </c>
      <c r="J559" t="s">
        <v>56</v>
      </c>
      <c r="K559" t="s">
        <v>10</v>
      </c>
      <c r="L559" t="s">
        <v>23</v>
      </c>
      <c r="M559" t="s">
        <v>100</v>
      </c>
      <c r="N559" t="s">
        <v>4</v>
      </c>
      <c r="O559" t="s">
        <v>1209</v>
      </c>
    </row>
    <row r="560" spans="1:15" x14ac:dyDescent="0.25">
      <c r="A560" t="s">
        <v>1266</v>
      </c>
      <c r="B560" t="s">
        <v>100</v>
      </c>
      <c r="C560" t="s">
        <v>621</v>
      </c>
      <c r="D560" t="s">
        <v>618</v>
      </c>
      <c r="E560" t="s">
        <v>622</v>
      </c>
      <c r="F560" s="213" t="s">
        <v>56</v>
      </c>
      <c r="G560" t="s">
        <v>66</v>
      </c>
      <c r="H560" t="s">
        <v>84</v>
      </c>
      <c r="I560" t="s">
        <v>623</v>
      </c>
      <c r="J560" t="s">
        <v>56</v>
      </c>
      <c r="K560" t="s">
        <v>8</v>
      </c>
      <c r="L560" t="s">
        <v>654</v>
      </c>
      <c r="M560" t="s">
        <v>0</v>
      </c>
      <c r="N560" t="s">
        <v>20</v>
      </c>
      <c r="O560" t="s">
        <v>967</v>
      </c>
    </row>
    <row r="561" spans="1:15" x14ac:dyDescent="0.25">
      <c r="A561" t="s">
        <v>1267</v>
      </c>
      <c r="B561" t="s">
        <v>100</v>
      </c>
      <c r="C561" t="s">
        <v>621</v>
      </c>
      <c r="D561" t="s">
        <v>618</v>
      </c>
      <c r="E561" t="s">
        <v>622</v>
      </c>
      <c r="F561" s="213" t="s">
        <v>56</v>
      </c>
      <c r="G561" t="s">
        <v>66</v>
      </c>
      <c r="H561" t="s">
        <v>84</v>
      </c>
      <c r="I561" t="s">
        <v>623</v>
      </c>
      <c r="J561" t="s">
        <v>56</v>
      </c>
      <c r="K561" t="s">
        <v>4</v>
      </c>
      <c r="L561" t="s">
        <v>626</v>
      </c>
      <c r="M561" t="s">
        <v>0</v>
      </c>
      <c r="N561" t="s">
        <v>44</v>
      </c>
      <c r="O561" t="s">
        <v>755</v>
      </c>
    </row>
    <row r="562" spans="1:15" x14ac:dyDescent="0.25">
      <c r="A562" t="s">
        <v>1268</v>
      </c>
      <c r="B562" t="s">
        <v>100</v>
      </c>
      <c r="C562" t="s">
        <v>621</v>
      </c>
      <c r="D562" t="s">
        <v>618</v>
      </c>
      <c r="E562" t="s">
        <v>622</v>
      </c>
      <c r="F562" s="213" t="s">
        <v>56</v>
      </c>
      <c r="G562" t="s">
        <v>66</v>
      </c>
      <c r="H562" t="s">
        <v>84</v>
      </c>
      <c r="I562" t="s">
        <v>623</v>
      </c>
      <c r="J562" t="s">
        <v>56</v>
      </c>
      <c r="K562" t="s">
        <v>1</v>
      </c>
      <c r="L562" t="s">
        <v>665</v>
      </c>
      <c r="M562" t="s">
        <v>0</v>
      </c>
      <c r="N562" t="s">
        <v>16</v>
      </c>
      <c r="O562" t="s">
        <v>1143</v>
      </c>
    </row>
    <row r="563" spans="1:15" x14ac:dyDescent="0.25">
      <c r="A563" t="s">
        <v>1269</v>
      </c>
      <c r="B563" t="s">
        <v>100</v>
      </c>
      <c r="C563" t="s">
        <v>621</v>
      </c>
      <c r="D563" t="s">
        <v>618</v>
      </c>
      <c r="E563" t="s">
        <v>622</v>
      </c>
      <c r="F563" s="213" t="s">
        <v>56</v>
      </c>
      <c r="G563" t="s">
        <v>66</v>
      </c>
      <c r="H563" t="s">
        <v>84</v>
      </c>
      <c r="I563" t="s">
        <v>623</v>
      </c>
      <c r="J563" t="s">
        <v>56</v>
      </c>
      <c r="K563" t="s">
        <v>5</v>
      </c>
      <c r="L563" t="s">
        <v>626</v>
      </c>
      <c r="M563" t="s">
        <v>100</v>
      </c>
      <c r="N563" t="s">
        <v>63</v>
      </c>
      <c r="O563" t="s">
        <v>639</v>
      </c>
    </row>
    <row r="564" spans="1:15" x14ac:dyDescent="0.25">
      <c r="A564" t="s">
        <v>1270</v>
      </c>
      <c r="B564" t="s">
        <v>100</v>
      </c>
      <c r="C564" t="s">
        <v>621</v>
      </c>
      <c r="D564" t="s">
        <v>618</v>
      </c>
      <c r="E564" t="s">
        <v>622</v>
      </c>
      <c r="F564" s="213" t="s">
        <v>56</v>
      </c>
      <c r="G564" t="s">
        <v>66</v>
      </c>
      <c r="H564" t="s">
        <v>84</v>
      </c>
      <c r="I564" t="s">
        <v>623</v>
      </c>
      <c r="J564" t="s">
        <v>56</v>
      </c>
      <c r="K564" t="s">
        <v>3</v>
      </c>
      <c r="L564" t="s">
        <v>628</v>
      </c>
      <c r="M564" t="s">
        <v>100</v>
      </c>
      <c r="N564" t="s">
        <v>72</v>
      </c>
      <c r="O564" t="s">
        <v>643</v>
      </c>
    </row>
    <row r="565" spans="1:15" x14ac:dyDescent="0.25">
      <c r="A565" t="s">
        <v>1271</v>
      </c>
      <c r="B565" t="s">
        <v>100</v>
      </c>
      <c r="C565" t="s">
        <v>621</v>
      </c>
      <c r="D565" t="s">
        <v>618</v>
      </c>
      <c r="E565" t="s">
        <v>622</v>
      </c>
      <c r="F565" s="213" t="s">
        <v>56</v>
      </c>
      <c r="G565" t="s">
        <v>66</v>
      </c>
      <c r="H565" t="s">
        <v>84</v>
      </c>
      <c r="I565" t="s">
        <v>623</v>
      </c>
      <c r="J565" t="s">
        <v>56</v>
      </c>
      <c r="K565" t="s">
        <v>1</v>
      </c>
      <c r="L565" t="s">
        <v>625</v>
      </c>
      <c r="M565" t="s">
        <v>100</v>
      </c>
      <c r="N565" t="s">
        <v>59</v>
      </c>
      <c r="O565" t="s">
        <v>662</v>
      </c>
    </row>
    <row r="566" spans="1:15" x14ac:dyDescent="0.25">
      <c r="A566" t="s">
        <v>1272</v>
      </c>
      <c r="B566" t="s">
        <v>100</v>
      </c>
      <c r="C566" t="s">
        <v>621</v>
      </c>
      <c r="D566" t="s">
        <v>618</v>
      </c>
      <c r="E566" t="s">
        <v>622</v>
      </c>
      <c r="F566" s="213" t="s">
        <v>56</v>
      </c>
      <c r="G566" t="s">
        <v>66</v>
      </c>
      <c r="H566" t="s">
        <v>84</v>
      </c>
      <c r="I566" t="s">
        <v>623</v>
      </c>
      <c r="J566" t="s">
        <v>56</v>
      </c>
      <c r="K566" t="s">
        <v>100</v>
      </c>
      <c r="L566" t="s">
        <v>629</v>
      </c>
      <c r="M566" t="s">
        <v>100</v>
      </c>
      <c r="N566" t="s">
        <v>90</v>
      </c>
      <c r="O566" t="s">
        <v>30</v>
      </c>
    </row>
    <row r="567" spans="1:15" x14ac:dyDescent="0.25">
      <c r="A567" t="s">
        <v>1273</v>
      </c>
      <c r="B567" t="s">
        <v>100</v>
      </c>
      <c r="C567" t="s">
        <v>621</v>
      </c>
      <c r="D567" t="s">
        <v>618</v>
      </c>
      <c r="E567" t="s">
        <v>622</v>
      </c>
      <c r="F567" s="213" t="s">
        <v>56</v>
      </c>
      <c r="G567" t="s">
        <v>66</v>
      </c>
      <c r="H567" t="s">
        <v>84</v>
      </c>
      <c r="I567" t="s">
        <v>623</v>
      </c>
      <c r="J567" t="s">
        <v>56</v>
      </c>
      <c r="K567" t="s">
        <v>7</v>
      </c>
      <c r="L567" t="s">
        <v>650</v>
      </c>
      <c r="M567" t="s">
        <v>100</v>
      </c>
      <c r="N567" t="s">
        <v>91</v>
      </c>
      <c r="O567" t="s">
        <v>38</v>
      </c>
    </row>
    <row r="568" spans="1:15" x14ac:dyDescent="0.25">
      <c r="A568" t="s">
        <v>1274</v>
      </c>
      <c r="B568" t="s">
        <v>100</v>
      </c>
      <c r="C568" t="s">
        <v>621</v>
      </c>
      <c r="D568" t="s">
        <v>618</v>
      </c>
      <c r="E568" t="s">
        <v>622</v>
      </c>
      <c r="F568" s="213" t="s">
        <v>56</v>
      </c>
      <c r="G568" t="s">
        <v>66</v>
      </c>
      <c r="H568" t="s">
        <v>84</v>
      </c>
      <c r="I568" t="s">
        <v>623</v>
      </c>
      <c r="J568" t="s">
        <v>56</v>
      </c>
      <c r="K568" t="s">
        <v>9</v>
      </c>
      <c r="L568" t="s">
        <v>1251</v>
      </c>
      <c r="M568" t="s">
        <v>100</v>
      </c>
      <c r="N568" t="s">
        <v>37</v>
      </c>
      <c r="O568" t="s">
        <v>875</v>
      </c>
    </row>
    <row r="569" spans="1:15" x14ac:dyDescent="0.25">
      <c r="A569" t="s">
        <v>1275</v>
      </c>
      <c r="B569" t="s">
        <v>100</v>
      </c>
      <c r="C569" t="s">
        <v>621</v>
      </c>
      <c r="D569" t="s">
        <v>618</v>
      </c>
      <c r="E569" t="s">
        <v>622</v>
      </c>
      <c r="F569" s="213" t="s">
        <v>56</v>
      </c>
      <c r="G569" t="s">
        <v>66</v>
      </c>
      <c r="H569" t="s">
        <v>84</v>
      </c>
      <c r="I569" t="s">
        <v>623</v>
      </c>
      <c r="J569" t="s">
        <v>56</v>
      </c>
      <c r="K569" t="s">
        <v>11</v>
      </c>
      <c r="L569" t="s">
        <v>101</v>
      </c>
      <c r="M569" t="s">
        <v>100</v>
      </c>
      <c r="N569" t="s">
        <v>7</v>
      </c>
      <c r="O569" t="s">
        <v>1158</v>
      </c>
    </row>
    <row r="570" spans="1:15" x14ac:dyDescent="0.25">
      <c r="A570" t="s">
        <v>1276</v>
      </c>
      <c r="B570" t="s">
        <v>100</v>
      </c>
      <c r="C570" t="s">
        <v>621</v>
      </c>
      <c r="D570" t="s">
        <v>618</v>
      </c>
      <c r="E570" t="s">
        <v>622</v>
      </c>
      <c r="F570" s="213" t="s">
        <v>56</v>
      </c>
      <c r="G570" t="s">
        <v>66</v>
      </c>
      <c r="H570" t="s">
        <v>84</v>
      </c>
      <c r="I570" t="s">
        <v>623</v>
      </c>
      <c r="J570" t="s">
        <v>56</v>
      </c>
      <c r="K570" t="s">
        <v>7</v>
      </c>
      <c r="L570" t="s">
        <v>38</v>
      </c>
      <c r="M570" t="s">
        <v>100</v>
      </c>
      <c r="N570" t="s">
        <v>77</v>
      </c>
      <c r="O570" t="s">
        <v>623</v>
      </c>
    </row>
    <row r="571" spans="1:15" x14ac:dyDescent="0.25">
      <c r="A571" t="s">
        <v>1277</v>
      </c>
      <c r="B571" t="s">
        <v>100</v>
      </c>
      <c r="C571" t="s">
        <v>621</v>
      </c>
      <c r="D571" t="s">
        <v>618</v>
      </c>
      <c r="E571" t="s">
        <v>622</v>
      </c>
      <c r="F571" s="213" t="s">
        <v>56</v>
      </c>
      <c r="G571" t="s">
        <v>66</v>
      </c>
      <c r="H571" t="s">
        <v>84</v>
      </c>
      <c r="I571" t="s">
        <v>623</v>
      </c>
      <c r="J571" t="s">
        <v>56</v>
      </c>
      <c r="K571" t="s">
        <v>9</v>
      </c>
      <c r="L571" t="s">
        <v>23</v>
      </c>
      <c r="M571" t="s">
        <v>100</v>
      </c>
      <c r="N571" t="s">
        <v>100</v>
      </c>
      <c r="O571" t="s">
        <v>1278</v>
      </c>
    </row>
    <row r="572" spans="1:15" x14ac:dyDescent="0.25">
      <c r="A572" t="s">
        <v>1279</v>
      </c>
      <c r="B572" t="s">
        <v>100</v>
      </c>
      <c r="C572" t="s">
        <v>621</v>
      </c>
      <c r="D572" t="s">
        <v>618</v>
      </c>
      <c r="E572" t="s">
        <v>622</v>
      </c>
      <c r="F572" s="213" t="s">
        <v>56</v>
      </c>
      <c r="G572" t="s">
        <v>66</v>
      </c>
      <c r="H572" t="s">
        <v>84</v>
      </c>
      <c r="I572" t="s">
        <v>623</v>
      </c>
      <c r="J572" t="s">
        <v>56</v>
      </c>
      <c r="K572" t="s">
        <v>9</v>
      </c>
      <c r="L572" t="s">
        <v>418</v>
      </c>
      <c r="M572" t="s">
        <v>0</v>
      </c>
      <c r="N572" t="s">
        <v>19</v>
      </c>
      <c r="O572" t="s">
        <v>1032</v>
      </c>
    </row>
    <row r="573" spans="1:15" x14ac:dyDescent="0.25">
      <c r="A573" t="s">
        <v>1280</v>
      </c>
      <c r="B573" t="s">
        <v>100</v>
      </c>
      <c r="C573" t="s">
        <v>621</v>
      </c>
      <c r="D573" t="s">
        <v>618</v>
      </c>
      <c r="E573" t="s">
        <v>622</v>
      </c>
      <c r="F573" s="213" t="s">
        <v>56</v>
      </c>
      <c r="G573" t="s">
        <v>66</v>
      </c>
      <c r="H573" t="s">
        <v>84</v>
      </c>
      <c r="I573" t="s">
        <v>623</v>
      </c>
      <c r="J573" t="s">
        <v>56</v>
      </c>
      <c r="K573" t="s">
        <v>3</v>
      </c>
      <c r="L573" t="s">
        <v>626</v>
      </c>
      <c r="M573" t="s">
        <v>0</v>
      </c>
      <c r="N573" t="s">
        <v>23</v>
      </c>
      <c r="O573" t="s">
        <v>812</v>
      </c>
    </row>
    <row r="574" spans="1:15" x14ac:dyDescent="0.25">
      <c r="A574" t="s">
        <v>1281</v>
      </c>
      <c r="B574" t="s">
        <v>100</v>
      </c>
      <c r="C574" t="s">
        <v>621</v>
      </c>
      <c r="D574" t="s">
        <v>618</v>
      </c>
      <c r="E574" t="s">
        <v>622</v>
      </c>
      <c r="F574" s="213" t="s">
        <v>56</v>
      </c>
      <c r="G574" t="s">
        <v>66</v>
      </c>
      <c r="H574" t="s">
        <v>84</v>
      </c>
      <c r="I574" t="s">
        <v>623</v>
      </c>
      <c r="J574" t="s">
        <v>56</v>
      </c>
      <c r="K574" t="s">
        <v>1</v>
      </c>
      <c r="L574" t="s">
        <v>630</v>
      </c>
      <c r="M574" t="s">
        <v>0</v>
      </c>
      <c r="N574" t="s">
        <v>11</v>
      </c>
      <c r="O574" t="s">
        <v>1131</v>
      </c>
    </row>
    <row r="575" spans="1:15" x14ac:dyDescent="0.25">
      <c r="A575" t="s">
        <v>1282</v>
      </c>
      <c r="B575" t="s">
        <v>100</v>
      </c>
      <c r="C575" t="s">
        <v>621</v>
      </c>
      <c r="D575" t="s">
        <v>618</v>
      </c>
      <c r="E575" t="s">
        <v>622</v>
      </c>
      <c r="F575" s="213" t="s">
        <v>56</v>
      </c>
      <c r="G575" t="s">
        <v>66</v>
      </c>
      <c r="H575" t="s">
        <v>84</v>
      </c>
      <c r="I575" t="s">
        <v>623</v>
      </c>
      <c r="J575" t="s">
        <v>56</v>
      </c>
      <c r="K575" t="s">
        <v>3</v>
      </c>
      <c r="L575" t="s">
        <v>626</v>
      </c>
      <c r="M575" t="s">
        <v>100</v>
      </c>
      <c r="N575" t="s">
        <v>32</v>
      </c>
      <c r="O575" t="s">
        <v>640</v>
      </c>
    </row>
    <row r="576" spans="1:15" x14ac:dyDescent="0.25">
      <c r="A576" t="s">
        <v>1283</v>
      </c>
      <c r="B576" t="s">
        <v>100</v>
      </c>
      <c r="C576" t="s">
        <v>621</v>
      </c>
      <c r="D576" t="s">
        <v>618</v>
      </c>
      <c r="E576" t="s">
        <v>622</v>
      </c>
      <c r="F576" s="213" t="s">
        <v>56</v>
      </c>
      <c r="G576" t="s">
        <v>66</v>
      </c>
      <c r="H576" t="s">
        <v>84</v>
      </c>
      <c r="I576" t="s">
        <v>623</v>
      </c>
      <c r="J576" t="s">
        <v>56</v>
      </c>
      <c r="K576" t="s">
        <v>1</v>
      </c>
      <c r="L576" t="s">
        <v>630</v>
      </c>
      <c r="M576" t="s">
        <v>100</v>
      </c>
      <c r="N576" t="s">
        <v>36</v>
      </c>
      <c r="O576" t="s">
        <v>677</v>
      </c>
    </row>
    <row r="577" spans="1:15" x14ac:dyDescent="0.25">
      <c r="A577" t="s">
        <v>1284</v>
      </c>
      <c r="B577" t="s">
        <v>100</v>
      </c>
      <c r="C577" t="s">
        <v>621</v>
      </c>
      <c r="D577" t="s">
        <v>618</v>
      </c>
      <c r="E577" t="s">
        <v>622</v>
      </c>
      <c r="F577" s="213" t="s">
        <v>56</v>
      </c>
      <c r="G577" t="s">
        <v>66</v>
      </c>
      <c r="H577" t="s">
        <v>84</v>
      </c>
      <c r="I577" t="s">
        <v>623</v>
      </c>
      <c r="J577" t="s">
        <v>56</v>
      </c>
      <c r="K577" t="s">
        <v>100</v>
      </c>
      <c r="L577" t="s">
        <v>632</v>
      </c>
      <c r="M577" t="s">
        <v>100</v>
      </c>
      <c r="N577" t="s">
        <v>24</v>
      </c>
      <c r="O577" t="s">
        <v>634</v>
      </c>
    </row>
    <row r="578" spans="1:15" x14ac:dyDescent="0.25">
      <c r="A578" t="s">
        <v>1285</v>
      </c>
      <c r="B578" t="s">
        <v>100</v>
      </c>
      <c r="C578" t="s">
        <v>621</v>
      </c>
      <c r="D578" t="s">
        <v>618</v>
      </c>
      <c r="E578" t="s">
        <v>622</v>
      </c>
      <c r="F578" s="213" t="s">
        <v>56</v>
      </c>
      <c r="G578" t="s">
        <v>66</v>
      </c>
      <c r="H578" t="s">
        <v>84</v>
      </c>
      <c r="I578" t="s">
        <v>623</v>
      </c>
      <c r="J578" t="s">
        <v>56</v>
      </c>
      <c r="K578" t="s">
        <v>6</v>
      </c>
      <c r="L578" t="s">
        <v>1077</v>
      </c>
      <c r="M578" t="s">
        <v>100</v>
      </c>
      <c r="N578" t="s">
        <v>28</v>
      </c>
      <c r="O578" t="s">
        <v>964</v>
      </c>
    </row>
    <row r="579" spans="1:15" x14ac:dyDescent="0.25">
      <c r="A579" t="s">
        <v>1286</v>
      </c>
      <c r="B579" t="s">
        <v>100</v>
      </c>
      <c r="C579" t="s">
        <v>621</v>
      </c>
      <c r="D579" t="s">
        <v>618</v>
      </c>
      <c r="E579" t="s">
        <v>622</v>
      </c>
      <c r="F579" s="213" t="s">
        <v>56</v>
      </c>
      <c r="G579" t="s">
        <v>66</v>
      </c>
      <c r="H579" t="s">
        <v>84</v>
      </c>
      <c r="I579" t="s">
        <v>623</v>
      </c>
      <c r="J579" t="s">
        <v>56</v>
      </c>
      <c r="K579" t="s">
        <v>8</v>
      </c>
      <c r="L579" t="s">
        <v>1287</v>
      </c>
      <c r="M579" t="s">
        <v>100</v>
      </c>
      <c r="N579" t="s">
        <v>93</v>
      </c>
      <c r="O579" t="s">
        <v>42</v>
      </c>
    </row>
    <row r="580" spans="1:15" x14ac:dyDescent="0.25">
      <c r="A580" t="s">
        <v>1288</v>
      </c>
      <c r="B580" t="s">
        <v>100</v>
      </c>
      <c r="C580" t="s">
        <v>621</v>
      </c>
      <c r="D580" t="s">
        <v>618</v>
      </c>
      <c r="E580" t="s">
        <v>622</v>
      </c>
      <c r="F580" s="213" t="s">
        <v>56</v>
      </c>
      <c r="G580" t="s">
        <v>66</v>
      </c>
      <c r="H580" t="s">
        <v>84</v>
      </c>
      <c r="I580" t="s">
        <v>623</v>
      </c>
      <c r="J580" t="s">
        <v>56</v>
      </c>
      <c r="K580" t="s">
        <v>5</v>
      </c>
      <c r="L580" t="s">
        <v>42</v>
      </c>
      <c r="M580" t="s">
        <v>100</v>
      </c>
      <c r="N580" t="s">
        <v>80</v>
      </c>
      <c r="O580" t="s">
        <v>625</v>
      </c>
    </row>
    <row r="581" spans="1:15" x14ac:dyDescent="0.25">
      <c r="A581" t="s">
        <v>1289</v>
      </c>
      <c r="B581" t="s">
        <v>100</v>
      </c>
      <c r="C581" t="s">
        <v>621</v>
      </c>
      <c r="D581" t="s">
        <v>618</v>
      </c>
      <c r="E581" t="s">
        <v>622</v>
      </c>
      <c r="F581" s="213" t="s">
        <v>56</v>
      </c>
      <c r="G581" t="s">
        <v>66</v>
      </c>
      <c r="H581" t="s">
        <v>84</v>
      </c>
      <c r="I581" t="s">
        <v>623</v>
      </c>
      <c r="J581" t="s">
        <v>56</v>
      </c>
      <c r="K581" t="s">
        <v>7</v>
      </c>
      <c r="L581" t="s">
        <v>23</v>
      </c>
      <c r="M581" t="s">
        <v>100</v>
      </c>
      <c r="N581" t="s">
        <v>40</v>
      </c>
      <c r="O581" t="s">
        <v>875</v>
      </c>
    </row>
    <row r="582" spans="1:15" x14ac:dyDescent="0.25">
      <c r="A582" t="s">
        <v>1290</v>
      </c>
      <c r="B582" t="s">
        <v>100</v>
      </c>
      <c r="C582" t="s">
        <v>621</v>
      </c>
      <c r="D582" t="s">
        <v>618</v>
      </c>
      <c r="E582" t="s">
        <v>622</v>
      </c>
      <c r="F582" s="213" t="s">
        <v>56</v>
      </c>
      <c r="G582" t="s">
        <v>66</v>
      </c>
      <c r="H582" t="s">
        <v>84</v>
      </c>
      <c r="I582" t="s">
        <v>623</v>
      </c>
      <c r="J582" t="s">
        <v>56</v>
      </c>
      <c r="K582" t="s">
        <v>5</v>
      </c>
      <c r="L582" t="s">
        <v>654</v>
      </c>
      <c r="M582" t="s">
        <v>0</v>
      </c>
      <c r="N582" t="s">
        <v>10</v>
      </c>
      <c r="O582" t="s">
        <v>1291</v>
      </c>
    </row>
    <row r="583" spans="1:15" x14ac:dyDescent="0.25">
      <c r="A583" t="s">
        <v>1292</v>
      </c>
      <c r="B583" t="s">
        <v>100</v>
      </c>
      <c r="C583" t="s">
        <v>621</v>
      </c>
      <c r="D583" t="s">
        <v>618</v>
      </c>
      <c r="E583" t="s">
        <v>622</v>
      </c>
      <c r="F583" s="213" t="s">
        <v>56</v>
      </c>
      <c r="G583" t="s">
        <v>66</v>
      </c>
      <c r="H583" t="s">
        <v>84</v>
      </c>
      <c r="I583" t="s">
        <v>623</v>
      </c>
      <c r="J583" t="s">
        <v>56</v>
      </c>
      <c r="K583" t="s">
        <v>1</v>
      </c>
      <c r="L583" t="s">
        <v>628</v>
      </c>
      <c r="M583" t="s">
        <v>0</v>
      </c>
      <c r="N583" t="s">
        <v>74</v>
      </c>
      <c r="O583" t="s">
        <v>888</v>
      </c>
    </row>
    <row r="584" spans="1:15" x14ac:dyDescent="0.25">
      <c r="A584" t="s">
        <v>1293</v>
      </c>
      <c r="B584" t="s">
        <v>100</v>
      </c>
      <c r="C584" t="s">
        <v>621</v>
      </c>
      <c r="D584" t="s">
        <v>618</v>
      </c>
      <c r="E584" t="s">
        <v>622</v>
      </c>
      <c r="F584" s="213" t="s">
        <v>56</v>
      </c>
      <c r="G584" t="s">
        <v>66</v>
      </c>
      <c r="H584" t="s">
        <v>84</v>
      </c>
      <c r="I584" t="s">
        <v>623</v>
      </c>
      <c r="J584" t="s">
        <v>56</v>
      </c>
      <c r="K584" t="s">
        <v>100</v>
      </c>
      <c r="L584" t="s">
        <v>625</v>
      </c>
      <c r="M584" t="s">
        <v>0</v>
      </c>
      <c r="N584" t="s">
        <v>2</v>
      </c>
      <c r="O584" t="s">
        <v>1294</v>
      </c>
    </row>
    <row r="585" spans="1:15" x14ac:dyDescent="0.25">
      <c r="A585" t="s">
        <v>1295</v>
      </c>
      <c r="B585" t="s">
        <v>100</v>
      </c>
      <c r="C585" t="s">
        <v>621</v>
      </c>
      <c r="D585" t="s">
        <v>618</v>
      </c>
      <c r="E585" t="s">
        <v>622</v>
      </c>
      <c r="F585" s="213" t="s">
        <v>56</v>
      </c>
      <c r="G585" t="s">
        <v>66</v>
      </c>
      <c r="H585" t="s">
        <v>84</v>
      </c>
      <c r="I585" t="s">
        <v>623</v>
      </c>
      <c r="J585" t="s">
        <v>56</v>
      </c>
      <c r="K585" t="s">
        <v>5</v>
      </c>
      <c r="L585" t="s">
        <v>878</v>
      </c>
      <c r="M585" t="s">
        <v>0</v>
      </c>
      <c r="N585" t="s">
        <v>81</v>
      </c>
      <c r="O585" t="s">
        <v>665</v>
      </c>
    </row>
    <row r="586" spans="1:15" x14ac:dyDescent="0.25">
      <c r="A586" t="s">
        <v>1296</v>
      </c>
      <c r="B586" t="s">
        <v>100</v>
      </c>
      <c r="C586" t="s">
        <v>621</v>
      </c>
      <c r="D586" t="s">
        <v>618</v>
      </c>
      <c r="E586" t="s">
        <v>622</v>
      </c>
      <c r="F586" s="213" t="s">
        <v>56</v>
      </c>
      <c r="G586" t="s">
        <v>66</v>
      </c>
      <c r="H586" t="s">
        <v>84</v>
      </c>
      <c r="I586" t="s">
        <v>623</v>
      </c>
      <c r="J586" t="s">
        <v>56</v>
      </c>
      <c r="K586" t="s">
        <v>7</v>
      </c>
      <c r="L586" t="s">
        <v>101</v>
      </c>
      <c r="M586" t="s">
        <v>0</v>
      </c>
      <c r="N586" t="s">
        <v>57</v>
      </c>
      <c r="O586" t="s">
        <v>735</v>
      </c>
    </row>
    <row r="587" spans="1:15" x14ac:dyDescent="0.25">
      <c r="A587" t="s">
        <v>1297</v>
      </c>
      <c r="B587" t="s">
        <v>100</v>
      </c>
      <c r="C587" t="s">
        <v>621</v>
      </c>
      <c r="D587" t="s">
        <v>618</v>
      </c>
      <c r="E587" t="s">
        <v>622</v>
      </c>
      <c r="F587" s="213" t="s">
        <v>56</v>
      </c>
      <c r="G587" t="s">
        <v>66</v>
      </c>
      <c r="H587" t="s">
        <v>84</v>
      </c>
      <c r="I587" t="s">
        <v>623</v>
      </c>
      <c r="J587" t="s">
        <v>56</v>
      </c>
      <c r="K587" t="s">
        <v>5</v>
      </c>
      <c r="L587" t="s">
        <v>25</v>
      </c>
      <c r="M587" t="s">
        <v>0</v>
      </c>
      <c r="N587" t="s">
        <v>70</v>
      </c>
      <c r="O587" t="s">
        <v>685</v>
      </c>
    </row>
    <row r="588" spans="1:15" x14ac:dyDescent="0.25">
      <c r="A588" t="s">
        <v>1298</v>
      </c>
      <c r="B588" t="s">
        <v>100</v>
      </c>
      <c r="C588" t="s">
        <v>621</v>
      </c>
      <c r="D588" t="s">
        <v>618</v>
      </c>
      <c r="E588" t="s">
        <v>622</v>
      </c>
      <c r="F588" s="213" t="s">
        <v>56</v>
      </c>
      <c r="G588" t="s">
        <v>66</v>
      </c>
      <c r="H588" t="s">
        <v>84</v>
      </c>
      <c r="I588" t="s">
        <v>623</v>
      </c>
      <c r="J588" t="s">
        <v>56</v>
      </c>
      <c r="K588" t="s">
        <v>4</v>
      </c>
      <c r="L588" t="s">
        <v>626</v>
      </c>
      <c r="M588" t="s">
        <v>100</v>
      </c>
      <c r="N588" t="s">
        <v>31</v>
      </c>
      <c r="O588" t="s">
        <v>701</v>
      </c>
    </row>
    <row r="589" spans="1:15" x14ac:dyDescent="0.25">
      <c r="A589" t="s">
        <v>1299</v>
      </c>
      <c r="B589" t="s">
        <v>100</v>
      </c>
      <c r="C589" t="s">
        <v>621</v>
      </c>
      <c r="D589" t="s">
        <v>618</v>
      </c>
      <c r="E589" t="s">
        <v>622</v>
      </c>
      <c r="F589" s="213" t="s">
        <v>56</v>
      </c>
      <c r="G589" t="s">
        <v>66</v>
      </c>
      <c r="H589" t="s">
        <v>84</v>
      </c>
      <c r="I589" t="s">
        <v>623</v>
      </c>
      <c r="J589" t="s">
        <v>56</v>
      </c>
      <c r="K589" t="s">
        <v>1</v>
      </c>
      <c r="L589" t="s">
        <v>665</v>
      </c>
      <c r="M589" t="s">
        <v>100</v>
      </c>
      <c r="N589" t="s">
        <v>25</v>
      </c>
      <c r="O589" t="s">
        <v>1082</v>
      </c>
    </row>
    <row r="590" spans="1:15" x14ac:dyDescent="0.25">
      <c r="A590" t="s">
        <v>1300</v>
      </c>
      <c r="B590" t="s">
        <v>100</v>
      </c>
      <c r="C590" t="s">
        <v>621</v>
      </c>
      <c r="D590" t="s">
        <v>618</v>
      </c>
      <c r="E590" t="s">
        <v>622</v>
      </c>
      <c r="F590" s="213" t="s">
        <v>56</v>
      </c>
      <c r="G590" t="s">
        <v>66</v>
      </c>
      <c r="H590" t="s">
        <v>84</v>
      </c>
      <c r="I590" t="s">
        <v>623</v>
      </c>
      <c r="J590" t="s">
        <v>56</v>
      </c>
      <c r="K590" t="s">
        <v>100</v>
      </c>
      <c r="L590" t="s">
        <v>642</v>
      </c>
      <c r="M590" t="s">
        <v>100</v>
      </c>
      <c r="N590" t="s">
        <v>29</v>
      </c>
      <c r="O590" t="s">
        <v>1035</v>
      </c>
    </row>
    <row r="591" spans="1:15" x14ac:dyDescent="0.25">
      <c r="A591" t="s">
        <v>1301</v>
      </c>
      <c r="B591" t="s">
        <v>100</v>
      </c>
      <c r="C591" t="s">
        <v>621</v>
      </c>
      <c r="D591" t="s">
        <v>618</v>
      </c>
      <c r="E591" t="s">
        <v>622</v>
      </c>
      <c r="F591" s="213" t="s">
        <v>56</v>
      </c>
      <c r="G591" t="s">
        <v>66</v>
      </c>
      <c r="H591" t="s">
        <v>84</v>
      </c>
      <c r="I591" t="s">
        <v>623</v>
      </c>
      <c r="J591" t="s">
        <v>56</v>
      </c>
      <c r="K591" t="s">
        <v>6</v>
      </c>
      <c r="L591" t="s">
        <v>652</v>
      </c>
      <c r="M591" t="s">
        <v>100</v>
      </c>
      <c r="N591" t="s">
        <v>43</v>
      </c>
      <c r="O591" t="s">
        <v>781</v>
      </c>
    </row>
    <row r="592" spans="1:15" x14ac:dyDescent="0.25">
      <c r="A592" t="s">
        <v>1302</v>
      </c>
      <c r="B592" t="s">
        <v>100</v>
      </c>
      <c r="C592" t="s">
        <v>621</v>
      </c>
      <c r="D592" t="s">
        <v>618</v>
      </c>
      <c r="E592" t="s">
        <v>622</v>
      </c>
      <c r="F592" s="213" t="s">
        <v>56</v>
      </c>
      <c r="G592" t="s">
        <v>66</v>
      </c>
      <c r="H592" t="s">
        <v>84</v>
      </c>
      <c r="I592" t="s">
        <v>623</v>
      </c>
      <c r="J592" t="s">
        <v>56</v>
      </c>
      <c r="K592" t="s">
        <v>8</v>
      </c>
      <c r="L592" t="s">
        <v>1251</v>
      </c>
      <c r="M592" t="s">
        <v>100</v>
      </c>
      <c r="N592" t="s">
        <v>88</v>
      </c>
      <c r="O592" t="s">
        <v>100</v>
      </c>
    </row>
    <row r="593" spans="1:15" x14ac:dyDescent="0.25">
      <c r="A593" t="s">
        <v>1303</v>
      </c>
      <c r="B593" t="s">
        <v>100</v>
      </c>
      <c r="C593" t="s">
        <v>621</v>
      </c>
      <c r="D593" t="s">
        <v>618</v>
      </c>
      <c r="E593" t="s">
        <v>622</v>
      </c>
      <c r="F593" s="213" t="s">
        <v>56</v>
      </c>
      <c r="G593" t="s">
        <v>66</v>
      </c>
      <c r="H593" t="s">
        <v>84</v>
      </c>
      <c r="I593" t="s">
        <v>623</v>
      </c>
      <c r="J593" t="s">
        <v>56</v>
      </c>
      <c r="K593" t="s">
        <v>10</v>
      </c>
      <c r="L593" t="s">
        <v>101</v>
      </c>
      <c r="M593" t="s">
        <v>100</v>
      </c>
      <c r="N593" t="s">
        <v>41</v>
      </c>
      <c r="O593" t="s">
        <v>969</v>
      </c>
    </row>
    <row r="594" spans="1:15" x14ac:dyDescent="0.25">
      <c r="A594" t="s">
        <v>1304</v>
      </c>
      <c r="B594" t="s">
        <v>100</v>
      </c>
      <c r="C594" t="s">
        <v>621</v>
      </c>
      <c r="D594" t="s">
        <v>618</v>
      </c>
      <c r="E594" t="s">
        <v>622</v>
      </c>
      <c r="F594" s="213" t="s">
        <v>56</v>
      </c>
      <c r="G594" t="s">
        <v>66</v>
      </c>
      <c r="H594" t="s">
        <v>84</v>
      </c>
      <c r="I594" t="s">
        <v>623</v>
      </c>
      <c r="J594" t="s">
        <v>56</v>
      </c>
      <c r="K594" t="s">
        <v>6</v>
      </c>
      <c r="L594" t="s">
        <v>40</v>
      </c>
      <c r="M594" t="s">
        <v>100</v>
      </c>
      <c r="N594" t="s">
        <v>5</v>
      </c>
      <c r="O594" t="s">
        <v>1224</v>
      </c>
    </row>
    <row r="595" spans="1:15" x14ac:dyDescent="0.25">
      <c r="A595" t="s">
        <v>1305</v>
      </c>
      <c r="B595" t="s">
        <v>100</v>
      </c>
      <c r="C595" t="s">
        <v>621</v>
      </c>
      <c r="D595" t="s">
        <v>618</v>
      </c>
      <c r="E595" t="s">
        <v>622</v>
      </c>
      <c r="F595" s="213" t="s">
        <v>56</v>
      </c>
      <c r="G595" t="s">
        <v>66</v>
      </c>
      <c r="H595" t="s">
        <v>84</v>
      </c>
      <c r="I595" t="s">
        <v>623</v>
      </c>
      <c r="J595" t="s">
        <v>56</v>
      </c>
      <c r="K595" t="s">
        <v>8</v>
      </c>
      <c r="L595" t="s">
        <v>23</v>
      </c>
      <c r="M595" t="s">
        <v>100</v>
      </c>
      <c r="N595" t="s">
        <v>9</v>
      </c>
      <c r="O595" t="s">
        <v>1291</v>
      </c>
    </row>
    <row r="596" spans="1:15" x14ac:dyDescent="0.25">
      <c r="A596" t="s">
        <v>1306</v>
      </c>
      <c r="B596" t="s">
        <v>100</v>
      </c>
      <c r="C596" t="s">
        <v>621</v>
      </c>
      <c r="D596" t="s">
        <v>618</v>
      </c>
      <c r="E596" t="s">
        <v>622</v>
      </c>
      <c r="F596" s="213" t="s">
        <v>56</v>
      </c>
      <c r="G596" t="s">
        <v>66</v>
      </c>
      <c r="H596" t="s">
        <v>84</v>
      </c>
      <c r="I596" t="s">
        <v>623</v>
      </c>
      <c r="J596" t="s">
        <v>56</v>
      </c>
      <c r="K596" t="s">
        <v>6</v>
      </c>
      <c r="L596" t="s">
        <v>654</v>
      </c>
      <c r="M596" t="s">
        <v>0</v>
      </c>
      <c r="N596" t="s">
        <v>3</v>
      </c>
      <c r="O596" t="s">
        <v>1307</v>
      </c>
    </row>
    <row r="597" spans="1:15" x14ac:dyDescent="0.25">
      <c r="A597" t="s">
        <v>1308</v>
      </c>
      <c r="B597" t="s">
        <v>100</v>
      </c>
      <c r="C597" t="s">
        <v>621</v>
      </c>
      <c r="D597" t="s">
        <v>618</v>
      </c>
      <c r="E597" t="s">
        <v>622</v>
      </c>
      <c r="F597" s="213" t="s">
        <v>56</v>
      </c>
      <c r="G597" t="s">
        <v>66</v>
      </c>
      <c r="H597" t="s">
        <v>84</v>
      </c>
      <c r="I597" t="s">
        <v>623</v>
      </c>
      <c r="J597" t="s">
        <v>56</v>
      </c>
      <c r="K597" t="s">
        <v>2</v>
      </c>
      <c r="L597" t="s">
        <v>626</v>
      </c>
      <c r="M597" t="s">
        <v>0</v>
      </c>
      <c r="N597" t="s">
        <v>88</v>
      </c>
      <c r="O597" t="s">
        <v>418</v>
      </c>
    </row>
    <row r="598" spans="1:15" x14ac:dyDescent="0.25">
      <c r="A598" t="s">
        <v>1309</v>
      </c>
      <c r="B598" t="s">
        <v>100</v>
      </c>
      <c r="C598" t="s">
        <v>621</v>
      </c>
      <c r="D598" t="s">
        <v>618</v>
      </c>
      <c r="E598" t="s">
        <v>622</v>
      </c>
      <c r="F598" s="213" t="s">
        <v>56</v>
      </c>
      <c r="G598" t="s">
        <v>66</v>
      </c>
      <c r="H598" t="s">
        <v>84</v>
      </c>
      <c r="I598" t="s">
        <v>623</v>
      </c>
      <c r="J598" t="s">
        <v>56</v>
      </c>
      <c r="K598" t="s">
        <v>0</v>
      </c>
      <c r="L598" t="s">
        <v>665</v>
      </c>
      <c r="M598" t="s">
        <v>0</v>
      </c>
      <c r="N598" t="s">
        <v>21</v>
      </c>
      <c r="O598" t="s">
        <v>636</v>
      </c>
    </row>
    <row r="599" spans="1:15" x14ac:dyDescent="0.25">
      <c r="A599" t="s">
        <v>1310</v>
      </c>
      <c r="B599" t="s">
        <v>100</v>
      </c>
      <c r="C599" t="s">
        <v>621</v>
      </c>
      <c r="D599" t="s">
        <v>618</v>
      </c>
      <c r="E599" t="s">
        <v>622</v>
      </c>
      <c r="F599" s="213" t="s">
        <v>56</v>
      </c>
      <c r="G599" t="s">
        <v>66</v>
      </c>
      <c r="H599" t="s">
        <v>84</v>
      </c>
      <c r="I599" t="s">
        <v>623</v>
      </c>
      <c r="J599" t="s">
        <v>56</v>
      </c>
      <c r="K599" t="s">
        <v>4</v>
      </c>
      <c r="L599" t="s">
        <v>827</v>
      </c>
      <c r="M599" t="s">
        <v>0</v>
      </c>
      <c r="N599" t="s">
        <v>54</v>
      </c>
      <c r="O599" t="s">
        <v>741</v>
      </c>
    </row>
    <row r="600" spans="1:15" x14ac:dyDescent="0.25">
      <c r="A600" t="s">
        <v>1311</v>
      </c>
      <c r="B600" t="s">
        <v>100</v>
      </c>
      <c r="C600" t="s">
        <v>621</v>
      </c>
      <c r="D600" t="s">
        <v>618</v>
      </c>
      <c r="E600" t="s">
        <v>622</v>
      </c>
      <c r="F600" s="213" t="s">
        <v>56</v>
      </c>
      <c r="G600" t="s">
        <v>66</v>
      </c>
      <c r="H600" t="s">
        <v>84</v>
      </c>
      <c r="I600" t="s">
        <v>623</v>
      </c>
      <c r="J600" t="s">
        <v>56</v>
      </c>
      <c r="K600" t="s">
        <v>2</v>
      </c>
      <c r="L600" t="s">
        <v>626</v>
      </c>
      <c r="M600" t="s">
        <v>100</v>
      </c>
      <c r="N600" t="s">
        <v>68</v>
      </c>
      <c r="O600" t="s">
        <v>645</v>
      </c>
    </row>
    <row r="601" spans="1:15" x14ac:dyDescent="0.25">
      <c r="A601" t="s">
        <v>1312</v>
      </c>
      <c r="B601" t="s">
        <v>100</v>
      </c>
      <c r="C601" t="s">
        <v>621</v>
      </c>
      <c r="D601" t="s">
        <v>618</v>
      </c>
      <c r="E601" t="s">
        <v>622</v>
      </c>
      <c r="F601" s="213" t="s">
        <v>56</v>
      </c>
      <c r="G601" t="s">
        <v>66</v>
      </c>
      <c r="H601" t="s">
        <v>84</v>
      </c>
      <c r="I601" t="s">
        <v>623</v>
      </c>
      <c r="J601" t="s">
        <v>56</v>
      </c>
      <c r="K601" t="s">
        <v>0</v>
      </c>
      <c r="L601" t="s">
        <v>665</v>
      </c>
      <c r="M601" t="s">
        <v>100</v>
      </c>
      <c r="N601" t="s">
        <v>34</v>
      </c>
      <c r="O601" t="s">
        <v>701</v>
      </c>
    </row>
    <row r="602" spans="1:15" x14ac:dyDescent="0.25">
      <c r="A602" t="s">
        <v>1313</v>
      </c>
      <c r="B602" t="s">
        <v>100</v>
      </c>
      <c r="C602" t="s">
        <v>621</v>
      </c>
      <c r="D602" t="s">
        <v>618</v>
      </c>
      <c r="E602" t="s">
        <v>622</v>
      </c>
      <c r="F602" s="213" t="s">
        <v>56</v>
      </c>
      <c r="G602" t="s">
        <v>66</v>
      </c>
      <c r="H602" t="s">
        <v>84</v>
      </c>
      <c r="I602" t="s">
        <v>623</v>
      </c>
      <c r="J602" t="s">
        <v>56</v>
      </c>
      <c r="K602" t="s">
        <v>4</v>
      </c>
      <c r="L602" t="s">
        <v>827</v>
      </c>
      <c r="M602" t="s">
        <v>100</v>
      </c>
      <c r="N602" t="s">
        <v>52</v>
      </c>
      <c r="O602" t="s">
        <v>647</v>
      </c>
    </row>
    <row r="603" spans="1:15" x14ac:dyDescent="0.25">
      <c r="A603" t="s">
        <v>1314</v>
      </c>
      <c r="B603" t="s">
        <v>100</v>
      </c>
      <c r="C603" t="s">
        <v>621</v>
      </c>
      <c r="D603" t="s">
        <v>618</v>
      </c>
      <c r="E603" t="s">
        <v>622</v>
      </c>
      <c r="F603" s="213" t="s">
        <v>56</v>
      </c>
      <c r="G603" t="s">
        <v>66</v>
      </c>
      <c r="H603" t="s">
        <v>84</v>
      </c>
      <c r="I603" t="s">
        <v>623</v>
      </c>
      <c r="J603" t="s">
        <v>56</v>
      </c>
      <c r="K603" t="s">
        <v>6</v>
      </c>
      <c r="L603" t="s">
        <v>786</v>
      </c>
      <c r="M603" t="s">
        <v>100</v>
      </c>
      <c r="N603" t="s">
        <v>94</v>
      </c>
      <c r="O603" t="s">
        <v>46</v>
      </c>
    </row>
    <row r="604" spans="1:15" x14ac:dyDescent="0.25">
      <c r="A604" t="s">
        <v>1315</v>
      </c>
      <c r="B604" t="s">
        <v>100</v>
      </c>
      <c r="C604" t="s">
        <v>621</v>
      </c>
      <c r="D604" t="s">
        <v>618</v>
      </c>
      <c r="E604" t="s">
        <v>622</v>
      </c>
      <c r="F604" s="213" t="s">
        <v>56</v>
      </c>
      <c r="G604" t="s">
        <v>66</v>
      </c>
      <c r="H604" t="s">
        <v>84</v>
      </c>
      <c r="I604" t="s">
        <v>623</v>
      </c>
      <c r="J604" t="s">
        <v>56</v>
      </c>
      <c r="K604" t="s">
        <v>8</v>
      </c>
      <c r="L604" t="s">
        <v>101</v>
      </c>
      <c r="M604" t="s">
        <v>100</v>
      </c>
      <c r="N604" t="s">
        <v>92</v>
      </c>
      <c r="O604" t="s">
        <v>24</v>
      </c>
    </row>
    <row r="605" spans="1:15" x14ac:dyDescent="0.25">
      <c r="A605" t="s">
        <v>1316</v>
      </c>
      <c r="B605" t="s">
        <v>100</v>
      </c>
      <c r="C605" t="s">
        <v>621</v>
      </c>
      <c r="D605" t="s">
        <v>618</v>
      </c>
      <c r="E605" t="s">
        <v>622</v>
      </c>
      <c r="F605" s="213" t="s">
        <v>56</v>
      </c>
      <c r="G605" t="s">
        <v>66</v>
      </c>
      <c r="H605" t="s">
        <v>84</v>
      </c>
      <c r="I605" t="s">
        <v>623</v>
      </c>
      <c r="J605" t="s">
        <v>56</v>
      </c>
      <c r="K605" t="s">
        <v>5</v>
      </c>
      <c r="L605" t="s">
        <v>35</v>
      </c>
      <c r="M605" t="s">
        <v>100</v>
      </c>
      <c r="N605" t="s">
        <v>76</v>
      </c>
      <c r="O605" t="s">
        <v>643</v>
      </c>
    </row>
    <row r="606" spans="1:15" x14ac:dyDescent="0.25">
      <c r="A606" t="s">
        <v>1317</v>
      </c>
      <c r="B606" t="s">
        <v>100</v>
      </c>
      <c r="C606" t="s">
        <v>621</v>
      </c>
      <c r="D606" t="s">
        <v>618</v>
      </c>
      <c r="E606" t="s">
        <v>622</v>
      </c>
      <c r="F606" s="213" t="s">
        <v>56</v>
      </c>
      <c r="G606" t="s">
        <v>66</v>
      </c>
      <c r="H606" t="s">
        <v>84</v>
      </c>
      <c r="I606" t="s">
        <v>623</v>
      </c>
      <c r="J606" t="s">
        <v>56</v>
      </c>
      <c r="K606" t="s">
        <v>7</v>
      </c>
      <c r="L606" t="s">
        <v>13</v>
      </c>
      <c r="M606" t="s">
        <v>100</v>
      </c>
      <c r="N606" t="s">
        <v>66</v>
      </c>
      <c r="O606" t="s">
        <v>809</v>
      </c>
    </row>
    <row r="607" spans="1:15" x14ac:dyDescent="0.25">
      <c r="A607" t="s">
        <v>1318</v>
      </c>
      <c r="B607" t="s">
        <v>100</v>
      </c>
      <c r="C607" t="s">
        <v>621</v>
      </c>
      <c r="D607" t="s">
        <v>618</v>
      </c>
      <c r="E607" t="s">
        <v>622</v>
      </c>
      <c r="F607" s="213" t="s">
        <v>56</v>
      </c>
      <c r="G607" t="s">
        <v>66</v>
      </c>
      <c r="H607" t="s">
        <v>84</v>
      </c>
      <c r="I607" t="s">
        <v>623</v>
      </c>
      <c r="J607" t="s">
        <v>56</v>
      </c>
      <c r="K607" t="s">
        <v>4</v>
      </c>
      <c r="L607" t="s">
        <v>654</v>
      </c>
      <c r="M607" t="s">
        <v>0</v>
      </c>
      <c r="N607" t="s">
        <v>45</v>
      </c>
      <c r="O607" t="s">
        <v>672</v>
      </c>
    </row>
    <row r="608" spans="1:15" x14ac:dyDescent="0.25">
      <c r="A608" t="s">
        <v>1319</v>
      </c>
      <c r="B608" t="s">
        <v>100</v>
      </c>
      <c r="C608" t="s">
        <v>621</v>
      </c>
      <c r="D608" t="s">
        <v>618</v>
      </c>
      <c r="E608" t="s">
        <v>622</v>
      </c>
      <c r="F608" s="213" t="s">
        <v>56</v>
      </c>
      <c r="G608" t="s">
        <v>66</v>
      </c>
      <c r="H608" t="s">
        <v>84</v>
      </c>
      <c r="I608" t="s">
        <v>623</v>
      </c>
      <c r="J608" t="s">
        <v>56</v>
      </c>
      <c r="K608" t="s">
        <v>1</v>
      </c>
      <c r="L608" t="s">
        <v>626</v>
      </c>
      <c r="M608" t="s">
        <v>0</v>
      </c>
      <c r="N608" t="s">
        <v>86</v>
      </c>
      <c r="O608" t="s">
        <v>628</v>
      </c>
    </row>
    <row r="609" spans="1:15" x14ac:dyDescent="0.25">
      <c r="A609" t="s">
        <v>1320</v>
      </c>
      <c r="B609" t="s">
        <v>100</v>
      </c>
      <c r="C609" t="s">
        <v>621</v>
      </c>
      <c r="D609" t="s">
        <v>618</v>
      </c>
      <c r="E609" t="s">
        <v>622</v>
      </c>
      <c r="F609" s="213" t="s">
        <v>56</v>
      </c>
      <c r="G609" t="s">
        <v>66</v>
      </c>
      <c r="H609" t="s">
        <v>84</v>
      </c>
      <c r="I609" t="s">
        <v>623</v>
      </c>
      <c r="J609" t="s">
        <v>56</v>
      </c>
      <c r="K609" t="s">
        <v>100</v>
      </c>
      <c r="L609" t="s">
        <v>665</v>
      </c>
      <c r="M609" t="s">
        <v>0</v>
      </c>
      <c r="N609" t="s">
        <v>69</v>
      </c>
      <c r="O609" t="s">
        <v>656</v>
      </c>
    </row>
    <row r="610" spans="1:15" x14ac:dyDescent="0.25">
      <c r="A610" t="s">
        <v>1321</v>
      </c>
      <c r="B610" t="s">
        <v>100</v>
      </c>
      <c r="C610" t="s">
        <v>621</v>
      </c>
      <c r="D610" t="s">
        <v>618</v>
      </c>
      <c r="E610" t="s">
        <v>622</v>
      </c>
      <c r="F610" s="213" t="s">
        <v>56</v>
      </c>
      <c r="G610" t="s">
        <v>66</v>
      </c>
      <c r="H610" t="s">
        <v>84</v>
      </c>
      <c r="I610" t="s">
        <v>623</v>
      </c>
      <c r="J610" t="s">
        <v>56</v>
      </c>
      <c r="K610" t="s">
        <v>4</v>
      </c>
      <c r="L610" t="s">
        <v>1322</v>
      </c>
      <c r="M610" t="s">
        <v>0</v>
      </c>
      <c r="N610" t="s">
        <v>91</v>
      </c>
      <c r="O610" t="s">
        <v>718</v>
      </c>
    </row>
    <row r="611" spans="1:15" x14ac:dyDescent="0.25">
      <c r="A611" t="s">
        <v>1323</v>
      </c>
      <c r="B611" t="s">
        <v>100</v>
      </c>
      <c r="C611" t="s">
        <v>621</v>
      </c>
      <c r="D611" t="s">
        <v>618</v>
      </c>
      <c r="E611" t="s">
        <v>622</v>
      </c>
      <c r="F611" s="213" t="s">
        <v>56</v>
      </c>
      <c r="G611" t="s">
        <v>66</v>
      </c>
      <c r="H611" t="s">
        <v>84</v>
      </c>
      <c r="I611" t="s">
        <v>623</v>
      </c>
      <c r="J611" t="s">
        <v>56</v>
      </c>
      <c r="K611" t="s">
        <v>6</v>
      </c>
      <c r="L611" t="s">
        <v>101</v>
      </c>
      <c r="M611" t="s">
        <v>0</v>
      </c>
      <c r="N611" t="s">
        <v>14</v>
      </c>
      <c r="O611" t="s">
        <v>1131</v>
      </c>
    </row>
    <row r="612" spans="1:15" x14ac:dyDescent="0.25">
      <c r="A612" t="s">
        <v>1324</v>
      </c>
      <c r="B612" t="s">
        <v>100</v>
      </c>
      <c r="C612" t="s">
        <v>621</v>
      </c>
      <c r="D612" t="s">
        <v>618</v>
      </c>
      <c r="E612" t="s">
        <v>622</v>
      </c>
      <c r="F612" s="213" t="s">
        <v>56</v>
      </c>
      <c r="G612" t="s">
        <v>66</v>
      </c>
      <c r="H612" t="s">
        <v>84</v>
      </c>
      <c r="I612" t="s">
        <v>623</v>
      </c>
      <c r="J612" t="s">
        <v>56</v>
      </c>
      <c r="K612" t="s">
        <v>4</v>
      </c>
      <c r="L612" t="s">
        <v>28</v>
      </c>
      <c r="M612" t="s">
        <v>0</v>
      </c>
      <c r="N612" t="s">
        <v>65</v>
      </c>
      <c r="O612" t="s">
        <v>814</v>
      </c>
    </row>
    <row r="613" spans="1:15" x14ac:dyDescent="0.25">
      <c r="A613" t="s">
        <v>1325</v>
      </c>
      <c r="B613" t="s">
        <v>100</v>
      </c>
      <c r="C613" t="s">
        <v>621</v>
      </c>
      <c r="D613" t="s">
        <v>618</v>
      </c>
      <c r="E613" t="s">
        <v>622</v>
      </c>
      <c r="F613" s="213" t="s">
        <v>56</v>
      </c>
      <c r="G613" t="s">
        <v>66</v>
      </c>
      <c r="H613" t="s">
        <v>84</v>
      </c>
      <c r="I613" t="s">
        <v>623</v>
      </c>
      <c r="J613" t="s">
        <v>56</v>
      </c>
      <c r="K613" t="s">
        <v>1</v>
      </c>
      <c r="L613" t="s">
        <v>628</v>
      </c>
      <c r="M613" t="s">
        <v>100</v>
      </c>
      <c r="N613" t="s">
        <v>35</v>
      </c>
      <c r="O613" t="s">
        <v>701</v>
      </c>
    </row>
    <row r="614" spans="1:15" x14ac:dyDescent="0.25">
      <c r="A614" t="s">
        <v>1326</v>
      </c>
      <c r="B614" t="s">
        <v>100</v>
      </c>
      <c r="C614" t="s">
        <v>621</v>
      </c>
      <c r="D614" t="s">
        <v>618</v>
      </c>
      <c r="E614" t="s">
        <v>622</v>
      </c>
      <c r="F614" s="213" t="s">
        <v>56</v>
      </c>
      <c r="G614" t="s">
        <v>66</v>
      </c>
      <c r="H614" t="s">
        <v>84</v>
      </c>
      <c r="I614" t="s">
        <v>623</v>
      </c>
      <c r="J614" t="s">
        <v>56</v>
      </c>
      <c r="K614" t="s">
        <v>100</v>
      </c>
      <c r="L614" t="s">
        <v>625</v>
      </c>
      <c r="M614" t="s">
        <v>100</v>
      </c>
      <c r="N614" t="s">
        <v>55</v>
      </c>
      <c r="O614" t="s">
        <v>765</v>
      </c>
    </row>
    <row r="615" spans="1:15" x14ac:dyDescent="0.25">
      <c r="A615" t="s">
        <v>1327</v>
      </c>
      <c r="B615" t="s">
        <v>100</v>
      </c>
      <c r="C615" t="s">
        <v>621</v>
      </c>
      <c r="D615" t="s">
        <v>618</v>
      </c>
      <c r="E615" t="s">
        <v>622</v>
      </c>
      <c r="F615" s="213" t="s">
        <v>56</v>
      </c>
      <c r="G615" t="s">
        <v>66</v>
      </c>
      <c r="H615" t="s">
        <v>84</v>
      </c>
      <c r="I615" t="s">
        <v>623</v>
      </c>
      <c r="J615" t="s">
        <v>56</v>
      </c>
      <c r="K615" t="s">
        <v>5</v>
      </c>
      <c r="L615" t="s">
        <v>878</v>
      </c>
      <c r="M615" t="s">
        <v>100</v>
      </c>
      <c r="N615" t="s">
        <v>27</v>
      </c>
      <c r="O615" t="s">
        <v>634</v>
      </c>
    </row>
    <row r="616" spans="1:15" x14ac:dyDescent="0.25">
      <c r="A616" t="s">
        <v>1328</v>
      </c>
      <c r="B616" t="s">
        <v>100</v>
      </c>
      <c r="C616" t="s">
        <v>621</v>
      </c>
      <c r="D616" t="s">
        <v>618</v>
      </c>
      <c r="E616" t="s">
        <v>622</v>
      </c>
      <c r="F616" s="213" t="s">
        <v>56</v>
      </c>
      <c r="G616" t="s">
        <v>66</v>
      </c>
      <c r="H616" t="s">
        <v>84</v>
      </c>
      <c r="I616" t="s">
        <v>623</v>
      </c>
      <c r="J616" t="s">
        <v>56</v>
      </c>
      <c r="K616" t="s">
        <v>7</v>
      </c>
      <c r="L616" t="s">
        <v>101</v>
      </c>
      <c r="M616" t="s">
        <v>100</v>
      </c>
      <c r="N616" t="s">
        <v>47</v>
      </c>
      <c r="O616" t="s">
        <v>672</v>
      </c>
    </row>
    <row r="617" spans="1:15" x14ac:dyDescent="0.25">
      <c r="A617" t="s">
        <v>1329</v>
      </c>
      <c r="B617" t="s">
        <v>100</v>
      </c>
      <c r="C617" t="s">
        <v>621</v>
      </c>
      <c r="D617" t="s">
        <v>618</v>
      </c>
      <c r="E617" t="s">
        <v>622</v>
      </c>
      <c r="F617" s="213" t="s">
        <v>56</v>
      </c>
      <c r="G617" t="s">
        <v>66</v>
      </c>
      <c r="H617" t="s">
        <v>84</v>
      </c>
      <c r="I617" t="s">
        <v>623</v>
      </c>
      <c r="J617" t="s">
        <v>56</v>
      </c>
      <c r="K617" t="s">
        <v>5</v>
      </c>
      <c r="L617" t="s">
        <v>25</v>
      </c>
      <c r="M617" t="s">
        <v>100</v>
      </c>
      <c r="N617" t="s">
        <v>79</v>
      </c>
      <c r="O617" t="s">
        <v>642</v>
      </c>
    </row>
    <row r="618" spans="1:15" x14ac:dyDescent="0.25">
      <c r="A618" t="s">
        <v>1330</v>
      </c>
      <c r="B618" t="s">
        <v>100</v>
      </c>
      <c r="C618" t="s">
        <v>621</v>
      </c>
      <c r="D618" t="s">
        <v>618</v>
      </c>
      <c r="E618" t="s">
        <v>622</v>
      </c>
      <c r="F618" s="213" t="s">
        <v>56</v>
      </c>
      <c r="G618" t="s">
        <v>66</v>
      </c>
      <c r="H618" t="s">
        <v>84</v>
      </c>
      <c r="I618" t="s">
        <v>623</v>
      </c>
      <c r="J618" t="s">
        <v>56</v>
      </c>
      <c r="K618" t="s">
        <v>3</v>
      </c>
      <c r="L618" t="s">
        <v>654</v>
      </c>
      <c r="M618" t="s">
        <v>0</v>
      </c>
      <c r="N618" t="s">
        <v>39</v>
      </c>
      <c r="O618" t="s">
        <v>677</v>
      </c>
    </row>
    <row r="619" spans="1:15" x14ac:dyDescent="0.25">
      <c r="A619" t="s">
        <v>1331</v>
      </c>
      <c r="B619" t="s">
        <v>100</v>
      </c>
      <c r="C619" t="s">
        <v>621</v>
      </c>
      <c r="D619" t="s">
        <v>618</v>
      </c>
      <c r="E619" t="s">
        <v>622</v>
      </c>
      <c r="F619" s="213" t="s">
        <v>56</v>
      </c>
      <c r="G619" t="s">
        <v>66</v>
      </c>
      <c r="H619" t="s">
        <v>84</v>
      </c>
      <c r="I619" t="s">
        <v>623</v>
      </c>
      <c r="J619" t="s">
        <v>56</v>
      </c>
      <c r="K619" t="s">
        <v>0</v>
      </c>
      <c r="L619" t="s">
        <v>628</v>
      </c>
      <c r="M619" t="s">
        <v>0</v>
      </c>
      <c r="N619" t="s">
        <v>61</v>
      </c>
      <c r="O619" t="s">
        <v>749</v>
      </c>
    </row>
    <row r="620" spans="1:15" x14ac:dyDescent="0.25">
      <c r="A620" t="s">
        <v>1332</v>
      </c>
      <c r="B620" t="s">
        <v>100</v>
      </c>
      <c r="C620" t="s">
        <v>621</v>
      </c>
      <c r="D620" t="s">
        <v>618</v>
      </c>
      <c r="E620" t="s">
        <v>622</v>
      </c>
      <c r="F620" s="213" t="s">
        <v>56</v>
      </c>
      <c r="G620" t="s">
        <v>66</v>
      </c>
      <c r="H620" t="s">
        <v>84</v>
      </c>
      <c r="I620" t="s">
        <v>623</v>
      </c>
      <c r="J620" t="s">
        <v>56</v>
      </c>
      <c r="K620" t="s">
        <v>2</v>
      </c>
      <c r="L620" t="s">
        <v>807</v>
      </c>
      <c r="M620" t="s">
        <v>0</v>
      </c>
      <c r="N620" t="s">
        <v>53</v>
      </c>
      <c r="O620" t="s">
        <v>647</v>
      </c>
    </row>
    <row r="621" spans="1:15" x14ac:dyDescent="0.25">
      <c r="A621" t="s">
        <v>1333</v>
      </c>
      <c r="B621" t="s">
        <v>100</v>
      </c>
      <c r="C621" t="s">
        <v>621</v>
      </c>
      <c r="D621" t="s">
        <v>618</v>
      </c>
      <c r="E621" t="s">
        <v>622</v>
      </c>
      <c r="F621" s="213" t="s">
        <v>56</v>
      </c>
      <c r="G621" t="s">
        <v>66</v>
      </c>
      <c r="H621" t="s">
        <v>84</v>
      </c>
      <c r="I621" t="s">
        <v>623</v>
      </c>
      <c r="J621" t="s">
        <v>56</v>
      </c>
      <c r="K621" t="s">
        <v>4</v>
      </c>
      <c r="L621" t="s">
        <v>1287</v>
      </c>
      <c r="M621" t="s">
        <v>0</v>
      </c>
      <c r="N621" t="s">
        <v>22</v>
      </c>
      <c r="O621" t="s">
        <v>1213</v>
      </c>
    </row>
    <row r="622" spans="1:15" x14ac:dyDescent="0.25">
      <c r="A622" t="s">
        <v>1334</v>
      </c>
      <c r="B622" t="s">
        <v>100</v>
      </c>
      <c r="C622" t="s">
        <v>621</v>
      </c>
      <c r="D622" t="s">
        <v>618</v>
      </c>
      <c r="E622" t="s">
        <v>622</v>
      </c>
      <c r="F622" s="213" t="s">
        <v>56</v>
      </c>
      <c r="G622" t="s">
        <v>66</v>
      </c>
      <c r="H622" t="s">
        <v>84</v>
      </c>
      <c r="I622" t="s">
        <v>623</v>
      </c>
      <c r="J622" t="s">
        <v>56</v>
      </c>
      <c r="K622" t="s">
        <v>2</v>
      </c>
      <c r="L622" t="s">
        <v>48</v>
      </c>
      <c r="M622" t="s">
        <v>0</v>
      </c>
      <c r="N622" t="s">
        <v>78</v>
      </c>
      <c r="O622" t="s">
        <v>629</v>
      </c>
    </row>
    <row r="623" spans="1:15" x14ac:dyDescent="0.25">
      <c r="A623" t="s">
        <v>1335</v>
      </c>
      <c r="B623" t="s">
        <v>100</v>
      </c>
      <c r="C623" t="s">
        <v>621</v>
      </c>
      <c r="D623" t="s">
        <v>618</v>
      </c>
      <c r="E623" t="s">
        <v>622</v>
      </c>
      <c r="F623" s="213" t="s">
        <v>56</v>
      </c>
      <c r="G623" t="s">
        <v>66</v>
      </c>
      <c r="H623" t="s">
        <v>84</v>
      </c>
      <c r="I623" t="s">
        <v>623</v>
      </c>
      <c r="J623" t="s">
        <v>56</v>
      </c>
      <c r="K623" t="s">
        <v>4</v>
      </c>
      <c r="L623" t="s">
        <v>14</v>
      </c>
      <c r="M623" t="s">
        <v>0</v>
      </c>
      <c r="N623" t="s">
        <v>17</v>
      </c>
      <c r="O623" t="s">
        <v>1080</v>
      </c>
    </row>
    <row r="624" spans="1:15" x14ac:dyDescent="0.25">
      <c r="A624" t="s">
        <v>1336</v>
      </c>
      <c r="B624" t="s">
        <v>100</v>
      </c>
      <c r="C624" t="s">
        <v>621</v>
      </c>
      <c r="D624" t="s">
        <v>618</v>
      </c>
      <c r="E624" t="s">
        <v>622</v>
      </c>
      <c r="F624" s="213" t="s">
        <v>56</v>
      </c>
      <c r="G624" t="s">
        <v>66</v>
      </c>
      <c r="H624" t="s">
        <v>84</v>
      </c>
      <c r="I624" t="s">
        <v>623</v>
      </c>
      <c r="J624" t="s">
        <v>56</v>
      </c>
      <c r="K624" t="s">
        <v>1</v>
      </c>
      <c r="L624" t="s">
        <v>654</v>
      </c>
      <c r="M624" t="s">
        <v>1</v>
      </c>
      <c r="N624" t="s">
        <v>70</v>
      </c>
      <c r="O624" t="s">
        <v>656</v>
      </c>
    </row>
    <row r="625" spans="1:15" x14ac:dyDescent="0.25">
      <c r="A625" t="s">
        <v>1337</v>
      </c>
      <c r="B625" t="s">
        <v>100</v>
      </c>
      <c r="C625" t="s">
        <v>621</v>
      </c>
      <c r="D625" t="s">
        <v>618</v>
      </c>
      <c r="E625" t="s">
        <v>622</v>
      </c>
      <c r="F625" s="213" t="s">
        <v>56</v>
      </c>
      <c r="G625" t="s">
        <v>66</v>
      </c>
      <c r="H625" t="s">
        <v>84</v>
      </c>
      <c r="I625" t="s">
        <v>623</v>
      </c>
      <c r="J625" t="s">
        <v>56</v>
      </c>
      <c r="K625" t="s">
        <v>1</v>
      </c>
      <c r="L625" t="s">
        <v>626</v>
      </c>
      <c r="M625" t="s">
        <v>100</v>
      </c>
      <c r="N625" t="s">
        <v>31</v>
      </c>
      <c r="O625" t="s">
        <v>633</v>
      </c>
    </row>
    <row r="626" spans="1:15" x14ac:dyDescent="0.25">
      <c r="A626" t="s">
        <v>1338</v>
      </c>
      <c r="B626" t="s">
        <v>100</v>
      </c>
      <c r="C626" t="s">
        <v>621</v>
      </c>
      <c r="D626" t="s">
        <v>618</v>
      </c>
      <c r="E626" t="s">
        <v>622</v>
      </c>
      <c r="F626" s="213" t="s">
        <v>56</v>
      </c>
      <c r="G626" t="s">
        <v>66</v>
      </c>
      <c r="H626" t="s">
        <v>84</v>
      </c>
      <c r="I626" t="s">
        <v>623</v>
      </c>
      <c r="J626" t="s">
        <v>56</v>
      </c>
      <c r="K626" t="s">
        <v>100</v>
      </c>
      <c r="L626" t="s">
        <v>665</v>
      </c>
      <c r="M626" t="s">
        <v>100</v>
      </c>
      <c r="N626" t="s">
        <v>63</v>
      </c>
      <c r="O626" t="s">
        <v>693</v>
      </c>
    </row>
    <row r="627" spans="1:15" x14ac:dyDescent="0.25">
      <c r="A627" t="s">
        <v>1339</v>
      </c>
      <c r="B627" t="s">
        <v>100</v>
      </c>
      <c r="C627" t="s">
        <v>621</v>
      </c>
      <c r="D627" t="s">
        <v>618</v>
      </c>
      <c r="E627" t="s">
        <v>622</v>
      </c>
      <c r="F627" s="213" t="s">
        <v>56</v>
      </c>
      <c r="G627" t="s">
        <v>66</v>
      </c>
      <c r="H627" t="s">
        <v>84</v>
      </c>
      <c r="I627" t="s">
        <v>623</v>
      </c>
      <c r="J627" t="s">
        <v>56</v>
      </c>
      <c r="K627" t="s">
        <v>4</v>
      </c>
      <c r="L627" t="s">
        <v>1322</v>
      </c>
      <c r="M627" t="s">
        <v>100</v>
      </c>
      <c r="N627" t="s">
        <v>29</v>
      </c>
      <c r="O627" t="s">
        <v>812</v>
      </c>
    </row>
    <row r="628" spans="1:15" x14ac:dyDescent="0.25">
      <c r="A628" t="s">
        <v>1340</v>
      </c>
      <c r="B628" t="s">
        <v>100</v>
      </c>
      <c r="C628" t="s">
        <v>621</v>
      </c>
      <c r="D628" t="s">
        <v>618</v>
      </c>
      <c r="E628" t="s">
        <v>622</v>
      </c>
      <c r="F628" s="213" t="s">
        <v>56</v>
      </c>
      <c r="G628" t="s">
        <v>66</v>
      </c>
      <c r="H628" t="s">
        <v>84</v>
      </c>
      <c r="I628" t="s">
        <v>623</v>
      </c>
      <c r="J628" t="s">
        <v>56</v>
      </c>
      <c r="K628" t="s">
        <v>6</v>
      </c>
      <c r="L628" t="s">
        <v>101</v>
      </c>
      <c r="M628" t="s">
        <v>100</v>
      </c>
      <c r="N628" t="s">
        <v>43</v>
      </c>
      <c r="O628" t="s">
        <v>761</v>
      </c>
    </row>
    <row r="629" spans="1:15" x14ac:dyDescent="0.25">
      <c r="A629" t="s">
        <v>1341</v>
      </c>
      <c r="B629" t="s">
        <v>100</v>
      </c>
      <c r="C629" t="s">
        <v>621</v>
      </c>
      <c r="D629" t="s">
        <v>618</v>
      </c>
      <c r="E629" t="s">
        <v>622</v>
      </c>
      <c r="F629" s="213" t="s">
        <v>56</v>
      </c>
      <c r="G629" t="s">
        <v>66</v>
      </c>
      <c r="H629" t="s">
        <v>84</v>
      </c>
      <c r="I629" t="s">
        <v>623</v>
      </c>
      <c r="J629" t="s">
        <v>56</v>
      </c>
      <c r="K629" t="s">
        <v>4</v>
      </c>
      <c r="L629" t="s">
        <v>28</v>
      </c>
      <c r="M629" t="s">
        <v>100</v>
      </c>
      <c r="N629" t="s">
        <v>47</v>
      </c>
      <c r="O629" t="s">
        <v>969</v>
      </c>
    </row>
    <row r="630" spans="1:15" x14ac:dyDescent="0.25">
      <c r="A630" t="s">
        <v>1342</v>
      </c>
      <c r="B630" t="s">
        <v>100</v>
      </c>
      <c r="C630" t="s">
        <v>621</v>
      </c>
      <c r="D630" t="s">
        <v>618</v>
      </c>
      <c r="E630" t="s">
        <v>622</v>
      </c>
      <c r="F630" s="213" t="s">
        <v>56</v>
      </c>
      <c r="G630" t="s">
        <v>66</v>
      </c>
      <c r="H630" t="s">
        <v>84</v>
      </c>
      <c r="I630" t="s">
        <v>623</v>
      </c>
      <c r="J630" t="s">
        <v>56</v>
      </c>
      <c r="K630" t="s">
        <v>2</v>
      </c>
      <c r="L630" t="s">
        <v>654</v>
      </c>
      <c r="M630" t="s">
        <v>0</v>
      </c>
      <c r="N630" t="s">
        <v>41</v>
      </c>
      <c r="O630" t="s">
        <v>712</v>
      </c>
    </row>
    <row r="631" spans="1:15" x14ac:dyDescent="0.25">
      <c r="A631" t="s">
        <v>1343</v>
      </c>
      <c r="B631" t="s">
        <v>100</v>
      </c>
      <c r="C631" t="s">
        <v>621</v>
      </c>
      <c r="D631" t="s">
        <v>618</v>
      </c>
      <c r="E631" t="s">
        <v>622</v>
      </c>
      <c r="F631" s="213" t="s">
        <v>56</v>
      </c>
      <c r="G631" t="s">
        <v>66</v>
      </c>
      <c r="H631" t="s">
        <v>84</v>
      </c>
      <c r="I631" t="s">
        <v>623</v>
      </c>
      <c r="J631" t="s">
        <v>56</v>
      </c>
      <c r="K631" t="s">
        <v>100</v>
      </c>
      <c r="L631" t="s">
        <v>714</v>
      </c>
      <c r="M631" t="s">
        <v>0</v>
      </c>
      <c r="N631" t="s">
        <v>7</v>
      </c>
      <c r="O631" t="s">
        <v>1344</v>
      </c>
    </row>
    <row r="632" spans="1:15" x14ac:dyDescent="0.25">
      <c r="A632" t="s">
        <v>1345</v>
      </c>
      <c r="B632" t="s">
        <v>100</v>
      </c>
      <c r="C632" t="s">
        <v>621</v>
      </c>
      <c r="D632" t="s">
        <v>618</v>
      </c>
      <c r="E632" t="s">
        <v>622</v>
      </c>
      <c r="F632" s="213" t="s">
        <v>56</v>
      </c>
      <c r="G632" t="s">
        <v>66</v>
      </c>
      <c r="H632" t="s">
        <v>84</v>
      </c>
      <c r="I632" t="s">
        <v>623</v>
      </c>
      <c r="J632" t="s">
        <v>56</v>
      </c>
      <c r="K632" t="s">
        <v>3</v>
      </c>
      <c r="L632" t="s">
        <v>1346</v>
      </c>
      <c r="M632" t="s">
        <v>0</v>
      </c>
      <c r="N632" t="s">
        <v>77</v>
      </c>
      <c r="O632" t="s">
        <v>888</v>
      </c>
    </row>
    <row r="633" spans="1:15" x14ac:dyDescent="0.25">
      <c r="A633" t="s">
        <v>1347</v>
      </c>
      <c r="B633" t="s">
        <v>100</v>
      </c>
      <c r="C633" t="s">
        <v>621</v>
      </c>
      <c r="D633" t="s">
        <v>618</v>
      </c>
      <c r="E633" t="s">
        <v>622</v>
      </c>
      <c r="F633" s="213" t="s">
        <v>56</v>
      </c>
      <c r="G633" t="s">
        <v>66</v>
      </c>
      <c r="H633" t="s">
        <v>84</v>
      </c>
      <c r="I633" t="s">
        <v>623</v>
      </c>
      <c r="J633" t="s">
        <v>56</v>
      </c>
      <c r="K633" t="s">
        <v>2</v>
      </c>
      <c r="L633" t="s">
        <v>36</v>
      </c>
      <c r="M633" t="s">
        <v>0</v>
      </c>
      <c r="N633" t="s">
        <v>100</v>
      </c>
      <c r="O633" t="s">
        <v>1348</v>
      </c>
    </row>
    <row r="634" spans="1:15" x14ac:dyDescent="0.25">
      <c r="A634" t="s">
        <v>1349</v>
      </c>
      <c r="B634" t="s">
        <v>100</v>
      </c>
      <c r="C634" t="s">
        <v>621</v>
      </c>
      <c r="D634" t="s">
        <v>618</v>
      </c>
      <c r="E634" t="s">
        <v>622</v>
      </c>
      <c r="F634" s="213" t="s">
        <v>56</v>
      </c>
      <c r="G634" t="s">
        <v>66</v>
      </c>
      <c r="H634" t="s">
        <v>84</v>
      </c>
      <c r="I634" t="s">
        <v>623</v>
      </c>
      <c r="J634" t="s">
        <v>56</v>
      </c>
      <c r="K634" t="s">
        <v>0</v>
      </c>
      <c r="L634" t="s">
        <v>654</v>
      </c>
      <c r="M634" t="s">
        <v>1</v>
      </c>
      <c r="N634" t="s">
        <v>19</v>
      </c>
      <c r="O634" t="s">
        <v>1080</v>
      </c>
    </row>
    <row r="635" spans="1:15" x14ac:dyDescent="0.25">
      <c r="A635" t="s">
        <v>1350</v>
      </c>
      <c r="B635" t="s">
        <v>100</v>
      </c>
      <c r="C635" t="s">
        <v>621</v>
      </c>
      <c r="D635" t="s">
        <v>618</v>
      </c>
      <c r="E635" t="s">
        <v>622</v>
      </c>
      <c r="F635" s="213" t="s">
        <v>56</v>
      </c>
      <c r="G635" t="s">
        <v>66</v>
      </c>
      <c r="H635" t="s">
        <v>84</v>
      </c>
      <c r="I635" t="s">
        <v>623</v>
      </c>
      <c r="J635" t="s">
        <v>56</v>
      </c>
      <c r="K635" t="s">
        <v>1</v>
      </c>
      <c r="L635" t="s">
        <v>1172</v>
      </c>
      <c r="M635" t="s">
        <v>1</v>
      </c>
      <c r="N635" t="s">
        <v>23</v>
      </c>
      <c r="O635" t="s">
        <v>1213</v>
      </c>
    </row>
    <row r="636" spans="1:15" x14ac:dyDescent="0.25">
      <c r="A636" t="s">
        <v>1351</v>
      </c>
      <c r="B636" t="s">
        <v>100</v>
      </c>
      <c r="C636" t="s">
        <v>621</v>
      </c>
      <c r="D636" t="s">
        <v>618</v>
      </c>
      <c r="E636" t="s">
        <v>622</v>
      </c>
      <c r="F636" s="213" t="s">
        <v>56</v>
      </c>
      <c r="G636" t="s">
        <v>66</v>
      </c>
      <c r="H636" t="s">
        <v>84</v>
      </c>
      <c r="I636" t="s">
        <v>623</v>
      </c>
      <c r="J636" t="s">
        <v>56</v>
      </c>
      <c r="K636" t="s">
        <v>1</v>
      </c>
      <c r="L636" t="s">
        <v>21</v>
      </c>
      <c r="M636" t="s">
        <v>1</v>
      </c>
      <c r="N636" t="s">
        <v>11</v>
      </c>
      <c r="O636" t="s">
        <v>1352</v>
      </c>
    </row>
    <row r="637" spans="1:15" x14ac:dyDescent="0.25">
      <c r="A637" t="s">
        <v>1353</v>
      </c>
      <c r="B637" t="s">
        <v>100</v>
      </c>
      <c r="C637" t="s">
        <v>621</v>
      </c>
      <c r="D637" t="s">
        <v>618</v>
      </c>
      <c r="E637" t="s">
        <v>622</v>
      </c>
      <c r="F637" s="213" t="s">
        <v>56</v>
      </c>
      <c r="G637" t="s">
        <v>66</v>
      </c>
      <c r="H637" t="s">
        <v>84</v>
      </c>
      <c r="I637" t="s">
        <v>623</v>
      </c>
      <c r="J637" t="s">
        <v>56</v>
      </c>
      <c r="K637" t="s">
        <v>0</v>
      </c>
      <c r="L637" t="s">
        <v>628</v>
      </c>
      <c r="M637" t="s">
        <v>100</v>
      </c>
      <c r="N637" t="s">
        <v>67</v>
      </c>
      <c r="O637" t="s">
        <v>674</v>
      </c>
    </row>
    <row r="638" spans="1:15" x14ac:dyDescent="0.25">
      <c r="A638" t="s">
        <v>1354</v>
      </c>
      <c r="B638" t="s">
        <v>100</v>
      </c>
      <c r="C638" t="s">
        <v>621</v>
      </c>
      <c r="D638" t="s">
        <v>618</v>
      </c>
      <c r="E638" t="s">
        <v>622</v>
      </c>
      <c r="F638" s="213" t="s">
        <v>56</v>
      </c>
      <c r="G638" t="s">
        <v>66</v>
      </c>
      <c r="H638" t="s">
        <v>84</v>
      </c>
      <c r="I638" t="s">
        <v>623</v>
      </c>
      <c r="J638" t="s">
        <v>56</v>
      </c>
      <c r="K638" t="s">
        <v>2</v>
      </c>
      <c r="L638" t="s">
        <v>807</v>
      </c>
      <c r="M638" t="s">
        <v>100</v>
      </c>
      <c r="N638" t="s">
        <v>75</v>
      </c>
      <c r="O638" t="s">
        <v>685</v>
      </c>
    </row>
    <row r="639" spans="1:15" x14ac:dyDescent="0.25">
      <c r="A639" t="s">
        <v>1355</v>
      </c>
      <c r="B639" t="s">
        <v>100</v>
      </c>
      <c r="C639" t="s">
        <v>621</v>
      </c>
      <c r="D639" t="s">
        <v>618</v>
      </c>
      <c r="E639" t="s">
        <v>622</v>
      </c>
      <c r="F639" s="213" t="s">
        <v>56</v>
      </c>
      <c r="G639" t="s">
        <v>66</v>
      </c>
      <c r="H639" t="s">
        <v>84</v>
      </c>
      <c r="I639" t="s">
        <v>623</v>
      </c>
      <c r="J639" t="s">
        <v>56</v>
      </c>
      <c r="K639" t="s">
        <v>4</v>
      </c>
      <c r="L639" t="s">
        <v>1287</v>
      </c>
      <c r="M639" t="s">
        <v>100</v>
      </c>
      <c r="N639" t="s">
        <v>51</v>
      </c>
      <c r="O639" t="s">
        <v>975</v>
      </c>
    </row>
    <row r="640" spans="1:15" x14ac:dyDescent="0.25">
      <c r="A640" t="s">
        <v>1356</v>
      </c>
      <c r="B640" t="s">
        <v>100</v>
      </c>
      <c r="C640" t="s">
        <v>621</v>
      </c>
      <c r="D640" t="s">
        <v>618</v>
      </c>
      <c r="E640" t="s">
        <v>622</v>
      </c>
      <c r="F640" s="213" t="s">
        <v>56</v>
      </c>
      <c r="G640" t="s">
        <v>66</v>
      </c>
      <c r="H640" t="s">
        <v>84</v>
      </c>
      <c r="I640" t="s">
        <v>623</v>
      </c>
      <c r="J640" t="s">
        <v>56</v>
      </c>
      <c r="K640" t="s">
        <v>2</v>
      </c>
      <c r="L640" t="s">
        <v>48</v>
      </c>
      <c r="M640" t="s">
        <v>100</v>
      </c>
      <c r="N640" t="s">
        <v>59</v>
      </c>
      <c r="O640" t="s">
        <v>825</v>
      </c>
    </row>
    <row r="641" spans="1:15" x14ac:dyDescent="0.25">
      <c r="A641" t="s">
        <v>1357</v>
      </c>
      <c r="B641" t="s">
        <v>100</v>
      </c>
      <c r="C641" t="s">
        <v>621</v>
      </c>
      <c r="D641" t="s">
        <v>618</v>
      </c>
      <c r="E641" t="s">
        <v>622</v>
      </c>
      <c r="F641" s="213" t="s">
        <v>56</v>
      </c>
      <c r="G641" t="s">
        <v>66</v>
      </c>
      <c r="H641" t="s">
        <v>84</v>
      </c>
      <c r="I641" t="s">
        <v>623</v>
      </c>
      <c r="J641" t="s">
        <v>56</v>
      </c>
      <c r="K641" t="s">
        <v>4</v>
      </c>
      <c r="L641" t="s">
        <v>14</v>
      </c>
      <c r="M641" t="s">
        <v>100</v>
      </c>
      <c r="N641" t="s">
        <v>96</v>
      </c>
      <c r="O641" t="s">
        <v>48</v>
      </c>
    </row>
    <row r="642" spans="1:15" x14ac:dyDescent="0.25">
      <c r="A642" t="s">
        <v>1358</v>
      </c>
      <c r="B642" t="s">
        <v>100</v>
      </c>
      <c r="C642" t="s">
        <v>621</v>
      </c>
      <c r="D642" t="s">
        <v>618</v>
      </c>
      <c r="E642" t="s">
        <v>622</v>
      </c>
      <c r="F642" s="213" t="s">
        <v>56</v>
      </c>
      <c r="G642" t="s">
        <v>66</v>
      </c>
      <c r="H642" t="s">
        <v>84</v>
      </c>
      <c r="I642" t="s">
        <v>623</v>
      </c>
      <c r="J642" t="s">
        <v>56</v>
      </c>
      <c r="K642" t="s">
        <v>1</v>
      </c>
      <c r="L642" t="s">
        <v>654</v>
      </c>
      <c r="M642" t="s">
        <v>0</v>
      </c>
      <c r="N642" t="s">
        <v>39</v>
      </c>
      <c r="O642" t="s">
        <v>770</v>
      </c>
    </row>
    <row r="643" spans="1:15" x14ac:dyDescent="0.25">
      <c r="A643" t="s">
        <v>1359</v>
      </c>
      <c r="B643" t="s">
        <v>100</v>
      </c>
      <c r="C643" t="s">
        <v>621</v>
      </c>
      <c r="D643" t="s">
        <v>618</v>
      </c>
      <c r="E643" t="s">
        <v>622</v>
      </c>
      <c r="F643" s="213" t="s">
        <v>56</v>
      </c>
      <c r="G643" t="s">
        <v>66</v>
      </c>
      <c r="H643" t="s">
        <v>84</v>
      </c>
      <c r="I643" t="s">
        <v>623</v>
      </c>
      <c r="J643" t="s">
        <v>56</v>
      </c>
      <c r="K643" t="s">
        <v>100</v>
      </c>
      <c r="L643" t="s">
        <v>628</v>
      </c>
      <c r="M643" t="s">
        <v>0</v>
      </c>
      <c r="N643" t="s">
        <v>84</v>
      </c>
      <c r="O643" t="s">
        <v>625</v>
      </c>
    </row>
    <row r="644" spans="1:15" x14ac:dyDescent="0.25">
      <c r="A644" t="s">
        <v>1360</v>
      </c>
      <c r="B644" t="s">
        <v>100</v>
      </c>
      <c r="C644" t="s">
        <v>621</v>
      </c>
      <c r="D644" t="s">
        <v>618</v>
      </c>
      <c r="E644" t="s">
        <v>622</v>
      </c>
      <c r="F644" s="213" t="s">
        <v>56</v>
      </c>
      <c r="G644" t="s">
        <v>66</v>
      </c>
      <c r="H644" t="s">
        <v>84</v>
      </c>
      <c r="I644" t="s">
        <v>623</v>
      </c>
      <c r="J644" t="s">
        <v>56</v>
      </c>
      <c r="K644" t="s">
        <v>2</v>
      </c>
      <c r="L644" t="s">
        <v>720</v>
      </c>
      <c r="M644" t="s">
        <v>0</v>
      </c>
      <c r="N644" t="s">
        <v>61</v>
      </c>
      <c r="O644" t="s">
        <v>627</v>
      </c>
    </row>
    <row r="645" spans="1:15" x14ac:dyDescent="0.25">
      <c r="A645" t="s">
        <v>1361</v>
      </c>
      <c r="B645" t="s">
        <v>100</v>
      </c>
      <c r="C645" t="s">
        <v>621</v>
      </c>
      <c r="D645" t="s">
        <v>618</v>
      </c>
      <c r="E645" t="s">
        <v>622</v>
      </c>
      <c r="F645" s="213" t="s">
        <v>56</v>
      </c>
      <c r="G645" t="s">
        <v>66</v>
      </c>
      <c r="H645" t="s">
        <v>84</v>
      </c>
      <c r="I645" t="s">
        <v>623</v>
      </c>
      <c r="J645" t="s">
        <v>56</v>
      </c>
      <c r="K645" t="s">
        <v>1</v>
      </c>
      <c r="L645" t="s">
        <v>44</v>
      </c>
      <c r="M645" t="s">
        <v>0</v>
      </c>
      <c r="N645" t="s">
        <v>53</v>
      </c>
      <c r="O645" t="s">
        <v>667</v>
      </c>
    </row>
    <row r="646" spans="1:15" x14ac:dyDescent="0.25">
      <c r="A646" t="s">
        <v>1362</v>
      </c>
      <c r="B646" t="s">
        <v>100</v>
      </c>
      <c r="C646" t="s">
        <v>621</v>
      </c>
      <c r="D646" t="s">
        <v>618</v>
      </c>
      <c r="E646" t="s">
        <v>622</v>
      </c>
      <c r="F646" s="213" t="s">
        <v>56</v>
      </c>
      <c r="G646" t="s">
        <v>66</v>
      </c>
      <c r="H646" t="s">
        <v>84</v>
      </c>
      <c r="I646" t="s">
        <v>623</v>
      </c>
      <c r="J646" t="s">
        <v>56</v>
      </c>
      <c r="K646" t="s">
        <v>100</v>
      </c>
      <c r="L646" t="s">
        <v>654</v>
      </c>
      <c r="M646" t="s">
        <v>3</v>
      </c>
      <c r="N646" t="s">
        <v>22</v>
      </c>
      <c r="O646" t="s">
        <v>1044</v>
      </c>
    </row>
    <row r="647" spans="1:15" x14ac:dyDescent="0.25">
      <c r="A647" t="s">
        <v>1363</v>
      </c>
      <c r="B647" t="s">
        <v>100</v>
      </c>
      <c r="C647" t="s">
        <v>621</v>
      </c>
      <c r="D647" t="s">
        <v>618</v>
      </c>
      <c r="E647" t="s">
        <v>622</v>
      </c>
      <c r="F647" s="213" t="s">
        <v>56</v>
      </c>
      <c r="G647" t="s">
        <v>66</v>
      </c>
      <c r="H647" t="s">
        <v>84</v>
      </c>
      <c r="I647" t="s">
        <v>623</v>
      </c>
      <c r="J647" t="s">
        <v>56</v>
      </c>
      <c r="K647" t="s">
        <v>2</v>
      </c>
      <c r="L647" t="s">
        <v>654</v>
      </c>
      <c r="M647" t="s">
        <v>100</v>
      </c>
      <c r="N647" t="s">
        <v>67</v>
      </c>
      <c r="O647" t="s">
        <v>644</v>
      </c>
    </row>
    <row r="648" spans="1:15" x14ac:dyDescent="0.25">
      <c r="A648" t="s">
        <v>1364</v>
      </c>
      <c r="B648" t="s">
        <v>100</v>
      </c>
      <c r="C648" t="s">
        <v>621</v>
      </c>
      <c r="D648" t="s">
        <v>618</v>
      </c>
      <c r="E648" t="s">
        <v>622</v>
      </c>
      <c r="F648" s="213" t="s">
        <v>56</v>
      </c>
      <c r="G648" t="s">
        <v>66</v>
      </c>
      <c r="H648" t="s">
        <v>84</v>
      </c>
      <c r="I648" t="s">
        <v>623</v>
      </c>
      <c r="J648" t="s">
        <v>56</v>
      </c>
      <c r="K648" t="s">
        <v>100</v>
      </c>
      <c r="L648" t="s">
        <v>714</v>
      </c>
      <c r="M648" t="s">
        <v>100</v>
      </c>
      <c r="N648" t="s">
        <v>75</v>
      </c>
      <c r="O648" t="s">
        <v>637</v>
      </c>
    </row>
    <row r="649" spans="1:15" x14ac:dyDescent="0.25">
      <c r="A649" t="s">
        <v>1365</v>
      </c>
      <c r="B649" t="s">
        <v>100</v>
      </c>
      <c r="C649" t="s">
        <v>621</v>
      </c>
      <c r="D649" t="s">
        <v>618</v>
      </c>
      <c r="E649" t="s">
        <v>622</v>
      </c>
      <c r="F649" s="213" t="s">
        <v>56</v>
      </c>
      <c r="G649" t="s">
        <v>66</v>
      </c>
      <c r="H649" t="s">
        <v>84</v>
      </c>
      <c r="I649" t="s">
        <v>623</v>
      </c>
      <c r="J649" t="s">
        <v>56</v>
      </c>
      <c r="K649" t="s">
        <v>3</v>
      </c>
      <c r="L649" t="s">
        <v>1346</v>
      </c>
      <c r="M649" t="s">
        <v>100</v>
      </c>
      <c r="N649" t="s">
        <v>51</v>
      </c>
      <c r="O649" t="s">
        <v>672</v>
      </c>
    </row>
    <row r="650" spans="1:15" x14ac:dyDescent="0.25">
      <c r="A650" t="s">
        <v>1366</v>
      </c>
      <c r="B650" t="s">
        <v>100</v>
      </c>
      <c r="C650" t="s">
        <v>621</v>
      </c>
      <c r="D650" t="s">
        <v>618</v>
      </c>
      <c r="E650" t="s">
        <v>622</v>
      </c>
      <c r="F650" s="213" t="s">
        <v>56</v>
      </c>
      <c r="G650" t="s">
        <v>66</v>
      </c>
      <c r="H650" t="s">
        <v>84</v>
      </c>
      <c r="I650" t="s">
        <v>623</v>
      </c>
      <c r="J650" t="s">
        <v>56</v>
      </c>
      <c r="K650" t="s">
        <v>2</v>
      </c>
      <c r="L650" t="s">
        <v>36</v>
      </c>
      <c r="M650" t="s">
        <v>100</v>
      </c>
      <c r="N650" t="s">
        <v>59</v>
      </c>
      <c r="O650" t="s">
        <v>765</v>
      </c>
    </row>
    <row r="651" spans="1:15" x14ac:dyDescent="0.25">
      <c r="A651" t="s">
        <v>1367</v>
      </c>
      <c r="B651" t="s">
        <v>100</v>
      </c>
      <c r="C651" t="s">
        <v>621</v>
      </c>
      <c r="D651" t="s">
        <v>618</v>
      </c>
      <c r="E651" t="s">
        <v>622</v>
      </c>
      <c r="F651" s="213" t="s">
        <v>56</v>
      </c>
      <c r="G651" t="s">
        <v>66</v>
      </c>
      <c r="H651" t="s">
        <v>84</v>
      </c>
      <c r="I651" t="s">
        <v>623</v>
      </c>
      <c r="J651" t="s">
        <v>56</v>
      </c>
      <c r="K651" t="s">
        <v>100</v>
      </c>
      <c r="L651" t="s">
        <v>654</v>
      </c>
      <c r="M651" t="s">
        <v>2</v>
      </c>
      <c r="N651" t="s">
        <v>96</v>
      </c>
      <c r="O651" t="s">
        <v>36</v>
      </c>
    </row>
    <row r="652" spans="1:15" x14ac:dyDescent="0.25">
      <c r="A652" t="s">
        <v>1368</v>
      </c>
      <c r="B652" t="s">
        <v>100</v>
      </c>
      <c r="C652" t="s">
        <v>621</v>
      </c>
      <c r="D652" t="s">
        <v>618</v>
      </c>
      <c r="E652" t="s">
        <v>622</v>
      </c>
      <c r="F652" s="213" t="s">
        <v>56</v>
      </c>
      <c r="G652" t="s">
        <v>66</v>
      </c>
      <c r="H652" t="s">
        <v>84</v>
      </c>
      <c r="I652" t="s">
        <v>623</v>
      </c>
      <c r="J652" t="s">
        <v>56</v>
      </c>
      <c r="K652" t="s">
        <v>1</v>
      </c>
      <c r="L652" t="s">
        <v>654</v>
      </c>
      <c r="M652" t="s">
        <v>100</v>
      </c>
      <c r="N652" t="s">
        <v>67</v>
      </c>
      <c r="O652" t="s">
        <v>693</v>
      </c>
    </row>
    <row r="653" spans="1:15" x14ac:dyDescent="0.25">
      <c r="A653" t="s">
        <v>1369</v>
      </c>
      <c r="B653" t="s">
        <v>100</v>
      </c>
      <c r="C653" t="s">
        <v>621</v>
      </c>
      <c r="D653" t="s">
        <v>618</v>
      </c>
      <c r="E653" t="s">
        <v>622</v>
      </c>
      <c r="F653" s="213" t="s">
        <v>56</v>
      </c>
      <c r="G653" t="s">
        <v>66</v>
      </c>
      <c r="H653" t="s">
        <v>84</v>
      </c>
      <c r="I653" t="s">
        <v>623</v>
      </c>
      <c r="J653" t="s">
        <v>56</v>
      </c>
      <c r="K653" t="s">
        <v>100</v>
      </c>
      <c r="L653" t="s">
        <v>628</v>
      </c>
      <c r="M653" t="s">
        <v>100</v>
      </c>
      <c r="N653" t="s">
        <v>75</v>
      </c>
      <c r="O653" t="s">
        <v>656</v>
      </c>
    </row>
    <row r="654" spans="1:15" x14ac:dyDescent="0.25">
      <c r="A654" t="s">
        <v>1370</v>
      </c>
      <c r="B654" t="s">
        <v>100</v>
      </c>
      <c r="C654" t="s">
        <v>621</v>
      </c>
      <c r="D654" t="s">
        <v>618</v>
      </c>
      <c r="E654" t="s">
        <v>622</v>
      </c>
      <c r="F654" s="213" t="s">
        <v>56</v>
      </c>
      <c r="G654" t="s">
        <v>66</v>
      </c>
      <c r="H654" t="s">
        <v>84</v>
      </c>
      <c r="I654" t="s">
        <v>623</v>
      </c>
      <c r="J654" t="s">
        <v>56</v>
      </c>
      <c r="K654" t="s">
        <v>2</v>
      </c>
      <c r="L654" t="s">
        <v>720</v>
      </c>
      <c r="M654" t="s">
        <v>100</v>
      </c>
      <c r="N654" t="s">
        <v>51</v>
      </c>
      <c r="O654" t="s">
        <v>969</v>
      </c>
    </row>
    <row r="655" spans="1:15" x14ac:dyDescent="0.25">
      <c r="A655" t="s">
        <v>1371</v>
      </c>
      <c r="B655" t="s">
        <v>100</v>
      </c>
      <c r="C655" t="s">
        <v>621</v>
      </c>
      <c r="D655" t="s">
        <v>618</v>
      </c>
      <c r="E655" t="s">
        <v>622</v>
      </c>
      <c r="F655" s="213" t="s">
        <v>56</v>
      </c>
      <c r="G655" t="s">
        <v>66</v>
      </c>
      <c r="H655" t="s">
        <v>84</v>
      </c>
      <c r="I655" t="s">
        <v>623</v>
      </c>
      <c r="J655" t="s">
        <v>56</v>
      </c>
      <c r="K655" t="s">
        <v>1</v>
      </c>
      <c r="L655" t="s">
        <v>44</v>
      </c>
      <c r="M655" t="s">
        <v>100</v>
      </c>
      <c r="N655" t="s">
        <v>59</v>
      </c>
      <c r="O655" t="s">
        <v>789</v>
      </c>
    </row>
    <row r="656" spans="1:15" x14ac:dyDescent="0.25">
      <c r="A656" t="s">
        <v>1372</v>
      </c>
      <c r="B656" t="s">
        <v>100</v>
      </c>
      <c r="C656" t="s">
        <v>621</v>
      </c>
      <c r="D656" t="s">
        <v>618</v>
      </c>
      <c r="E656" t="s">
        <v>622</v>
      </c>
      <c r="F656" s="213" t="s">
        <v>56</v>
      </c>
      <c r="G656" t="s">
        <v>66</v>
      </c>
      <c r="H656" t="s">
        <v>84</v>
      </c>
      <c r="I656" t="s">
        <v>623</v>
      </c>
      <c r="J656" t="s">
        <v>56</v>
      </c>
      <c r="K656" t="s">
        <v>100</v>
      </c>
      <c r="L656" t="s">
        <v>654</v>
      </c>
      <c r="M656" t="s">
        <v>1</v>
      </c>
      <c r="N656" t="s">
        <v>97</v>
      </c>
      <c r="O656" t="s">
        <v>682</v>
      </c>
    </row>
    <row r="657" spans="1:15" x14ac:dyDescent="0.25">
      <c r="A657" t="s">
        <v>1373</v>
      </c>
      <c r="B657" t="s">
        <v>100</v>
      </c>
      <c r="C657" t="s">
        <v>621</v>
      </c>
      <c r="D657" t="s">
        <v>618</v>
      </c>
      <c r="E657" t="s">
        <v>622</v>
      </c>
      <c r="F657" s="213" t="s">
        <v>56</v>
      </c>
      <c r="G657" t="s">
        <v>66</v>
      </c>
      <c r="H657" t="s">
        <v>84</v>
      </c>
      <c r="I657" t="s">
        <v>623</v>
      </c>
      <c r="J657" t="s">
        <v>56</v>
      </c>
      <c r="K657" t="s">
        <v>0</v>
      </c>
      <c r="L657" t="s">
        <v>654</v>
      </c>
      <c r="M657" t="s">
        <v>100</v>
      </c>
      <c r="N657" t="s">
        <v>67</v>
      </c>
      <c r="O657" t="s">
        <v>749</v>
      </c>
    </row>
    <row r="658" spans="1:15" x14ac:dyDescent="0.25">
      <c r="A658" t="s">
        <v>1374</v>
      </c>
      <c r="B658" t="s">
        <v>100</v>
      </c>
      <c r="C658" t="s">
        <v>621</v>
      </c>
      <c r="D658" t="s">
        <v>618</v>
      </c>
      <c r="E658" t="s">
        <v>622</v>
      </c>
      <c r="F658" s="213" t="s">
        <v>56</v>
      </c>
      <c r="G658" t="s">
        <v>66</v>
      </c>
      <c r="H658" t="s">
        <v>84</v>
      </c>
      <c r="I658" t="s">
        <v>623</v>
      </c>
      <c r="J658" t="s">
        <v>56</v>
      </c>
      <c r="K658" t="s">
        <v>1</v>
      </c>
      <c r="L658" t="s">
        <v>1172</v>
      </c>
      <c r="M658" t="s">
        <v>100</v>
      </c>
      <c r="N658" t="s">
        <v>75</v>
      </c>
      <c r="O658" t="s">
        <v>645</v>
      </c>
    </row>
    <row r="659" spans="1:15" x14ac:dyDescent="0.25">
      <c r="A659" t="s">
        <v>1375</v>
      </c>
      <c r="B659" t="s">
        <v>100</v>
      </c>
      <c r="C659" t="s">
        <v>621</v>
      </c>
      <c r="D659" t="s">
        <v>618</v>
      </c>
      <c r="E659" t="s">
        <v>622</v>
      </c>
      <c r="F659" s="213" t="s">
        <v>56</v>
      </c>
      <c r="G659" t="s">
        <v>66</v>
      </c>
      <c r="H659" t="s">
        <v>84</v>
      </c>
      <c r="I659" t="s">
        <v>623</v>
      </c>
      <c r="J659" t="s">
        <v>56</v>
      </c>
      <c r="K659" t="s">
        <v>1</v>
      </c>
      <c r="L659" t="s">
        <v>21</v>
      </c>
      <c r="M659" t="s">
        <v>100</v>
      </c>
      <c r="N659" t="s">
        <v>51</v>
      </c>
      <c r="O659" t="s">
        <v>638</v>
      </c>
    </row>
    <row r="660" spans="1:15" x14ac:dyDescent="0.25">
      <c r="A660" t="s">
        <v>1376</v>
      </c>
      <c r="B660" t="s">
        <v>100</v>
      </c>
      <c r="C660" t="s">
        <v>621</v>
      </c>
      <c r="D660" t="s">
        <v>618</v>
      </c>
      <c r="E660" t="s">
        <v>622</v>
      </c>
      <c r="F660" s="213" t="s">
        <v>56</v>
      </c>
      <c r="G660" t="s">
        <v>66</v>
      </c>
      <c r="H660" t="s">
        <v>84</v>
      </c>
      <c r="I660" t="s">
        <v>623</v>
      </c>
      <c r="J660" t="s">
        <v>56</v>
      </c>
      <c r="K660" t="s">
        <v>29</v>
      </c>
      <c r="L660" t="s">
        <v>624</v>
      </c>
      <c r="M660" t="s">
        <v>1377</v>
      </c>
      <c r="N660" t="s">
        <v>10</v>
      </c>
      <c r="O660" t="s">
        <v>101</v>
      </c>
    </row>
    <row r="661" spans="1:15" x14ac:dyDescent="0.25">
      <c r="A661" t="s">
        <v>1378</v>
      </c>
      <c r="B661" t="s">
        <v>100</v>
      </c>
      <c r="C661" t="s">
        <v>621</v>
      </c>
      <c r="D661" t="s">
        <v>618</v>
      </c>
      <c r="E661" t="s">
        <v>622</v>
      </c>
      <c r="F661" s="213" t="s">
        <v>56</v>
      </c>
      <c r="G661" t="s">
        <v>66</v>
      </c>
      <c r="H661" t="s">
        <v>84</v>
      </c>
      <c r="I661" t="s">
        <v>623</v>
      </c>
      <c r="J661" t="s">
        <v>56</v>
      </c>
      <c r="K661" t="s">
        <v>27</v>
      </c>
      <c r="L661" t="s">
        <v>626</v>
      </c>
      <c r="M661" t="s">
        <v>1377</v>
      </c>
      <c r="N661" t="s">
        <v>7</v>
      </c>
      <c r="O661" t="s">
        <v>31</v>
      </c>
    </row>
    <row r="662" spans="1:15" x14ac:dyDescent="0.25">
      <c r="A662" t="s">
        <v>1379</v>
      </c>
      <c r="B662" t="s">
        <v>100</v>
      </c>
      <c r="C662" t="s">
        <v>621</v>
      </c>
      <c r="D662" t="s">
        <v>618</v>
      </c>
      <c r="E662" t="s">
        <v>622</v>
      </c>
      <c r="F662" s="213" t="s">
        <v>56</v>
      </c>
      <c r="G662" t="s">
        <v>66</v>
      </c>
      <c r="H662" t="s">
        <v>84</v>
      </c>
      <c r="I662" t="s">
        <v>623</v>
      </c>
      <c r="J662" t="s">
        <v>56</v>
      </c>
      <c r="K662" t="s">
        <v>25</v>
      </c>
      <c r="L662" t="s">
        <v>628</v>
      </c>
      <c r="M662" t="s">
        <v>1377</v>
      </c>
      <c r="N662" t="s">
        <v>6</v>
      </c>
      <c r="O662" t="s">
        <v>40</v>
      </c>
    </row>
    <row r="663" spans="1:15" x14ac:dyDescent="0.25">
      <c r="A663" t="s">
        <v>1380</v>
      </c>
      <c r="B663" t="s">
        <v>100</v>
      </c>
      <c r="C663" t="s">
        <v>621</v>
      </c>
      <c r="D663" t="s">
        <v>618</v>
      </c>
      <c r="E663" t="s">
        <v>622</v>
      </c>
      <c r="F663" s="213" t="s">
        <v>56</v>
      </c>
      <c r="G663" t="s">
        <v>66</v>
      </c>
      <c r="H663" t="s">
        <v>84</v>
      </c>
      <c r="I663" t="s">
        <v>623</v>
      </c>
      <c r="J663" t="s">
        <v>56</v>
      </c>
      <c r="K663" t="s">
        <v>27</v>
      </c>
      <c r="L663" t="s">
        <v>626</v>
      </c>
      <c r="M663" t="s">
        <v>38</v>
      </c>
      <c r="N663" t="s">
        <v>1381</v>
      </c>
      <c r="O663" t="s">
        <v>1181</v>
      </c>
    </row>
    <row r="664" spans="1:15" x14ac:dyDescent="0.25">
      <c r="A664" t="s">
        <v>1382</v>
      </c>
      <c r="B664" t="s">
        <v>100</v>
      </c>
      <c r="C664" t="s">
        <v>621</v>
      </c>
      <c r="D664" t="s">
        <v>618</v>
      </c>
      <c r="E664" t="s">
        <v>622</v>
      </c>
      <c r="F664" s="213" t="s">
        <v>56</v>
      </c>
      <c r="G664" t="s">
        <v>66</v>
      </c>
      <c r="H664" t="s">
        <v>84</v>
      </c>
      <c r="I664" t="s">
        <v>623</v>
      </c>
      <c r="J664" t="s">
        <v>56</v>
      </c>
      <c r="K664" t="s">
        <v>25</v>
      </c>
      <c r="L664" t="s">
        <v>628</v>
      </c>
      <c r="M664" t="s">
        <v>38</v>
      </c>
      <c r="N664" t="s">
        <v>644</v>
      </c>
      <c r="O664" t="s">
        <v>818</v>
      </c>
    </row>
    <row r="665" spans="1:15" x14ac:dyDescent="0.25">
      <c r="A665" t="s">
        <v>1383</v>
      </c>
      <c r="B665" t="s">
        <v>100</v>
      </c>
      <c r="C665" t="s">
        <v>621</v>
      </c>
      <c r="D665" t="s">
        <v>618</v>
      </c>
      <c r="E665" t="s">
        <v>622</v>
      </c>
      <c r="F665" s="213" t="s">
        <v>56</v>
      </c>
      <c r="G665" t="s">
        <v>66</v>
      </c>
      <c r="H665" t="s">
        <v>84</v>
      </c>
      <c r="I665" t="s">
        <v>623</v>
      </c>
      <c r="J665" t="s">
        <v>56</v>
      </c>
      <c r="K665" t="s">
        <v>22</v>
      </c>
      <c r="L665" t="s">
        <v>630</v>
      </c>
      <c r="M665" t="s">
        <v>38</v>
      </c>
      <c r="N665" t="s">
        <v>624</v>
      </c>
      <c r="O665" t="s">
        <v>1181</v>
      </c>
    </row>
    <row r="666" spans="1:15" x14ac:dyDescent="0.25">
      <c r="A666" t="s">
        <v>1384</v>
      </c>
      <c r="B666" t="s">
        <v>100</v>
      </c>
      <c r="C666" t="s">
        <v>621</v>
      </c>
      <c r="D666" t="s">
        <v>618</v>
      </c>
      <c r="E666" t="s">
        <v>622</v>
      </c>
      <c r="F666" s="213" t="s">
        <v>56</v>
      </c>
      <c r="G666" t="s">
        <v>66</v>
      </c>
      <c r="H666" t="s">
        <v>84</v>
      </c>
      <c r="I666" t="s">
        <v>623</v>
      </c>
      <c r="J666" t="s">
        <v>56</v>
      </c>
      <c r="K666" t="s">
        <v>19</v>
      </c>
      <c r="L666" t="s">
        <v>625</v>
      </c>
      <c r="M666" t="s">
        <v>38</v>
      </c>
      <c r="N666" t="s">
        <v>1385</v>
      </c>
      <c r="O666" t="s">
        <v>1181</v>
      </c>
    </row>
    <row r="667" spans="1:15" x14ac:dyDescent="0.25">
      <c r="A667" t="s">
        <v>1386</v>
      </c>
      <c r="B667" t="s">
        <v>100</v>
      </c>
      <c r="C667" t="s">
        <v>621</v>
      </c>
      <c r="D667" t="s">
        <v>618</v>
      </c>
      <c r="E667" t="s">
        <v>622</v>
      </c>
      <c r="F667" s="213" t="s">
        <v>56</v>
      </c>
      <c r="G667" t="s">
        <v>66</v>
      </c>
      <c r="H667" t="s">
        <v>84</v>
      </c>
      <c r="I667" t="s">
        <v>623</v>
      </c>
      <c r="J667" t="s">
        <v>56</v>
      </c>
      <c r="K667" t="s">
        <v>15</v>
      </c>
      <c r="L667" t="s">
        <v>632</v>
      </c>
      <c r="M667" t="s">
        <v>38</v>
      </c>
      <c r="N667" t="s">
        <v>969</v>
      </c>
      <c r="O667" t="s">
        <v>1287</v>
      </c>
    </row>
    <row r="668" spans="1:15" x14ac:dyDescent="0.25">
      <c r="A668" t="s">
        <v>1387</v>
      </c>
      <c r="B668" t="s">
        <v>100</v>
      </c>
      <c r="C668" t="s">
        <v>621</v>
      </c>
      <c r="D668" t="s">
        <v>618</v>
      </c>
      <c r="E668" t="s">
        <v>622</v>
      </c>
      <c r="F668" s="213" t="s">
        <v>56</v>
      </c>
      <c r="G668" t="s">
        <v>66</v>
      </c>
      <c r="H668" t="s">
        <v>84</v>
      </c>
      <c r="I668" t="s">
        <v>623</v>
      </c>
      <c r="J668" t="s">
        <v>56</v>
      </c>
      <c r="K668" t="s">
        <v>12</v>
      </c>
      <c r="L668" t="s">
        <v>629</v>
      </c>
      <c r="M668" t="s">
        <v>38</v>
      </c>
      <c r="N668" t="s">
        <v>827</v>
      </c>
      <c r="O668" t="s">
        <v>718</v>
      </c>
    </row>
    <row r="669" spans="1:15" x14ac:dyDescent="0.25">
      <c r="A669" t="s">
        <v>1388</v>
      </c>
      <c r="B669" t="s">
        <v>100</v>
      </c>
      <c r="C669" t="s">
        <v>621</v>
      </c>
      <c r="D669" t="s">
        <v>618</v>
      </c>
      <c r="E669" t="s">
        <v>622</v>
      </c>
      <c r="F669" s="213" t="s">
        <v>56</v>
      </c>
      <c r="G669" t="s">
        <v>66</v>
      </c>
      <c r="H669" t="s">
        <v>84</v>
      </c>
      <c r="I669" t="s">
        <v>623</v>
      </c>
      <c r="J669" t="s">
        <v>56</v>
      </c>
      <c r="K669" t="s">
        <v>10</v>
      </c>
      <c r="L669" t="s">
        <v>635</v>
      </c>
      <c r="M669" t="s">
        <v>38</v>
      </c>
      <c r="N669" t="s">
        <v>741</v>
      </c>
      <c r="O669" t="s">
        <v>720</v>
      </c>
    </row>
    <row r="670" spans="1:15" x14ac:dyDescent="0.25">
      <c r="A670" t="s">
        <v>1389</v>
      </c>
      <c r="B670" t="s">
        <v>100</v>
      </c>
      <c r="C670" t="s">
        <v>621</v>
      </c>
      <c r="D670" t="s">
        <v>618</v>
      </c>
      <c r="E670" t="s">
        <v>622</v>
      </c>
      <c r="F670" s="213" t="s">
        <v>56</v>
      </c>
      <c r="G670" t="s">
        <v>66</v>
      </c>
      <c r="H670" t="s">
        <v>84</v>
      </c>
      <c r="I670" t="s">
        <v>623</v>
      </c>
      <c r="J670" t="s">
        <v>56</v>
      </c>
      <c r="K670" t="s">
        <v>8</v>
      </c>
      <c r="L670" t="s">
        <v>637</v>
      </c>
      <c r="M670" t="s">
        <v>38</v>
      </c>
      <c r="N670" t="s">
        <v>716</v>
      </c>
      <c r="O670" t="s">
        <v>1390</v>
      </c>
    </row>
    <row r="671" spans="1:15" x14ac:dyDescent="0.25">
      <c r="A671" t="s">
        <v>1391</v>
      </c>
      <c r="B671" t="s">
        <v>100</v>
      </c>
      <c r="C671" t="s">
        <v>621</v>
      </c>
      <c r="D671" t="s">
        <v>618</v>
      </c>
      <c r="E671" t="s">
        <v>622</v>
      </c>
      <c r="F671" s="213" t="s">
        <v>56</v>
      </c>
      <c r="G671" t="s">
        <v>66</v>
      </c>
      <c r="H671" t="s">
        <v>84</v>
      </c>
      <c r="I671" t="s">
        <v>623</v>
      </c>
      <c r="J671" t="s">
        <v>56</v>
      </c>
      <c r="K671" t="s">
        <v>6</v>
      </c>
      <c r="L671" t="s">
        <v>639</v>
      </c>
      <c r="M671" t="s">
        <v>38</v>
      </c>
      <c r="N671" t="s">
        <v>1392</v>
      </c>
      <c r="O671" t="s">
        <v>818</v>
      </c>
    </row>
    <row r="672" spans="1:15" x14ac:dyDescent="0.25">
      <c r="A672" t="s">
        <v>1393</v>
      </c>
      <c r="B672" t="s">
        <v>100</v>
      </c>
      <c r="C672" t="s">
        <v>621</v>
      </c>
      <c r="D672" t="s">
        <v>618</v>
      </c>
      <c r="E672" t="s">
        <v>622</v>
      </c>
      <c r="F672" s="213" t="s">
        <v>56</v>
      </c>
      <c r="G672" t="s">
        <v>66</v>
      </c>
      <c r="H672" t="s">
        <v>84</v>
      </c>
      <c r="I672" t="s">
        <v>623</v>
      </c>
      <c r="J672" t="s">
        <v>56</v>
      </c>
      <c r="K672" t="s">
        <v>4</v>
      </c>
      <c r="L672" t="s">
        <v>662</v>
      </c>
      <c r="M672" t="s">
        <v>38</v>
      </c>
      <c r="N672" t="s">
        <v>1394</v>
      </c>
      <c r="O672" t="s">
        <v>818</v>
      </c>
    </row>
    <row r="673" spans="1:15" x14ac:dyDescent="0.25">
      <c r="A673" t="s">
        <v>1395</v>
      </c>
      <c r="B673" t="s">
        <v>100</v>
      </c>
      <c r="C673" t="s">
        <v>621</v>
      </c>
      <c r="D673" t="s">
        <v>618</v>
      </c>
      <c r="E673" t="s">
        <v>622</v>
      </c>
      <c r="F673" s="213" t="s">
        <v>56</v>
      </c>
      <c r="G673" t="s">
        <v>66</v>
      </c>
      <c r="H673" t="s">
        <v>84</v>
      </c>
      <c r="I673" t="s">
        <v>623</v>
      </c>
      <c r="J673" t="s">
        <v>56</v>
      </c>
      <c r="K673" t="s">
        <v>2</v>
      </c>
      <c r="L673" t="s">
        <v>749</v>
      </c>
      <c r="M673" t="s">
        <v>38</v>
      </c>
      <c r="N673" t="s">
        <v>1237</v>
      </c>
      <c r="O673" t="s">
        <v>1223</v>
      </c>
    </row>
    <row r="674" spans="1:15" x14ac:dyDescent="0.25">
      <c r="A674" t="s">
        <v>1396</v>
      </c>
      <c r="B674" t="s">
        <v>100</v>
      </c>
      <c r="C674" t="s">
        <v>621</v>
      </c>
      <c r="D674" t="s">
        <v>618</v>
      </c>
      <c r="E674" t="s">
        <v>622</v>
      </c>
      <c r="F674" s="213" t="s">
        <v>56</v>
      </c>
      <c r="G674" t="s">
        <v>66</v>
      </c>
      <c r="H674" t="s">
        <v>84</v>
      </c>
      <c r="I674" t="s">
        <v>623</v>
      </c>
      <c r="J674" t="s">
        <v>56</v>
      </c>
      <c r="K674" t="s">
        <v>24</v>
      </c>
      <c r="L674" t="s">
        <v>807</v>
      </c>
      <c r="M674" t="s">
        <v>38</v>
      </c>
      <c r="N674" t="s">
        <v>1397</v>
      </c>
      <c r="O674" t="s">
        <v>1181</v>
      </c>
    </row>
    <row r="675" spans="1:15" x14ac:dyDescent="0.25">
      <c r="A675" t="s">
        <v>1398</v>
      </c>
      <c r="B675" t="s">
        <v>100</v>
      </c>
      <c r="C675" t="s">
        <v>621</v>
      </c>
      <c r="D675" t="s">
        <v>618</v>
      </c>
      <c r="E675" t="s">
        <v>622</v>
      </c>
      <c r="F675" s="213" t="s">
        <v>56</v>
      </c>
      <c r="G675" t="s">
        <v>66</v>
      </c>
      <c r="H675" t="s">
        <v>84</v>
      </c>
      <c r="I675" t="s">
        <v>623</v>
      </c>
      <c r="J675" t="s">
        <v>56</v>
      </c>
      <c r="K675" t="s">
        <v>25</v>
      </c>
      <c r="L675" t="s">
        <v>827</v>
      </c>
      <c r="M675" t="s">
        <v>38</v>
      </c>
      <c r="N675" t="s">
        <v>1239</v>
      </c>
      <c r="O675" t="s">
        <v>1181</v>
      </c>
    </row>
    <row r="676" spans="1:15" x14ac:dyDescent="0.25">
      <c r="A676" t="s">
        <v>1399</v>
      </c>
      <c r="B676" t="s">
        <v>100</v>
      </c>
      <c r="C676" t="s">
        <v>621</v>
      </c>
      <c r="D676" t="s">
        <v>618</v>
      </c>
      <c r="E676" t="s">
        <v>622</v>
      </c>
      <c r="F676" s="213" t="s">
        <v>56</v>
      </c>
      <c r="G676" t="s">
        <v>66</v>
      </c>
      <c r="H676" t="s">
        <v>84</v>
      </c>
      <c r="I676" t="s">
        <v>623</v>
      </c>
      <c r="J676" t="s">
        <v>56</v>
      </c>
      <c r="K676" t="s">
        <v>26</v>
      </c>
      <c r="L676" t="s">
        <v>729</v>
      </c>
      <c r="M676" t="s">
        <v>38</v>
      </c>
      <c r="N676" t="s">
        <v>685</v>
      </c>
      <c r="O676" t="s">
        <v>1181</v>
      </c>
    </row>
    <row r="677" spans="1:15" x14ac:dyDescent="0.25">
      <c r="A677" t="s">
        <v>1400</v>
      </c>
      <c r="B677" t="s">
        <v>100</v>
      </c>
      <c r="C677" t="s">
        <v>621</v>
      </c>
      <c r="D677" t="s">
        <v>618</v>
      </c>
      <c r="E677" t="s">
        <v>622</v>
      </c>
      <c r="F677" s="213" t="s">
        <v>56</v>
      </c>
      <c r="G677" t="s">
        <v>66</v>
      </c>
      <c r="H677" t="s">
        <v>84</v>
      </c>
      <c r="I677" t="s">
        <v>623</v>
      </c>
      <c r="J677" t="s">
        <v>56</v>
      </c>
      <c r="K677" t="s">
        <v>28</v>
      </c>
      <c r="L677" t="s">
        <v>698</v>
      </c>
      <c r="M677" t="s">
        <v>38</v>
      </c>
      <c r="N677" t="s">
        <v>632</v>
      </c>
      <c r="O677" t="s">
        <v>1181</v>
      </c>
    </row>
    <row r="678" spans="1:15" x14ac:dyDescent="0.25">
      <c r="A678" t="s">
        <v>1401</v>
      </c>
      <c r="B678" t="s">
        <v>100</v>
      </c>
      <c r="C678" t="s">
        <v>621</v>
      </c>
      <c r="D678" t="s">
        <v>618</v>
      </c>
      <c r="E678" t="s">
        <v>622</v>
      </c>
      <c r="F678" s="213" t="s">
        <v>56</v>
      </c>
      <c r="G678" t="s">
        <v>66</v>
      </c>
      <c r="H678" t="s">
        <v>84</v>
      </c>
      <c r="I678" t="s">
        <v>623</v>
      </c>
      <c r="J678" t="s">
        <v>56</v>
      </c>
      <c r="K678" t="s">
        <v>30</v>
      </c>
      <c r="L678" t="s">
        <v>631</v>
      </c>
      <c r="M678" t="s">
        <v>38</v>
      </c>
      <c r="N678" t="s">
        <v>967</v>
      </c>
      <c r="O678" t="s">
        <v>1390</v>
      </c>
    </row>
    <row r="679" spans="1:15" x14ac:dyDescent="0.25">
      <c r="A679" t="s">
        <v>1402</v>
      </c>
      <c r="B679" t="s">
        <v>100</v>
      </c>
      <c r="C679" t="s">
        <v>621</v>
      </c>
      <c r="D679" t="s">
        <v>618</v>
      </c>
      <c r="E679" t="s">
        <v>622</v>
      </c>
      <c r="F679" s="213" t="s">
        <v>56</v>
      </c>
      <c r="G679" t="s">
        <v>66</v>
      </c>
      <c r="H679" t="s">
        <v>84</v>
      </c>
      <c r="I679" t="s">
        <v>623</v>
      </c>
      <c r="J679" t="s">
        <v>56</v>
      </c>
      <c r="K679" t="s">
        <v>32</v>
      </c>
      <c r="L679" t="s">
        <v>101</v>
      </c>
      <c r="M679" t="s">
        <v>38</v>
      </c>
      <c r="N679" t="s">
        <v>656</v>
      </c>
      <c r="O679" t="s">
        <v>1181</v>
      </c>
    </row>
    <row r="680" spans="1:15" x14ac:dyDescent="0.25">
      <c r="A680" t="s">
        <v>1403</v>
      </c>
      <c r="B680" t="s">
        <v>100</v>
      </c>
      <c r="C680" t="s">
        <v>621</v>
      </c>
      <c r="D680" t="s">
        <v>618</v>
      </c>
      <c r="E680" t="s">
        <v>622</v>
      </c>
      <c r="F680" s="213" t="s">
        <v>56</v>
      </c>
      <c r="G680" t="s">
        <v>66</v>
      </c>
      <c r="H680" t="s">
        <v>84</v>
      </c>
      <c r="I680" t="s">
        <v>623</v>
      </c>
      <c r="J680" t="s">
        <v>56</v>
      </c>
      <c r="K680" t="s">
        <v>25</v>
      </c>
      <c r="L680" t="s">
        <v>46</v>
      </c>
      <c r="M680" t="s">
        <v>38</v>
      </c>
      <c r="N680" t="s">
        <v>94</v>
      </c>
      <c r="O680" t="s">
        <v>693</v>
      </c>
    </row>
    <row r="681" spans="1:15" x14ac:dyDescent="0.25">
      <c r="A681" t="s">
        <v>1404</v>
      </c>
      <c r="B681" t="s">
        <v>100</v>
      </c>
      <c r="C681" t="s">
        <v>621</v>
      </c>
      <c r="D681" t="s">
        <v>618</v>
      </c>
      <c r="E681" t="s">
        <v>622</v>
      </c>
      <c r="F681" s="213" t="s">
        <v>56</v>
      </c>
      <c r="G681" t="s">
        <v>66</v>
      </c>
      <c r="H681" t="s">
        <v>84</v>
      </c>
      <c r="I681" t="s">
        <v>623</v>
      </c>
      <c r="J681" t="s">
        <v>56</v>
      </c>
      <c r="K681" t="s">
        <v>28</v>
      </c>
      <c r="L681" t="s">
        <v>39</v>
      </c>
      <c r="M681" t="s">
        <v>38</v>
      </c>
      <c r="N681" t="s">
        <v>22</v>
      </c>
      <c r="O681" t="s">
        <v>1405</v>
      </c>
    </row>
    <row r="682" spans="1:15" x14ac:dyDescent="0.25">
      <c r="A682" t="s">
        <v>1406</v>
      </c>
      <c r="B682" t="s">
        <v>100</v>
      </c>
      <c r="C682" t="s">
        <v>621</v>
      </c>
      <c r="D682" t="s">
        <v>618</v>
      </c>
      <c r="E682" t="s">
        <v>622</v>
      </c>
      <c r="F682" s="213" t="s">
        <v>56</v>
      </c>
      <c r="G682" t="s">
        <v>66</v>
      </c>
      <c r="H682" t="s">
        <v>84</v>
      </c>
      <c r="I682" t="s">
        <v>623</v>
      </c>
      <c r="J682" t="s">
        <v>56</v>
      </c>
      <c r="K682" t="s">
        <v>30</v>
      </c>
      <c r="L682" t="s">
        <v>35</v>
      </c>
      <c r="M682" t="s">
        <v>38</v>
      </c>
      <c r="N682" t="s">
        <v>36</v>
      </c>
      <c r="O682" t="s">
        <v>1294</v>
      </c>
    </row>
    <row r="683" spans="1:15" x14ac:dyDescent="0.25">
      <c r="A683" t="s">
        <v>1407</v>
      </c>
      <c r="B683" t="s">
        <v>100</v>
      </c>
      <c r="C683" t="s">
        <v>621</v>
      </c>
      <c r="D683" t="s">
        <v>618</v>
      </c>
      <c r="E683" t="s">
        <v>622</v>
      </c>
      <c r="F683" s="213" t="s">
        <v>56</v>
      </c>
      <c r="G683" t="s">
        <v>66</v>
      </c>
      <c r="H683" t="s">
        <v>84</v>
      </c>
      <c r="I683" t="s">
        <v>623</v>
      </c>
      <c r="J683" t="s">
        <v>56</v>
      </c>
      <c r="K683" t="s">
        <v>29</v>
      </c>
      <c r="L683" t="s">
        <v>626</v>
      </c>
      <c r="M683" t="s">
        <v>35</v>
      </c>
      <c r="N683" t="s">
        <v>1322</v>
      </c>
      <c r="O683" t="s">
        <v>1223</v>
      </c>
    </row>
    <row r="684" spans="1:15" x14ac:dyDescent="0.25">
      <c r="A684" t="s">
        <v>1408</v>
      </c>
      <c r="B684" t="s">
        <v>100</v>
      </c>
      <c r="C684" t="s">
        <v>621</v>
      </c>
      <c r="D684" t="s">
        <v>618</v>
      </c>
      <c r="E684" t="s">
        <v>622</v>
      </c>
      <c r="F684" s="213" t="s">
        <v>56</v>
      </c>
      <c r="G684" t="s">
        <v>66</v>
      </c>
      <c r="H684" t="s">
        <v>84</v>
      </c>
      <c r="I684" t="s">
        <v>623</v>
      </c>
      <c r="J684" t="s">
        <v>56</v>
      </c>
      <c r="K684" t="s">
        <v>32</v>
      </c>
      <c r="L684" t="s">
        <v>654</v>
      </c>
      <c r="M684" t="s">
        <v>35</v>
      </c>
      <c r="N684" t="s">
        <v>20</v>
      </c>
      <c r="O684" t="s">
        <v>419</v>
      </c>
    </row>
    <row r="685" spans="1:15" x14ac:dyDescent="0.25">
      <c r="A685" t="s">
        <v>1409</v>
      </c>
      <c r="B685" t="s">
        <v>100</v>
      </c>
      <c r="C685" t="s">
        <v>621</v>
      </c>
      <c r="D685" t="s">
        <v>618</v>
      </c>
      <c r="E685" t="s">
        <v>622</v>
      </c>
      <c r="F685" s="213" t="s">
        <v>56</v>
      </c>
      <c r="G685" t="s">
        <v>66</v>
      </c>
      <c r="H685" t="s">
        <v>84</v>
      </c>
      <c r="I685" t="s">
        <v>623</v>
      </c>
      <c r="J685" t="s">
        <v>56</v>
      </c>
      <c r="K685" t="s">
        <v>26</v>
      </c>
      <c r="L685" t="s">
        <v>714</v>
      </c>
      <c r="M685" t="s">
        <v>35</v>
      </c>
      <c r="N685" t="s">
        <v>1410</v>
      </c>
      <c r="O685" t="s">
        <v>625</v>
      </c>
    </row>
    <row r="686" spans="1:15" x14ac:dyDescent="0.25">
      <c r="A686" t="s">
        <v>1411</v>
      </c>
      <c r="B686" t="s">
        <v>100</v>
      </c>
      <c r="C686" t="s">
        <v>621</v>
      </c>
      <c r="D686" t="s">
        <v>618</v>
      </c>
      <c r="E686" t="s">
        <v>622</v>
      </c>
      <c r="F686" s="213" t="s">
        <v>56</v>
      </c>
      <c r="G686" t="s">
        <v>66</v>
      </c>
      <c r="H686" t="s">
        <v>84</v>
      </c>
      <c r="I686" t="s">
        <v>623</v>
      </c>
      <c r="J686" t="s">
        <v>56</v>
      </c>
      <c r="K686" t="s">
        <v>24</v>
      </c>
      <c r="L686" t="s">
        <v>630</v>
      </c>
      <c r="M686" t="s">
        <v>35</v>
      </c>
      <c r="N686" t="s">
        <v>79</v>
      </c>
      <c r="O686" t="s">
        <v>875</v>
      </c>
    </row>
    <row r="687" spans="1:15" x14ac:dyDescent="0.25">
      <c r="A687" t="s">
        <v>1412</v>
      </c>
      <c r="B687" t="s">
        <v>100</v>
      </c>
      <c r="C687" t="s">
        <v>621</v>
      </c>
      <c r="D687" t="s">
        <v>618</v>
      </c>
      <c r="E687" t="s">
        <v>622</v>
      </c>
      <c r="F687" s="213" t="s">
        <v>56</v>
      </c>
      <c r="G687" t="s">
        <v>66</v>
      </c>
      <c r="H687" t="s">
        <v>84</v>
      </c>
      <c r="I687" t="s">
        <v>623</v>
      </c>
      <c r="J687" t="s">
        <v>56</v>
      </c>
      <c r="K687" t="s">
        <v>21</v>
      </c>
      <c r="L687" t="s">
        <v>625</v>
      </c>
      <c r="M687" t="s">
        <v>35</v>
      </c>
      <c r="N687" t="s">
        <v>720</v>
      </c>
      <c r="O687" t="s">
        <v>726</v>
      </c>
    </row>
    <row r="688" spans="1:15" x14ac:dyDescent="0.25">
      <c r="A688" t="s">
        <v>1413</v>
      </c>
      <c r="B688" t="s">
        <v>100</v>
      </c>
      <c r="C688" t="s">
        <v>621</v>
      </c>
      <c r="D688" t="s">
        <v>618</v>
      </c>
      <c r="E688" t="s">
        <v>622</v>
      </c>
      <c r="F688" s="213" t="s">
        <v>56</v>
      </c>
      <c r="G688" t="s">
        <v>66</v>
      </c>
      <c r="H688" t="s">
        <v>84</v>
      </c>
      <c r="I688" t="s">
        <v>623</v>
      </c>
      <c r="J688" t="s">
        <v>56</v>
      </c>
      <c r="K688" t="s">
        <v>18</v>
      </c>
      <c r="L688" t="s">
        <v>632</v>
      </c>
      <c r="M688" t="s">
        <v>35</v>
      </c>
      <c r="N688" t="s">
        <v>739</v>
      </c>
      <c r="O688" t="s">
        <v>1287</v>
      </c>
    </row>
    <row r="689" spans="1:15" x14ac:dyDescent="0.25">
      <c r="A689" t="s">
        <v>1414</v>
      </c>
      <c r="B689" t="s">
        <v>100</v>
      </c>
      <c r="C689" t="s">
        <v>621</v>
      </c>
      <c r="D689" t="s">
        <v>618</v>
      </c>
      <c r="E689" t="s">
        <v>622</v>
      </c>
      <c r="F689" s="213" t="s">
        <v>56</v>
      </c>
      <c r="G689" t="s">
        <v>66</v>
      </c>
      <c r="H689" t="s">
        <v>84</v>
      </c>
      <c r="I689" t="s">
        <v>623</v>
      </c>
      <c r="J689" t="s">
        <v>56</v>
      </c>
      <c r="K689" t="s">
        <v>16</v>
      </c>
      <c r="L689" t="s">
        <v>642</v>
      </c>
      <c r="M689" t="s">
        <v>35</v>
      </c>
      <c r="N689" t="s">
        <v>64</v>
      </c>
      <c r="O689" t="s">
        <v>967</v>
      </c>
    </row>
    <row r="690" spans="1:15" x14ac:dyDescent="0.25">
      <c r="A690" t="s">
        <v>1415</v>
      </c>
      <c r="B690" t="s">
        <v>100</v>
      </c>
      <c r="C690" t="s">
        <v>621</v>
      </c>
      <c r="D690" t="s">
        <v>618</v>
      </c>
      <c r="E690" t="s">
        <v>622</v>
      </c>
      <c r="F690" s="213" t="s">
        <v>56</v>
      </c>
      <c r="G690" t="s">
        <v>66</v>
      </c>
      <c r="H690" t="s">
        <v>84</v>
      </c>
      <c r="I690" t="s">
        <v>623</v>
      </c>
      <c r="J690" t="s">
        <v>56</v>
      </c>
      <c r="K690" t="s">
        <v>13</v>
      </c>
      <c r="L690" t="s">
        <v>643</v>
      </c>
      <c r="M690" t="s">
        <v>35</v>
      </c>
      <c r="N690" t="s">
        <v>1077</v>
      </c>
      <c r="O690" t="s">
        <v>720</v>
      </c>
    </row>
    <row r="691" spans="1:15" x14ac:dyDescent="0.25">
      <c r="A691" t="s">
        <v>1416</v>
      </c>
      <c r="B691" t="s">
        <v>100</v>
      </c>
      <c r="C691" t="s">
        <v>621</v>
      </c>
      <c r="D691" t="s">
        <v>618</v>
      </c>
      <c r="E691" t="s">
        <v>622</v>
      </c>
      <c r="F691" s="213" t="s">
        <v>56</v>
      </c>
      <c r="G691" t="s">
        <v>66</v>
      </c>
      <c r="H691" t="s">
        <v>84</v>
      </c>
      <c r="I691" t="s">
        <v>623</v>
      </c>
      <c r="J691" t="s">
        <v>56</v>
      </c>
      <c r="K691" t="s">
        <v>11</v>
      </c>
      <c r="L691" t="s">
        <v>635</v>
      </c>
      <c r="M691" t="s">
        <v>35</v>
      </c>
      <c r="N691" t="s">
        <v>70</v>
      </c>
      <c r="O691" t="s">
        <v>1035</v>
      </c>
    </row>
    <row r="692" spans="1:15" x14ac:dyDescent="0.25">
      <c r="A692" t="s">
        <v>1417</v>
      </c>
      <c r="B692" t="s">
        <v>100</v>
      </c>
      <c r="C692" t="s">
        <v>621</v>
      </c>
      <c r="D692" t="s">
        <v>618</v>
      </c>
      <c r="E692" t="s">
        <v>622</v>
      </c>
      <c r="F692" s="213" t="s">
        <v>56</v>
      </c>
      <c r="G692" t="s">
        <v>66</v>
      </c>
      <c r="H692" t="s">
        <v>84</v>
      </c>
      <c r="I692" t="s">
        <v>623</v>
      </c>
      <c r="J692" t="s">
        <v>56</v>
      </c>
      <c r="K692" t="s">
        <v>9</v>
      </c>
      <c r="L692" t="s">
        <v>637</v>
      </c>
      <c r="M692" t="s">
        <v>35</v>
      </c>
      <c r="N692" t="s">
        <v>1287</v>
      </c>
      <c r="O692" t="s">
        <v>739</v>
      </c>
    </row>
    <row r="693" spans="1:15" x14ac:dyDescent="0.25">
      <c r="A693" t="s">
        <v>1418</v>
      </c>
      <c r="B693" t="s">
        <v>100</v>
      </c>
      <c r="C693" t="s">
        <v>621</v>
      </c>
      <c r="D693" t="s">
        <v>618</v>
      </c>
      <c r="E693" t="s">
        <v>622</v>
      </c>
      <c r="F693" s="213" t="s">
        <v>56</v>
      </c>
      <c r="G693" t="s">
        <v>66</v>
      </c>
      <c r="H693" t="s">
        <v>84</v>
      </c>
      <c r="I693" t="s">
        <v>623</v>
      </c>
      <c r="J693" t="s">
        <v>56</v>
      </c>
      <c r="K693" t="s">
        <v>7</v>
      </c>
      <c r="L693" t="s">
        <v>809</v>
      </c>
      <c r="M693" t="s">
        <v>35</v>
      </c>
      <c r="N693" t="s">
        <v>88</v>
      </c>
      <c r="O693" t="s">
        <v>789</v>
      </c>
    </row>
    <row r="694" spans="1:15" x14ac:dyDescent="0.25">
      <c r="A694" t="s">
        <v>1419</v>
      </c>
      <c r="B694" t="s">
        <v>100</v>
      </c>
      <c r="C694" t="s">
        <v>621</v>
      </c>
      <c r="D694" t="s">
        <v>618</v>
      </c>
      <c r="E694" t="s">
        <v>622</v>
      </c>
      <c r="F694" s="213" t="s">
        <v>56</v>
      </c>
      <c r="G694" t="s">
        <v>66</v>
      </c>
      <c r="H694" t="s">
        <v>84</v>
      </c>
      <c r="I694" t="s">
        <v>623</v>
      </c>
      <c r="J694" t="s">
        <v>56</v>
      </c>
      <c r="K694" t="s">
        <v>5</v>
      </c>
      <c r="L694" t="s">
        <v>662</v>
      </c>
      <c r="M694" t="s">
        <v>35</v>
      </c>
      <c r="N694" t="s">
        <v>40</v>
      </c>
      <c r="O694" t="s">
        <v>1239</v>
      </c>
    </row>
    <row r="695" spans="1:15" x14ac:dyDescent="0.25">
      <c r="A695" t="s">
        <v>1420</v>
      </c>
      <c r="B695" t="s">
        <v>100</v>
      </c>
      <c r="C695" t="s">
        <v>621</v>
      </c>
      <c r="D695" t="s">
        <v>618</v>
      </c>
      <c r="E695" t="s">
        <v>622</v>
      </c>
      <c r="F695" s="213" t="s">
        <v>56</v>
      </c>
      <c r="G695" t="s">
        <v>66</v>
      </c>
      <c r="H695" t="s">
        <v>84</v>
      </c>
      <c r="I695" t="s">
        <v>623</v>
      </c>
      <c r="J695" t="s">
        <v>56</v>
      </c>
      <c r="K695" t="s">
        <v>3</v>
      </c>
      <c r="L695" t="s">
        <v>749</v>
      </c>
      <c r="M695" t="s">
        <v>35</v>
      </c>
      <c r="N695" t="s">
        <v>652</v>
      </c>
      <c r="O695" t="s">
        <v>1346</v>
      </c>
    </row>
    <row r="696" spans="1:15" x14ac:dyDescent="0.25">
      <c r="A696" t="s">
        <v>1421</v>
      </c>
      <c r="B696" t="s">
        <v>100</v>
      </c>
      <c r="C696" t="s">
        <v>621</v>
      </c>
      <c r="D696" t="s">
        <v>618</v>
      </c>
      <c r="E696" t="s">
        <v>622</v>
      </c>
      <c r="F696" s="213" t="s">
        <v>56</v>
      </c>
      <c r="G696" t="s">
        <v>66</v>
      </c>
      <c r="H696" t="s">
        <v>84</v>
      </c>
      <c r="I696" t="s">
        <v>623</v>
      </c>
      <c r="J696" t="s">
        <v>56</v>
      </c>
      <c r="K696" t="s">
        <v>26</v>
      </c>
      <c r="L696" t="s">
        <v>807</v>
      </c>
      <c r="M696" t="s">
        <v>35</v>
      </c>
      <c r="N696" t="s">
        <v>729</v>
      </c>
      <c r="O696" t="s">
        <v>1287</v>
      </c>
    </row>
    <row r="697" spans="1:15" x14ac:dyDescent="0.25">
      <c r="A697" t="s">
        <v>1422</v>
      </c>
      <c r="B697" t="s">
        <v>100</v>
      </c>
      <c r="C697" t="s">
        <v>621</v>
      </c>
      <c r="D697" t="s">
        <v>618</v>
      </c>
      <c r="E697" t="s">
        <v>622</v>
      </c>
      <c r="F697" s="213" t="s">
        <v>56</v>
      </c>
      <c r="G697" t="s">
        <v>66</v>
      </c>
      <c r="H697" t="s">
        <v>84</v>
      </c>
      <c r="I697" t="s">
        <v>623</v>
      </c>
      <c r="J697" t="s">
        <v>56</v>
      </c>
      <c r="K697" t="s">
        <v>27</v>
      </c>
      <c r="L697" t="s">
        <v>626</v>
      </c>
      <c r="M697" t="s">
        <v>37</v>
      </c>
      <c r="N697" t="s">
        <v>1423</v>
      </c>
      <c r="O697" t="s">
        <v>1172</v>
      </c>
    </row>
    <row r="698" spans="1:15" x14ac:dyDescent="0.25">
      <c r="A698" t="s">
        <v>1424</v>
      </c>
      <c r="B698" t="s">
        <v>100</v>
      </c>
      <c r="C698" t="s">
        <v>621</v>
      </c>
      <c r="D698" t="s">
        <v>618</v>
      </c>
      <c r="E698" t="s">
        <v>622</v>
      </c>
      <c r="F698" s="213" t="s">
        <v>56</v>
      </c>
      <c r="G698" t="s">
        <v>66</v>
      </c>
      <c r="H698" t="s">
        <v>84</v>
      </c>
      <c r="I698" t="s">
        <v>623</v>
      </c>
      <c r="J698" t="s">
        <v>56</v>
      </c>
      <c r="K698" t="s">
        <v>25</v>
      </c>
      <c r="L698" t="s">
        <v>628</v>
      </c>
      <c r="M698" t="s">
        <v>37</v>
      </c>
      <c r="N698" t="s">
        <v>1425</v>
      </c>
      <c r="O698" t="s">
        <v>1172</v>
      </c>
    </row>
    <row r="699" spans="1:15" x14ac:dyDescent="0.25">
      <c r="A699" t="s">
        <v>1426</v>
      </c>
      <c r="B699" t="s">
        <v>100</v>
      </c>
      <c r="C699" t="s">
        <v>621</v>
      </c>
      <c r="D699" t="s">
        <v>618</v>
      </c>
      <c r="E699" t="s">
        <v>622</v>
      </c>
      <c r="F699" s="213" t="s">
        <v>56</v>
      </c>
      <c r="G699" t="s">
        <v>66</v>
      </c>
      <c r="H699" t="s">
        <v>84</v>
      </c>
      <c r="I699" t="s">
        <v>623</v>
      </c>
      <c r="J699" t="s">
        <v>56</v>
      </c>
      <c r="K699" t="s">
        <v>22</v>
      </c>
      <c r="L699" t="s">
        <v>630</v>
      </c>
      <c r="M699" t="s">
        <v>37</v>
      </c>
      <c r="N699" t="s">
        <v>644</v>
      </c>
      <c r="O699" t="s">
        <v>1181</v>
      </c>
    </row>
    <row r="700" spans="1:15" x14ac:dyDescent="0.25">
      <c r="A700" t="s">
        <v>1427</v>
      </c>
      <c r="B700" t="s">
        <v>100</v>
      </c>
      <c r="C700" t="s">
        <v>621</v>
      </c>
      <c r="D700" t="s">
        <v>618</v>
      </c>
      <c r="E700" t="s">
        <v>622</v>
      </c>
      <c r="F700" s="213" t="s">
        <v>56</v>
      </c>
      <c r="G700" t="s">
        <v>66</v>
      </c>
      <c r="H700" t="s">
        <v>84</v>
      </c>
      <c r="I700" t="s">
        <v>623</v>
      </c>
      <c r="J700" t="s">
        <v>56</v>
      </c>
      <c r="K700" t="s">
        <v>19</v>
      </c>
      <c r="L700" t="s">
        <v>625</v>
      </c>
      <c r="M700" t="s">
        <v>37</v>
      </c>
      <c r="N700" t="s">
        <v>1428</v>
      </c>
      <c r="O700" t="s">
        <v>1172</v>
      </c>
    </row>
    <row r="701" spans="1:15" x14ac:dyDescent="0.25">
      <c r="A701" t="s">
        <v>1429</v>
      </c>
      <c r="B701" t="s">
        <v>100</v>
      </c>
      <c r="C701" t="s">
        <v>621</v>
      </c>
      <c r="D701" t="s">
        <v>618</v>
      </c>
      <c r="E701" t="s">
        <v>622</v>
      </c>
      <c r="F701" s="213" t="s">
        <v>56</v>
      </c>
      <c r="G701" t="s">
        <v>66</v>
      </c>
      <c r="H701" t="s">
        <v>84</v>
      </c>
      <c r="I701" t="s">
        <v>623</v>
      </c>
      <c r="J701" t="s">
        <v>56</v>
      </c>
      <c r="K701" t="s">
        <v>15</v>
      </c>
      <c r="L701" t="s">
        <v>632</v>
      </c>
      <c r="M701" t="s">
        <v>37</v>
      </c>
      <c r="N701" t="s">
        <v>1430</v>
      </c>
      <c r="O701" t="s">
        <v>1172</v>
      </c>
    </row>
    <row r="702" spans="1:15" x14ac:dyDescent="0.25">
      <c r="A702" t="s">
        <v>1431</v>
      </c>
      <c r="B702" t="s">
        <v>100</v>
      </c>
      <c r="C702" t="s">
        <v>621</v>
      </c>
      <c r="D702" t="s">
        <v>618</v>
      </c>
      <c r="E702" t="s">
        <v>622</v>
      </c>
      <c r="F702" s="213" t="s">
        <v>56</v>
      </c>
      <c r="G702" t="s">
        <v>66</v>
      </c>
      <c r="H702" t="s">
        <v>84</v>
      </c>
      <c r="I702" t="s">
        <v>623</v>
      </c>
      <c r="J702" t="s">
        <v>56</v>
      </c>
      <c r="K702" t="s">
        <v>12</v>
      </c>
      <c r="L702" t="s">
        <v>629</v>
      </c>
      <c r="M702" t="s">
        <v>37</v>
      </c>
      <c r="N702" t="s">
        <v>755</v>
      </c>
      <c r="O702" t="s">
        <v>720</v>
      </c>
    </row>
    <row r="703" spans="1:15" x14ac:dyDescent="0.25">
      <c r="A703" t="s">
        <v>1432</v>
      </c>
      <c r="B703" t="s">
        <v>100</v>
      </c>
      <c r="C703" t="s">
        <v>621</v>
      </c>
      <c r="D703" t="s">
        <v>618</v>
      </c>
      <c r="E703" t="s">
        <v>622</v>
      </c>
      <c r="F703" s="213" t="s">
        <v>56</v>
      </c>
      <c r="G703" t="s">
        <v>66</v>
      </c>
      <c r="H703" t="s">
        <v>84</v>
      </c>
      <c r="I703" t="s">
        <v>623</v>
      </c>
      <c r="J703" t="s">
        <v>56</v>
      </c>
      <c r="K703" t="s">
        <v>10</v>
      </c>
      <c r="L703" t="s">
        <v>635</v>
      </c>
      <c r="M703" t="s">
        <v>37</v>
      </c>
      <c r="N703" t="s">
        <v>1433</v>
      </c>
      <c r="O703" t="s">
        <v>1390</v>
      </c>
    </row>
    <row r="704" spans="1:15" x14ac:dyDescent="0.25">
      <c r="A704" t="s">
        <v>1434</v>
      </c>
      <c r="B704" t="s">
        <v>100</v>
      </c>
      <c r="C704" t="s">
        <v>621</v>
      </c>
      <c r="D704" t="s">
        <v>618</v>
      </c>
      <c r="E704" t="s">
        <v>622</v>
      </c>
      <c r="F704" s="213" t="s">
        <v>56</v>
      </c>
      <c r="G704" t="s">
        <v>66</v>
      </c>
      <c r="H704" t="s">
        <v>84</v>
      </c>
      <c r="I704" t="s">
        <v>623</v>
      </c>
      <c r="J704" t="s">
        <v>56</v>
      </c>
      <c r="K704" t="s">
        <v>8</v>
      </c>
      <c r="L704" t="s">
        <v>637</v>
      </c>
      <c r="M704" t="s">
        <v>37</v>
      </c>
      <c r="N704" t="s">
        <v>1435</v>
      </c>
      <c r="O704" t="s">
        <v>818</v>
      </c>
    </row>
    <row r="705" spans="1:15" x14ac:dyDescent="0.25">
      <c r="A705" t="s">
        <v>1436</v>
      </c>
      <c r="B705" t="s">
        <v>100</v>
      </c>
      <c r="C705" t="s">
        <v>621</v>
      </c>
      <c r="D705" t="s">
        <v>618</v>
      </c>
      <c r="E705" t="s">
        <v>622</v>
      </c>
      <c r="F705" s="213" t="s">
        <v>56</v>
      </c>
      <c r="G705" t="s">
        <v>66</v>
      </c>
      <c r="H705" t="s">
        <v>84</v>
      </c>
      <c r="I705" t="s">
        <v>623</v>
      </c>
      <c r="J705" t="s">
        <v>56</v>
      </c>
      <c r="K705" t="s">
        <v>6</v>
      </c>
      <c r="L705" t="s">
        <v>639</v>
      </c>
      <c r="M705" t="s">
        <v>37</v>
      </c>
      <c r="N705" t="s">
        <v>741</v>
      </c>
      <c r="O705" t="s">
        <v>1223</v>
      </c>
    </row>
    <row r="706" spans="1:15" x14ac:dyDescent="0.25">
      <c r="A706" t="s">
        <v>1437</v>
      </c>
      <c r="B706" t="s">
        <v>100</v>
      </c>
      <c r="C706" t="s">
        <v>621</v>
      </c>
      <c r="D706" t="s">
        <v>618</v>
      </c>
      <c r="E706" t="s">
        <v>622</v>
      </c>
      <c r="F706" s="213" t="s">
        <v>56</v>
      </c>
      <c r="G706" t="s">
        <v>66</v>
      </c>
      <c r="H706" t="s">
        <v>84</v>
      </c>
      <c r="I706" t="s">
        <v>623</v>
      </c>
      <c r="J706" t="s">
        <v>56</v>
      </c>
      <c r="K706" t="s">
        <v>4</v>
      </c>
      <c r="L706" t="s">
        <v>662</v>
      </c>
      <c r="M706" t="s">
        <v>37</v>
      </c>
      <c r="N706" t="s">
        <v>1394</v>
      </c>
      <c r="O706" t="s">
        <v>1181</v>
      </c>
    </row>
    <row r="707" spans="1:15" x14ac:dyDescent="0.25">
      <c r="A707" t="s">
        <v>1438</v>
      </c>
      <c r="B707" t="s">
        <v>100</v>
      </c>
      <c r="C707" t="s">
        <v>621</v>
      </c>
      <c r="D707" t="s">
        <v>618</v>
      </c>
      <c r="E707" t="s">
        <v>622</v>
      </c>
      <c r="F707" s="213" t="s">
        <v>56</v>
      </c>
      <c r="G707" t="s">
        <v>66</v>
      </c>
      <c r="H707" t="s">
        <v>84</v>
      </c>
      <c r="I707" t="s">
        <v>623</v>
      </c>
      <c r="J707" t="s">
        <v>56</v>
      </c>
      <c r="K707" t="s">
        <v>2</v>
      </c>
      <c r="L707" t="s">
        <v>749</v>
      </c>
      <c r="M707" t="s">
        <v>37</v>
      </c>
      <c r="N707" t="s">
        <v>1183</v>
      </c>
      <c r="O707" t="s">
        <v>1223</v>
      </c>
    </row>
    <row r="708" spans="1:15" x14ac:dyDescent="0.25">
      <c r="A708" t="s">
        <v>1439</v>
      </c>
      <c r="B708" t="s">
        <v>100</v>
      </c>
      <c r="C708" t="s">
        <v>621</v>
      </c>
      <c r="D708" t="s">
        <v>618</v>
      </c>
      <c r="E708" t="s">
        <v>622</v>
      </c>
      <c r="F708" s="213" t="s">
        <v>56</v>
      </c>
      <c r="G708" t="s">
        <v>66</v>
      </c>
      <c r="H708" t="s">
        <v>84</v>
      </c>
      <c r="I708" t="s">
        <v>623</v>
      </c>
      <c r="J708" t="s">
        <v>56</v>
      </c>
      <c r="K708" t="s">
        <v>24</v>
      </c>
      <c r="L708" t="s">
        <v>807</v>
      </c>
      <c r="M708" t="s">
        <v>37</v>
      </c>
      <c r="N708" t="s">
        <v>1294</v>
      </c>
      <c r="O708" t="s">
        <v>1172</v>
      </c>
    </row>
    <row r="709" spans="1:15" x14ac:dyDescent="0.25">
      <c r="A709" t="s">
        <v>1440</v>
      </c>
      <c r="B709" t="s">
        <v>100</v>
      </c>
      <c r="C709" t="s">
        <v>621</v>
      </c>
      <c r="D709" t="s">
        <v>618</v>
      </c>
      <c r="E709" t="s">
        <v>622</v>
      </c>
      <c r="F709" s="213" t="s">
        <v>56</v>
      </c>
      <c r="G709" t="s">
        <v>66</v>
      </c>
      <c r="H709" t="s">
        <v>84</v>
      </c>
      <c r="I709" t="s">
        <v>623</v>
      </c>
      <c r="J709" t="s">
        <v>56</v>
      </c>
      <c r="K709" t="s">
        <v>25</v>
      </c>
      <c r="L709" t="s">
        <v>827</v>
      </c>
      <c r="M709" t="s">
        <v>37</v>
      </c>
      <c r="N709" t="s">
        <v>1224</v>
      </c>
      <c r="O709" t="s">
        <v>1172</v>
      </c>
    </row>
    <row r="710" spans="1:15" x14ac:dyDescent="0.25">
      <c r="A710" t="s">
        <v>1441</v>
      </c>
      <c r="B710" t="s">
        <v>100</v>
      </c>
      <c r="C710" t="s">
        <v>621</v>
      </c>
      <c r="D710" t="s">
        <v>618</v>
      </c>
      <c r="E710" t="s">
        <v>622</v>
      </c>
      <c r="F710" s="213" t="s">
        <v>56</v>
      </c>
      <c r="G710" t="s">
        <v>66</v>
      </c>
      <c r="H710" t="s">
        <v>84</v>
      </c>
      <c r="I710" t="s">
        <v>623</v>
      </c>
      <c r="J710" t="s">
        <v>56</v>
      </c>
      <c r="K710" t="s">
        <v>26</v>
      </c>
      <c r="L710" t="s">
        <v>729</v>
      </c>
      <c r="M710" t="s">
        <v>37</v>
      </c>
      <c r="N710" t="s">
        <v>685</v>
      </c>
      <c r="O710" t="s">
        <v>1172</v>
      </c>
    </row>
    <row r="711" spans="1:15" x14ac:dyDescent="0.25">
      <c r="A711" t="s">
        <v>1442</v>
      </c>
      <c r="B711" t="s">
        <v>100</v>
      </c>
      <c r="C711" t="s">
        <v>621</v>
      </c>
      <c r="D711" t="s">
        <v>618</v>
      </c>
      <c r="E711" t="s">
        <v>622</v>
      </c>
      <c r="F711" s="213" t="s">
        <v>56</v>
      </c>
      <c r="G711" t="s">
        <v>66</v>
      </c>
      <c r="H711" t="s">
        <v>84</v>
      </c>
      <c r="I711" t="s">
        <v>623</v>
      </c>
      <c r="J711" t="s">
        <v>56</v>
      </c>
      <c r="K711" t="s">
        <v>28</v>
      </c>
      <c r="L711" t="s">
        <v>698</v>
      </c>
      <c r="M711" t="s">
        <v>37</v>
      </c>
      <c r="N711" t="s">
        <v>632</v>
      </c>
      <c r="O711" t="s">
        <v>1172</v>
      </c>
    </row>
    <row r="712" spans="1:15" x14ac:dyDescent="0.25">
      <c r="A712" t="s">
        <v>1443</v>
      </c>
      <c r="B712" t="s">
        <v>100</v>
      </c>
      <c r="C712" t="s">
        <v>621</v>
      </c>
      <c r="D712" t="s">
        <v>618</v>
      </c>
      <c r="E712" t="s">
        <v>622</v>
      </c>
      <c r="F712" s="213" t="s">
        <v>56</v>
      </c>
      <c r="G712" t="s">
        <v>66</v>
      </c>
      <c r="H712" t="s">
        <v>84</v>
      </c>
      <c r="I712" t="s">
        <v>623</v>
      </c>
      <c r="J712" t="s">
        <v>56</v>
      </c>
      <c r="K712" t="s">
        <v>30</v>
      </c>
      <c r="L712" t="s">
        <v>631</v>
      </c>
      <c r="M712" t="s">
        <v>37</v>
      </c>
      <c r="N712" t="s">
        <v>1082</v>
      </c>
      <c r="O712" t="s">
        <v>1390</v>
      </c>
    </row>
    <row r="713" spans="1:15" x14ac:dyDescent="0.25">
      <c r="A713" t="s">
        <v>1444</v>
      </c>
      <c r="B713" t="s">
        <v>100</v>
      </c>
      <c r="C713" t="s">
        <v>621</v>
      </c>
      <c r="D713" t="s">
        <v>618</v>
      </c>
      <c r="E713" t="s">
        <v>622</v>
      </c>
      <c r="F713" s="213" t="s">
        <v>56</v>
      </c>
      <c r="G713" t="s">
        <v>66</v>
      </c>
      <c r="H713" t="s">
        <v>84</v>
      </c>
      <c r="I713" t="s">
        <v>623</v>
      </c>
      <c r="J713" t="s">
        <v>56</v>
      </c>
      <c r="K713" t="s">
        <v>32</v>
      </c>
      <c r="L713" t="s">
        <v>101</v>
      </c>
      <c r="M713" t="s">
        <v>37</v>
      </c>
      <c r="N713" t="s">
        <v>1035</v>
      </c>
      <c r="O713" t="s">
        <v>1346</v>
      </c>
    </row>
    <row r="714" spans="1:15" x14ac:dyDescent="0.25">
      <c r="A714" t="s">
        <v>1445</v>
      </c>
      <c r="B714" t="s">
        <v>100</v>
      </c>
      <c r="C714" t="s">
        <v>621</v>
      </c>
      <c r="D714" t="s">
        <v>618</v>
      </c>
      <c r="E714" t="s">
        <v>622</v>
      </c>
      <c r="F714" s="213" t="s">
        <v>56</v>
      </c>
      <c r="G714" t="s">
        <v>66</v>
      </c>
      <c r="H714" t="s">
        <v>84</v>
      </c>
      <c r="I714" t="s">
        <v>623</v>
      </c>
      <c r="J714" t="s">
        <v>56</v>
      </c>
      <c r="K714" t="s">
        <v>25</v>
      </c>
      <c r="L714" t="s">
        <v>46</v>
      </c>
      <c r="M714" t="s">
        <v>37</v>
      </c>
      <c r="N714" t="s">
        <v>793</v>
      </c>
      <c r="O714" t="s">
        <v>1287</v>
      </c>
    </row>
    <row r="715" spans="1:15" x14ac:dyDescent="0.25">
      <c r="A715" t="s">
        <v>1446</v>
      </c>
      <c r="B715" t="s">
        <v>100</v>
      </c>
      <c r="C715" t="s">
        <v>621</v>
      </c>
      <c r="D715" t="s">
        <v>618</v>
      </c>
      <c r="E715" t="s">
        <v>622</v>
      </c>
      <c r="F715" s="213" t="s">
        <v>56</v>
      </c>
      <c r="G715" t="s">
        <v>66</v>
      </c>
      <c r="H715" t="s">
        <v>84</v>
      </c>
      <c r="I715" t="s">
        <v>623</v>
      </c>
      <c r="J715" t="s">
        <v>56</v>
      </c>
      <c r="K715" t="s">
        <v>28</v>
      </c>
      <c r="L715" t="s">
        <v>39</v>
      </c>
      <c r="M715" t="s">
        <v>37</v>
      </c>
      <c r="N715" t="s">
        <v>30</v>
      </c>
      <c r="O715" t="s">
        <v>1348</v>
      </c>
    </row>
    <row r="716" spans="1:15" x14ac:dyDescent="0.25">
      <c r="A716" t="s">
        <v>1447</v>
      </c>
      <c r="B716" t="s">
        <v>100</v>
      </c>
      <c r="C716" t="s">
        <v>621</v>
      </c>
      <c r="D716" t="s">
        <v>618</v>
      </c>
      <c r="E716" t="s">
        <v>622</v>
      </c>
      <c r="F716" s="213" t="s">
        <v>56</v>
      </c>
      <c r="G716" t="s">
        <v>66</v>
      </c>
      <c r="H716" t="s">
        <v>84</v>
      </c>
      <c r="I716" t="s">
        <v>623</v>
      </c>
      <c r="J716" t="s">
        <v>56</v>
      </c>
      <c r="K716" t="s">
        <v>30</v>
      </c>
      <c r="L716" t="s">
        <v>35</v>
      </c>
      <c r="M716" t="s">
        <v>37</v>
      </c>
      <c r="N716" t="s">
        <v>87</v>
      </c>
      <c r="O716" t="s">
        <v>755</v>
      </c>
    </row>
    <row r="717" spans="1:15" x14ac:dyDescent="0.25">
      <c r="A717" t="s">
        <v>1448</v>
      </c>
      <c r="B717" t="s">
        <v>100</v>
      </c>
      <c r="C717" t="s">
        <v>621</v>
      </c>
      <c r="D717" t="s">
        <v>618</v>
      </c>
      <c r="E717" t="s">
        <v>622</v>
      </c>
      <c r="F717" s="213" t="s">
        <v>56</v>
      </c>
      <c r="G717" t="s">
        <v>66</v>
      </c>
      <c r="H717" t="s">
        <v>84</v>
      </c>
      <c r="I717" t="s">
        <v>623</v>
      </c>
      <c r="J717" t="s">
        <v>56</v>
      </c>
      <c r="K717" t="s">
        <v>30</v>
      </c>
      <c r="L717" t="s">
        <v>624</v>
      </c>
      <c r="M717" t="s">
        <v>35</v>
      </c>
      <c r="N717" t="s">
        <v>39</v>
      </c>
      <c r="O717" t="s">
        <v>1307</v>
      </c>
    </row>
    <row r="718" spans="1:15" x14ac:dyDescent="0.25">
      <c r="A718" t="s">
        <v>1449</v>
      </c>
      <c r="B718" t="s">
        <v>100</v>
      </c>
      <c r="C718" t="s">
        <v>621</v>
      </c>
      <c r="D718" t="s">
        <v>618</v>
      </c>
      <c r="E718" t="s">
        <v>622</v>
      </c>
      <c r="F718" s="213" t="s">
        <v>56</v>
      </c>
      <c r="G718" t="s">
        <v>66</v>
      </c>
      <c r="H718" t="s">
        <v>84</v>
      </c>
      <c r="I718" t="s">
        <v>623</v>
      </c>
      <c r="J718" t="s">
        <v>56</v>
      </c>
      <c r="K718" t="s">
        <v>31</v>
      </c>
      <c r="L718" t="s">
        <v>654</v>
      </c>
      <c r="M718" t="s">
        <v>35</v>
      </c>
      <c r="N718" t="s">
        <v>68</v>
      </c>
      <c r="O718" t="s">
        <v>1082</v>
      </c>
    </row>
    <row r="719" spans="1:15" x14ac:dyDescent="0.25">
      <c r="A719" t="s">
        <v>1450</v>
      </c>
      <c r="B719" t="s">
        <v>100</v>
      </c>
      <c r="C719" t="s">
        <v>621</v>
      </c>
      <c r="D719" t="s">
        <v>618</v>
      </c>
      <c r="E719" t="s">
        <v>622</v>
      </c>
      <c r="F719" s="213" t="s">
        <v>56</v>
      </c>
      <c r="G719" t="s">
        <v>66</v>
      </c>
      <c r="H719" t="s">
        <v>84</v>
      </c>
      <c r="I719" t="s">
        <v>623</v>
      </c>
      <c r="J719" t="s">
        <v>56</v>
      </c>
      <c r="K719" t="s">
        <v>33</v>
      </c>
      <c r="L719" t="s">
        <v>418</v>
      </c>
      <c r="M719" t="s">
        <v>35</v>
      </c>
      <c r="N719" t="s">
        <v>1451</v>
      </c>
      <c r="O719" t="s">
        <v>625</v>
      </c>
    </row>
    <row r="720" spans="1:15" x14ac:dyDescent="0.25">
      <c r="A720" t="s">
        <v>1452</v>
      </c>
      <c r="B720" t="s">
        <v>100</v>
      </c>
      <c r="C720" t="s">
        <v>621</v>
      </c>
      <c r="D720" t="s">
        <v>618</v>
      </c>
      <c r="E720" t="s">
        <v>622</v>
      </c>
      <c r="F720" s="213" t="s">
        <v>56</v>
      </c>
      <c r="G720" t="s">
        <v>66</v>
      </c>
      <c r="H720" t="s">
        <v>84</v>
      </c>
      <c r="I720" t="s">
        <v>623</v>
      </c>
      <c r="J720" t="s">
        <v>56</v>
      </c>
      <c r="K720" t="s">
        <v>23</v>
      </c>
      <c r="L720" t="s">
        <v>630</v>
      </c>
      <c r="M720" t="s">
        <v>35</v>
      </c>
      <c r="N720" t="s">
        <v>1453</v>
      </c>
      <c r="O720" t="s">
        <v>685</v>
      </c>
    </row>
    <row r="721" spans="1:15" x14ac:dyDescent="0.25">
      <c r="A721" t="s">
        <v>1454</v>
      </c>
      <c r="B721" t="s">
        <v>100</v>
      </c>
      <c r="C721" t="s">
        <v>621</v>
      </c>
      <c r="D721" t="s">
        <v>618</v>
      </c>
      <c r="E721" t="s">
        <v>622</v>
      </c>
      <c r="F721" s="213" t="s">
        <v>56</v>
      </c>
      <c r="G721" t="s">
        <v>66</v>
      </c>
      <c r="H721" t="s">
        <v>84</v>
      </c>
      <c r="I721" t="s">
        <v>623</v>
      </c>
      <c r="J721" t="s">
        <v>56</v>
      </c>
      <c r="K721" t="s">
        <v>20</v>
      </c>
      <c r="L721" t="s">
        <v>625</v>
      </c>
      <c r="M721" t="s">
        <v>35</v>
      </c>
      <c r="N721" t="s">
        <v>1223</v>
      </c>
      <c r="O721" t="s">
        <v>726</v>
      </c>
    </row>
    <row r="722" spans="1:15" x14ac:dyDescent="0.25">
      <c r="A722" t="s">
        <v>1455</v>
      </c>
      <c r="B722" t="s">
        <v>100</v>
      </c>
      <c r="C722" t="s">
        <v>621</v>
      </c>
      <c r="D722" t="s">
        <v>618</v>
      </c>
      <c r="E722" t="s">
        <v>622</v>
      </c>
      <c r="F722" s="213" t="s">
        <v>56</v>
      </c>
      <c r="G722" t="s">
        <v>66</v>
      </c>
      <c r="H722" t="s">
        <v>84</v>
      </c>
      <c r="I722" t="s">
        <v>623</v>
      </c>
      <c r="J722" t="s">
        <v>56</v>
      </c>
      <c r="K722" t="s">
        <v>16</v>
      </c>
      <c r="L722" t="s">
        <v>632</v>
      </c>
      <c r="M722" t="s">
        <v>35</v>
      </c>
      <c r="N722" t="s">
        <v>86</v>
      </c>
      <c r="O722" t="s">
        <v>667</v>
      </c>
    </row>
    <row r="723" spans="1:15" x14ac:dyDescent="0.25">
      <c r="A723" t="s">
        <v>1456</v>
      </c>
      <c r="B723" t="s">
        <v>100</v>
      </c>
      <c r="C723" t="s">
        <v>621</v>
      </c>
      <c r="D723" t="s">
        <v>618</v>
      </c>
      <c r="E723" t="s">
        <v>622</v>
      </c>
      <c r="F723" s="213" t="s">
        <v>56</v>
      </c>
      <c r="G723" t="s">
        <v>66</v>
      </c>
      <c r="H723" t="s">
        <v>84</v>
      </c>
      <c r="I723" t="s">
        <v>623</v>
      </c>
      <c r="J723" t="s">
        <v>56</v>
      </c>
      <c r="K723" t="s">
        <v>13</v>
      </c>
      <c r="L723" t="s">
        <v>629</v>
      </c>
      <c r="M723" t="s">
        <v>35</v>
      </c>
      <c r="N723" t="s">
        <v>64</v>
      </c>
      <c r="O723" t="s">
        <v>1055</v>
      </c>
    </row>
    <row r="724" spans="1:15" x14ac:dyDescent="0.25">
      <c r="A724" t="s">
        <v>1457</v>
      </c>
      <c r="B724" t="s">
        <v>100</v>
      </c>
      <c r="C724" t="s">
        <v>621</v>
      </c>
      <c r="D724" t="s">
        <v>618</v>
      </c>
      <c r="E724" t="s">
        <v>622</v>
      </c>
      <c r="F724" s="213" t="s">
        <v>56</v>
      </c>
      <c r="G724" t="s">
        <v>66</v>
      </c>
      <c r="H724" t="s">
        <v>84</v>
      </c>
      <c r="I724" t="s">
        <v>623</v>
      </c>
      <c r="J724" t="s">
        <v>56</v>
      </c>
      <c r="K724" t="s">
        <v>10</v>
      </c>
      <c r="L724" t="s">
        <v>695</v>
      </c>
      <c r="M724" t="s">
        <v>35</v>
      </c>
      <c r="N724" t="s">
        <v>878</v>
      </c>
      <c r="O724" t="s">
        <v>1181</v>
      </c>
    </row>
    <row r="725" spans="1:15" x14ac:dyDescent="0.25">
      <c r="A725" t="s">
        <v>1458</v>
      </c>
      <c r="B725" t="s">
        <v>100</v>
      </c>
      <c r="C725" t="s">
        <v>621</v>
      </c>
      <c r="D725" t="s">
        <v>618</v>
      </c>
      <c r="E725" t="s">
        <v>622</v>
      </c>
      <c r="F725" s="213" t="s">
        <v>56</v>
      </c>
      <c r="G725" t="s">
        <v>66</v>
      </c>
      <c r="H725" t="s">
        <v>84</v>
      </c>
      <c r="I725" t="s">
        <v>623</v>
      </c>
      <c r="J725" t="s">
        <v>56</v>
      </c>
      <c r="K725" t="s">
        <v>8</v>
      </c>
      <c r="L725" t="s">
        <v>656</v>
      </c>
      <c r="M725" t="s">
        <v>35</v>
      </c>
      <c r="N725" t="s">
        <v>74</v>
      </c>
      <c r="O725" t="s">
        <v>793</v>
      </c>
    </row>
    <row r="726" spans="1:15" x14ac:dyDescent="0.25">
      <c r="A726" t="s">
        <v>1459</v>
      </c>
      <c r="B726" t="s">
        <v>100</v>
      </c>
      <c r="C726" t="s">
        <v>621</v>
      </c>
      <c r="D726" t="s">
        <v>618</v>
      </c>
      <c r="E726" t="s">
        <v>622</v>
      </c>
      <c r="F726" s="213" t="s">
        <v>56</v>
      </c>
      <c r="G726" t="s">
        <v>66</v>
      </c>
      <c r="H726" t="s">
        <v>84</v>
      </c>
      <c r="I726" t="s">
        <v>623</v>
      </c>
      <c r="J726" t="s">
        <v>56</v>
      </c>
      <c r="K726" t="s">
        <v>6</v>
      </c>
      <c r="L726" t="s">
        <v>809</v>
      </c>
      <c r="M726" t="s">
        <v>35</v>
      </c>
      <c r="N726" t="s">
        <v>818</v>
      </c>
      <c r="O726" t="s">
        <v>654</v>
      </c>
    </row>
    <row r="727" spans="1:15" x14ac:dyDescent="0.25">
      <c r="A727" t="s">
        <v>1460</v>
      </c>
      <c r="B727" t="s">
        <v>100</v>
      </c>
      <c r="C727" t="s">
        <v>621</v>
      </c>
      <c r="D727" t="s">
        <v>618</v>
      </c>
      <c r="E727" t="s">
        <v>622</v>
      </c>
      <c r="F727" s="213" t="s">
        <v>56</v>
      </c>
      <c r="G727" t="s">
        <v>66</v>
      </c>
      <c r="H727" t="s">
        <v>84</v>
      </c>
      <c r="I727" t="s">
        <v>623</v>
      </c>
      <c r="J727" t="s">
        <v>56</v>
      </c>
      <c r="K727" t="s">
        <v>4</v>
      </c>
      <c r="L727" t="s">
        <v>644</v>
      </c>
      <c r="M727" t="s">
        <v>35</v>
      </c>
      <c r="N727" t="s">
        <v>48</v>
      </c>
      <c r="O727" t="s">
        <v>1291</v>
      </c>
    </row>
    <row r="728" spans="1:15" x14ac:dyDescent="0.25">
      <c r="A728" t="s">
        <v>1461</v>
      </c>
      <c r="B728" t="s">
        <v>100</v>
      </c>
      <c r="C728" t="s">
        <v>621</v>
      </c>
      <c r="D728" t="s">
        <v>618</v>
      </c>
      <c r="E728" t="s">
        <v>622</v>
      </c>
      <c r="F728" s="213" t="s">
        <v>56</v>
      </c>
      <c r="G728" t="s">
        <v>66</v>
      </c>
      <c r="H728" t="s">
        <v>84</v>
      </c>
      <c r="I728" t="s">
        <v>623</v>
      </c>
      <c r="J728" t="s">
        <v>56</v>
      </c>
      <c r="K728" t="s">
        <v>2</v>
      </c>
      <c r="L728" t="s">
        <v>735</v>
      </c>
      <c r="M728" t="s">
        <v>35</v>
      </c>
      <c r="N728" t="s">
        <v>47</v>
      </c>
      <c r="O728" t="s">
        <v>1158</v>
      </c>
    </row>
    <row r="729" spans="1:15" x14ac:dyDescent="0.25">
      <c r="A729" t="s">
        <v>1462</v>
      </c>
      <c r="B729" t="s">
        <v>100</v>
      </c>
      <c r="C729" t="s">
        <v>621</v>
      </c>
      <c r="D729" t="s">
        <v>618</v>
      </c>
      <c r="E729" t="s">
        <v>622</v>
      </c>
      <c r="F729" s="213" t="s">
        <v>56</v>
      </c>
      <c r="G729" t="s">
        <v>66</v>
      </c>
      <c r="H729" t="s">
        <v>84</v>
      </c>
      <c r="I729" t="s">
        <v>623</v>
      </c>
      <c r="J729" t="s">
        <v>56</v>
      </c>
      <c r="K729" t="s">
        <v>1</v>
      </c>
      <c r="L729" t="s">
        <v>741</v>
      </c>
      <c r="M729" t="s">
        <v>35</v>
      </c>
      <c r="N729" t="s">
        <v>84</v>
      </c>
      <c r="O729" t="s">
        <v>781</v>
      </c>
    </row>
    <row r="730" spans="1:15" x14ac:dyDescent="0.25">
      <c r="A730" t="s">
        <v>1463</v>
      </c>
      <c r="B730" t="s">
        <v>100</v>
      </c>
      <c r="C730" t="s">
        <v>621</v>
      </c>
      <c r="D730" t="s">
        <v>618</v>
      </c>
      <c r="E730" t="s">
        <v>622</v>
      </c>
      <c r="F730" s="213" t="s">
        <v>56</v>
      </c>
      <c r="G730" t="s">
        <v>66</v>
      </c>
      <c r="H730" t="s">
        <v>84</v>
      </c>
      <c r="I730" t="s">
        <v>623</v>
      </c>
      <c r="J730" t="s">
        <v>56</v>
      </c>
      <c r="K730" t="s">
        <v>0</v>
      </c>
      <c r="L730" t="s">
        <v>825</v>
      </c>
      <c r="M730" t="s">
        <v>35</v>
      </c>
      <c r="N730" t="s">
        <v>58</v>
      </c>
      <c r="O730" t="s">
        <v>1044</v>
      </c>
    </row>
    <row r="731" spans="1:15" x14ac:dyDescent="0.25">
      <c r="A731" t="s">
        <v>1464</v>
      </c>
      <c r="B731" t="s">
        <v>100</v>
      </c>
      <c r="C731" t="s">
        <v>621</v>
      </c>
      <c r="D731" t="s">
        <v>618</v>
      </c>
      <c r="E731" t="s">
        <v>622</v>
      </c>
      <c r="F731" s="213" t="s">
        <v>56</v>
      </c>
      <c r="G731" t="s">
        <v>66</v>
      </c>
      <c r="H731" t="s">
        <v>84</v>
      </c>
      <c r="I731" t="s">
        <v>623</v>
      </c>
      <c r="J731" t="s">
        <v>56</v>
      </c>
      <c r="K731" t="s">
        <v>28</v>
      </c>
      <c r="L731" t="s">
        <v>900</v>
      </c>
      <c r="M731" t="s">
        <v>35</v>
      </c>
      <c r="N731" t="s">
        <v>900</v>
      </c>
      <c r="O731" t="s">
        <v>1346</v>
      </c>
    </row>
    <row r="732" spans="1:15" x14ac:dyDescent="0.25">
      <c r="A732" t="s">
        <v>1465</v>
      </c>
      <c r="B732" t="s">
        <v>100</v>
      </c>
      <c r="C732" t="s">
        <v>621</v>
      </c>
      <c r="D732" t="s">
        <v>618</v>
      </c>
      <c r="E732" t="s">
        <v>622</v>
      </c>
      <c r="F732" s="213" t="s">
        <v>56</v>
      </c>
      <c r="G732" t="s">
        <v>66</v>
      </c>
      <c r="H732" t="s">
        <v>84</v>
      </c>
      <c r="I732" t="s">
        <v>623</v>
      </c>
      <c r="J732" t="s">
        <v>56</v>
      </c>
      <c r="K732" t="s">
        <v>27</v>
      </c>
      <c r="L732" t="s">
        <v>626</v>
      </c>
      <c r="M732" t="s">
        <v>1466</v>
      </c>
      <c r="N732" t="s">
        <v>6</v>
      </c>
      <c r="O732" t="s">
        <v>46</v>
      </c>
    </row>
    <row r="733" spans="1:15" x14ac:dyDescent="0.25">
      <c r="A733" t="s">
        <v>1467</v>
      </c>
      <c r="B733" t="s">
        <v>100</v>
      </c>
      <c r="C733" t="s">
        <v>621</v>
      </c>
      <c r="D733" t="s">
        <v>618</v>
      </c>
      <c r="E733" t="s">
        <v>622</v>
      </c>
      <c r="F733" s="213" t="s">
        <v>56</v>
      </c>
      <c r="G733" t="s">
        <v>66</v>
      </c>
      <c r="H733" t="s">
        <v>84</v>
      </c>
      <c r="I733" t="s">
        <v>623</v>
      </c>
      <c r="J733" t="s">
        <v>56</v>
      </c>
      <c r="K733" t="s">
        <v>25</v>
      </c>
      <c r="L733" t="s">
        <v>628</v>
      </c>
      <c r="M733" t="s">
        <v>1466</v>
      </c>
      <c r="N733" t="s">
        <v>100</v>
      </c>
      <c r="O733" t="s">
        <v>629</v>
      </c>
    </row>
    <row r="734" spans="1:15" x14ac:dyDescent="0.25">
      <c r="A734" t="s">
        <v>1468</v>
      </c>
      <c r="B734" t="s">
        <v>100</v>
      </c>
      <c r="C734" t="s">
        <v>621</v>
      </c>
      <c r="D734" t="s">
        <v>618</v>
      </c>
      <c r="E734" t="s">
        <v>622</v>
      </c>
      <c r="F734" s="213" t="s">
        <v>56</v>
      </c>
      <c r="G734" t="s">
        <v>66</v>
      </c>
      <c r="H734" t="s">
        <v>84</v>
      </c>
      <c r="I734" t="s">
        <v>623</v>
      </c>
      <c r="J734" t="s">
        <v>56</v>
      </c>
      <c r="K734" t="s">
        <v>27</v>
      </c>
      <c r="L734" t="s">
        <v>626</v>
      </c>
      <c r="M734" t="s">
        <v>827</v>
      </c>
      <c r="N734" t="s">
        <v>5</v>
      </c>
      <c r="O734" t="s">
        <v>714</v>
      </c>
    </row>
    <row r="735" spans="1:15" x14ac:dyDescent="0.25">
      <c r="A735" t="s">
        <v>1469</v>
      </c>
      <c r="B735" t="s">
        <v>100</v>
      </c>
      <c r="C735" t="s">
        <v>621</v>
      </c>
      <c r="D735" t="s">
        <v>618</v>
      </c>
      <c r="E735" t="s">
        <v>622</v>
      </c>
      <c r="F735" s="213" t="s">
        <v>56</v>
      </c>
      <c r="G735" t="s">
        <v>66</v>
      </c>
      <c r="H735" t="s">
        <v>84</v>
      </c>
      <c r="I735" t="s">
        <v>623</v>
      </c>
      <c r="J735" t="s">
        <v>56</v>
      </c>
      <c r="K735" t="s">
        <v>25</v>
      </c>
      <c r="L735" t="s">
        <v>628</v>
      </c>
      <c r="M735" t="s">
        <v>827</v>
      </c>
      <c r="N735" t="s">
        <v>10</v>
      </c>
      <c r="O735" t="s">
        <v>624</v>
      </c>
    </row>
    <row r="736" spans="1:15" x14ac:dyDescent="0.25">
      <c r="A736" t="s">
        <v>1470</v>
      </c>
      <c r="B736" t="s">
        <v>100</v>
      </c>
      <c r="C736" t="s">
        <v>621</v>
      </c>
      <c r="D736" t="s">
        <v>618</v>
      </c>
      <c r="E736" t="s">
        <v>622</v>
      </c>
      <c r="F736" s="213" t="s">
        <v>56</v>
      </c>
      <c r="G736" t="s">
        <v>66</v>
      </c>
      <c r="H736" t="s">
        <v>84</v>
      </c>
      <c r="I736" t="s">
        <v>623</v>
      </c>
      <c r="J736" t="s">
        <v>56</v>
      </c>
      <c r="K736" t="s">
        <v>22</v>
      </c>
      <c r="L736" t="s">
        <v>630</v>
      </c>
      <c r="M736" t="s">
        <v>827</v>
      </c>
      <c r="N736" t="s">
        <v>3</v>
      </c>
      <c r="O736" t="s">
        <v>625</v>
      </c>
    </row>
    <row r="737" spans="1:15" x14ac:dyDescent="0.25">
      <c r="A737" t="s">
        <v>1471</v>
      </c>
      <c r="B737" t="s">
        <v>100</v>
      </c>
      <c r="C737" t="s">
        <v>621</v>
      </c>
      <c r="D737" t="s">
        <v>618</v>
      </c>
      <c r="E737" t="s">
        <v>622</v>
      </c>
      <c r="F737" s="213" t="s">
        <v>56</v>
      </c>
      <c r="G737" t="s">
        <v>66</v>
      </c>
      <c r="H737" t="s">
        <v>84</v>
      </c>
      <c r="I737" t="s">
        <v>623</v>
      </c>
      <c r="J737" t="s">
        <v>56</v>
      </c>
      <c r="K737" t="s">
        <v>27</v>
      </c>
      <c r="L737" t="s">
        <v>626</v>
      </c>
      <c r="M737" t="s">
        <v>41</v>
      </c>
      <c r="N737" t="s">
        <v>693</v>
      </c>
      <c r="O737" t="s">
        <v>1390</v>
      </c>
    </row>
    <row r="738" spans="1:15" x14ac:dyDescent="0.25">
      <c r="A738" t="s">
        <v>1472</v>
      </c>
      <c r="B738" t="s">
        <v>100</v>
      </c>
      <c r="C738" t="s">
        <v>621</v>
      </c>
      <c r="D738" t="s">
        <v>618</v>
      </c>
      <c r="E738" t="s">
        <v>622</v>
      </c>
      <c r="F738" s="213" t="s">
        <v>56</v>
      </c>
      <c r="G738" t="s">
        <v>66</v>
      </c>
      <c r="H738" t="s">
        <v>84</v>
      </c>
      <c r="I738" t="s">
        <v>623</v>
      </c>
      <c r="J738" t="s">
        <v>56</v>
      </c>
      <c r="K738" t="s">
        <v>25</v>
      </c>
      <c r="L738" t="s">
        <v>628</v>
      </c>
      <c r="M738" t="s">
        <v>41</v>
      </c>
      <c r="N738" t="s">
        <v>1473</v>
      </c>
      <c r="O738" t="s">
        <v>720</v>
      </c>
    </row>
    <row r="739" spans="1:15" x14ac:dyDescent="0.25">
      <c r="A739" t="s">
        <v>1474</v>
      </c>
      <c r="B739" t="s">
        <v>100</v>
      </c>
      <c r="C739" t="s">
        <v>621</v>
      </c>
      <c r="D739" t="s">
        <v>618</v>
      </c>
      <c r="E739" t="s">
        <v>622</v>
      </c>
      <c r="F739" s="213" t="s">
        <v>56</v>
      </c>
      <c r="G739" t="s">
        <v>66</v>
      </c>
      <c r="H739" t="s">
        <v>84</v>
      </c>
      <c r="I739" t="s">
        <v>623</v>
      </c>
      <c r="J739" t="s">
        <v>56</v>
      </c>
      <c r="K739" t="s">
        <v>22</v>
      </c>
      <c r="L739" t="s">
        <v>630</v>
      </c>
      <c r="M739" t="s">
        <v>41</v>
      </c>
      <c r="N739" t="s">
        <v>1385</v>
      </c>
      <c r="O739" t="s">
        <v>1223</v>
      </c>
    </row>
    <row r="740" spans="1:15" x14ac:dyDescent="0.25">
      <c r="A740" t="s">
        <v>1475</v>
      </c>
      <c r="B740" t="s">
        <v>100</v>
      </c>
      <c r="C740" t="s">
        <v>621</v>
      </c>
      <c r="D740" t="s">
        <v>618</v>
      </c>
      <c r="E740" t="s">
        <v>622</v>
      </c>
      <c r="F740" s="213" t="s">
        <v>56</v>
      </c>
      <c r="G740" t="s">
        <v>66</v>
      </c>
      <c r="H740" t="s">
        <v>84</v>
      </c>
      <c r="I740" t="s">
        <v>623</v>
      </c>
      <c r="J740" t="s">
        <v>56</v>
      </c>
      <c r="K740" t="s">
        <v>19</v>
      </c>
      <c r="L740" t="s">
        <v>625</v>
      </c>
      <c r="M740" t="s">
        <v>41</v>
      </c>
      <c r="N740" t="s">
        <v>630</v>
      </c>
      <c r="O740" t="s">
        <v>1223</v>
      </c>
    </row>
    <row r="741" spans="1:15" x14ac:dyDescent="0.25">
      <c r="A741" t="s">
        <v>1476</v>
      </c>
      <c r="B741" t="s">
        <v>100</v>
      </c>
      <c r="C741" t="s">
        <v>621</v>
      </c>
      <c r="D741" t="s">
        <v>618</v>
      </c>
      <c r="E741" t="s">
        <v>622</v>
      </c>
      <c r="F741" s="213" t="s">
        <v>56</v>
      </c>
      <c r="G741" t="s">
        <v>66</v>
      </c>
      <c r="H741" t="s">
        <v>84</v>
      </c>
      <c r="I741" t="s">
        <v>623</v>
      </c>
      <c r="J741" t="s">
        <v>56</v>
      </c>
      <c r="K741" t="s">
        <v>15</v>
      </c>
      <c r="L741" t="s">
        <v>632</v>
      </c>
      <c r="M741" t="s">
        <v>41</v>
      </c>
      <c r="N741" t="s">
        <v>1477</v>
      </c>
      <c r="O741" t="s">
        <v>1287</v>
      </c>
    </row>
    <row r="742" spans="1:15" x14ac:dyDescent="0.25">
      <c r="A742" t="s">
        <v>1478</v>
      </c>
      <c r="B742" t="s">
        <v>100</v>
      </c>
      <c r="C742" t="s">
        <v>621</v>
      </c>
      <c r="D742" t="s">
        <v>618</v>
      </c>
      <c r="E742" t="s">
        <v>622</v>
      </c>
      <c r="F742" s="213" t="s">
        <v>56</v>
      </c>
      <c r="G742" t="s">
        <v>66</v>
      </c>
      <c r="H742" t="s">
        <v>84</v>
      </c>
      <c r="I742" t="s">
        <v>623</v>
      </c>
      <c r="J742" t="s">
        <v>56</v>
      </c>
      <c r="K742" t="s">
        <v>12</v>
      </c>
      <c r="L742" t="s">
        <v>629</v>
      </c>
      <c r="M742" t="s">
        <v>41</v>
      </c>
      <c r="N742" t="s">
        <v>975</v>
      </c>
      <c r="O742" t="s">
        <v>718</v>
      </c>
    </row>
    <row r="743" spans="1:15" x14ac:dyDescent="0.25">
      <c r="A743" t="s">
        <v>1479</v>
      </c>
      <c r="B743" t="s">
        <v>100</v>
      </c>
      <c r="C743" t="s">
        <v>621</v>
      </c>
      <c r="D743" t="s">
        <v>618</v>
      </c>
      <c r="E743" t="s">
        <v>622</v>
      </c>
      <c r="F743" s="213" t="s">
        <v>56</v>
      </c>
      <c r="G743" t="s">
        <v>66</v>
      </c>
      <c r="H743" t="s">
        <v>84</v>
      </c>
      <c r="I743" t="s">
        <v>623</v>
      </c>
      <c r="J743" t="s">
        <v>56</v>
      </c>
      <c r="K743" t="s">
        <v>10</v>
      </c>
      <c r="L743" t="s">
        <v>635</v>
      </c>
      <c r="M743" t="s">
        <v>41</v>
      </c>
      <c r="N743" t="s">
        <v>781</v>
      </c>
      <c r="O743" t="s">
        <v>718</v>
      </c>
    </row>
    <row r="744" spans="1:15" x14ac:dyDescent="0.25">
      <c r="A744" t="s">
        <v>1480</v>
      </c>
      <c r="B744" t="s">
        <v>100</v>
      </c>
      <c r="C744" t="s">
        <v>621</v>
      </c>
      <c r="D744" t="s">
        <v>618</v>
      </c>
      <c r="E744" t="s">
        <v>622</v>
      </c>
      <c r="F744" s="213" t="s">
        <v>56</v>
      </c>
      <c r="G744" t="s">
        <v>66</v>
      </c>
      <c r="H744" t="s">
        <v>84</v>
      </c>
      <c r="I744" t="s">
        <v>623</v>
      </c>
      <c r="J744" t="s">
        <v>56</v>
      </c>
      <c r="K744" t="s">
        <v>8</v>
      </c>
      <c r="L744" t="s">
        <v>637</v>
      </c>
      <c r="M744" t="s">
        <v>41</v>
      </c>
      <c r="N744" t="s">
        <v>1481</v>
      </c>
      <c r="O744" t="s">
        <v>1390</v>
      </c>
    </row>
    <row r="745" spans="1:15" x14ac:dyDescent="0.25">
      <c r="A745" t="s">
        <v>1482</v>
      </c>
      <c r="B745" t="s">
        <v>100</v>
      </c>
      <c r="C745" t="s">
        <v>621</v>
      </c>
      <c r="D745" t="s">
        <v>618</v>
      </c>
      <c r="E745" t="s">
        <v>622</v>
      </c>
      <c r="F745" s="213" t="s">
        <v>56</v>
      </c>
      <c r="G745" t="s">
        <v>66</v>
      </c>
      <c r="H745" t="s">
        <v>84</v>
      </c>
      <c r="I745" t="s">
        <v>623</v>
      </c>
      <c r="J745" t="s">
        <v>56</v>
      </c>
      <c r="K745" t="s">
        <v>6</v>
      </c>
      <c r="L745" t="s">
        <v>639</v>
      </c>
      <c r="M745" t="s">
        <v>41</v>
      </c>
      <c r="N745" t="s">
        <v>755</v>
      </c>
      <c r="O745" t="s">
        <v>1287</v>
      </c>
    </row>
    <row r="746" spans="1:15" x14ac:dyDescent="0.25">
      <c r="A746" t="s">
        <v>1483</v>
      </c>
      <c r="B746" t="s">
        <v>100</v>
      </c>
      <c r="C746" t="s">
        <v>621</v>
      </c>
      <c r="D746" t="s">
        <v>618</v>
      </c>
      <c r="E746" t="s">
        <v>622</v>
      </c>
      <c r="F746" s="213" t="s">
        <v>56</v>
      </c>
      <c r="G746" t="s">
        <v>66</v>
      </c>
      <c r="H746" t="s">
        <v>84</v>
      </c>
      <c r="I746" t="s">
        <v>623</v>
      </c>
      <c r="J746" t="s">
        <v>56</v>
      </c>
      <c r="K746" t="s">
        <v>4</v>
      </c>
      <c r="L746" t="s">
        <v>662</v>
      </c>
      <c r="M746" t="s">
        <v>41</v>
      </c>
      <c r="N746" t="s">
        <v>1405</v>
      </c>
      <c r="O746" t="s">
        <v>1223</v>
      </c>
    </row>
    <row r="747" spans="1:15" x14ac:dyDescent="0.25">
      <c r="A747" t="s">
        <v>1484</v>
      </c>
      <c r="B747" t="s">
        <v>100</v>
      </c>
      <c r="C747" t="s">
        <v>621</v>
      </c>
      <c r="D747" t="s">
        <v>618</v>
      </c>
      <c r="E747" t="s">
        <v>622</v>
      </c>
      <c r="F747" s="213" t="s">
        <v>56</v>
      </c>
      <c r="G747" t="s">
        <v>66</v>
      </c>
      <c r="H747" t="s">
        <v>84</v>
      </c>
      <c r="I747" t="s">
        <v>623</v>
      </c>
      <c r="J747" t="s">
        <v>56</v>
      </c>
      <c r="K747" t="s">
        <v>2</v>
      </c>
      <c r="L747" t="s">
        <v>749</v>
      </c>
      <c r="M747" t="s">
        <v>41</v>
      </c>
      <c r="N747" t="s">
        <v>1094</v>
      </c>
      <c r="O747" t="s">
        <v>1390</v>
      </c>
    </row>
    <row r="748" spans="1:15" x14ac:dyDescent="0.25">
      <c r="A748" t="s">
        <v>1485</v>
      </c>
      <c r="B748" t="s">
        <v>100</v>
      </c>
      <c r="C748" t="s">
        <v>621</v>
      </c>
      <c r="D748" t="s">
        <v>618</v>
      </c>
      <c r="E748" t="s">
        <v>622</v>
      </c>
      <c r="F748" s="213" t="s">
        <v>56</v>
      </c>
      <c r="G748" t="s">
        <v>66</v>
      </c>
      <c r="H748" t="s">
        <v>84</v>
      </c>
      <c r="I748" t="s">
        <v>623</v>
      </c>
      <c r="J748" t="s">
        <v>56</v>
      </c>
      <c r="K748" t="s">
        <v>24</v>
      </c>
      <c r="L748" t="s">
        <v>807</v>
      </c>
      <c r="M748" t="s">
        <v>41</v>
      </c>
      <c r="N748" t="s">
        <v>1348</v>
      </c>
      <c r="O748" t="s">
        <v>1223</v>
      </c>
    </row>
    <row r="749" spans="1:15" x14ac:dyDescent="0.25">
      <c r="A749" t="s">
        <v>1486</v>
      </c>
      <c r="B749" t="s">
        <v>100</v>
      </c>
      <c r="C749" t="s">
        <v>621</v>
      </c>
      <c r="D749" t="s">
        <v>618</v>
      </c>
      <c r="E749" t="s">
        <v>622</v>
      </c>
      <c r="F749" s="213" t="s">
        <v>56</v>
      </c>
      <c r="G749" t="s">
        <v>66</v>
      </c>
      <c r="H749" t="s">
        <v>84</v>
      </c>
      <c r="I749" t="s">
        <v>623</v>
      </c>
      <c r="J749" t="s">
        <v>56</v>
      </c>
      <c r="K749" t="s">
        <v>25</v>
      </c>
      <c r="L749" t="s">
        <v>827</v>
      </c>
      <c r="M749" t="s">
        <v>41</v>
      </c>
      <c r="N749" t="s">
        <v>1209</v>
      </c>
      <c r="O749" t="s">
        <v>1223</v>
      </c>
    </row>
    <row r="750" spans="1:15" x14ac:dyDescent="0.25">
      <c r="A750" t="s">
        <v>1487</v>
      </c>
      <c r="B750" t="s">
        <v>100</v>
      </c>
      <c r="C750" t="s">
        <v>621</v>
      </c>
      <c r="D750" t="s">
        <v>618</v>
      </c>
      <c r="E750" t="s">
        <v>622</v>
      </c>
      <c r="F750" s="213" t="s">
        <v>56</v>
      </c>
      <c r="G750" t="s">
        <v>66</v>
      </c>
      <c r="H750" t="s">
        <v>84</v>
      </c>
      <c r="I750" t="s">
        <v>623</v>
      </c>
      <c r="J750" t="s">
        <v>56</v>
      </c>
      <c r="K750" t="s">
        <v>26</v>
      </c>
      <c r="L750" t="s">
        <v>729</v>
      </c>
      <c r="M750" t="s">
        <v>41</v>
      </c>
      <c r="N750" t="s">
        <v>888</v>
      </c>
      <c r="O750" t="s">
        <v>1223</v>
      </c>
    </row>
    <row r="751" spans="1:15" x14ac:dyDescent="0.25">
      <c r="A751" t="s">
        <v>1488</v>
      </c>
      <c r="B751" t="s">
        <v>100</v>
      </c>
      <c r="C751" t="s">
        <v>621</v>
      </c>
      <c r="D751" t="s">
        <v>618</v>
      </c>
      <c r="E751" t="s">
        <v>622</v>
      </c>
      <c r="F751" s="213" t="s">
        <v>56</v>
      </c>
      <c r="G751" t="s">
        <v>66</v>
      </c>
      <c r="H751" t="s">
        <v>84</v>
      </c>
      <c r="I751" t="s">
        <v>623</v>
      </c>
      <c r="J751" t="s">
        <v>56</v>
      </c>
      <c r="K751" t="s">
        <v>28</v>
      </c>
      <c r="L751" t="s">
        <v>698</v>
      </c>
      <c r="M751" t="s">
        <v>41</v>
      </c>
      <c r="N751" t="s">
        <v>418</v>
      </c>
      <c r="O751" t="s">
        <v>1223</v>
      </c>
    </row>
    <row r="752" spans="1:15" x14ac:dyDescent="0.25">
      <c r="A752" t="s">
        <v>1489</v>
      </c>
      <c r="B752" t="s">
        <v>100</v>
      </c>
      <c r="C752" t="s">
        <v>621</v>
      </c>
      <c r="D752" t="s">
        <v>618</v>
      </c>
      <c r="E752" t="s">
        <v>622</v>
      </c>
      <c r="F752" s="213" t="s">
        <v>56</v>
      </c>
      <c r="G752" t="s">
        <v>66</v>
      </c>
      <c r="H752" t="s">
        <v>84</v>
      </c>
      <c r="I752" t="s">
        <v>623</v>
      </c>
      <c r="J752" t="s">
        <v>56</v>
      </c>
      <c r="K752" t="s">
        <v>30</v>
      </c>
      <c r="L752" t="s">
        <v>631</v>
      </c>
      <c r="M752" t="s">
        <v>41</v>
      </c>
      <c r="N752" t="s">
        <v>964</v>
      </c>
      <c r="O752" t="s">
        <v>718</v>
      </c>
    </row>
    <row r="753" spans="1:15" x14ac:dyDescent="0.25">
      <c r="A753" t="s">
        <v>1490</v>
      </c>
      <c r="B753" t="s">
        <v>100</v>
      </c>
      <c r="C753" t="s">
        <v>621</v>
      </c>
      <c r="D753" t="s">
        <v>618</v>
      </c>
      <c r="E753" t="s">
        <v>622</v>
      </c>
      <c r="F753" s="213" t="s">
        <v>56</v>
      </c>
      <c r="G753" t="s">
        <v>66</v>
      </c>
      <c r="H753" t="s">
        <v>84</v>
      </c>
      <c r="I753" t="s">
        <v>623</v>
      </c>
      <c r="J753" t="s">
        <v>56</v>
      </c>
      <c r="K753" t="s">
        <v>32</v>
      </c>
      <c r="L753" t="s">
        <v>101</v>
      </c>
      <c r="M753" t="s">
        <v>41</v>
      </c>
      <c r="N753" t="s">
        <v>662</v>
      </c>
      <c r="O753" t="s">
        <v>720</v>
      </c>
    </row>
    <row r="754" spans="1:15" x14ac:dyDescent="0.25">
      <c r="A754" t="s">
        <v>1491</v>
      </c>
      <c r="B754" t="s">
        <v>100</v>
      </c>
      <c r="C754" t="s">
        <v>621</v>
      </c>
      <c r="D754" t="s">
        <v>618</v>
      </c>
      <c r="E754" t="s">
        <v>622</v>
      </c>
      <c r="F754" s="213" t="s">
        <v>56</v>
      </c>
      <c r="G754" t="s">
        <v>66</v>
      </c>
      <c r="H754" t="s">
        <v>84</v>
      </c>
      <c r="I754" t="s">
        <v>623</v>
      </c>
      <c r="J754" t="s">
        <v>56</v>
      </c>
      <c r="K754" t="s">
        <v>25</v>
      </c>
      <c r="L754" t="s">
        <v>46</v>
      </c>
      <c r="M754" t="s">
        <v>41</v>
      </c>
      <c r="N754" t="s">
        <v>705</v>
      </c>
      <c r="O754" t="s">
        <v>1492</v>
      </c>
    </row>
    <row r="755" spans="1:15" x14ac:dyDescent="0.25">
      <c r="A755" t="s">
        <v>1493</v>
      </c>
      <c r="B755" t="s">
        <v>100</v>
      </c>
      <c r="C755" t="s">
        <v>621</v>
      </c>
      <c r="D755" t="s">
        <v>618</v>
      </c>
      <c r="E755" t="s">
        <v>622</v>
      </c>
      <c r="F755" s="213" t="s">
        <v>56</v>
      </c>
      <c r="G755" t="s">
        <v>66</v>
      </c>
      <c r="H755" t="s">
        <v>84</v>
      </c>
      <c r="I755" t="s">
        <v>623</v>
      </c>
      <c r="J755" t="s">
        <v>56</v>
      </c>
      <c r="K755" t="s">
        <v>28</v>
      </c>
      <c r="L755" t="s">
        <v>39</v>
      </c>
      <c r="M755" t="s">
        <v>41</v>
      </c>
      <c r="N755" t="s">
        <v>30</v>
      </c>
      <c r="O755" t="s">
        <v>1494</v>
      </c>
    </row>
    <row r="756" spans="1:15" x14ac:dyDescent="0.25">
      <c r="A756" t="s">
        <v>1495</v>
      </c>
      <c r="B756" t="s">
        <v>100</v>
      </c>
      <c r="C756" t="s">
        <v>621</v>
      </c>
      <c r="D756" t="s">
        <v>618</v>
      </c>
      <c r="E756" t="s">
        <v>622</v>
      </c>
      <c r="F756" s="213" t="s">
        <v>56</v>
      </c>
      <c r="G756" t="s">
        <v>66</v>
      </c>
      <c r="H756" t="s">
        <v>84</v>
      </c>
      <c r="I756" t="s">
        <v>623</v>
      </c>
      <c r="J756" t="s">
        <v>56</v>
      </c>
      <c r="K756" t="s">
        <v>30</v>
      </c>
      <c r="L756" t="s">
        <v>35</v>
      </c>
      <c r="M756" t="s">
        <v>41</v>
      </c>
      <c r="N756" t="s">
        <v>87</v>
      </c>
      <c r="O756" t="s">
        <v>765</v>
      </c>
    </row>
    <row r="757" spans="1:15" x14ac:dyDescent="0.25">
      <c r="A757" t="s">
        <v>1496</v>
      </c>
      <c r="B757" t="s">
        <v>100</v>
      </c>
      <c r="C757" t="s">
        <v>621</v>
      </c>
      <c r="D757" t="s">
        <v>618</v>
      </c>
      <c r="E757" t="s">
        <v>622</v>
      </c>
      <c r="F757" s="213" t="s">
        <v>56</v>
      </c>
      <c r="G757" t="s">
        <v>66</v>
      </c>
      <c r="H757" t="s">
        <v>84</v>
      </c>
      <c r="I757" t="s">
        <v>623</v>
      </c>
      <c r="J757" t="s">
        <v>56</v>
      </c>
      <c r="K757" t="s">
        <v>29</v>
      </c>
      <c r="L757" t="s">
        <v>626</v>
      </c>
      <c r="M757" t="s">
        <v>38</v>
      </c>
      <c r="N757" t="s">
        <v>729</v>
      </c>
      <c r="O757" t="s">
        <v>1497</v>
      </c>
    </row>
    <row r="758" spans="1:15" x14ac:dyDescent="0.25">
      <c r="A758" t="s">
        <v>1498</v>
      </c>
      <c r="B758" t="s">
        <v>100</v>
      </c>
      <c r="C758" t="s">
        <v>621</v>
      </c>
      <c r="D758" t="s">
        <v>618</v>
      </c>
      <c r="E758" t="s">
        <v>622</v>
      </c>
      <c r="F758" s="213" t="s">
        <v>56</v>
      </c>
      <c r="G758" t="s">
        <v>66</v>
      </c>
      <c r="H758" t="s">
        <v>84</v>
      </c>
      <c r="I758" t="s">
        <v>623</v>
      </c>
      <c r="J758" t="s">
        <v>56</v>
      </c>
      <c r="K758" t="s">
        <v>32</v>
      </c>
      <c r="L758" t="s">
        <v>654</v>
      </c>
      <c r="M758" t="s">
        <v>38</v>
      </c>
      <c r="N758" t="s">
        <v>66</v>
      </c>
      <c r="O758" t="s">
        <v>964</v>
      </c>
    </row>
    <row r="759" spans="1:15" x14ac:dyDescent="0.25">
      <c r="A759" t="s">
        <v>1499</v>
      </c>
      <c r="B759" t="s">
        <v>100</v>
      </c>
      <c r="C759" t="s">
        <v>621</v>
      </c>
      <c r="D759" t="s">
        <v>618</v>
      </c>
      <c r="E759" t="s">
        <v>622</v>
      </c>
      <c r="F759" s="213" t="s">
        <v>56</v>
      </c>
      <c r="G759" t="s">
        <v>66</v>
      </c>
      <c r="H759" t="s">
        <v>84</v>
      </c>
      <c r="I759" t="s">
        <v>623</v>
      </c>
      <c r="J759" t="s">
        <v>56</v>
      </c>
      <c r="K759" t="s">
        <v>26</v>
      </c>
      <c r="L759" t="s">
        <v>714</v>
      </c>
      <c r="M759" t="s">
        <v>38</v>
      </c>
      <c r="N759" t="s">
        <v>818</v>
      </c>
      <c r="O759" t="s">
        <v>1223</v>
      </c>
    </row>
    <row r="760" spans="1:15" x14ac:dyDescent="0.25">
      <c r="A760" t="s">
        <v>1500</v>
      </c>
      <c r="B760" t="s">
        <v>100</v>
      </c>
      <c r="C760" t="s">
        <v>621</v>
      </c>
      <c r="D760" t="s">
        <v>618</v>
      </c>
      <c r="E760" t="s">
        <v>622</v>
      </c>
      <c r="F760" s="213" t="s">
        <v>56</v>
      </c>
      <c r="G760" t="s">
        <v>66</v>
      </c>
      <c r="H760" t="s">
        <v>84</v>
      </c>
      <c r="I760" t="s">
        <v>623</v>
      </c>
      <c r="J760" t="s">
        <v>56</v>
      </c>
      <c r="K760" t="s">
        <v>24</v>
      </c>
      <c r="L760" t="s">
        <v>630</v>
      </c>
      <c r="M760" t="s">
        <v>38</v>
      </c>
      <c r="N760" t="s">
        <v>96</v>
      </c>
      <c r="O760" t="s">
        <v>814</v>
      </c>
    </row>
    <row r="761" spans="1:15" x14ac:dyDescent="0.25">
      <c r="A761" t="s">
        <v>1501</v>
      </c>
      <c r="B761" t="s">
        <v>100</v>
      </c>
      <c r="C761" t="s">
        <v>621</v>
      </c>
      <c r="D761" t="s">
        <v>618</v>
      </c>
      <c r="E761" t="s">
        <v>622</v>
      </c>
      <c r="F761" s="213" t="s">
        <v>56</v>
      </c>
      <c r="G761" t="s">
        <v>66</v>
      </c>
      <c r="H761" t="s">
        <v>84</v>
      </c>
      <c r="I761" t="s">
        <v>623</v>
      </c>
      <c r="J761" t="s">
        <v>56</v>
      </c>
      <c r="K761" t="s">
        <v>21</v>
      </c>
      <c r="L761" t="s">
        <v>625</v>
      </c>
      <c r="M761" t="s">
        <v>38</v>
      </c>
      <c r="N761" t="s">
        <v>1172</v>
      </c>
      <c r="O761" t="s">
        <v>720</v>
      </c>
    </row>
    <row r="762" spans="1:15" x14ac:dyDescent="0.25">
      <c r="A762" t="s">
        <v>1502</v>
      </c>
      <c r="B762" t="s">
        <v>100</v>
      </c>
      <c r="C762" t="s">
        <v>621</v>
      </c>
      <c r="D762" t="s">
        <v>618</v>
      </c>
      <c r="E762" t="s">
        <v>622</v>
      </c>
      <c r="F762" s="213" t="s">
        <v>56</v>
      </c>
      <c r="G762" t="s">
        <v>66</v>
      </c>
      <c r="H762" t="s">
        <v>84</v>
      </c>
      <c r="I762" t="s">
        <v>623</v>
      </c>
      <c r="J762" t="s">
        <v>56</v>
      </c>
      <c r="K762" t="s">
        <v>18</v>
      </c>
      <c r="L762" t="s">
        <v>632</v>
      </c>
      <c r="M762" t="s">
        <v>38</v>
      </c>
      <c r="N762" t="s">
        <v>1503</v>
      </c>
      <c r="O762" t="s">
        <v>714</v>
      </c>
    </row>
    <row r="763" spans="1:15" x14ac:dyDescent="0.25">
      <c r="A763" t="s">
        <v>1504</v>
      </c>
      <c r="B763" t="s">
        <v>100</v>
      </c>
      <c r="C763" t="s">
        <v>621</v>
      </c>
      <c r="D763" t="s">
        <v>618</v>
      </c>
      <c r="E763" t="s">
        <v>622</v>
      </c>
      <c r="F763" s="213" t="s">
        <v>56</v>
      </c>
      <c r="G763" t="s">
        <v>66</v>
      </c>
      <c r="H763" t="s">
        <v>84</v>
      </c>
      <c r="I763" t="s">
        <v>623</v>
      </c>
      <c r="J763" t="s">
        <v>56</v>
      </c>
      <c r="K763" t="s">
        <v>16</v>
      </c>
      <c r="L763" t="s">
        <v>642</v>
      </c>
      <c r="M763" t="s">
        <v>38</v>
      </c>
      <c r="N763" t="s">
        <v>1505</v>
      </c>
      <c r="O763" t="s">
        <v>1497</v>
      </c>
    </row>
    <row r="764" spans="1:15" x14ac:dyDescent="0.25">
      <c r="A764" t="s">
        <v>1506</v>
      </c>
      <c r="B764" t="s">
        <v>100</v>
      </c>
      <c r="C764" t="s">
        <v>621</v>
      </c>
      <c r="D764" t="s">
        <v>618</v>
      </c>
      <c r="E764" t="s">
        <v>622</v>
      </c>
      <c r="F764" s="213" t="s">
        <v>56</v>
      </c>
      <c r="G764" t="s">
        <v>66</v>
      </c>
      <c r="H764" t="s">
        <v>84</v>
      </c>
      <c r="I764" t="s">
        <v>623</v>
      </c>
      <c r="J764" t="s">
        <v>56</v>
      </c>
      <c r="K764" t="s">
        <v>13</v>
      </c>
      <c r="L764" t="s">
        <v>643</v>
      </c>
      <c r="M764" t="s">
        <v>38</v>
      </c>
      <c r="N764" t="s">
        <v>1251</v>
      </c>
      <c r="O764" t="s">
        <v>720</v>
      </c>
    </row>
    <row r="765" spans="1:15" x14ac:dyDescent="0.25">
      <c r="A765" t="s">
        <v>1507</v>
      </c>
      <c r="B765" t="s">
        <v>100</v>
      </c>
      <c r="C765" t="s">
        <v>621</v>
      </c>
      <c r="D765" t="s">
        <v>618</v>
      </c>
      <c r="E765" t="s">
        <v>622</v>
      </c>
      <c r="F765" s="213" t="s">
        <v>56</v>
      </c>
      <c r="G765" t="s">
        <v>66</v>
      </c>
      <c r="H765" t="s">
        <v>84</v>
      </c>
      <c r="I765" t="s">
        <v>623</v>
      </c>
      <c r="J765" t="s">
        <v>56</v>
      </c>
      <c r="K765" t="s">
        <v>11</v>
      </c>
      <c r="L765" t="s">
        <v>635</v>
      </c>
      <c r="M765" t="s">
        <v>38</v>
      </c>
      <c r="N765" t="s">
        <v>72</v>
      </c>
      <c r="O765" t="s">
        <v>770</v>
      </c>
    </row>
    <row r="766" spans="1:15" x14ac:dyDescent="0.25">
      <c r="A766" t="s">
        <v>1508</v>
      </c>
      <c r="B766" t="s">
        <v>100</v>
      </c>
      <c r="C766" t="s">
        <v>621</v>
      </c>
      <c r="D766" t="s">
        <v>618</v>
      </c>
      <c r="E766" t="s">
        <v>622</v>
      </c>
      <c r="F766" s="213" t="s">
        <v>56</v>
      </c>
      <c r="G766" t="s">
        <v>66</v>
      </c>
      <c r="H766" t="s">
        <v>84</v>
      </c>
      <c r="I766" t="s">
        <v>623</v>
      </c>
      <c r="J766" t="s">
        <v>56</v>
      </c>
      <c r="K766" t="s">
        <v>9</v>
      </c>
      <c r="L766" t="s">
        <v>637</v>
      </c>
      <c r="M766" t="s">
        <v>38</v>
      </c>
      <c r="N766" t="s">
        <v>638</v>
      </c>
      <c r="O766" t="s">
        <v>1497</v>
      </c>
    </row>
    <row r="767" spans="1:15" x14ac:dyDescent="0.25">
      <c r="A767" t="s">
        <v>1509</v>
      </c>
      <c r="B767" t="s">
        <v>100</v>
      </c>
      <c r="C767" t="s">
        <v>621</v>
      </c>
      <c r="D767" t="s">
        <v>618</v>
      </c>
      <c r="E767" t="s">
        <v>622</v>
      </c>
      <c r="F767" s="213" t="s">
        <v>56</v>
      </c>
      <c r="G767" t="s">
        <v>66</v>
      </c>
      <c r="H767" t="s">
        <v>84</v>
      </c>
      <c r="I767" t="s">
        <v>623</v>
      </c>
      <c r="J767" t="s">
        <v>56</v>
      </c>
      <c r="K767" t="s">
        <v>7</v>
      </c>
      <c r="L767" t="s">
        <v>809</v>
      </c>
      <c r="M767" t="s">
        <v>38</v>
      </c>
      <c r="N767" t="s">
        <v>1510</v>
      </c>
      <c r="O767" t="s">
        <v>1497</v>
      </c>
    </row>
    <row r="768" spans="1:15" x14ac:dyDescent="0.25">
      <c r="A768" t="s">
        <v>1511</v>
      </c>
      <c r="B768" t="s">
        <v>100</v>
      </c>
      <c r="C768" t="s">
        <v>621</v>
      </c>
      <c r="D768" t="s">
        <v>618</v>
      </c>
      <c r="E768" t="s">
        <v>622</v>
      </c>
      <c r="F768" s="213" t="s">
        <v>56</v>
      </c>
      <c r="G768" t="s">
        <v>66</v>
      </c>
      <c r="H768" t="s">
        <v>84</v>
      </c>
      <c r="I768" t="s">
        <v>623</v>
      </c>
      <c r="J768" t="s">
        <v>56</v>
      </c>
      <c r="K768" t="s">
        <v>5</v>
      </c>
      <c r="L768" t="s">
        <v>662</v>
      </c>
      <c r="M768" t="s">
        <v>38</v>
      </c>
      <c r="N768" t="s">
        <v>90</v>
      </c>
      <c r="O768" t="s">
        <v>627</v>
      </c>
    </row>
    <row r="769" spans="1:15" x14ac:dyDescent="0.25">
      <c r="A769" t="s">
        <v>1512</v>
      </c>
      <c r="B769" t="s">
        <v>100</v>
      </c>
      <c r="C769" t="s">
        <v>621</v>
      </c>
      <c r="D769" t="s">
        <v>618</v>
      </c>
      <c r="E769" t="s">
        <v>622</v>
      </c>
      <c r="F769" s="213" t="s">
        <v>56</v>
      </c>
      <c r="G769" t="s">
        <v>66</v>
      </c>
      <c r="H769" t="s">
        <v>84</v>
      </c>
      <c r="I769" t="s">
        <v>623</v>
      </c>
      <c r="J769" t="s">
        <v>56</v>
      </c>
      <c r="K769" t="s">
        <v>3</v>
      </c>
      <c r="L769" t="s">
        <v>749</v>
      </c>
      <c r="M769" t="s">
        <v>38</v>
      </c>
      <c r="N769" t="s">
        <v>44</v>
      </c>
      <c r="O769" t="s">
        <v>1291</v>
      </c>
    </row>
    <row r="770" spans="1:15" x14ac:dyDescent="0.25">
      <c r="A770" t="s">
        <v>1513</v>
      </c>
      <c r="B770" t="s">
        <v>100</v>
      </c>
      <c r="C770" t="s">
        <v>621</v>
      </c>
      <c r="D770" t="s">
        <v>618</v>
      </c>
      <c r="E770" t="s">
        <v>622</v>
      </c>
      <c r="F770" s="213" t="s">
        <v>56</v>
      </c>
      <c r="G770" t="s">
        <v>66</v>
      </c>
      <c r="H770" t="s">
        <v>84</v>
      </c>
      <c r="I770" t="s">
        <v>623</v>
      </c>
      <c r="J770" t="s">
        <v>56</v>
      </c>
      <c r="K770" t="s">
        <v>26</v>
      </c>
      <c r="L770" t="s">
        <v>807</v>
      </c>
      <c r="M770" t="s">
        <v>38</v>
      </c>
      <c r="N770" t="s">
        <v>1514</v>
      </c>
      <c r="O770" t="s">
        <v>1390</v>
      </c>
    </row>
    <row r="771" spans="1:15" x14ac:dyDescent="0.25">
      <c r="A771" t="s">
        <v>1515</v>
      </c>
      <c r="B771" t="s">
        <v>100</v>
      </c>
      <c r="C771" t="s">
        <v>621</v>
      </c>
      <c r="D771" t="s">
        <v>618</v>
      </c>
      <c r="E771" t="s">
        <v>622</v>
      </c>
      <c r="F771" s="213" t="s">
        <v>56</v>
      </c>
      <c r="G771" t="s">
        <v>66</v>
      </c>
      <c r="H771" t="s">
        <v>84</v>
      </c>
      <c r="I771" t="s">
        <v>623</v>
      </c>
      <c r="J771" t="s">
        <v>56</v>
      </c>
      <c r="K771" t="s">
        <v>1</v>
      </c>
      <c r="L771" t="s">
        <v>825</v>
      </c>
      <c r="M771" t="s">
        <v>38</v>
      </c>
      <c r="N771" t="s">
        <v>52</v>
      </c>
      <c r="O771" t="s">
        <v>1108</v>
      </c>
    </row>
    <row r="772" spans="1:15" x14ac:dyDescent="0.25">
      <c r="A772" t="s">
        <v>1516</v>
      </c>
      <c r="B772" t="s">
        <v>100</v>
      </c>
      <c r="C772" t="s">
        <v>621</v>
      </c>
      <c r="D772" t="s">
        <v>618</v>
      </c>
      <c r="E772" t="s">
        <v>622</v>
      </c>
      <c r="F772" s="213" t="s">
        <v>56</v>
      </c>
      <c r="G772" t="s">
        <v>66</v>
      </c>
      <c r="H772" t="s">
        <v>84</v>
      </c>
      <c r="I772" t="s">
        <v>623</v>
      </c>
      <c r="J772" t="s">
        <v>56</v>
      </c>
      <c r="K772" t="s">
        <v>27</v>
      </c>
      <c r="L772" t="s">
        <v>626</v>
      </c>
      <c r="M772" t="s">
        <v>39</v>
      </c>
      <c r="N772" t="s">
        <v>1517</v>
      </c>
      <c r="O772" t="s">
        <v>818</v>
      </c>
    </row>
    <row r="773" spans="1:15" x14ac:dyDescent="0.25">
      <c r="A773" t="s">
        <v>1518</v>
      </c>
      <c r="B773" t="s">
        <v>100</v>
      </c>
      <c r="C773" t="s">
        <v>621</v>
      </c>
      <c r="D773" t="s">
        <v>618</v>
      </c>
      <c r="E773" t="s">
        <v>622</v>
      </c>
      <c r="F773" s="213" t="s">
        <v>56</v>
      </c>
      <c r="G773" t="s">
        <v>66</v>
      </c>
      <c r="H773" t="s">
        <v>84</v>
      </c>
      <c r="I773" t="s">
        <v>623</v>
      </c>
      <c r="J773" t="s">
        <v>56</v>
      </c>
      <c r="K773" t="s">
        <v>25</v>
      </c>
      <c r="L773" t="s">
        <v>628</v>
      </c>
      <c r="M773" t="s">
        <v>39</v>
      </c>
      <c r="N773" t="s">
        <v>674</v>
      </c>
      <c r="O773" t="s">
        <v>1223</v>
      </c>
    </row>
    <row r="774" spans="1:15" x14ac:dyDescent="0.25">
      <c r="A774" t="s">
        <v>1519</v>
      </c>
      <c r="B774" t="s">
        <v>100</v>
      </c>
      <c r="C774" t="s">
        <v>621</v>
      </c>
      <c r="D774" t="s">
        <v>618</v>
      </c>
      <c r="E774" t="s">
        <v>622</v>
      </c>
      <c r="F774" s="213" t="s">
        <v>56</v>
      </c>
      <c r="G774" t="s">
        <v>66</v>
      </c>
      <c r="H774" t="s">
        <v>84</v>
      </c>
      <c r="I774" t="s">
        <v>623</v>
      </c>
      <c r="J774" t="s">
        <v>56</v>
      </c>
      <c r="K774" t="s">
        <v>22</v>
      </c>
      <c r="L774" t="s">
        <v>630</v>
      </c>
      <c r="M774" t="s">
        <v>39</v>
      </c>
      <c r="N774" t="s">
        <v>626</v>
      </c>
      <c r="O774" t="s">
        <v>818</v>
      </c>
    </row>
    <row r="775" spans="1:15" x14ac:dyDescent="0.25">
      <c r="A775" t="s">
        <v>1520</v>
      </c>
      <c r="B775" t="s">
        <v>100</v>
      </c>
      <c r="C775" t="s">
        <v>621</v>
      </c>
      <c r="D775" t="s">
        <v>618</v>
      </c>
      <c r="E775" t="s">
        <v>622</v>
      </c>
      <c r="F775" s="213" t="s">
        <v>56</v>
      </c>
      <c r="G775" t="s">
        <v>66</v>
      </c>
      <c r="H775" t="s">
        <v>84</v>
      </c>
      <c r="I775" t="s">
        <v>623</v>
      </c>
      <c r="J775" t="s">
        <v>56</v>
      </c>
      <c r="K775" t="s">
        <v>19</v>
      </c>
      <c r="L775" t="s">
        <v>625</v>
      </c>
      <c r="M775" t="s">
        <v>39</v>
      </c>
      <c r="N775" t="s">
        <v>644</v>
      </c>
      <c r="O775" t="s">
        <v>720</v>
      </c>
    </row>
    <row r="776" spans="1:15" x14ac:dyDescent="0.25">
      <c r="A776" t="s">
        <v>1521</v>
      </c>
      <c r="B776" t="s">
        <v>100</v>
      </c>
      <c r="C776" t="s">
        <v>621</v>
      </c>
      <c r="D776" t="s">
        <v>618</v>
      </c>
      <c r="E776" t="s">
        <v>622</v>
      </c>
      <c r="F776" s="213" t="s">
        <v>56</v>
      </c>
      <c r="G776" t="s">
        <v>66</v>
      </c>
      <c r="H776" t="s">
        <v>84</v>
      </c>
      <c r="I776" t="s">
        <v>623</v>
      </c>
      <c r="J776" t="s">
        <v>56</v>
      </c>
      <c r="K776" t="s">
        <v>15</v>
      </c>
      <c r="L776" t="s">
        <v>632</v>
      </c>
      <c r="M776" t="s">
        <v>39</v>
      </c>
      <c r="N776" t="s">
        <v>716</v>
      </c>
      <c r="O776" t="s">
        <v>1346</v>
      </c>
    </row>
    <row r="777" spans="1:15" x14ac:dyDescent="0.25">
      <c r="A777" t="s">
        <v>1522</v>
      </c>
      <c r="B777" t="s">
        <v>100</v>
      </c>
      <c r="C777" t="s">
        <v>621</v>
      </c>
      <c r="D777" t="s">
        <v>618</v>
      </c>
      <c r="E777" t="s">
        <v>622</v>
      </c>
      <c r="F777" s="213" t="s">
        <v>56</v>
      </c>
      <c r="G777" t="s">
        <v>66</v>
      </c>
      <c r="H777" t="s">
        <v>84</v>
      </c>
      <c r="I777" t="s">
        <v>623</v>
      </c>
      <c r="J777" t="s">
        <v>56</v>
      </c>
      <c r="K777" t="s">
        <v>12</v>
      </c>
      <c r="L777" t="s">
        <v>629</v>
      </c>
      <c r="M777" t="s">
        <v>39</v>
      </c>
      <c r="N777" t="s">
        <v>975</v>
      </c>
      <c r="O777" t="s">
        <v>1287</v>
      </c>
    </row>
    <row r="778" spans="1:15" x14ac:dyDescent="0.25">
      <c r="A778" t="s">
        <v>1523</v>
      </c>
      <c r="B778" t="s">
        <v>100</v>
      </c>
      <c r="C778" t="s">
        <v>621</v>
      </c>
      <c r="D778" t="s">
        <v>618</v>
      </c>
      <c r="E778" t="s">
        <v>622</v>
      </c>
      <c r="F778" s="213" t="s">
        <v>56</v>
      </c>
      <c r="G778" t="s">
        <v>66</v>
      </c>
      <c r="H778" t="s">
        <v>84</v>
      </c>
      <c r="I778" t="s">
        <v>623</v>
      </c>
      <c r="J778" t="s">
        <v>56</v>
      </c>
      <c r="K778" t="s">
        <v>10</v>
      </c>
      <c r="L778" t="s">
        <v>635</v>
      </c>
      <c r="M778" t="s">
        <v>39</v>
      </c>
      <c r="N778" t="s">
        <v>1524</v>
      </c>
      <c r="O778" t="s">
        <v>720</v>
      </c>
    </row>
    <row r="779" spans="1:15" x14ac:dyDescent="0.25">
      <c r="A779" t="s">
        <v>1525</v>
      </c>
      <c r="B779" t="s">
        <v>100</v>
      </c>
      <c r="C779" t="s">
        <v>621</v>
      </c>
      <c r="D779" t="s">
        <v>618</v>
      </c>
      <c r="E779" t="s">
        <v>622</v>
      </c>
      <c r="F779" s="213" t="s">
        <v>56</v>
      </c>
      <c r="G779" t="s">
        <v>66</v>
      </c>
      <c r="H779" t="s">
        <v>84</v>
      </c>
      <c r="I779" t="s">
        <v>623</v>
      </c>
      <c r="J779" t="s">
        <v>56</v>
      </c>
      <c r="K779" t="s">
        <v>8</v>
      </c>
      <c r="L779" t="s">
        <v>637</v>
      </c>
      <c r="M779" t="s">
        <v>39</v>
      </c>
      <c r="N779" t="s">
        <v>1526</v>
      </c>
      <c r="O779" t="s">
        <v>1390</v>
      </c>
    </row>
    <row r="780" spans="1:15" x14ac:dyDescent="0.25">
      <c r="A780" t="s">
        <v>1527</v>
      </c>
      <c r="B780" t="s">
        <v>100</v>
      </c>
      <c r="C780" t="s">
        <v>621</v>
      </c>
      <c r="D780" t="s">
        <v>618</v>
      </c>
      <c r="E780" t="s">
        <v>622</v>
      </c>
      <c r="F780" s="213" t="s">
        <v>56</v>
      </c>
      <c r="G780" t="s">
        <v>66</v>
      </c>
      <c r="H780" t="s">
        <v>84</v>
      </c>
      <c r="I780" t="s">
        <v>623</v>
      </c>
      <c r="J780" t="s">
        <v>56</v>
      </c>
      <c r="K780" t="s">
        <v>6</v>
      </c>
      <c r="L780" t="s">
        <v>639</v>
      </c>
      <c r="M780" t="s">
        <v>39</v>
      </c>
      <c r="N780" t="s">
        <v>1131</v>
      </c>
      <c r="O780" t="s">
        <v>1223</v>
      </c>
    </row>
    <row r="781" spans="1:15" x14ac:dyDescent="0.25">
      <c r="A781" t="s">
        <v>1528</v>
      </c>
      <c r="B781" t="s">
        <v>100</v>
      </c>
      <c r="C781" t="s">
        <v>621</v>
      </c>
      <c r="D781" t="s">
        <v>618</v>
      </c>
      <c r="E781" t="s">
        <v>622</v>
      </c>
      <c r="F781" s="213" t="s">
        <v>56</v>
      </c>
      <c r="G781" t="s">
        <v>66</v>
      </c>
      <c r="H781" t="s">
        <v>84</v>
      </c>
      <c r="I781" t="s">
        <v>623</v>
      </c>
      <c r="J781" t="s">
        <v>56</v>
      </c>
      <c r="K781" t="s">
        <v>4</v>
      </c>
      <c r="L781" t="s">
        <v>662</v>
      </c>
      <c r="M781" t="s">
        <v>39</v>
      </c>
      <c r="N781" t="s">
        <v>1213</v>
      </c>
      <c r="O781" t="s">
        <v>1390</v>
      </c>
    </row>
    <row r="782" spans="1:15" x14ac:dyDescent="0.25">
      <c r="A782" t="s">
        <v>1529</v>
      </c>
      <c r="B782" t="s">
        <v>100</v>
      </c>
      <c r="C782" t="s">
        <v>621</v>
      </c>
      <c r="D782" t="s">
        <v>618</v>
      </c>
      <c r="E782" t="s">
        <v>622</v>
      </c>
      <c r="F782" s="213" t="s">
        <v>56</v>
      </c>
      <c r="G782" t="s">
        <v>66</v>
      </c>
      <c r="H782" t="s">
        <v>84</v>
      </c>
      <c r="I782" t="s">
        <v>623</v>
      </c>
      <c r="J782" t="s">
        <v>56</v>
      </c>
      <c r="K782" t="s">
        <v>2</v>
      </c>
      <c r="L782" t="s">
        <v>749</v>
      </c>
      <c r="M782" t="s">
        <v>39</v>
      </c>
      <c r="N782" t="s">
        <v>1294</v>
      </c>
      <c r="O782" t="s">
        <v>818</v>
      </c>
    </row>
    <row r="783" spans="1:15" x14ac:dyDescent="0.25">
      <c r="A783" t="s">
        <v>1530</v>
      </c>
      <c r="B783" t="s">
        <v>100</v>
      </c>
      <c r="C783" t="s">
        <v>621</v>
      </c>
      <c r="D783" t="s">
        <v>618</v>
      </c>
      <c r="E783" t="s">
        <v>622</v>
      </c>
      <c r="F783" s="213" t="s">
        <v>56</v>
      </c>
      <c r="G783" t="s">
        <v>66</v>
      </c>
      <c r="H783" t="s">
        <v>84</v>
      </c>
      <c r="I783" t="s">
        <v>623</v>
      </c>
      <c r="J783" t="s">
        <v>56</v>
      </c>
      <c r="K783" t="s">
        <v>24</v>
      </c>
      <c r="L783" t="s">
        <v>807</v>
      </c>
      <c r="M783" t="s">
        <v>39</v>
      </c>
      <c r="N783" t="s">
        <v>1405</v>
      </c>
      <c r="O783" t="s">
        <v>818</v>
      </c>
    </row>
    <row r="784" spans="1:15" x14ac:dyDescent="0.25">
      <c r="A784" t="s">
        <v>1531</v>
      </c>
      <c r="B784" t="s">
        <v>100</v>
      </c>
      <c r="C784" t="s">
        <v>621</v>
      </c>
      <c r="D784" t="s">
        <v>618</v>
      </c>
      <c r="E784" t="s">
        <v>622</v>
      </c>
      <c r="F784" s="213" t="s">
        <v>56</v>
      </c>
      <c r="G784" t="s">
        <v>66</v>
      </c>
      <c r="H784" t="s">
        <v>84</v>
      </c>
      <c r="I784" t="s">
        <v>623</v>
      </c>
      <c r="J784" t="s">
        <v>56</v>
      </c>
      <c r="K784" t="s">
        <v>25</v>
      </c>
      <c r="L784" t="s">
        <v>827</v>
      </c>
      <c r="M784" t="s">
        <v>39</v>
      </c>
      <c r="N784" t="s">
        <v>642</v>
      </c>
      <c r="O784" t="s">
        <v>818</v>
      </c>
    </row>
    <row r="785" spans="1:15" x14ac:dyDescent="0.25">
      <c r="A785" t="s">
        <v>1532</v>
      </c>
      <c r="B785" t="s">
        <v>100</v>
      </c>
      <c r="C785" t="s">
        <v>621</v>
      </c>
      <c r="D785" t="s">
        <v>618</v>
      </c>
      <c r="E785" t="s">
        <v>622</v>
      </c>
      <c r="F785" s="213" t="s">
        <v>56</v>
      </c>
      <c r="G785" t="s">
        <v>66</v>
      </c>
      <c r="H785" t="s">
        <v>84</v>
      </c>
      <c r="I785" t="s">
        <v>623</v>
      </c>
      <c r="J785" t="s">
        <v>56</v>
      </c>
      <c r="K785" t="s">
        <v>26</v>
      </c>
      <c r="L785" t="s">
        <v>729</v>
      </c>
      <c r="M785" t="s">
        <v>39</v>
      </c>
      <c r="N785" t="s">
        <v>654</v>
      </c>
      <c r="O785" t="s">
        <v>818</v>
      </c>
    </row>
    <row r="786" spans="1:15" x14ac:dyDescent="0.25">
      <c r="A786" t="s">
        <v>1533</v>
      </c>
      <c r="B786" t="s">
        <v>100</v>
      </c>
      <c r="C786" t="s">
        <v>621</v>
      </c>
      <c r="D786" t="s">
        <v>618</v>
      </c>
      <c r="E786" t="s">
        <v>622</v>
      </c>
      <c r="F786" s="213" t="s">
        <v>56</v>
      </c>
      <c r="G786" t="s">
        <v>66</v>
      </c>
      <c r="H786" t="s">
        <v>84</v>
      </c>
      <c r="I786" t="s">
        <v>623</v>
      </c>
      <c r="J786" t="s">
        <v>56</v>
      </c>
      <c r="K786" t="s">
        <v>28</v>
      </c>
      <c r="L786" t="s">
        <v>698</v>
      </c>
      <c r="M786" t="s">
        <v>39</v>
      </c>
      <c r="N786" t="s">
        <v>633</v>
      </c>
      <c r="O786" t="s">
        <v>1287</v>
      </c>
    </row>
    <row r="787" spans="1:15" x14ac:dyDescent="0.25">
      <c r="A787" t="s">
        <v>1534</v>
      </c>
      <c r="B787" t="s">
        <v>100</v>
      </c>
      <c r="C787" t="s">
        <v>621</v>
      </c>
      <c r="D787" t="s">
        <v>618</v>
      </c>
      <c r="E787" t="s">
        <v>622</v>
      </c>
      <c r="F787" s="213" t="s">
        <v>56</v>
      </c>
      <c r="G787" t="s">
        <v>66</v>
      </c>
      <c r="H787" t="s">
        <v>84</v>
      </c>
      <c r="I787" t="s">
        <v>623</v>
      </c>
      <c r="J787" t="s">
        <v>56</v>
      </c>
      <c r="K787" t="s">
        <v>30</v>
      </c>
      <c r="L787" t="s">
        <v>631</v>
      </c>
      <c r="M787" t="s">
        <v>39</v>
      </c>
      <c r="N787" t="s">
        <v>1231</v>
      </c>
      <c r="O787" t="s">
        <v>718</v>
      </c>
    </row>
    <row r="788" spans="1:15" x14ac:dyDescent="0.25">
      <c r="A788" t="s">
        <v>1535</v>
      </c>
      <c r="B788" t="s">
        <v>100</v>
      </c>
      <c r="C788" t="s">
        <v>621</v>
      </c>
      <c r="D788" t="s">
        <v>618</v>
      </c>
      <c r="E788" t="s">
        <v>622</v>
      </c>
      <c r="F788" s="213" t="s">
        <v>56</v>
      </c>
      <c r="G788" t="s">
        <v>66</v>
      </c>
      <c r="H788" t="s">
        <v>84</v>
      </c>
      <c r="I788" t="s">
        <v>623</v>
      </c>
      <c r="J788" t="s">
        <v>56</v>
      </c>
      <c r="K788" t="s">
        <v>32</v>
      </c>
      <c r="L788" t="s">
        <v>101</v>
      </c>
      <c r="M788" t="s">
        <v>39</v>
      </c>
      <c r="N788" t="s">
        <v>96</v>
      </c>
      <c r="O788" t="s">
        <v>674</v>
      </c>
    </row>
    <row r="789" spans="1:15" x14ac:dyDescent="0.25">
      <c r="A789" t="s">
        <v>1536</v>
      </c>
      <c r="B789" t="s">
        <v>100</v>
      </c>
      <c r="C789" t="s">
        <v>621</v>
      </c>
      <c r="D789" t="s">
        <v>618</v>
      </c>
      <c r="E789" t="s">
        <v>622</v>
      </c>
      <c r="F789" s="213" t="s">
        <v>56</v>
      </c>
      <c r="G789" t="s">
        <v>66</v>
      </c>
      <c r="H789" t="s">
        <v>84</v>
      </c>
      <c r="I789" t="s">
        <v>623</v>
      </c>
      <c r="J789" t="s">
        <v>56</v>
      </c>
      <c r="K789" t="s">
        <v>25</v>
      </c>
      <c r="L789" t="s">
        <v>46</v>
      </c>
      <c r="M789" t="s">
        <v>39</v>
      </c>
      <c r="N789" t="s">
        <v>82</v>
      </c>
      <c r="O789" t="s">
        <v>781</v>
      </c>
    </row>
    <row r="790" spans="1:15" x14ac:dyDescent="0.25">
      <c r="A790" t="s">
        <v>1537</v>
      </c>
      <c r="B790" t="s">
        <v>100</v>
      </c>
      <c r="C790" t="s">
        <v>621</v>
      </c>
      <c r="D790" t="s">
        <v>618</v>
      </c>
      <c r="E790" t="s">
        <v>622</v>
      </c>
      <c r="F790" s="213" t="s">
        <v>56</v>
      </c>
      <c r="G790" t="s">
        <v>66</v>
      </c>
      <c r="H790" t="s">
        <v>84</v>
      </c>
      <c r="I790" t="s">
        <v>623</v>
      </c>
      <c r="J790" t="s">
        <v>56</v>
      </c>
      <c r="K790" t="s">
        <v>28</v>
      </c>
      <c r="L790" t="s">
        <v>39</v>
      </c>
      <c r="M790" t="s">
        <v>39</v>
      </c>
      <c r="N790" t="s">
        <v>31</v>
      </c>
      <c r="O790" t="s">
        <v>1494</v>
      </c>
    </row>
    <row r="791" spans="1:15" x14ac:dyDescent="0.25">
      <c r="A791" t="s">
        <v>1538</v>
      </c>
      <c r="B791" t="s">
        <v>100</v>
      </c>
      <c r="C791" t="s">
        <v>621</v>
      </c>
      <c r="D791" t="s">
        <v>618</v>
      </c>
      <c r="E791" t="s">
        <v>622</v>
      </c>
      <c r="F791" s="213" t="s">
        <v>56</v>
      </c>
      <c r="G791" t="s">
        <v>66</v>
      </c>
      <c r="H791" t="s">
        <v>84</v>
      </c>
      <c r="I791" t="s">
        <v>623</v>
      </c>
      <c r="J791" t="s">
        <v>56</v>
      </c>
      <c r="K791" t="s">
        <v>30</v>
      </c>
      <c r="L791" t="s">
        <v>35</v>
      </c>
      <c r="M791" t="s">
        <v>39</v>
      </c>
      <c r="N791" t="s">
        <v>1346</v>
      </c>
      <c r="O791" t="s">
        <v>624</v>
      </c>
    </row>
    <row r="792" spans="1:15" x14ac:dyDescent="0.25">
      <c r="A792" t="s">
        <v>1539</v>
      </c>
      <c r="B792" t="s">
        <v>100</v>
      </c>
      <c r="C792" t="s">
        <v>621</v>
      </c>
      <c r="D792" t="s">
        <v>618</v>
      </c>
      <c r="E792" t="s">
        <v>622</v>
      </c>
      <c r="F792" s="213" t="s">
        <v>56</v>
      </c>
      <c r="G792" t="s">
        <v>66</v>
      </c>
      <c r="H792" t="s">
        <v>84</v>
      </c>
      <c r="I792" t="s">
        <v>623</v>
      </c>
      <c r="J792" t="s">
        <v>56</v>
      </c>
      <c r="K792" t="s">
        <v>29</v>
      </c>
      <c r="L792" t="s">
        <v>626</v>
      </c>
      <c r="M792" t="s">
        <v>37</v>
      </c>
      <c r="N792" t="s">
        <v>1251</v>
      </c>
      <c r="O792" t="s">
        <v>1223</v>
      </c>
    </row>
    <row r="793" spans="1:15" x14ac:dyDescent="0.25">
      <c r="A793" t="s">
        <v>1540</v>
      </c>
      <c r="B793" t="s">
        <v>100</v>
      </c>
      <c r="C793" t="s">
        <v>621</v>
      </c>
      <c r="D793" t="s">
        <v>618</v>
      </c>
      <c r="E793" t="s">
        <v>622</v>
      </c>
      <c r="F793" s="213" t="s">
        <v>56</v>
      </c>
      <c r="G793" t="s">
        <v>66</v>
      </c>
      <c r="H793" t="s">
        <v>84</v>
      </c>
      <c r="I793" t="s">
        <v>623</v>
      </c>
      <c r="J793" t="s">
        <v>56</v>
      </c>
      <c r="K793" t="s">
        <v>32</v>
      </c>
      <c r="L793" t="s">
        <v>654</v>
      </c>
      <c r="M793" t="s">
        <v>37</v>
      </c>
      <c r="N793" t="s">
        <v>1410</v>
      </c>
      <c r="O793" t="s">
        <v>665</v>
      </c>
    </row>
    <row r="794" spans="1:15" x14ac:dyDescent="0.25">
      <c r="A794" t="s">
        <v>1541</v>
      </c>
      <c r="B794" t="s">
        <v>100</v>
      </c>
      <c r="C794" t="s">
        <v>621</v>
      </c>
      <c r="D794" t="s">
        <v>618</v>
      </c>
      <c r="E794" t="s">
        <v>622</v>
      </c>
      <c r="F794" s="213" t="s">
        <v>56</v>
      </c>
      <c r="G794" t="s">
        <v>66</v>
      </c>
      <c r="H794" t="s">
        <v>84</v>
      </c>
      <c r="I794" t="s">
        <v>623</v>
      </c>
      <c r="J794" t="s">
        <v>56</v>
      </c>
      <c r="K794" t="s">
        <v>26</v>
      </c>
      <c r="L794" t="s">
        <v>714</v>
      </c>
      <c r="M794" t="s">
        <v>37</v>
      </c>
      <c r="N794" t="s">
        <v>1542</v>
      </c>
      <c r="O794" t="s">
        <v>695</v>
      </c>
    </row>
    <row r="795" spans="1:15" x14ac:dyDescent="0.25">
      <c r="A795" t="s">
        <v>1543</v>
      </c>
      <c r="B795" t="s">
        <v>100</v>
      </c>
      <c r="C795" t="s">
        <v>621</v>
      </c>
      <c r="D795" t="s">
        <v>618</v>
      </c>
      <c r="E795" t="s">
        <v>622</v>
      </c>
      <c r="F795" s="213" t="s">
        <v>56</v>
      </c>
      <c r="G795" t="s">
        <v>66</v>
      </c>
      <c r="H795" t="s">
        <v>84</v>
      </c>
      <c r="I795" t="s">
        <v>623</v>
      </c>
      <c r="J795" t="s">
        <v>56</v>
      </c>
      <c r="K795" t="s">
        <v>24</v>
      </c>
      <c r="L795" t="s">
        <v>630</v>
      </c>
      <c r="M795" t="s">
        <v>37</v>
      </c>
      <c r="N795" t="s">
        <v>1497</v>
      </c>
      <c r="O795" t="s">
        <v>628</v>
      </c>
    </row>
    <row r="796" spans="1:15" x14ac:dyDescent="0.25">
      <c r="A796" t="s">
        <v>1544</v>
      </c>
      <c r="B796" t="s">
        <v>100</v>
      </c>
      <c r="C796" t="s">
        <v>621</v>
      </c>
      <c r="D796" t="s">
        <v>618</v>
      </c>
      <c r="E796" t="s">
        <v>622</v>
      </c>
      <c r="F796" s="213" t="s">
        <v>56</v>
      </c>
      <c r="G796" t="s">
        <v>66</v>
      </c>
      <c r="H796" t="s">
        <v>84</v>
      </c>
      <c r="I796" t="s">
        <v>623</v>
      </c>
      <c r="J796" t="s">
        <v>56</v>
      </c>
      <c r="K796" t="s">
        <v>21</v>
      </c>
      <c r="L796" t="s">
        <v>625</v>
      </c>
      <c r="M796" t="s">
        <v>37</v>
      </c>
      <c r="N796" t="s">
        <v>718</v>
      </c>
      <c r="O796" t="s">
        <v>900</v>
      </c>
    </row>
    <row r="797" spans="1:15" x14ac:dyDescent="0.25">
      <c r="A797" t="s">
        <v>1545</v>
      </c>
      <c r="B797" t="s">
        <v>100</v>
      </c>
      <c r="C797" t="s">
        <v>621</v>
      </c>
      <c r="D797" t="s">
        <v>618</v>
      </c>
      <c r="E797" t="s">
        <v>622</v>
      </c>
      <c r="F797" s="213" t="s">
        <v>56</v>
      </c>
      <c r="G797" t="s">
        <v>66</v>
      </c>
      <c r="H797" t="s">
        <v>84</v>
      </c>
      <c r="I797" t="s">
        <v>623</v>
      </c>
      <c r="J797" t="s">
        <v>56</v>
      </c>
      <c r="K797" t="s">
        <v>18</v>
      </c>
      <c r="L797" t="s">
        <v>632</v>
      </c>
      <c r="M797" t="s">
        <v>37</v>
      </c>
      <c r="N797" t="s">
        <v>682</v>
      </c>
      <c r="O797" t="s">
        <v>718</v>
      </c>
    </row>
    <row r="798" spans="1:15" x14ac:dyDescent="0.25">
      <c r="A798" t="s">
        <v>1546</v>
      </c>
      <c r="B798" t="s">
        <v>100</v>
      </c>
      <c r="C798" t="s">
        <v>621</v>
      </c>
      <c r="D798" t="s">
        <v>618</v>
      </c>
      <c r="E798" t="s">
        <v>622</v>
      </c>
      <c r="F798" s="213" t="s">
        <v>56</v>
      </c>
      <c r="G798" t="s">
        <v>66</v>
      </c>
      <c r="H798" t="s">
        <v>84</v>
      </c>
      <c r="I798" t="s">
        <v>623</v>
      </c>
      <c r="J798" t="s">
        <v>56</v>
      </c>
      <c r="K798" t="s">
        <v>16</v>
      </c>
      <c r="L798" t="s">
        <v>642</v>
      </c>
      <c r="M798" t="s">
        <v>37</v>
      </c>
      <c r="N798" t="s">
        <v>786</v>
      </c>
      <c r="O798" t="s">
        <v>1223</v>
      </c>
    </row>
    <row r="799" spans="1:15" x14ac:dyDescent="0.25">
      <c r="A799" t="s">
        <v>1547</v>
      </c>
      <c r="B799" t="s">
        <v>100</v>
      </c>
      <c r="C799" t="s">
        <v>621</v>
      </c>
      <c r="D799" t="s">
        <v>618</v>
      </c>
      <c r="E799" t="s">
        <v>622</v>
      </c>
      <c r="F799" s="213" t="s">
        <v>56</v>
      </c>
      <c r="G799" t="s">
        <v>66</v>
      </c>
      <c r="H799" t="s">
        <v>84</v>
      </c>
      <c r="I799" t="s">
        <v>623</v>
      </c>
      <c r="J799" t="s">
        <v>56</v>
      </c>
      <c r="K799" t="s">
        <v>13</v>
      </c>
      <c r="L799" t="s">
        <v>643</v>
      </c>
      <c r="M799" t="s">
        <v>37</v>
      </c>
      <c r="N799" t="s">
        <v>1433</v>
      </c>
      <c r="O799" t="s">
        <v>1287</v>
      </c>
    </row>
    <row r="800" spans="1:15" x14ac:dyDescent="0.25">
      <c r="A800" t="s">
        <v>1548</v>
      </c>
      <c r="B800" t="s">
        <v>100</v>
      </c>
      <c r="C800" t="s">
        <v>621</v>
      </c>
      <c r="D800" t="s">
        <v>618</v>
      </c>
      <c r="E800" t="s">
        <v>622</v>
      </c>
      <c r="F800" s="213" t="s">
        <v>56</v>
      </c>
      <c r="G800" t="s">
        <v>66</v>
      </c>
      <c r="H800" t="s">
        <v>84</v>
      </c>
      <c r="I800" t="s">
        <v>623</v>
      </c>
      <c r="J800" t="s">
        <v>56</v>
      </c>
      <c r="K800" t="s">
        <v>11</v>
      </c>
      <c r="L800" t="s">
        <v>635</v>
      </c>
      <c r="M800" t="s">
        <v>37</v>
      </c>
      <c r="N800" t="s">
        <v>793</v>
      </c>
      <c r="O800" t="s">
        <v>1497</v>
      </c>
    </row>
    <row r="801" spans="1:15" x14ac:dyDescent="0.25">
      <c r="A801" t="s">
        <v>1549</v>
      </c>
      <c r="B801" t="s">
        <v>100</v>
      </c>
      <c r="C801" t="s">
        <v>621</v>
      </c>
      <c r="D801" t="s">
        <v>618</v>
      </c>
      <c r="E801" t="s">
        <v>622</v>
      </c>
      <c r="F801" s="213" t="s">
        <v>56</v>
      </c>
      <c r="G801" t="s">
        <v>66</v>
      </c>
      <c r="H801" t="s">
        <v>84</v>
      </c>
      <c r="I801" t="s">
        <v>623</v>
      </c>
      <c r="J801" t="s">
        <v>56</v>
      </c>
      <c r="K801" t="s">
        <v>9</v>
      </c>
      <c r="L801" t="s">
        <v>637</v>
      </c>
      <c r="M801" t="s">
        <v>37</v>
      </c>
      <c r="N801" t="s">
        <v>49</v>
      </c>
      <c r="O801" t="s">
        <v>1131</v>
      </c>
    </row>
    <row r="802" spans="1:15" x14ac:dyDescent="0.25">
      <c r="A802" t="s">
        <v>1550</v>
      </c>
      <c r="B802" t="s">
        <v>100</v>
      </c>
      <c r="C802" t="s">
        <v>621</v>
      </c>
      <c r="D802" t="s">
        <v>618</v>
      </c>
      <c r="E802" t="s">
        <v>622</v>
      </c>
      <c r="F802" s="213" t="s">
        <v>56</v>
      </c>
      <c r="G802" t="s">
        <v>66</v>
      </c>
      <c r="H802" t="s">
        <v>84</v>
      </c>
      <c r="I802" t="s">
        <v>623</v>
      </c>
      <c r="J802" t="s">
        <v>56</v>
      </c>
      <c r="K802" t="s">
        <v>7</v>
      </c>
      <c r="L802" t="s">
        <v>809</v>
      </c>
      <c r="M802" t="s">
        <v>37</v>
      </c>
      <c r="N802" t="s">
        <v>45</v>
      </c>
      <c r="O802" t="s">
        <v>1291</v>
      </c>
    </row>
    <row r="803" spans="1:15" x14ac:dyDescent="0.25">
      <c r="A803" t="s">
        <v>1551</v>
      </c>
      <c r="B803" t="s">
        <v>100</v>
      </c>
      <c r="C803" t="s">
        <v>621</v>
      </c>
      <c r="D803" t="s">
        <v>618</v>
      </c>
      <c r="E803" t="s">
        <v>622</v>
      </c>
      <c r="F803" s="213" t="s">
        <v>56</v>
      </c>
      <c r="G803" t="s">
        <v>66</v>
      </c>
      <c r="H803" t="s">
        <v>84</v>
      </c>
      <c r="I803" t="s">
        <v>623</v>
      </c>
      <c r="J803" t="s">
        <v>56</v>
      </c>
      <c r="K803" t="s">
        <v>5</v>
      </c>
      <c r="L803" t="s">
        <v>662</v>
      </c>
      <c r="M803" t="s">
        <v>37</v>
      </c>
      <c r="N803" t="s">
        <v>57</v>
      </c>
      <c r="O803" t="s">
        <v>1143</v>
      </c>
    </row>
    <row r="804" spans="1:15" x14ac:dyDescent="0.25">
      <c r="A804" t="s">
        <v>1552</v>
      </c>
      <c r="B804" t="s">
        <v>100</v>
      </c>
      <c r="C804" t="s">
        <v>621</v>
      </c>
      <c r="D804" t="s">
        <v>618</v>
      </c>
      <c r="E804" t="s">
        <v>622</v>
      </c>
      <c r="F804" s="213" t="s">
        <v>56</v>
      </c>
      <c r="G804" t="s">
        <v>66</v>
      </c>
      <c r="H804" t="s">
        <v>84</v>
      </c>
      <c r="I804" t="s">
        <v>623</v>
      </c>
      <c r="J804" t="s">
        <v>56</v>
      </c>
      <c r="K804" t="s">
        <v>3</v>
      </c>
      <c r="L804" t="s">
        <v>749</v>
      </c>
      <c r="M804" t="s">
        <v>37</v>
      </c>
      <c r="N804" t="s">
        <v>650</v>
      </c>
      <c r="O804" t="s">
        <v>1287</v>
      </c>
    </row>
    <row r="805" spans="1:15" x14ac:dyDescent="0.25">
      <c r="A805" t="s">
        <v>1553</v>
      </c>
      <c r="B805" t="s">
        <v>100</v>
      </c>
      <c r="C805" t="s">
        <v>621</v>
      </c>
      <c r="D805" t="s">
        <v>618</v>
      </c>
      <c r="E805" t="s">
        <v>622</v>
      </c>
      <c r="F805" s="213" t="s">
        <v>56</v>
      </c>
      <c r="G805" t="s">
        <v>66</v>
      </c>
      <c r="H805" t="s">
        <v>84</v>
      </c>
      <c r="I805" t="s">
        <v>623</v>
      </c>
      <c r="J805" t="s">
        <v>56</v>
      </c>
      <c r="K805" t="s">
        <v>27</v>
      </c>
      <c r="L805" t="s">
        <v>626</v>
      </c>
      <c r="M805" t="s">
        <v>1477</v>
      </c>
      <c r="N805" t="s">
        <v>100</v>
      </c>
      <c r="O805" t="s">
        <v>628</v>
      </c>
    </row>
    <row r="806" spans="1:15" x14ac:dyDescent="0.25">
      <c r="A806" t="s">
        <v>1554</v>
      </c>
      <c r="B806" t="s">
        <v>100</v>
      </c>
      <c r="C806" t="s">
        <v>621</v>
      </c>
      <c r="D806" t="s">
        <v>618</v>
      </c>
      <c r="E806" t="s">
        <v>622</v>
      </c>
      <c r="F806" s="213" t="s">
        <v>56</v>
      </c>
      <c r="G806" t="s">
        <v>66</v>
      </c>
      <c r="H806" t="s">
        <v>84</v>
      </c>
      <c r="I806" t="s">
        <v>623</v>
      </c>
      <c r="J806" t="s">
        <v>56</v>
      </c>
      <c r="K806" t="s">
        <v>27</v>
      </c>
      <c r="L806" t="s">
        <v>626</v>
      </c>
      <c r="M806" t="s">
        <v>33</v>
      </c>
      <c r="N806" t="s">
        <v>665</v>
      </c>
      <c r="O806" t="s">
        <v>786</v>
      </c>
    </row>
    <row r="807" spans="1:15" x14ac:dyDescent="0.25">
      <c r="A807" t="s">
        <v>1555</v>
      </c>
      <c r="B807" t="s">
        <v>100</v>
      </c>
      <c r="C807" t="s">
        <v>621</v>
      </c>
      <c r="D807" t="s">
        <v>618</v>
      </c>
      <c r="E807" t="s">
        <v>622</v>
      </c>
      <c r="F807" s="213" t="s">
        <v>56</v>
      </c>
      <c r="G807" t="s">
        <v>66</v>
      </c>
      <c r="H807" t="s">
        <v>84</v>
      </c>
      <c r="I807" t="s">
        <v>623</v>
      </c>
      <c r="J807" t="s">
        <v>56</v>
      </c>
      <c r="K807" t="s">
        <v>25</v>
      </c>
      <c r="L807" t="s">
        <v>628</v>
      </c>
      <c r="M807" t="s">
        <v>33</v>
      </c>
      <c r="N807" t="s">
        <v>1556</v>
      </c>
      <c r="O807" t="s">
        <v>786</v>
      </c>
    </row>
    <row r="808" spans="1:15" x14ac:dyDescent="0.25">
      <c r="A808" t="s">
        <v>1557</v>
      </c>
      <c r="B808" t="s">
        <v>100</v>
      </c>
      <c r="C808" t="s">
        <v>621</v>
      </c>
      <c r="D808" t="s">
        <v>618</v>
      </c>
      <c r="E808" t="s">
        <v>622</v>
      </c>
      <c r="F808" s="213" t="s">
        <v>56</v>
      </c>
      <c r="G808" t="s">
        <v>66</v>
      </c>
      <c r="H808" t="s">
        <v>84</v>
      </c>
      <c r="I808" t="s">
        <v>623</v>
      </c>
      <c r="J808" t="s">
        <v>56</v>
      </c>
      <c r="K808" t="s">
        <v>22</v>
      </c>
      <c r="L808" t="s">
        <v>630</v>
      </c>
      <c r="M808" t="s">
        <v>33</v>
      </c>
      <c r="N808" t="s">
        <v>1558</v>
      </c>
      <c r="O808" t="s">
        <v>786</v>
      </c>
    </row>
    <row r="809" spans="1:15" x14ac:dyDescent="0.25">
      <c r="A809" t="s">
        <v>1559</v>
      </c>
      <c r="B809" t="s">
        <v>100</v>
      </c>
      <c r="C809" t="s">
        <v>621</v>
      </c>
      <c r="D809" t="s">
        <v>618</v>
      </c>
      <c r="E809" t="s">
        <v>622</v>
      </c>
      <c r="F809" s="213" t="s">
        <v>56</v>
      </c>
      <c r="G809" t="s">
        <v>66</v>
      </c>
      <c r="H809" t="s">
        <v>84</v>
      </c>
      <c r="I809" t="s">
        <v>623</v>
      </c>
      <c r="J809" t="s">
        <v>56</v>
      </c>
      <c r="K809" t="s">
        <v>19</v>
      </c>
      <c r="L809" t="s">
        <v>625</v>
      </c>
      <c r="M809" t="s">
        <v>33</v>
      </c>
      <c r="N809" t="s">
        <v>624</v>
      </c>
      <c r="O809" t="s">
        <v>786</v>
      </c>
    </row>
    <row r="810" spans="1:15" x14ac:dyDescent="0.25">
      <c r="A810" t="s">
        <v>1560</v>
      </c>
      <c r="B810" t="s">
        <v>100</v>
      </c>
      <c r="C810" t="s">
        <v>621</v>
      </c>
      <c r="D810" t="s">
        <v>618</v>
      </c>
      <c r="E810" t="s">
        <v>622</v>
      </c>
      <c r="F810" s="213" t="s">
        <v>56</v>
      </c>
      <c r="G810" t="s">
        <v>66</v>
      </c>
      <c r="H810" t="s">
        <v>84</v>
      </c>
      <c r="I810" t="s">
        <v>623</v>
      </c>
      <c r="J810" t="s">
        <v>56</v>
      </c>
      <c r="K810" t="s">
        <v>15</v>
      </c>
      <c r="L810" t="s">
        <v>632</v>
      </c>
      <c r="M810" t="s">
        <v>33</v>
      </c>
      <c r="N810" t="s">
        <v>1517</v>
      </c>
      <c r="O810" t="s">
        <v>786</v>
      </c>
    </row>
    <row r="811" spans="1:15" x14ac:dyDescent="0.25">
      <c r="A811" t="s">
        <v>1561</v>
      </c>
      <c r="B811" t="s">
        <v>100</v>
      </c>
      <c r="C811" t="s">
        <v>621</v>
      </c>
      <c r="D811" t="s">
        <v>618</v>
      </c>
      <c r="E811" t="s">
        <v>622</v>
      </c>
      <c r="F811" s="213" t="s">
        <v>56</v>
      </c>
      <c r="G811" t="s">
        <v>66</v>
      </c>
      <c r="H811" t="s">
        <v>84</v>
      </c>
      <c r="I811" t="s">
        <v>623</v>
      </c>
      <c r="J811" t="s">
        <v>56</v>
      </c>
      <c r="K811" t="s">
        <v>12</v>
      </c>
      <c r="L811" t="s">
        <v>629</v>
      </c>
      <c r="M811" t="s">
        <v>33</v>
      </c>
      <c r="N811" t="s">
        <v>716</v>
      </c>
      <c r="O811" t="s">
        <v>1181</v>
      </c>
    </row>
    <row r="812" spans="1:15" x14ac:dyDescent="0.25">
      <c r="A812" t="s">
        <v>1562</v>
      </c>
      <c r="B812" t="s">
        <v>100</v>
      </c>
      <c r="C812" t="s">
        <v>621</v>
      </c>
      <c r="D812" t="s">
        <v>618</v>
      </c>
      <c r="E812" t="s">
        <v>622</v>
      </c>
      <c r="F812" s="213" t="s">
        <v>56</v>
      </c>
      <c r="G812" t="s">
        <v>66</v>
      </c>
      <c r="H812" t="s">
        <v>84</v>
      </c>
      <c r="I812" t="s">
        <v>623</v>
      </c>
      <c r="J812" t="s">
        <v>56</v>
      </c>
      <c r="K812" t="s">
        <v>10</v>
      </c>
      <c r="L812" t="s">
        <v>635</v>
      </c>
      <c r="M812" t="s">
        <v>33</v>
      </c>
      <c r="N812" t="s">
        <v>640</v>
      </c>
      <c r="O812" t="s">
        <v>720</v>
      </c>
    </row>
    <row r="813" spans="1:15" x14ac:dyDescent="0.25">
      <c r="A813" t="s">
        <v>1563</v>
      </c>
      <c r="B813" t="s">
        <v>100</v>
      </c>
      <c r="C813" t="s">
        <v>621</v>
      </c>
      <c r="D813" t="s">
        <v>618</v>
      </c>
      <c r="E813" t="s">
        <v>622</v>
      </c>
      <c r="F813" s="213" t="s">
        <v>56</v>
      </c>
      <c r="G813" t="s">
        <v>66</v>
      </c>
      <c r="H813" t="s">
        <v>84</v>
      </c>
      <c r="I813" t="s">
        <v>623</v>
      </c>
      <c r="J813" t="s">
        <v>56</v>
      </c>
      <c r="K813" t="s">
        <v>8</v>
      </c>
      <c r="L813" t="s">
        <v>637</v>
      </c>
      <c r="M813" t="s">
        <v>33</v>
      </c>
      <c r="N813" t="s">
        <v>1526</v>
      </c>
      <c r="O813" t="s">
        <v>1564</v>
      </c>
    </row>
    <row r="814" spans="1:15" x14ac:dyDescent="0.25">
      <c r="A814" t="s">
        <v>1565</v>
      </c>
      <c r="B814" t="s">
        <v>100</v>
      </c>
      <c r="C814" t="s">
        <v>621</v>
      </c>
      <c r="D814" t="s">
        <v>618</v>
      </c>
      <c r="E814" t="s">
        <v>622</v>
      </c>
      <c r="F814" s="213" t="s">
        <v>56</v>
      </c>
      <c r="G814" t="s">
        <v>66</v>
      </c>
      <c r="H814" t="s">
        <v>84</v>
      </c>
      <c r="I814" t="s">
        <v>623</v>
      </c>
      <c r="J814" t="s">
        <v>56</v>
      </c>
      <c r="K814" t="s">
        <v>6</v>
      </c>
      <c r="L814" t="s">
        <v>639</v>
      </c>
      <c r="M814" t="s">
        <v>33</v>
      </c>
      <c r="N814" t="s">
        <v>1566</v>
      </c>
      <c r="O814" t="s">
        <v>1172</v>
      </c>
    </row>
    <row r="815" spans="1:15" x14ac:dyDescent="0.25">
      <c r="A815" t="s">
        <v>1567</v>
      </c>
      <c r="B815" t="s">
        <v>100</v>
      </c>
      <c r="C815" t="s">
        <v>621</v>
      </c>
      <c r="D815" t="s">
        <v>618</v>
      </c>
      <c r="E815" t="s">
        <v>622</v>
      </c>
      <c r="F815" s="213" t="s">
        <v>56</v>
      </c>
      <c r="G815" t="s">
        <v>66</v>
      </c>
      <c r="H815" t="s">
        <v>84</v>
      </c>
      <c r="I815" t="s">
        <v>623</v>
      </c>
      <c r="J815" t="s">
        <v>56</v>
      </c>
      <c r="K815" t="s">
        <v>4</v>
      </c>
      <c r="L815" t="s">
        <v>662</v>
      </c>
      <c r="M815" t="s">
        <v>33</v>
      </c>
      <c r="N815" t="s">
        <v>1394</v>
      </c>
      <c r="O815" t="s">
        <v>786</v>
      </c>
    </row>
    <row r="816" spans="1:15" x14ac:dyDescent="0.25">
      <c r="A816" t="s">
        <v>1568</v>
      </c>
      <c r="B816" t="s">
        <v>100</v>
      </c>
      <c r="C816" t="s">
        <v>621</v>
      </c>
      <c r="D816" t="s">
        <v>618</v>
      </c>
      <c r="E816" t="s">
        <v>622</v>
      </c>
      <c r="F816" s="213" t="s">
        <v>56</v>
      </c>
      <c r="G816" t="s">
        <v>66</v>
      </c>
      <c r="H816" t="s">
        <v>84</v>
      </c>
      <c r="I816" t="s">
        <v>623</v>
      </c>
      <c r="J816" t="s">
        <v>56</v>
      </c>
      <c r="K816" t="s">
        <v>2</v>
      </c>
      <c r="L816" t="s">
        <v>749</v>
      </c>
      <c r="M816" t="s">
        <v>33</v>
      </c>
      <c r="N816" t="s">
        <v>1044</v>
      </c>
      <c r="O816" t="s">
        <v>1564</v>
      </c>
    </row>
    <row r="817" spans="1:15" x14ac:dyDescent="0.25">
      <c r="A817" t="s">
        <v>1569</v>
      </c>
      <c r="B817" t="s">
        <v>100</v>
      </c>
      <c r="C817" t="s">
        <v>621</v>
      </c>
      <c r="D817" t="s">
        <v>618</v>
      </c>
      <c r="E817" t="s">
        <v>622</v>
      </c>
      <c r="F817" s="213" t="s">
        <v>56</v>
      </c>
      <c r="G817" t="s">
        <v>66</v>
      </c>
      <c r="H817" t="s">
        <v>84</v>
      </c>
      <c r="I817" t="s">
        <v>623</v>
      </c>
      <c r="J817" t="s">
        <v>56</v>
      </c>
      <c r="K817" t="s">
        <v>24</v>
      </c>
      <c r="L817" t="s">
        <v>807</v>
      </c>
      <c r="M817" t="s">
        <v>33</v>
      </c>
      <c r="N817" t="s">
        <v>1278</v>
      </c>
      <c r="O817" t="s">
        <v>786</v>
      </c>
    </row>
    <row r="818" spans="1:15" x14ac:dyDescent="0.25">
      <c r="A818" t="s">
        <v>1570</v>
      </c>
      <c r="B818" t="s">
        <v>100</v>
      </c>
      <c r="C818" t="s">
        <v>621</v>
      </c>
      <c r="D818" t="s">
        <v>618</v>
      </c>
      <c r="E818" t="s">
        <v>622</v>
      </c>
      <c r="F818" s="213" t="s">
        <v>56</v>
      </c>
      <c r="G818" t="s">
        <v>66</v>
      </c>
      <c r="H818" t="s">
        <v>84</v>
      </c>
      <c r="I818" t="s">
        <v>623</v>
      </c>
      <c r="J818" t="s">
        <v>56</v>
      </c>
      <c r="K818" t="s">
        <v>25</v>
      </c>
      <c r="L818" t="s">
        <v>827</v>
      </c>
      <c r="M818" t="s">
        <v>33</v>
      </c>
      <c r="N818" t="s">
        <v>1294</v>
      </c>
      <c r="O818" t="s">
        <v>786</v>
      </c>
    </row>
    <row r="819" spans="1:15" x14ac:dyDescent="0.25">
      <c r="A819" t="s">
        <v>1571</v>
      </c>
      <c r="B819" t="s">
        <v>100</v>
      </c>
      <c r="C819" t="s">
        <v>621</v>
      </c>
      <c r="D819" t="s">
        <v>618</v>
      </c>
      <c r="E819" t="s">
        <v>622</v>
      </c>
      <c r="F819" s="213" t="s">
        <v>56</v>
      </c>
      <c r="G819" t="s">
        <v>66</v>
      </c>
      <c r="H819" t="s">
        <v>84</v>
      </c>
      <c r="I819" t="s">
        <v>623</v>
      </c>
      <c r="J819" t="s">
        <v>56</v>
      </c>
      <c r="K819" t="s">
        <v>26</v>
      </c>
      <c r="L819" t="s">
        <v>729</v>
      </c>
      <c r="M819" t="s">
        <v>33</v>
      </c>
      <c r="N819" t="s">
        <v>1344</v>
      </c>
      <c r="O819" t="s">
        <v>786</v>
      </c>
    </row>
    <row r="820" spans="1:15" x14ac:dyDescent="0.25">
      <c r="A820" t="s">
        <v>1572</v>
      </c>
      <c r="B820" t="s">
        <v>100</v>
      </c>
      <c r="C820" t="s">
        <v>621</v>
      </c>
      <c r="D820" t="s">
        <v>618</v>
      </c>
      <c r="E820" t="s">
        <v>622</v>
      </c>
      <c r="F820" s="213" t="s">
        <v>56</v>
      </c>
      <c r="G820" t="s">
        <v>66</v>
      </c>
      <c r="H820" t="s">
        <v>84</v>
      </c>
      <c r="I820" t="s">
        <v>623</v>
      </c>
      <c r="J820" t="s">
        <v>56</v>
      </c>
      <c r="K820" t="s">
        <v>28</v>
      </c>
      <c r="L820" t="s">
        <v>698</v>
      </c>
      <c r="M820" t="s">
        <v>33</v>
      </c>
      <c r="N820" t="s">
        <v>685</v>
      </c>
      <c r="O820" t="s">
        <v>786</v>
      </c>
    </row>
    <row r="821" spans="1:15" x14ac:dyDescent="0.25">
      <c r="A821" t="s">
        <v>1573</v>
      </c>
      <c r="B821" t="s">
        <v>100</v>
      </c>
      <c r="C821" t="s">
        <v>621</v>
      </c>
      <c r="D821" t="s">
        <v>618</v>
      </c>
      <c r="E821" t="s">
        <v>622</v>
      </c>
      <c r="F821" s="213" t="s">
        <v>56</v>
      </c>
      <c r="G821" t="s">
        <v>66</v>
      </c>
      <c r="H821" t="s">
        <v>84</v>
      </c>
      <c r="I821" t="s">
        <v>623</v>
      </c>
      <c r="J821" t="s">
        <v>56</v>
      </c>
      <c r="K821" t="s">
        <v>30</v>
      </c>
      <c r="L821" t="s">
        <v>631</v>
      </c>
      <c r="M821" t="s">
        <v>33</v>
      </c>
      <c r="N821" t="s">
        <v>1574</v>
      </c>
      <c r="O821" t="s">
        <v>786</v>
      </c>
    </row>
    <row r="822" spans="1:15" x14ac:dyDescent="0.25">
      <c r="A822" t="s">
        <v>1575</v>
      </c>
      <c r="B822" t="s">
        <v>100</v>
      </c>
      <c r="C822" t="s">
        <v>621</v>
      </c>
      <c r="D822" t="s">
        <v>618</v>
      </c>
      <c r="E822" t="s">
        <v>622</v>
      </c>
      <c r="F822" s="213" t="s">
        <v>56</v>
      </c>
      <c r="G822" t="s">
        <v>66</v>
      </c>
      <c r="H822" t="s">
        <v>84</v>
      </c>
      <c r="I822" t="s">
        <v>623</v>
      </c>
      <c r="J822" t="s">
        <v>56</v>
      </c>
      <c r="K822" t="s">
        <v>32</v>
      </c>
      <c r="L822" t="s">
        <v>101</v>
      </c>
      <c r="M822" t="s">
        <v>33</v>
      </c>
      <c r="N822" t="s">
        <v>967</v>
      </c>
      <c r="O822" t="s">
        <v>1181</v>
      </c>
    </row>
    <row r="823" spans="1:15" x14ac:dyDescent="0.25">
      <c r="A823" t="s">
        <v>1576</v>
      </c>
      <c r="B823" t="s">
        <v>100</v>
      </c>
      <c r="C823" t="s">
        <v>621</v>
      </c>
      <c r="D823" t="s">
        <v>618</v>
      </c>
      <c r="E823" t="s">
        <v>622</v>
      </c>
      <c r="F823" s="213" t="s">
        <v>56</v>
      </c>
      <c r="G823" t="s">
        <v>66</v>
      </c>
      <c r="H823" t="s">
        <v>84</v>
      </c>
      <c r="I823" t="s">
        <v>623</v>
      </c>
      <c r="J823" t="s">
        <v>56</v>
      </c>
      <c r="K823" t="s">
        <v>25</v>
      </c>
      <c r="L823" t="s">
        <v>46</v>
      </c>
      <c r="M823" t="s">
        <v>33</v>
      </c>
      <c r="N823" t="s">
        <v>638</v>
      </c>
      <c r="O823" t="s">
        <v>1223</v>
      </c>
    </row>
    <row r="824" spans="1:15" x14ac:dyDescent="0.25">
      <c r="A824" t="s">
        <v>1577</v>
      </c>
      <c r="B824" t="s">
        <v>100</v>
      </c>
      <c r="C824" t="s">
        <v>621</v>
      </c>
      <c r="D824" t="s">
        <v>618</v>
      </c>
      <c r="E824" t="s">
        <v>622</v>
      </c>
      <c r="F824" s="213" t="s">
        <v>56</v>
      </c>
      <c r="G824" t="s">
        <v>66</v>
      </c>
      <c r="H824" t="s">
        <v>84</v>
      </c>
      <c r="I824" t="s">
        <v>623</v>
      </c>
      <c r="J824" t="s">
        <v>56</v>
      </c>
      <c r="K824" t="s">
        <v>28</v>
      </c>
      <c r="L824" t="s">
        <v>39</v>
      </c>
      <c r="M824" t="s">
        <v>33</v>
      </c>
      <c r="N824" t="s">
        <v>680</v>
      </c>
      <c r="O824" t="s">
        <v>1172</v>
      </c>
    </row>
    <row r="825" spans="1:15" x14ac:dyDescent="0.25">
      <c r="A825" t="s">
        <v>1578</v>
      </c>
      <c r="B825" t="s">
        <v>100</v>
      </c>
      <c r="C825" t="s">
        <v>621</v>
      </c>
      <c r="D825" t="s">
        <v>618</v>
      </c>
      <c r="E825" t="s">
        <v>622</v>
      </c>
      <c r="F825" s="213" t="s">
        <v>56</v>
      </c>
      <c r="G825" t="s">
        <v>66</v>
      </c>
      <c r="H825" t="s">
        <v>84</v>
      </c>
      <c r="I825" t="s">
        <v>623</v>
      </c>
      <c r="J825" t="s">
        <v>56</v>
      </c>
      <c r="K825" t="s">
        <v>30</v>
      </c>
      <c r="L825" t="s">
        <v>35</v>
      </c>
      <c r="M825" t="s">
        <v>33</v>
      </c>
      <c r="N825" t="s">
        <v>40</v>
      </c>
      <c r="O825" t="s">
        <v>1294</v>
      </c>
    </row>
    <row r="826" spans="1:15" x14ac:dyDescent="0.25">
      <c r="A826" t="s">
        <v>1579</v>
      </c>
      <c r="B826" t="s">
        <v>100</v>
      </c>
      <c r="C826" t="s">
        <v>621</v>
      </c>
      <c r="D826" t="s">
        <v>618</v>
      </c>
      <c r="E826" t="s">
        <v>622</v>
      </c>
      <c r="F826" s="213" t="s">
        <v>56</v>
      </c>
      <c r="G826" t="s">
        <v>66</v>
      </c>
      <c r="H826" t="s">
        <v>84</v>
      </c>
      <c r="I826" t="s">
        <v>623</v>
      </c>
      <c r="J826" t="s">
        <v>56</v>
      </c>
      <c r="K826" t="s">
        <v>30</v>
      </c>
      <c r="L826" t="s">
        <v>624</v>
      </c>
      <c r="M826" t="s">
        <v>32</v>
      </c>
      <c r="N826" t="s">
        <v>72</v>
      </c>
      <c r="O826" t="s">
        <v>633</v>
      </c>
    </row>
    <row r="827" spans="1:15" x14ac:dyDescent="0.25">
      <c r="A827" t="s">
        <v>1580</v>
      </c>
      <c r="B827" t="s">
        <v>100</v>
      </c>
      <c r="C827" t="s">
        <v>621</v>
      </c>
      <c r="D827" t="s">
        <v>618</v>
      </c>
      <c r="E827" t="s">
        <v>622</v>
      </c>
      <c r="F827" s="213" t="s">
        <v>56</v>
      </c>
      <c r="G827" t="s">
        <v>66</v>
      </c>
      <c r="H827" t="s">
        <v>84</v>
      </c>
      <c r="I827" t="s">
        <v>623</v>
      </c>
      <c r="J827" t="s">
        <v>56</v>
      </c>
      <c r="K827" t="s">
        <v>31</v>
      </c>
      <c r="L827" t="s">
        <v>654</v>
      </c>
      <c r="M827" t="s">
        <v>32</v>
      </c>
      <c r="N827" t="s">
        <v>31</v>
      </c>
      <c r="O827" t="s">
        <v>1581</v>
      </c>
    </row>
    <row r="828" spans="1:15" x14ac:dyDescent="0.25">
      <c r="A828" t="s">
        <v>1582</v>
      </c>
      <c r="B828" t="s">
        <v>100</v>
      </c>
      <c r="C828" t="s">
        <v>621</v>
      </c>
      <c r="D828" t="s">
        <v>618</v>
      </c>
      <c r="E828" t="s">
        <v>622</v>
      </c>
      <c r="F828" s="213" t="s">
        <v>56</v>
      </c>
      <c r="G828" t="s">
        <v>66</v>
      </c>
      <c r="H828" t="s">
        <v>84</v>
      </c>
      <c r="I828" t="s">
        <v>623</v>
      </c>
      <c r="J828" t="s">
        <v>56</v>
      </c>
      <c r="K828" t="s">
        <v>33</v>
      </c>
      <c r="L828" t="s">
        <v>418</v>
      </c>
      <c r="M828" t="s">
        <v>32</v>
      </c>
      <c r="N828" t="s">
        <v>1077</v>
      </c>
      <c r="O828" t="s">
        <v>1172</v>
      </c>
    </row>
    <row r="829" spans="1:15" x14ac:dyDescent="0.25">
      <c r="A829" t="s">
        <v>1583</v>
      </c>
      <c r="B829" t="s">
        <v>100</v>
      </c>
      <c r="C829" t="s">
        <v>621</v>
      </c>
      <c r="D829" t="s">
        <v>618</v>
      </c>
      <c r="E829" t="s">
        <v>622</v>
      </c>
      <c r="F829" s="213" t="s">
        <v>56</v>
      </c>
      <c r="G829" t="s">
        <v>66</v>
      </c>
      <c r="H829" t="s">
        <v>84</v>
      </c>
      <c r="I829" t="s">
        <v>623</v>
      </c>
      <c r="J829" t="s">
        <v>56</v>
      </c>
      <c r="K829" t="s">
        <v>23</v>
      </c>
      <c r="L829" t="s">
        <v>630</v>
      </c>
      <c r="M829" t="s">
        <v>32</v>
      </c>
      <c r="N829" t="s">
        <v>1584</v>
      </c>
      <c r="O829" t="s">
        <v>814</v>
      </c>
    </row>
    <row r="830" spans="1:15" x14ac:dyDescent="0.25">
      <c r="A830" t="s">
        <v>1585</v>
      </c>
      <c r="B830" t="s">
        <v>100</v>
      </c>
      <c r="C830" t="s">
        <v>621</v>
      </c>
      <c r="D830" t="s">
        <v>618</v>
      </c>
      <c r="E830" t="s">
        <v>622</v>
      </c>
      <c r="F830" s="213" t="s">
        <v>56</v>
      </c>
      <c r="G830" t="s">
        <v>66</v>
      </c>
      <c r="H830" t="s">
        <v>84</v>
      </c>
      <c r="I830" t="s">
        <v>623</v>
      </c>
      <c r="J830" t="s">
        <v>56</v>
      </c>
      <c r="K830" t="s">
        <v>20</v>
      </c>
      <c r="L830" t="s">
        <v>625</v>
      </c>
      <c r="M830" t="s">
        <v>32</v>
      </c>
      <c r="N830" t="s">
        <v>1451</v>
      </c>
      <c r="O830" t="s">
        <v>642</v>
      </c>
    </row>
    <row r="831" spans="1:15" x14ac:dyDescent="0.25">
      <c r="A831" t="s">
        <v>1586</v>
      </c>
      <c r="B831" t="s">
        <v>100</v>
      </c>
      <c r="C831" t="s">
        <v>621</v>
      </c>
      <c r="D831" t="s">
        <v>618</v>
      </c>
      <c r="E831" t="s">
        <v>622</v>
      </c>
      <c r="F831" s="213" t="s">
        <v>56</v>
      </c>
      <c r="G831" t="s">
        <v>66</v>
      </c>
      <c r="H831" t="s">
        <v>84</v>
      </c>
      <c r="I831" t="s">
        <v>623</v>
      </c>
      <c r="J831" t="s">
        <v>56</v>
      </c>
      <c r="K831" t="s">
        <v>16</v>
      </c>
      <c r="L831" t="s">
        <v>632</v>
      </c>
      <c r="M831" t="s">
        <v>32</v>
      </c>
      <c r="N831" t="s">
        <v>36</v>
      </c>
      <c r="O831" t="s">
        <v>1494</v>
      </c>
    </row>
    <row r="832" spans="1:15" x14ac:dyDescent="0.25">
      <c r="A832" t="s">
        <v>1587</v>
      </c>
      <c r="B832" t="s">
        <v>100</v>
      </c>
      <c r="C832" t="s">
        <v>621</v>
      </c>
      <c r="D832" t="s">
        <v>618</v>
      </c>
      <c r="E832" t="s">
        <v>622</v>
      </c>
      <c r="F832" s="213" t="s">
        <v>56</v>
      </c>
      <c r="G832" t="s">
        <v>66</v>
      </c>
      <c r="H832" t="s">
        <v>84</v>
      </c>
      <c r="I832" t="s">
        <v>623</v>
      </c>
      <c r="J832" t="s">
        <v>56</v>
      </c>
      <c r="K832" t="s">
        <v>13</v>
      </c>
      <c r="L832" t="s">
        <v>629</v>
      </c>
      <c r="M832" t="s">
        <v>32</v>
      </c>
      <c r="N832" t="s">
        <v>1497</v>
      </c>
      <c r="O832" t="s">
        <v>665</v>
      </c>
    </row>
    <row r="833" spans="1:15" x14ac:dyDescent="0.25">
      <c r="A833" t="s">
        <v>1588</v>
      </c>
      <c r="B833" t="s">
        <v>100</v>
      </c>
      <c r="C833" t="s">
        <v>621</v>
      </c>
      <c r="D833" t="s">
        <v>618</v>
      </c>
      <c r="E833" t="s">
        <v>622</v>
      </c>
      <c r="F833" s="213" t="s">
        <v>56</v>
      </c>
      <c r="G833" t="s">
        <v>66</v>
      </c>
      <c r="H833" t="s">
        <v>84</v>
      </c>
      <c r="I833" t="s">
        <v>623</v>
      </c>
      <c r="J833" t="s">
        <v>56</v>
      </c>
      <c r="K833" t="s">
        <v>10</v>
      </c>
      <c r="L833" t="s">
        <v>695</v>
      </c>
      <c r="M833" t="s">
        <v>32</v>
      </c>
      <c r="N833" t="s">
        <v>875</v>
      </c>
      <c r="O833" t="s">
        <v>720</v>
      </c>
    </row>
    <row r="834" spans="1:15" x14ac:dyDescent="0.25">
      <c r="A834" t="s">
        <v>1589</v>
      </c>
      <c r="B834" t="s">
        <v>100</v>
      </c>
      <c r="C834" t="s">
        <v>621</v>
      </c>
      <c r="D834" t="s">
        <v>618</v>
      </c>
      <c r="E834" t="s">
        <v>622</v>
      </c>
      <c r="F834" s="213" t="s">
        <v>56</v>
      </c>
      <c r="G834" t="s">
        <v>66</v>
      </c>
      <c r="H834" t="s">
        <v>84</v>
      </c>
      <c r="I834" t="s">
        <v>623</v>
      </c>
      <c r="J834" t="s">
        <v>56</v>
      </c>
      <c r="K834" t="s">
        <v>8</v>
      </c>
      <c r="L834" t="s">
        <v>656</v>
      </c>
      <c r="M834" t="s">
        <v>32</v>
      </c>
      <c r="N834" t="s">
        <v>807</v>
      </c>
      <c r="O834" t="s">
        <v>1390</v>
      </c>
    </row>
    <row r="835" spans="1:15" x14ac:dyDescent="0.25">
      <c r="A835" t="s">
        <v>1590</v>
      </c>
      <c r="B835" t="s">
        <v>100</v>
      </c>
      <c r="C835" t="s">
        <v>621</v>
      </c>
      <c r="D835" t="s">
        <v>618</v>
      </c>
      <c r="E835" t="s">
        <v>622</v>
      </c>
      <c r="F835" s="213" t="s">
        <v>56</v>
      </c>
      <c r="G835" t="s">
        <v>66</v>
      </c>
      <c r="H835" t="s">
        <v>84</v>
      </c>
      <c r="I835" t="s">
        <v>623</v>
      </c>
      <c r="J835" t="s">
        <v>56</v>
      </c>
      <c r="K835" t="s">
        <v>6</v>
      </c>
      <c r="L835" t="s">
        <v>809</v>
      </c>
      <c r="M835" t="s">
        <v>32</v>
      </c>
      <c r="N835" t="s">
        <v>770</v>
      </c>
      <c r="O835" t="s">
        <v>1390</v>
      </c>
    </row>
    <row r="836" spans="1:15" x14ac:dyDescent="0.25">
      <c r="A836" t="s">
        <v>1591</v>
      </c>
      <c r="B836" t="s">
        <v>100</v>
      </c>
      <c r="C836" t="s">
        <v>621</v>
      </c>
      <c r="D836" t="s">
        <v>618</v>
      </c>
      <c r="E836" t="s">
        <v>622</v>
      </c>
      <c r="F836" s="213" t="s">
        <v>56</v>
      </c>
      <c r="G836" t="s">
        <v>66</v>
      </c>
      <c r="H836" t="s">
        <v>84</v>
      </c>
      <c r="I836" t="s">
        <v>623</v>
      </c>
      <c r="J836" t="s">
        <v>56</v>
      </c>
      <c r="K836" t="s">
        <v>4</v>
      </c>
      <c r="L836" t="s">
        <v>644</v>
      </c>
      <c r="M836" t="s">
        <v>32</v>
      </c>
      <c r="N836" t="s">
        <v>818</v>
      </c>
      <c r="O836" t="s">
        <v>626</v>
      </c>
    </row>
    <row r="837" spans="1:15" x14ac:dyDescent="0.25">
      <c r="A837" t="s">
        <v>1592</v>
      </c>
      <c r="B837" t="s">
        <v>100</v>
      </c>
      <c r="C837" t="s">
        <v>621</v>
      </c>
      <c r="D837" t="s">
        <v>618</v>
      </c>
      <c r="E837" t="s">
        <v>622</v>
      </c>
      <c r="F837" s="213" t="s">
        <v>56</v>
      </c>
      <c r="G837" t="s">
        <v>66</v>
      </c>
      <c r="H837" t="s">
        <v>84</v>
      </c>
      <c r="I837" t="s">
        <v>623</v>
      </c>
      <c r="J837" t="s">
        <v>56</v>
      </c>
      <c r="K837" t="s">
        <v>2</v>
      </c>
      <c r="L837" t="s">
        <v>735</v>
      </c>
      <c r="M837" t="s">
        <v>32</v>
      </c>
      <c r="N837" t="s">
        <v>43</v>
      </c>
      <c r="O837" t="s">
        <v>1307</v>
      </c>
    </row>
    <row r="838" spans="1:15" x14ac:dyDescent="0.25">
      <c r="A838" t="s">
        <v>1593</v>
      </c>
      <c r="B838" t="s">
        <v>100</v>
      </c>
      <c r="C838" t="s">
        <v>621</v>
      </c>
      <c r="D838" t="s">
        <v>618</v>
      </c>
      <c r="E838" t="s">
        <v>622</v>
      </c>
      <c r="F838" s="213" t="s">
        <v>56</v>
      </c>
      <c r="G838" t="s">
        <v>66</v>
      </c>
      <c r="H838" t="s">
        <v>84</v>
      </c>
      <c r="I838" t="s">
        <v>623</v>
      </c>
      <c r="J838" t="s">
        <v>56</v>
      </c>
      <c r="K838" t="s">
        <v>1</v>
      </c>
      <c r="L838" t="s">
        <v>741</v>
      </c>
      <c r="M838" t="s">
        <v>32</v>
      </c>
      <c r="N838" t="s">
        <v>827</v>
      </c>
      <c r="O838" t="s">
        <v>720</v>
      </c>
    </row>
    <row r="839" spans="1:15" x14ac:dyDescent="0.25">
      <c r="A839" t="s">
        <v>1594</v>
      </c>
      <c r="B839" t="s">
        <v>100</v>
      </c>
      <c r="C839" t="s">
        <v>621</v>
      </c>
      <c r="D839" t="s">
        <v>618</v>
      </c>
      <c r="E839" t="s">
        <v>622</v>
      </c>
      <c r="F839" s="213" t="s">
        <v>56</v>
      </c>
      <c r="G839" t="s">
        <v>66</v>
      </c>
      <c r="H839" t="s">
        <v>84</v>
      </c>
      <c r="I839" t="s">
        <v>623</v>
      </c>
      <c r="J839" t="s">
        <v>56</v>
      </c>
      <c r="K839" t="s">
        <v>0</v>
      </c>
      <c r="L839" t="s">
        <v>825</v>
      </c>
      <c r="M839" t="s">
        <v>32</v>
      </c>
      <c r="N839" t="s">
        <v>53</v>
      </c>
      <c r="O839" t="s">
        <v>1392</v>
      </c>
    </row>
    <row r="840" spans="1:15" x14ac:dyDescent="0.25">
      <c r="A840" t="s">
        <v>1595</v>
      </c>
      <c r="B840" t="s">
        <v>100</v>
      </c>
      <c r="C840" t="s">
        <v>621</v>
      </c>
      <c r="D840" t="s">
        <v>618</v>
      </c>
      <c r="E840" t="s">
        <v>622</v>
      </c>
      <c r="F840" s="213" t="s">
        <v>56</v>
      </c>
      <c r="G840" t="s">
        <v>66</v>
      </c>
      <c r="H840" t="s">
        <v>84</v>
      </c>
      <c r="I840" t="s">
        <v>623</v>
      </c>
      <c r="J840" t="s">
        <v>56</v>
      </c>
      <c r="K840" t="s">
        <v>28</v>
      </c>
      <c r="L840" t="s">
        <v>900</v>
      </c>
      <c r="M840" t="s">
        <v>32</v>
      </c>
      <c r="N840" t="s">
        <v>95</v>
      </c>
      <c r="O840" t="s">
        <v>627</v>
      </c>
    </row>
    <row r="841" spans="1:15" x14ac:dyDescent="0.25">
      <c r="A841" t="s">
        <v>1596</v>
      </c>
      <c r="B841" t="s">
        <v>100</v>
      </c>
      <c r="C841" t="s">
        <v>621</v>
      </c>
      <c r="D841" t="s">
        <v>618</v>
      </c>
      <c r="E841" t="s">
        <v>622</v>
      </c>
      <c r="F841" s="213" t="s">
        <v>56</v>
      </c>
      <c r="G841" t="s">
        <v>66</v>
      </c>
      <c r="H841" t="s">
        <v>84</v>
      </c>
      <c r="I841" t="s">
        <v>623</v>
      </c>
      <c r="J841" t="s">
        <v>56</v>
      </c>
      <c r="K841" t="s">
        <v>27</v>
      </c>
      <c r="L841" t="s">
        <v>626</v>
      </c>
      <c r="M841" t="s">
        <v>34</v>
      </c>
      <c r="N841" t="s">
        <v>1597</v>
      </c>
      <c r="O841" t="s">
        <v>1251</v>
      </c>
    </row>
    <row r="842" spans="1:15" x14ac:dyDescent="0.25">
      <c r="A842" t="s">
        <v>1598</v>
      </c>
      <c r="B842" t="s">
        <v>100</v>
      </c>
      <c r="C842" t="s">
        <v>621</v>
      </c>
      <c r="D842" t="s">
        <v>618</v>
      </c>
      <c r="E842" t="s">
        <v>622</v>
      </c>
      <c r="F842" s="213" t="s">
        <v>56</v>
      </c>
      <c r="G842" t="s">
        <v>66</v>
      </c>
      <c r="H842" t="s">
        <v>84</v>
      </c>
      <c r="I842" t="s">
        <v>623</v>
      </c>
      <c r="J842" t="s">
        <v>56</v>
      </c>
      <c r="K842" t="s">
        <v>25</v>
      </c>
      <c r="L842" t="s">
        <v>628</v>
      </c>
      <c r="M842" t="s">
        <v>34</v>
      </c>
      <c r="N842" t="s">
        <v>693</v>
      </c>
      <c r="O842" t="s">
        <v>1564</v>
      </c>
    </row>
    <row r="843" spans="1:15" x14ac:dyDescent="0.25">
      <c r="A843" t="s">
        <v>1599</v>
      </c>
      <c r="B843" t="s">
        <v>100</v>
      </c>
      <c r="C843" t="s">
        <v>621</v>
      </c>
      <c r="D843" t="s">
        <v>618</v>
      </c>
      <c r="E843" t="s">
        <v>622</v>
      </c>
      <c r="F843" s="213" t="s">
        <v>56</v>
      </c>
      <c r="G843" t="s">
        <v>66</v>
      </c>
      <c r="H843" t="s">
        <v>84</v>
      </c>
      <c r="I843" t="s">
        <v>623</v>
      </c>
      <c r="J843" t="s">
        <v>56</v>
      </c>
      <c r="K843" t="s">
        <v>22</v>
      </c>
      <c r="L843" t="s">
        <v>630</v>
      </c>
      <c r="M843" t="s">
        <v>34</v>
      </c>
      <c r="N843" t="s">
        <v>624</v>
      </c>
      <c r="O843" t="s">
        <v>1251</v>
      </c>
    </row>
    <row r="844" spans="1:15" x14ac:dyDescent="0.25">
      <c r="A844" t="s">
        <v>1600</v>
      </c>
      <c r="B844" t="s">
        <v>100</v>
      </c>
      <c r="C844" t="s">
        <v>621</v>
      </c>
      <c r="D844" t="s">
        <v>618</v>
      </c>
      <c r="E844" t="s">
        <v>622</v>
      </c>
      <c r="F844" s="213" t="s">
        <v>56</v>
      </c>
      <c r="G844" t="s">
        <v>66</v>
      </c>
      <c r="H844" t="s">
        <v>84</v>
      </c>
      <c r="I844" t="s">
        <v>623</v>
      </c>
      <c r="J844" t="s">
        <v>56</v>
      </c>
      <c r="K844" t="s">
        <v>19</v>
      </c>
      <c r="L844" t="s">
        <v>625</v>
      </c>
      <c r="M844" t="s">
        <v>34</v>
      </c>
      <c r="N844" t="s">
        <v>625</v>
      </c>
      <c r="O844" t="s">
        <v>1251</v>
      </c>
    </row>
    <row r="845" spans="1:15" x14ac:dyDescent="0.25">
      <c r="A845" t="s">
        <v>1601</v>
      </c>
      <c r="B845" t="s">
        <v>100</v>
      </c>
      <c r="C845" t="s">
        <v>621</v>
      </c>
      <c r="D845" t="s">
        <v>618</v>
      </c>
      <c r="E845" t="s">
        <v>622</v>
      </c>
      <c r="F845" s="213" t="s">
        <v>56</v>
      </c>
      <c r="G845" t="s">
        <v>66</v>
      </c>
      <c r="H845" t="s">
        <v>84</v>
      </c>
      <c r="I845" t="s">
        <v>623</v>
      </c>
      <c r="J845" t="s">
        <v>56</v>
      </c>
      <c r="K845" t="s">
        <v>15</v>
      </c>
      <c r="L845" t="s">
        <v>632</v>
      </c>
      <c r="M845" t="s">
        <v>34</v>
      </c>
      <c r="N845" t="s">
        <v>628</v>
      </c>
      <c r="O845" t="s">
        <v>1251</v>
      </c>
    </row>
    <row r="846" spans="1:15" x14ac:dyDescent="0.25">
      <c r="A846" t="s">
        <v>1602</v>
      </c>
      <c r="B846" t="s">
        <v>100</v>
      </c>
      <c r="C846" t="s">
        <v>621</v>
      </c>
      <c r="D846" t="s">
        <v>618</v>
      </c>
      <c r="E846" t="s">
        <v>622</v>
      </c>
      <c r="F846" s="213" t="s">
        <v>56</v>
      </c>
      <c r="G846" t="s">
        <v>66</v>
      </c>
      <c r="H846" t="s">
        <v>84</v>
      </c>
      <c r="I846" t="s">
        <v>623</v>
      </c>
      <c r="J846" t="s">
        <v>56</v>
      </c>
      <c r="K846" t="s">
        <v>12</v>
      </c>
      <c r="L846" t="s">
        <v>629</v>
      </c>
      <c r="M846" t="s">
        <v>34</v>
      </c>
      <c r="N846" t="s">
        <v>1566</v>
      </c>
      <c r="O846" t="s">
        <v>818</v>
      </c>
    </row>
    <row r="847" spans="1:15" x14ac:dyDescent="0.25">
      <c r="A847" t="s">
        <v>1603</v>
      </c>
      <c r="B847" t="s">
        <v>100</v>
      </c>
      <c r="C847" t="s">
        <v>621</v>
      </c>
      <c r="D847" t="s">
        <v>618</v>
      </c>
      <c r="E847" t="s">
        <v>622</v>
      </c>
      <c r="F847" s="213" t="s">
        <v>56</v>
      </c>
      <c r="G847" t="s">
        <v>66</v>
      </c>
      <c r="H847" t="s">
        <v>84</v>
      </c>
      <c r="I847" t="s">
        <v>623</v>
      </c>
      <c r="J847" t="s">
        <v>56</v>
      </c>
      <c r="K847" t="s">
        <v>10</v>
      </c>
      <c r="L847" t="s">
        <v>635</v>
      </c>
      <c r="M847" t="s">
        <v>34</v>
      </c>
      <c r="N847" t="s">
        <v>1604</v>
      </c>
      <c r="O847" t="s">
        <v>1223</v>
      </c>
    </row>
    <row r="848" spans="1:15" x14ac:dyDescent="0.25">
      <c r="A848" t="s">
        <v>1605</v>
      </c>
      <c r="B848" t="s">
        <v>100</v>
      </c>
      <c r="C848" t="s">
        <v>621</v>
      </c>
      <c r="D848" t="s">
        <v>618</v>
      </c>
      <c r="E848" t="s">
        <v>622</v>
      </c>
      <c r="F848" s="213" t="s">
        <v>56</v>
      </c>
      <c r="G848" t="s">
        <v>66</v>
      </c>
      <c r="H848" t="s">
        <v>84</v>
      </c>
      <c r="I848" t="s">
        <v>623</v>
      </c>
      <c r="J848" t="s">
        <v>56</v>
      </c>
      <c r="K848" t="s">
        <v>8</v>
      </c>
      <c r="L848" t="s">
        <v>637</v>
      </c>
      <c r="M848" t="s">
        <v>34</v>
      </c>
      <c r="N848" t="s">
        <v>667</v>
      </c>
      <c r="O848" t="s">
        <v>818</v>
      </c>
    </row>
    <row r="849" spans="1:15" x14ac:dyDescent="0.25">
      <c r="A849" t="s">
        <v>1606</v>
      </c>
      <c r="B849" t="s">
        <v>100</v>
      </c>
      <c r="C849" t="s">
        <v>621</v>
      </c>
      <c r="D849" t="s">
        <v>618</v>
      </c>
      <c r="E849" t="s">
        <v>622</v>
      </c>
      <c r="F849" s="213" t="s">
        <v>56</v>
      </c>
      <c r="G849" t="s">
        <v>66</v>
      </c>
      <c r="H849" t="s">
        <v>84</v>
      </c>
      <c r="I849" t="s">
        <v>623</v>
      </c>
      <c r="J849" t="s">
        <v>56</v>
      </c>
      <c r="K849" t="s">
        <v>6</v>
      </c>
      <c r="L849" t="s">
        <v>639</v>
      </c>
      <c r="M849" t="s">
        <v>34</v>
      </c>
      <c r="N849" t="s">
        <v>765</v>
      </c>
      <c r="O849" t="s">
        <v>1181</v>
      </c>
    </row>
    <row r="850" spans="1:15" x14ac:dyDescent="0.25">
      <c r="A850" t="s">
        <v>1607</v>
      </c>
      <c r="B850" t="s">
        <v>100</v>
      </c>
      <c r="C850" t="s">
        <v>621</v>
      </c>
      <c r="D850" t="s">
        <v>618</v>
      </c>
      <c r="E850" t="s">
        <v>622</v>
      </c>
      <c r="F850" s="213" t="s">
        <v>56</v>
      </c>
      <c r="G850" t="s">
        <v>66</v>
      </c>
      <c r="H850" t="s">
        <v>84</v>
      </c>
      <c r="I850" t="s">
        <v>623</v>
      </c>
      <c r="J850" t="s">
        <v>56</v>
      </c>
      <c r="K850" t="s">
        <v>4</v>
      </c>
      <c r="L850" t="s">
        <v>662</v>
      </c>
      <c r="M850" t="s">
        <v>34</v>
      </c>
      <c r="N850" t="s">
        <v>1158</v>
      </c>
      <c r="O850" t="s">
        <v>1251</v>
      </c>
    </row>
    <row r="851" spans="1:15" x14ac:dyDescent="0.25">
      <c r="A851" t="s">
        <v>1608</v>
      </c>
      <c r="B851" t="s">
        <v>100</v>
      </c>
      <c r="C851" t="s">
        <v>621</v>
      </c>
      <c r="D851" t="s">
        <v>618</v>
      </c>
      <c r="E851" t="s">
        <v>622</v>
      </c>
      <c r="F851" s="213" t="s">
        <v>56</v>
      </c>
      <c r="G851" t="s">
        <v>66</v>
      </c>
      <c r="H851" t="s">
        <v>84</v>
      </c>
      <c r="I851" t="s">
        <v>623</v>
      </c>
      <c r="J851" t="s">
        <v>56</v>
      </c>
      <c r="K851" t="s">
        <v>2</v>
      </c>
      <c r="L851" t="s">
        <v>749</v>
      </c>
      <c r="M851" t="s">
        <v>34</v>
      </c>
      <c r="N851" t="s">
        <v>1032</v>
      </c>
      <c r="O851" t="s">
        <v>1181</v>
      </c>
    </row>
    <row r="852" spans="1:15" x14ac:dyDescent="0.25">
      <c r="A852" t="s">
        <v>1609</v>
      </c>
      <c r="B852" t="s">
        <v>100</v>
      </c>
      <c r="C852" t="s">
        <v>621</v>
      </c>
      <c r="D852" t="s">
        <v>618</v>
      </c>
      <c r="E852" t="s">
        <v>622</v>
      </c>
      <c r="F852" s="213" t="s">
        <v>56</v>
      </c>
      <c r="G852" t="s">
        <v>66</v>
      </c>
      <c r="H852" t="s">
        <v>84</v>
      </c>
      <c r="I852" t="s">
        <v>623</v>
      </c>
      <c r="J852" t="s">
        <v>56</v>
      </c>
      <c r="K852" t="s">
        <v>24</v>
      </c>
      <c r="L852" t="s">
        <v>807</v>
      </c>
      <c r="M852" t="s">
        <v>34</v>
      </c>
      <c r="N852" t="s">
        <v>1294</v>
      </c>
      <c r="O852" t="s">
        <v>1251</v>
      </c>
    </row>
    <row r="853" spans="1:15" x14ac:dyDescent="0.25">
      <c r="A853" t="s">
        <v>1610</v>
      </c>
      <c r="B853" t="s">
        <v>100</v>
      </c>
      <c r="C853" t="s">
        <v>621</v>
      </c>
      <c r="D853" t="s">
        <v>618</v>
      </c>
      <c r="E853" t="s">
        <v>622</v>
      </c>
      <c r="F853" s="213" t="s">
        <v>56</v>
      </c>
      <c r="G853" t="s">
        <v>66</v>
      </c>
      <c r="H853" t="s">
        <v>84</v>
      </c>
      <c r="I853" t="s">
        <v>623</v>
      </c>
      <c r="J853" t="s">
        <v>56</v>
      </c>
      <c r="K853" t="s">
        <v>25</v>
      </c>
      <c r="L853" t="s">
        <v>827</v>
      </c>
      <c r="M853" t="s">
        <v>34</v>
      </c>
      <c r="N853" t="s">
        <v>1352</v>
      </c>
      <c r="O853" t="s">
        <v>1251</v>
      </c>
    </row>
    <row r="854" spans="1:15" x14ac:dyDescent="0.25">
      <c r="A854" t="s">
        <v>1611</v>
      </c>
      <c r="B854" t="s">
        <v>100</v>
      </c>
      <c r="C854" t="s">
        <v>621</v>
      </c>
      <c r="D854" t="s">
        <v>618</v>
      </c>
      <c r="E854" t="s">
        <v>622</v>
      </c>
      <c r="F854" s="213" t="s">
        <v>56</v>
      </c>
      <c r="G854" t="s">
        <v>66</v>
      </c>
      <c r="H854" t="s">
        <v>84</v>
      </c>
      <c r="I854" t="s">
        <v>623</v>
      </c>
      <c r="J854" t="s">
        <v>56</v>
      </c>
      <c r="K854" t="s">
        <v>26</v>
      </c>
      <c r="L854" t="s">
        <v>729</v>
      </c>
      <c r="M854" t="s">
        <v>34</v>
      </c>
      <c r="N854" t="s">
        <v>635</v>
      </c>
      <c r="O854" t="s">
        <v>1251</v>
      </c>
    </row>
    <row r="855" spans="1:15" x14ac:dyDescent="0.25">
      <c r="A855" t="s">
        <v>1612</v>
      </c>
      <c r="B855" t="s">
        <v>100</v>
      </c>
      <c r="C855" t="s">
        <v>621</v>
      </c>
      <c r="D855" t="s">
        <v>618</v>
      </c>
      <c r="E855" t="s">
        <v>622</v>
      </c>
      <c r="F855" s="213" t="s">
        <v>56</v>
      </c>
      <c r="G855" t="s">
        <v>66</v>
      </c>
      <c r="H855" t="s">
        <v>84</v>
      </c>
      <c r="I855" t="s">
        <v>623</v>
      </c>
      <c r="J855" t="s">
        <v>56</v>
      </c>
      <c r="K855" t="s">
        <v>28</v>
      </c>
      <c r="L855" t="s">
        <v>698</v>
      </c>
      <c r="M855" t="s">
        <v>34</v>
      </c>
      <c r="N855" t="s">
        <v>418</v>
      </c>
      <c r="O855" t="s">
        <v>1251</v>
      </c>
    </row>
    <row r="856" spans="1:15" x14ac:dyDescent="0.25">
      <c r="A856" t="s">
        <v>1613</v>
      </c>
      <c r="B856" t="s">
        <v>100</v>
      </c>
      <c r="C856" t="s">
        <v>621</v>
      </c>
      <c r="D856" t="s">
        <v>618</v>
      </c>
      <c r="E856" t="s">
        <v>622</v>
      </c>
      <c r="F856" s="213" t="s">
        <v>56</v>
      </c>
      <c r="G856" t="s">
        <v>66</v>
      </c>
      <c r="H856" t="s">
        <v>84</v>
      </c>
      <c r="I856" t="s">
        <v>623</v>
      </c>
      <c r="J856" t="s">
        <v>56</v>
      </c>
      <c r="K856" t="s">
        <v>30</v>
      </c>
      <c r="L856" t="s">
        <v>631</v>
      </c>
      <c r="M856" t="s">
        <v>34</v>
      </c>
      <c r="N856" t="s">
        <v>1082</v>
      </c>
      <c r="O856" t="s">
        <v>1223</v>
      </c>
    </row>
    <row r="857" spans="1:15" x14ac:dyDescent="0.25">
      <c r="A857" t="s">
        <v>1614</v>
      </c>
      <c r="B857" t="s">
        <v>100</v>
      </c>
      <c r="C857" t="s">
        <v>621</v>
      </c>
      <c r="D857" t="s">
        <v>618</v>
      </c>
      <c r="E857" t="s">
        <v>622</v>
      </c>
      <c r="F857" s="213" t="s">
        <v>56</v>
      </c>
      <c r="G857" t="s">
        <v>66</v>
      </c>
      <c r="H857" t="s">
        <v>84</v>
      </c>
      <c r="I857" t="s">
        <v>623</v>
      </c>
      <c r="J857" t="s">
        <v>56</v>
      </c>
      <c r="K857" t="s">
        <v>32</v>
      </c>
      <c r="L857" t="s">
        <v>101</v>
      </c>
      <c r="M857" t="s">
        <v>34</v>
      </c>
      <c r="N857" t="s">
        <v>662</v>
      </c>
      <c r="O857" t="s">
        <v>1251</v>
      </c>
    </row>
    <row r="858" spans="1:15" x14ac:dyDescent="0.25">
      <c r="A858" t="s">
        <v>1615</v>
      </c>
      <c r="B858" t="s">
        <v>100</v>
      </c>
      <c r="C858" t="s">
        <v>621</v>
      </c>
      <c r="D858" t="s">
        <v>618</v>
      </c>
      <c r="E858" t="s">
        <v>622</v>
      </c>
      <c r="F858" s="213" t="s">
        <v>56</v>
      </c>
      <c r="G858" t="s">
        <v>66</v>
      </c>
      <c r="H858" t="s">
        <v>84</v>
      </c>
      <c r="I858" t="s">
        <v>623</v>
      </c>
      <c r="J858" t="s">
        <v>56</v>
      </c>
      <c r="K858" t="s">
        <v>25</v>
      </c>
      <c r="L858" t="s">
        <v>46</v>
      </c>
      <c r="M858" t="s">
        <v>34</v>
      </c>
      <c r="N858" t="s">
        <v>1616</v>
      </c>
      <c r="O858" t="s">
        <v>720</v>
      </c>
    </row>
    <row r="859" spans="1:15" x14ac:dyDescent="0.25">
      <c r="A859" t="s">
        <v>1617</v>
      </c>
      <c r="B859" t="s">
        <v>100</v>
      </c>
      <c r="C859" t="s">
        <v>621</v>
      </c>
      <c r="D859" t="s">
        <v>618</v>
      </c>
      <c r="E859" t="s">
        <v>622</v>
      </c>
      <c r="F859" s="213" t="s">
        <v>56</v>
      </c>
      <c r="G859" t="s">
        <v>66</v>
      </c>
      <c r="H859" t="s">
        <v>84</v>
      </c>
      <c r="I859" t="s">
        <v>623</v>
      </c>
      <c r="J859" t="s">
        <v>56</v>
      </c>
      <c r="K859" t="s">
        <v>28</v>
      </c>
      <c r="L859" t="s">
        <v>39</v>
      </c>
      <c r="M859" t="s">
        <v>34</v>
      </c>
      <c r="N859" t="s">
        <v>30</v>
      </c>
      <c r="O859" t="s">
        <v>1581</v>
      </c>
    </row>
    <row r="860" spans="1:15" x14ac:dyDescent="0.25">
      <c r="A860" t="s">
        <v>1618</v>
      </c>
      <c r="B860" t="s">
        <v>100</v>
      </c>
      <c r="C860" t="s">
        <v>621</v>
      </c>
      <c r="D860" t="s">
        <v>618</v>
      </c>
      <c r="E860" t="s">
        <v>622</v>
      </c>
      <c r="F860" s="213" t="s">
        <v>56</v>
      </c>
      <c r="G860" t="s">
        <v>66</v>
      </c>
      <c r="H860" t="s">
        <v>84</v>
      </c>
      <c r="I860" t="s">
        <v>623</v>
      </c>
      <c r="J860" t="s">
        <v>56</v>
      </c>
      <c r="K860" t="s">
        <v>30</v>
      </c>
      <c r="L860" t="s">
        <v>35</v>
      </c>
      <c r="M860" t="s">
        <v>34</v>
      </c>
      <c r="N860" t="s">
        <v>24</v>
      </c>
      <c r="O860" t="s">
        <v>1619</v>
      </c>
    </row>
    <row r="861" spans="1:15" x14ac:dyDescent="0.25">
      <c r="A861" t="s">
        <v>1620</v>
      </c>
      <c r="B861" t="s">
        <v>100</v>
      </c>
      <c r="C861" t="s">
        <v>621</v>
      </c>
      <c r="D861" t="s">
        <v>618</v>
      </c>
      <c r="E861" t="s">
        <v>622</v>
      </c>
      <c r="F861" s="213" t="s">
        <v>56</v>
      </c>
      <c r="G861" t="s">
        <v>66</v>
      </c>
      <c r="H861" t="s">
        <v>84</v>
      </c>
      <c r="I861" t="s">
        <v>623</v>
      </c>
      <c r="J861" t="s">
        <v>56</v>
      </c>
      <c r="K861" t="s">
        <v>28</v>
      </c>
      <c r="L861" t="s">
        <v>624</v>
      </c>
      <c r="M861" t="s">
        <v>35</v>
      </c>
      <c r="N861" t="s">
        <v>40</v>
      </c>
      <c r="O861" t="s">
        <v>1621</v>
      </c>
    </row>
    <row r="862" spans="1:15" x14ac:dyDescent="0.25">
      <c r="A862" t="s">
        <v>1622</v>
      </c>
      <c r="B862" t="s">
        <v>100</v>
      </c>
      <c r="C862" t="s">
        <v>621</v>
      </c>
      <c r="D862" t="s">
        <v>618</v>
      </c>
      <c r="E862" t="s">
        <v>622</v>
      </c>
      <c r="F862" s="213" t="s">
        <v>56</v>
      </c>
      <c r="G862" t="s">
        <v>66</v>
      </c>
      <c r="H862" t="s">
        <v>84</v>
      </c>
      <c r="I862" t="s">
        <v>623</v>
      </c>
      <c r="J862" t="s">
        <v>56</v>
      </c>
      <c r="K862" t="s">
        <v>31</v>
      </c>
      <c r="L862" t="s">
        <v>418</v>
      </c>
      <c r="M862" t="s">
        <v>35</v>
      </c>
      <c r="N862" t="s">
        <v>1514</v>
      </c>
      <c r="O862" t="s">
        <v>1564</v>
      </c>
    </row>
    <row r="863" spans="1:15" x14ac:dyDescent="0.25">
      <c r="A863" t="s">
        <v>1623</v>
      </c>
      <c r="B863" t="s">
        <v>100</v>
      </c>
      <c r="C863" t="s">
        <v>621</v>
      </c>
      <c r="D863" t="s">
        <v>618</v>
      </c>
      <c r="E863" t="s">
        <v>622</v>
      </c>
      <c r="F863" s="213" t="s">
        <v>56</v>
      </c>
      <c r="G863" t="s">
        <v>66</v>
      </c>
      <c r="H863" t="s">
        <v>84</v>
      </c>
      <c r="I863" t="s">
        <v>623</v>
      </c>
      <c r="J863" t="s">
        <v>56</v>
      </c>
      <c r="K863" t="s">
        <v>24</v>
      </c>
      <c r="L863" t="s">
        <v>628</v>
      </c>
      <c r="M863" t="s">
        <v>35</v>
      </c>
      <c r="N863" t="s">
        <v>720</v>
      </c>
      <c r="O863" t="s">
        <v>739</v>
      </c>
    </row>
    <row r="864" spans="1:15" x14ac:dyDescent="0.25">
      <c r="A864" t="s">
        <v>1624</v>
      </c>
      <c r="B864" t="s">
        <v>100</v>
      </c>
      <c r="C864" t="s">
        <v>621</v>
      </c>
      <c r="D864" t="s">
        <v>618</v>
      </c>
      <c r="E864" t="s">
        <v>622</v>
      </c>
      <c r="F864" s="213" t="s">
        <v>56</v>
      </c>
      <c r="G864" t="s">
        <v>66</v>
      </c>
      <c r="H864" t="s">
        <v>84</v>
      </c>
      <c r="I864" t="s">
        <v>623</v>
      </c>
      <c r="J864" t="s">
        <v>56</v>
      </c>
      <c r="K864" t="s">
        <v>21</v>
      </c>
      <c r="L864" t="s">
        <v>630</v>
      </c>
      <c r="M864" t="s">
        <v>35</v>
      </c>
      <c r="N864" t="s">
        <v>1453</v>
      </c>
      <c r="O864" t="s">
        <v>656</v>
      </c>
    </row>
    <row r="865" spans="1:15" x14ac:dyDescent="0.25">
      <c r="A865" t="s">
        <v>1625</v>
      </c>
      <c r="B865" t="s">
        <v>100</v>
      </c>
      <c r="C865" t="s">
        <v>621</v>
      </c>
      <c r="D865" t="s">
        <v>618</v>
      </c>
      <c r="E865" t="s">
        <v>622</v>
      </c>
      <c r="F865" s="213" t="s">
        <v>56</v>
      </c>
      <c r="G865" t="s">
        <v>66</v>
      </c>
      <c r="H865" t="s">
        <v>84</v>
      </c>
      <c r="I865" t="s">
        <v>623</v>
      </c>
      <c r="J865" t="s">
        <v>56</v>
      </c>
      <c r="K865" t="s">
        <v>18</v>
      </c>
      <c r="L865" t="s">
        <v>625</v>
      </c>
      <c r="M865" t="s">
        <v>35</v>
      </c>
      <c r="N865" t="s">
        <v>1322</v>
      </c>
      <c r="O865" t="s">
        <v>1172</v>
      </c>
    </row>
    <row r="866" spans="1:15" x14ac:dyDescent="0.25">
      <c r="A866" t="s">
        <v>1626</v>
      </c>
      <c r="B866" t="s">
        <v>100</v>
      </c>
      <c r="C866" t="s">
        <v>621</v>
      </c>
      <c r="D866" t="s">
        <v>618</v>
      </c>
      <c r="E866" t="s">
        <v>622</v>
      </c>
      <c r="F866" s="213" t="s">
        <v>56</v>
      </c>
      <c r="G866" t="s">
        <v>66</v>
      </c>
      <c r="H866" t="s">
        <v>84</v>
      </c>
      <c r="I866" t="s">
        <v>623</v>
      </c>
      <c r="J866" t="s">
        <v>56</v>
      </c>
      <c r="K866" t="s">
        <v>14</v>
      </c>
      <c r="L866" t="s">
        <v>632</v>
      </c>
      <c r="M866" t="s">
        <v>35</v>
      </c>
      <c r="N866" t="s">
        <v>1503</v>
      </c>
      <c r="O866" t="s">
        <v>625</v>
      </c>
    </row>
    <row r="867" spans="1:15" x14ac:dyDescent="0.25">
      <c r="A867" t="s">
        <v>1627</v>
      </c>
      <c r="B867" t="s">
        <v>100</v>
      </c>
      <c r="C867" t="s">
        <v>621</v>
      </c>
      <c r="D867" t="s">
        <v>618</v>
      </c>
      <c r="E867" t="s">
        <v>622</v>
      </c>
      <c r="F867" s="213" t="s">
        <v>56</v>
      </c>
      <c r="G867" t="s">
        <v>66</v>
      </c>
      <c r="H867" t="s">
        <v>84</v>
      </c>
      <c r="I867" t="s">
        <v>623</v>
      </c>
      <c r="J867" t="s">
        <v>56</v>
      </c>
      <c r="K867" t="s">
        <v>12</v>
      </c>
      <c r="L867" t="s">
        <v>642</v>
      </c>
      <c r="M867" t="s">
        <v>35</v>
      </c>
      <c r="N867" t="s">
        <v>65</v>
      </c>
      <c r="O867" t="s">
        <v>1032</v>
      </c>
    </row>
    <row r="868" spans="1:15" x14ac:dyDescent="0.25">
      <c r="A868" t="s">
        <v>1628</v>
      </c>
      <c r="B868" t="s">
        <v>100</v>
      </c>
      <c r="C868" t="s">
        <v>621</v>
      </c>
      <c r="D868" t="s">
        <v>618</v>
      </c>
      <c r="E868" t="s">
        <v>622</v>
      </c>
      <c r="F868" s="213" t="s">
        <v>56</v>
      </c>
      <c r="G868" t="s">
        <v>66</v>
      </c>
      <c r="H868" t="s">
        <v>84</v>
      </c>
      <c r="I868" t="s">
        <v>623</v>
      </c>
      <c r="J868" t="s">
        <v>56</v>
      </c>
      <c r="K868" t="s">
        <v>10</v>
      </c>
      <c r="L868" t="s">
        <v>643</v>
      </c>
      <c r="M868" t="s">
        <v>35</v>
      </c>
      <c r="N868" t="s">
        <v>641</v>
      </c>
      <c r="O868" t="s">
        <v>1346</v>
      </c>
    </row>
    <row r="869" spans="1:15" x14ac:dyDescent="0.25">
      <c r="A869" t="s">
        <v>1629</v>
      </c>
      <c r="B869" t="s">
        <v>100</v>
      </c>
      <c r="C869" t="s">
        <v>621</v>
      </c>
      <c r="D869" t="s">
        <v>618</v>
      </c>
      <c r="E869" t="s">
        <v>622</v>
      </c>
      <c r="F869" s="213" t="s">
        <v>56</v>
      </c>
      <c r="G869" t="s">
        <v>66</v>
      </c>
      <c r="H869" t="s">
        <v>84</v>
      </c>
      <c r="I869" t="s">
        <v>623</v>
      </c>
      <c r="J869" t="s">
        <v>56</v>
      </c>
      <c r="K869" t="s">
        <v>8</v>
      </c>
      <c r="L869" t="s">
        <v>685</v>
      </c>
      <c r="M869" t="s">
        <v>35</v>
      </c>
      <c r="N869" t="s">
        <v>75</v>
      </c>
      <c r="O869" t="s">
        <v>640</v>
      </c>
    </row>
    <row r="870" spans="1:15" x14ac:dyDescent="0.25">
      <c r="A870" t="s">
        <v>1630</v>
      </c>
      <c r="B870" t="s">
        <v>100</v>
      </c>
      <c r="C870" t="s">
        <v>621</v>
      </c>
      <c r="D870" t="s">
        <v>618</v>
      </c>
      <c r="E870" t="s">
        <v>622</v>
      </c>
      <c r="F870" s="213" t="s">
        <v>56</v>
      </c>
      <c r="G870" t="s">
        <v>66</v>
      </c>
      <c r="H870" t="s">
        <v>84</v>
      </c>
      <c r="I870" t="s">
        <v>623</v>
      </c>
      <c r="J870" t="s">
        <v>56</v>
      </c>
      <c r="K870" t="s">
        <v>6</v>
      </c>
      <c r="L870" t="s">
        <v>645</v>
      </c>
      <c r="M870" t="s">
        <v>35</v>
      </c>
      <c r="N870" t="s">
        <v>1631</v>
      </c>
      <c r="O870" t="s">
        <v>1390</v>
      </c>
    </row>
    <row r="871" spans="1:15" x14ac:dyDescent="0.25">
      <c r="A871" t="s">
        <v>1632</v>
      </c>
      <c r="B871" t="s">
        <v>100</v>
      </c>
      <c r="C871" t="s">
        <v>621</v>
      </c>
      <c r="D871" t="s">
        <v>618</v>
      </c>
      <c r="E871" t="s">
        <v>622</v>
      </c>
      <c r="F871" s="213" t="s">
        <v>56</v>
      </c>
      <c r="G871" t="s">
        <v>66</v>
      </c>
      <c r="H871" t="s">
        <v>84</v>
      </c>
      <c r="I871" t="s">
        <v>623</v>
      </c>
      <c r="J871" t="s">
        <v>56</v>
      </c>
      <c r="K871" t="s">
        <v>4</v>
      </c>
      <c r="L871" t="s">
        <v>674</v>
      </c>
      <c r="M871" t="s">
        <v>35</v>
      </c>
      <c r="N871" t="s">
        <v>49</v>
      </c>
      <c r="O871" t="s">
        <v>1158</v>
      </c>
    </row>
    <row r="872" spans="1:15" x14ac:dyDescent="0.25">
      <c r="A872" t="s">
        <v>1633</v>
      </c>
      <c r="B872" t="s">
        <v>100</v>
      </c>
      <c r="C872" t="s">
        <v>621</v>
      </c>
      <c r="D872" t="s">
        <v>618</v>
      </c>
      <c r="E872" t="s">
        <v>622</v>
      </c>
      <c r="F872" s="213" t="s">
        <v>56</v>
      </c>
      <c r="G872" t="s">
        <v>66</v>
      </c>
      <c r="H872" t="s">
        <v>84</v>
      </c>
      <c r="I872" t="s">
        <v>623</v>
      </c>
      <c r="J872" t="s">
        <v>56</v>
      </c>
      <c r="K872" t="s">
        <v>2</v>
      </c>
      <c r="L872" t="s">
        <v>693</v>
      </c>
      <c r="M872" t="s">
        <v>35</v>
      </c>
      <c r="N872" t="s">
        <v>48</v>
      </c>
      <c r="O872" t="s">
        <v>1352</v>
      </c>
    </row>
    <row r="873" spans="1:15" x14ac:dyDescent="0.25">
      <c r="A873" t="s">
        <v>1634</v>
      </c>
      <c r="B873" t="s">
        <v>100</v>
      </c>
      <c r="C873" t="s">
        <v>621</v>
      </c>
      <c r="D873" t="s">
        <v>618</v>
      </c>
      <c r="E873" t="s">
        <v>622</v>
      </c>
      <c r="F873" s="213" t="s">
        <v>56</v>
      </c>
      <c r="G873" t="s">
        <v>66</v>
      </c>
      <c r="H873" t="s">
        <v>84</v>
      </c>
      <c r="I873" t="s">
        <v>623</v>
      </c>
      <c r="J873" t="s">
        <v>56</v>
      </c>
      <c r="K873" t="s">
        <v>0</v>
      </c>
      <c r="L873" t="s">
        <v>627</v>
      </c>
      <c r="M873" t="s">
        <v>35</v>
      </c>
      <c r="N873" t="s">
        <v>85</v>
      </c>
      <c r="O873" t="s">
        <v>672</v>
      </c>
    </row>
    <row r="874" spans="1:15" x14ac:dyDescent="0.25">
      <c r="A874" t="s">
        <v>1635</v>
      </c>
      <c r="B874" t="s">
        <v>100</v>
      </c>
      <c r="C874" t="s">
        <v>621</v>
      </c>
      <c r="D874" t="s">
        <v>618</v>
      </c>
      <c r="E874" t="s">
        <v>622</v>
      </c>
      <c r="F874" s="213" t="s">
        <v>56</v>
      </c>
      <c r="G874" t="s">
        <v>66</v>
      </c>
      <c r="H874" t="s">
        <v>84</v>
      </c>
      <c r="I874" t="s">
        <v>623</v>
      </c>
      <c r="J874" t="s">
        <v>56</v>
      </c>
      <c r="K874" t="s">
        <v>100</v>
      </c>
      <c r="L874" t="s">
        <v>825</v>
      </c>
      <c r="M874" t="s">
        <v>35</v>
      </c>
      <c r="N874" t="s">
        <v>59</v>
      </c>
      <c r="O874" t="s">
        <v>1108</v>
      </c>
    </row>
    <row r="875" spans="1:15" x14ac:dyDescent="0.25">
      <c r="A875" t="s">
        <v>1636</v>
      </c>
      <c r="B875" t="s">
        <v>100</v>
      </c>
      <c r="C875" t="s">
        <v>621</v>
      </c>
      <c r="D875" t="s">
        <v>618</v>
      </c>
      <c r="E875" t="s">
        <v>622</v>
      </c>
      <c r="F875" s="213" t="s">
        <v>56</v>
      </c>
      <c r="G875" t="s">
        <v>66</v>
      </c>
      <c r="H875" t="s">
        <v>84</v>
      </c>
      <c r="I875" t="s">
        <v>623</v>
      </c>
      <c r="J875" t="s">
        <v>56</v>
      </c>
      <c r="K875" t="s">
        <v>24</v>
      </c>
      <c r="L875" t="s">
        <v>731</v>
      </c>
      <c r="M875" t="s">
        <v>35</v>
      </c>
      <c r="N875" t="s">
        <v>729</v>
      </c>
      <c r="O875" t="s">
        <v>720</v>
      </c>
    </row>
    <row r="876" spans="1:15" x14ac:dyDescent="0.25">
      <c r="A876" t="s">
        <v>1637</v>
      </c>
      <c r="B876" t="s">
        <v>100</v>
      </c>
      <c r="C876" t="s">
        <v>621</v>
      </c>
      <c r="D876" t="s">
        <v>618</v>
      </c>
      <c r="E876" t="s">
        <v>622</v>
      </c>
      <c r="F876" s="213" t="s">
        <v>56</v>
      </c>
      <c r="G876" t="s">
        <v>66</v>
      </c>
      <c r="H876" t="s">
        <v>84</v>
      </c>
      <c r="I876" t="s">
        <v>623</v>
      </c>
      <c r="J876" t="s">
        <v>56</v>
      </c>
      <c r="K876" t="s">
        <v>27</v>
      </c>
      <c r="L876" t="s">
        <v>626</v>
      </c>
      <c r="M876" t="s">
        <v>1616</v>
      </c>
      <c r="N876" t="s">
        <v>0</v>
      </c>
      <c r="O876" t="s">
        <v>630</v>
      </c>
    </row>
    <row r="877" spans="1:15" x14ac:dyDescent="0.25">
      <c r="A877" t="s">
        <v>1638</v>
      </c>
      <c r="B877" t="s">
        <v>100</v>
      </c>
      <c r="C877" t="s">
        <v>621</v>
      </c>
      <c r="D877" t="s">
        <v>618</v>
      </c>
      <c r="E877" t="s">
        <v>622</v>
      </c>
      <c r="F877" s="213" t="s">
        <v>56</v>
      </c>
      <c r="G877" t="s">
        <v>66</v>
      </c>
      <c r="H877" t="s">
        <v>84</v>
      </c>
      <c r="I877" t="s">
        <v>623</v>
      </c>
      <c r="J877" t="s">
        <v>56</v>
      </c>
      <c r="K877" t="s">
        <v>27</v>
      </c>
      <c r="L877" t="s">
        <v>626</v>
      </c>
      <c r="M877" t="s">
        <v>1639</v>
      </c>
      <c r="N877" t="s">
        <v>4</v>
      </c>
      <c r="O877" t="s">
        <v>654</v>
      </c>
    </row>
    <row r="878" spans="1:15" x14ac:dyDescent="0.25">
      <c r="A878" t="s">
        <v>1640</v>
      </c>
      <c r="B878" t="s">
        <v>100</v>
      </c>
      <c r="C878" t="s">
        <v>621</v>
      </c>
      <c r="D878" t="s">
        <v>618</v>
      </c>
      <c r="E878" t="s">
        <v>622</v>
      </c>
      <c r="F878" s="213" t="s">
        <v>56</v>
      </c>
      <c r="G878" t="s">
        <v>66</v>
      </c>
      <c r="H878" t="s">
        <v>84</v>
      </c>
      <c r="I878" t="s">
        <v>623</v>
      </c>
      <c r="J878" t="s">
        <v>56</v>
      </c>
      <c r="K878" t="s">
        <v>25</v>
      </c>
      <c r="L878" t="s">
        <v>628</v>
      </c>
      <c r="M878" t="s">
        <v>1639</v>
      </c>
      <c r="N878" t="s">
        <v>4</v>
      </c>
      <c r="O878" t="s">
        <v>28</v>
      </c>
    </row>
    <row r="879" spans="1:15" x14ac:dyDescent="0.25">
      <c r="A879" t="s">
        <v>1641</v>
      </c>
      <c r="B879" t="s">
        <v>100</v>
      </c>
      <c r="C879" t="s">
        <v>621</v>
      </c>
      <c r="D879" t="s">
        <v>618</v>
      </c>
      <c r="E879" t="s">
        <v>622</v>
      </c>
      <c r="F879" s="213" t="s">
        <v>56</v>
      </c>
      <c r="G879" t="s">
        <v>66</v>
      </c>
      <c r="H879" t="s">
        <v>84</v>
      </c>
      <c r="I879" t="s">
        <v>623</v>
      </c>
      <c r="J879" t="s">
        <v>56</v>
      </c>
      <c r="K879" t="s">
        <v>27</v>
      </c>
      <c r="L879" t="s">
        <v>626</v>
      </c>
      <c r="M879" t="s">
        <v>35</v>
      </c>
      <c r="N879" t="s">
        <v>628</v>
      </c>
      <c r="O879" t="s">
        <v>1564</v>
      </c>
    </row>
    <row r="880" spans="1:15" x14ac:dyDescent="0.25">
      <c r="A880" t="s">
        <v>1642</v>
      </c>
      <c r="B880" t="s">
        <v>100</v>
      </c>
      <c r="C880" t="s">
        <v>621</v>
      </c>
      <c r="D880" t="s">
        <v>618</v>
      </c>
      <c r="E880" t="s">
        <v>622</v>
      </c>
      <c r="F880" s="213" t="s">
        <v>56</v>
      </c>
      <c r="G880" t="s">
        <v>66</v>
      </c>
      <c r="H880" t="s">
        <v>84</v>
      </c>
      <c r="I880" t="s">
        <v>623</v>
      </c>
      <c r="J880" t="s">
        <v>56</v>
      </c>
      <c r="K880" t="s">
        <v>25</v>
      </c>
      <c r="L880" t="s">
        <v>628</v>
      </c>
      <c r="M880" t="s">
        <v>35</v>
      </c>
      <c r="N880" t="s">
        <v>1643</v>
      </c>
      <c r="O880" t="s">
        <v>1172</v>
      </c>
    </row>
    <row r="881" spans="1:15" x14ac:dyDescent="0.25">
      <c r="A881" t="s">
        <v>1644</v>
      </c>
      <c r="B881" t="s">
        <v>100</v>
      </c>
      <c r="C881" t="s">
        <v>621</v>
      </c>
      <c r="D881" t="s">
        <v>618</v>
      </c>
      <c r="E881" t="s">
        <v>622</v>
      </c>
      <c r="F881" s="213" t="s">
        <v>56</v>
      </c>
      <c r="G881" t="s">
        <v>66</v>
      </c>
      <c r="H881" t="s">
        <v>84</v>
      </c>
      <c r="I881" t="s">
        <v>623</v>
      </c>
      <c r="J881" t="s">
        <v>56</v>
      </c>
      <c r="K881" t="s">
        <v>22</v>
      </c>
      <c r="L881" t="s">
        <v>630</v>
      </c>
      <c r="M881" t="s">
        <v>35</v>
      </c>
      <c r="N881" t="s">
        <v>626</v>
      </c>
      <c r="O881" t="s">
        <v>1564</v>
      </c>
    </row>
    <row r="882" spans="1:15" x14ac:dyDescent="0.25">
      <c r="A882" t="s">
        <v>1645</v>
      </c>
      <c r="B882" t="s">
        <v>100</v>
      </c>
      <c r="C882" t="s">
        <v>621</v>
      </c>
      <c r="D882" t="s">
        <v>618</v>
      </c>
      <c r="E882" t="s">
        <v>622</v>
      </c>
      <c r="F882" s="213" t="s">
        <v>56</v>
      </c>
      <c r="G882" t="s">
        <v>66</v>
      </c>
      <c r="H882" t="s">
        <v>84</v>
      </c>
      <c r="I882" t="s">
        <v>623</v>
      </c>
      <c r="J882" t="s">
        <v>56</v>
      </c>
      <c r="K882" t="s">
        <v>19</v>
      </c>
      <c r="L882" t="s">
        <v>625</v>
      </c>
      <c r="M882" t="s">
        <v>35</v>
      </c>
      <c r="N882" t="s">
        <v>1646</v>
      </c>
      <c r="O882" t="s">
        <v>1564</v>
      </c>
    </row>
    <row r="883" spans="1:15" x14ac:dyDescent="0.25">
      <c r="A883" t="s">
        <v>1647</v>
      </c>
      <c r="B883" t="s">
        <v>100</v>
      </c>
      <c r="C883" t="s">
        <v>621</v>
      </c>
      <c r="D883" t="s">
        <v>618</v>
      </c>
      <c r="E883" t="s">
        <v>622</v>
      </c>
      <c r="F883" s="213" t="s">
        <v>56</v>
      </c>
      <c r="G883" t="s">
        <v>66</v>
      </c>
      <c r="H883" t="s">
        <v>84</v>
      </c>
      <c r="I883" t="s">
        <v>623</v>
      </c>
      <c r="J883" t="s">
        <v>56</v>
      </c>
      <c r="K883" t="s">
        <v>15</v>
      </c>
      <c r="L883" t="s">
        <v>632</v>
      </c>
      <c r="M883" t="s">
        <v>35</v>
      </c>
      <c r="N883" t="s">
        <v>1648</v>
      </c>
      <c r="O883" t="s">
        <v>1223</v>
      </c>
    </row>
    <row r="884" spans="1:15" x14ac:dyDescent="0.25">
      <c r="A884" t="s">
        <v>1649</v>
      </c>
      <c r="B884" t="s">
        <v>100</v>
      </c>
      <c r="C884" t="s">
        <v>621</v>
      </c>
      <c r="D884" t="s">
        <v>618</v>
      </c>
      <c r="E884" t="s">
        <v>622</v>
      </c>
      <c r="F884" s="213" t="s">
        <v>56</v>
      </c>
      <c r="G884" t="s">
        <v>66</v>
      </c>
      <c r="H884" t="s">
        <v>84</v>
      </c>
      <c r="I884" t="s">
        <v>623</v>
      </c>
      <c r="J884" t="s">
        <v>56</v>
      </c>
      <c r="K884" t="s">
        <v>12</v>
      </c>
      <c r="L884" t="s">
        <v>629</v>
      </c>
      <c r="M884" t="s">
        <v>35</v>
      </c>
      <c r="N884" t="s">
        <v>1510</v>
      </c>
      <c r="O884" t="s">
        <v>1390</v>
      </c>
    </row>
    <row r="885" spans="1:15" x14ac:dyDescent="0.25">
      <c r="A885" t="s">
        <v>1650</v>
      </c>
      <c r="B885" t="s">
        <v>100</v>
      </c>
      <c r="C885" t="s">
        <v>621</v>
      </c>
      <c r="D885" t="s">
        <v>618</v>
      </c>
      <c r="E885" t="s">
        <v>622</v>
      </c>
      <c r="F885" s="213" t="s">
        <v>56</v>
      </c>
      <c r="G885" t="s">
        <v>66</v>
      </c>
      <c r="H885" t="s">
        <v>84</v>
      </c>
      <c r="I885" t="s">
        <v>623</v>
      </c>
      <c r="J885" t="s">
        <v>56</v>
      </c>
      <c r="K885" t="s">
        <v>10</v>
      </c>
      <c r="L885" t="s">
        <v>635</v>
      </c>
      <c r="M885" t="s">
        <v>35</v>
      </c>
      <c r="N885" t="s">
        <v>1651</v>
      </c>
      <c r="O885" t="s">
        <v>1181</v>
      </c>
    </row>
    <row r="886" spans="1:15" x14ac:dyDescent="0.25">
      <c r="A886" t="s">
        <v>1652</v>
      </c>
      <c r="B886" t="s">
        <v>100</v>
      </c>
      <c r="C886" t="s">
        <v>621</v>
      </c>
      <c r="D886" t="s">
        <v>618</v>
      </c>
      <c r="E886" t="s">
        <v>622</v>
      </c>
      <c r="F886" s="213" t="s">
        <v>56</v>
      </c>
      <c r="G886" t="s">
        <v>66</v>
      </c>
      <c r="H886" t="s">
        <v>84</v>
      </c>
      <c r="I886" t="s">
        <v>623</v>
      </c>
      <c r="J886" t="s">
        <v>56</v>
      </c>
      <c r="K886" t="s">
        <v>8</v>
      </c>
      <c r="L886" t="s">
        <v>637</v>
      </c>
      <c r="M886" t="s">
        <v>35</v>
      </c>
      <c r="N886" t="s">
        <v>667</v>
      </c>
      <c r="O886" t="s">
        <v>1223</v>
      </c>
    </row>
    <row r="887" spans="1:15" x14ac:dyDescent="0.25">
      <c r="A887" t="s">
        <v>1653</v>
      </c>
      <c r="B887" t="s">
        <v>100</v>
      </c>
      <c r="C887" t="s">
        <v>621</v>
      </c>
      <c r="D887" t="s">
        <v>618</v>
      </c>
      <c r="E887" t="s">
        <v>622</v>
      </c>
      <c r="F887" s="213" t="s">
        <v>56</v>
      </c>
      <c r="G887" t="s">
        <v>66</v>
      </c>
      <c r="H887" t="s">
        <v>84</v>
      </c>
      <c r="I887" t="s">
        <v>623</v>
      </c>
      <c r="J887" t="s">
        <v>56</v>
      </c>
      <c r="K887" t="s">
        <v>6</v>
      </c>
      <c r="L887" t="s">
        <v>639</v>
      </c>
      <c r="M887" t="s">
        <v>35</v>
      </c>
      <c r="N887" t="s">
        <v>1131</v>
      </c>
      <c r="O887" t="s">
        <v>1172</v>
      </c>
    </row>
    <row r="888" spans="1:15" x14ac:dyDescent="0.25">
      <c r="A888" t="s">
        <v>1654</v>
      </c>
      <c r="B888" t="s">
        <v>100</v>
      </c>
      <c r="C888" t="s">
        <v>621</v>
      </c>
      <c r="D888" t="s">
        <v>618</v>
      </c>
      <c r="E888" t="s">
        <v>622</v>
      </c>
      <c r="F888" s="213" t="s">
        <v>56</v>
      </c>
      <c r="G888" t="s">
        <v>66</v>
      </c>
      <c r="H888" t="s">
        <v>84</v>
      </c>
      <c r="I888" t="s">
        <v>623</v>
      </c>
      <c r="J888" t="s">
        <v>56</v>
      </c>
      <c r="K888" t="s">
        <v>4</v>
      </c>
      <c r="L888" t="s">
        <v>662</v>
      </c>
      <c r="M888" t="s">
        <v>35</v>
      </c>
      <c r="N888" t="s">
        <v>1108</v>
      </c>
      <c r="O888" t="s">
        <v>1181</v>
      </c>
    </row>
    <row r="889" spans="1:15" x14ac:dyDescent="0.25">
      <c r="A889" t="s">
        <v>1655</v>
      </c>
      <c r="B889" t="s">
        <v>100</v>
      </c>
      <c r="C889" t="s">
        <v>621</v>
      </c>
      <c r="D889" t="s">
        <v>618</v>
      </c>
      <c r="E889" t="s">
        <v>622</v>
      </c>
      <c r="F889" s="213" t="s">
        <v>56</v>
      </c>
      <c r="G889" t="s">
        <v>66</v>
      </c>
      <c r="H889" t="s">
        <v>84</v>
      </c>
      <c r="I889" t="s">
        <v>623</v>
      </c>
      <c r="J889" t="s">
        <v>56</v>
      </c>
      <c r="K889" t="s">
        <v>2</v>
      </c>
      <c r="L889" t="s">
        <v>749</v>
      </c>
      <c r="M889" t="s">
        <v>35</v>
      </c>
      <c r="N889" t="s">
        <v>1397</v>
      </c>
      <c r="O889" t="s">
        <v>1564</v>
      </c>
    </row>
    <row r="890" spans="1:15" x14ac:dyDescent="0.25">
      <c r="A890" t="s">
        <v>1656</v>
      </c>
      <c r="B890" t="s">
        <v>100</v>
      </c>
      <c r="C890" t="s">
        <v>621</v>
      </c>
      <c r="D890" t="s">
        <v>618</v>
      </c>
      <c r="E890" t="s">
        <v>622</v>
      </c>
      <c r="F890" s="213" t="s">
        <v>56</v>
      </c>
      <c r="G890" t="s">
        <v>66</v>
      </c>
      <c r="H890" t="s">
        <v>84</v>
      </c>
      <c r="I890" t="s">
        <v>623</v>
      </c>
      <c r="J890" t="s">
        <v>56</v>
      </c>
      <c r="K890" t="s">
        <v>24</v>
      </c>
      <c r="L890" t="s">
        <v>807</v>
      </c>
      <c r="M890" t="s">
        <v>35</v>
      </c>
      <c r="N890" t="s">
        <v>1224</v>
      </c>
      <c r="O890" t="s">
        <v>1564</v>
      </c>
    </row>
    <row r="891" spans="1:15" x14ac:dyDescent="0.25">
      <c r="A891" t="s">
        <v>1657</v>
      </c>
      <c r="B891" t="s">
        <v>100</v>
      </c>
      <c r="C891" t="s">
        <v>621</v>
      </c>
      <c r="D891" t="s">
        <v>618</v>
      </c>
      <c r="E891" t="s">
        <v>622</v>
      </c>
      <c r="F891" s="213" t="s">
        <v>56</v>
      </c>
      <c r="G891" t="s">
        <v>66</v>
      </c>
      <c r="H891" t="s">
        <v>84</v>
      </c>
      <c r="I891" t="s">
        <v>623</v>
      </c>
      <c r="J891" t="s">
        <v>56</v>
      </c>
      <c r="K891" t="s">
        <v>25</v>
      </c>
      <c r="L891" t="s">
        <v>827</v>
      </c>
      <c r="M891" t="s">
        <v>35</v>
      </c>
      <c r="N891" t="s">
        <v>643</v>
      </c>
      <c r="O891" t="s">
        <v>1564</v>
      </c>
    </row>
    <row r="892" spans="1:15" x14ac:dyDescent="0.25">
      <c r="A892" t="s">
        <v>1658</v>
      </c>
      <c r="B892" t="s">
        <v>100</v>
      </c>
      <c r="C892" t="s">
        <v>621</v>
      </c>
      <c r="D892" t="s">
        <v>618</v>
      </c>
      <c r="E892" t="s">
        <v>622</v>
      </c>
      <c r="F892" s="213" t="s">
        <v>56</v>
      </c>
      <c r="G892" t="s">
        <v>66</v>
      </c>
      <c r="H892" t="s">
        <v>84</v>
      </c>
      <c r="I892" t="s">
        <v>623</v>
      </c>
      <c r="J892" t="s">
        <v>56</v>
      </c>
      <c r="K892" t="s">
        <v>26</v>
      </c>
      <c r="L892" t="s">
        <v>729</v>
      </c>
      <c r="M892" t="s">
        <v>35</v>
      </c>
      <c r="N892" t="s">
        <v>1659</v>
      </c>
      <c r="O892" t="s">
        <v>1564</v>
      </c>
    </row>
    <row r="893" spans="1:15" x14ac:dyDescent="0.25">
      <c r="A893" t="s">
        <v>1660</v>
      </c>
      <c r="B893" t="s">
        <v>100</v>
      </c>
      <c r="C893" t="s">
        <v>621</v>
      </c>
      <c r="D893" t="s">
        <v>618</v>
      </c>
      <c r="E893" t="s">
        <v>622</v>
      </c>
      <c r="F893" s="213" t="s">
        <v>56</v>
      </c>
      <c r="G893" t="s">
        <v>66</v>
      </c>
      <c r="H893" t="s">
        <v>84</v>
      </c>
      <c r="I893" t="s">
        <v>623</v>
      </c>
      <c r="J893" t="s">
        <v>56</v>
      </c>
      <c r="K893" t="s">
        <v>28</v>
      </c>
      <c r="L893" t="s">
        <v>698</v>
      </c>
      <c r="M893" t="s">
        <v>35</v>
      </c>
      <c r="N893" t="s">
        <v>1661</v>
      </c>
      <c r="O893" t="s">
        <v>1564</v>
      </c>
    </row>
    <row r="894" spans="1:15" x14ac:dyDescent="0.25">
      <c r="A894" t="s">
        <v>1662</v>
      </c>
      <c r="B894" t="s">
        <v>100</v>
      </c>
      <c r="C894" t="s">
        <v>621</v>
      </c>
      <c r="D894" t="s">
        <v>618</v>
      </c>
      <c r="E894" t="s">
        <v>622</v>
      </c>
      <c r="F894" s="213" t="s">
        <v>56</v>
      </c>
      <c r="G894" t="s">
        <v>66</v>
      </c>
      <c r="H894" t="s">
        <v>84</v>
      </c>
      <c r="I894" t="s">
        <v>623</v>
      </c>
      <c r="J894" t="s">
        <v>56</v>
      </c>
      <c r="K894" t="s">
        <v>30</v>
      </c>
      <c r="L894" t="s">
        <v>631</v>
      </c>
      <c r="M894" t="s">
        <v>35</v>
      </c>
      <c r="N894" t="s">
        <v>967</v>
      </c>
      <c r="O894" t="s">
        <v>1223</v>
      </c>
    </row>
    <row r="895" spans="1:15" x14ac:dyDescent="0.25">
      <c r="A895" t="s">
        <v>1663</v>
      </c>
      <c r="B895" t="s">
        <v>100</v>
      </c>
      <c r="C895" t="s">
        <v>621</v>
      </c>
      <c r="D895" t="s">
        <v>618</v>
      </c>
      <c r="E895" t="s">
        <v>622</v>
      </c>
      <c r="F895" s="213" t="s">
        <v>56</v>
      </c>
      <c r="G895" t="s">
        <v>66</v>
      </c>
      <c r="H895" t="s">
        <v>84</v>
      </c>
      <c r="I895" t="s">
        <v>623</v>
      </c>
      <c r="J895" t="s">
        <v>56</v>
      </c>
      <c r="K895" t="s">
        <v>32</v>
      </c>
      <c r="L895" t="s">
        <v>101</v>
      </c>
      <c r="M895" t="s">
        <v>35</v>
      </c>
      <c r="N895" t="s">
        <v>814</v>
      </c>
      <c r="O895" t="s">
        <v>1564</v>
      </c>
    </row>
    <row r="896" spans="1:15" x14ac:dyDescent="0.25">
      <c r="A896" t="s">
        <v>1664</v>
      </c>
      <c r="B896" t="s">
        <v>100</v>
      </c>
      <c r="C896" t="s">
        <v>621</v>
      </c>
      <c r="D896" t="s">
        <v>618</v>
      </c>
      <c r="E896" t="s">
        <v>622</v>
      </c>
      <c r="F896" s="213" t="s">
        <v>56</v>
      </c>
      <c r="G896" t="s">
        <v>66</v>
      </c>
      <c r="H896" t="s">
        <v>84</v>
      </c>
      <c r="I896" t="s">
        <v>623</v>
      </c>
      <c r="J896" t="s">
        <v>56</v>
      </c>
      <c r="K896" t="s">
        <v>25</v>
      </c>
      <c r="L896" t="s">
        <v>46</v>
      </c>
      <c r="M896" t="s">
        <v>35</v>
      </c>
      <c r="N896" t="s">
        <v>900</v>
      </c>
      <c r="O896" t="s">
        <v>1390</v>
      </c>
    </row>
    <row r="897" spans="1:15" x14ac:dyDescent="0.25">
      <c r="A897" t="s">
        <v>1665</v>
      </c>
      <c r="B897" t="s">
        <v>100</v>
      </c>
      <c r="C897" t="s">
        <v>621</v>
      </c>
      <c r="D897" t="s">
        <v>618</v>
      </c>
      <c r="E897" t="s">
        <v>622</v>
      </c>
      <c r="F897" s="213" t="s">
        <v>56</v>
      </c>
      <c r="G897" t="s">
        <v>66</v>
      </c>
      <c r="H897" t="s">
        <v>84</v>
      </c>
      <c r="I897" t="s">
        <v>623</v>
      </c>
      <c r="J897" t="s">
        <v>56</v>
      </c>
      <c r="K897" t="s">
        <v>28</v>
      </c>
      <c r="L897" t="s">
        <v>39</v>
      </c>
      <c r="M897" t="s">
        <v>35</v>
      </c>
      <c r="N897" t="s">
        <v>24</v>
      </c>
      <c r="O897" t="s">
        <v>1405</v>
      </c>
    </row>
    <row r="898" spans="1:15" x14ac:dyDescent="0.25">
      <c r="A898" t="s">
        <v>1666</v>
      </c>
      <c r="B898" t="s">
        <v>100</v>
      </c>
      <c r="C898" t="s">
        <v>621</v>
      </c>
      <c r="D898" t="s">
        <v>618</v>
      </c>
      <c r="E898" t="s">
        <v>622</v>
      </c>
      <c r="F898" s="213" t="s">
        <v>56</v>
      </c>
      <c r="G898" t="s">
        <v>66</v>
      </c>
      <c r="H898" t="s">
        <v>84</v>
      </c>
      <c r="I898" t="s">
        <v>623</v>
      </c>
      <c r="J898" t="s">
        <v>56</v>
      </c>
      <c r="K898" t="s">
        <v>30</v>
      </c>
      <c r="L898" t="s">
        <v>35</v>
      </c>
      <c r="M898" t="s">
        <v>35</v>
      </c>
      <c r="N898" t="s">
        <v>1346</v>
      </c>
      <c r="O898" t="s">
        <v>682</v>
      </c>
    </row>
    <row r="899" spans="1:15" x14ac:dyDescent="0.25">
      <c r="A899" t="s">
        <v>1667</v>
      </c>
      <c r="B899" t="s">
        <v>100</v>
      </c>
      <c r="C899" t="s">
        <v>621</v>
      </c>
      <c r="D899" t="s">
        <v>618</v>
      </c>
      <c r="E899" t="s">
        <v>622</v>
      </c>
      <c r="F899" s="213" t="s">
        <v>56</v>
      </c>
      <c r="G899" t="s">
        <v>66</v>
      </c>
      <c r="H899" t="s">
        <v>84</v>
      </c>
      <c r="I899" t="s">
        <v>623</v>
      </c>
      <c r="J899" t="s">
        <v>56</v>
      </c>
      <c r="K899" t="s">
        <v>28</v>
      </c>
      <c r="L899" t="s">
        <v>624</v>
      </c>
      <c r="M899" t="s">
        <v>36</v>
      </c>
      <c r="N899" t="s">
        <v>34</v>
      </c>
      <c r="O899" t="s">
        <v>1494</v>
      </c>
    </row>
    <row r="900" spans="1:15" x14ac:dyDescent="0.25">
      <c r="A900" t="s">
        <v>1668</v>
      </c>
      <c r="B900" t="s">
        <v>100</v>
      </c>
      <c r="C900" t="s">
        <v>621</v>
      </c>
      <c r="D900" t="s">
        <v>618</v>
      </c>
      <c r="E900" t="s">
        <v>622</v>
      </c>
      <c r="F900" s="213" t="s">
        <v>56</v>
      </c>
      <c r="G900" t="s">
        <v>66</v>
      </c>
      <c r="H900" t="s">
        <v>84</v>
      </c>
      <c r="I900" t="s">
        <v>623</v>
      </c>
      <c r="J900" t="s">
        <v>56</v>
      </c>
      <c r="K900" t="s">
        <v>31</v>
      </c>
      <c r="L900" t="s">
        <v>418</v>
      </c>
      <c r="M900" t="s">
        <v>36</v>
      </c>
      <c r="N900" t="s">
        <v>37</v>
      </c>
      <c r="O900" t="s">
        <v>1278</v>
      </c>
    </row>
    <row r="901" spans="1:15" x14ac:dyDescent="0.25">
      <c r="A901" t="s">
        <v>1669</v>
      </c>
      <c r="B901" t="s">
        <v>100</v>
      </c>
      <c r="C901" t="s">
        <v>621</v>
      </c>
      <c r="D901" t="s">
        <v>618</v>
      </c>
      <c r="E901" t="s">
        <v>622</v>
      </c>
      <c r="F901" s="213" t="s">
        <v>56</v>
      </c>
      <c r="G901" t="s">
        <v>66</v>
      </c>
      <c r="H901" t="s">
        <v>84</v>
      </c>
      <c r="I901" t="s">
        <v>623</v>
      </c>
      <c r="J901" t="s">
        <v>56</v>
      </c>
      <c r="K901" t="s">
        <v>24</v>
      </c>
      <c r="L901" t="s">
        <v>628</v>
      </c>
      <c r="M901" t="s">
        <v>36</v>
      </c>
      <c r="N901" t="s">
        <v>98</v>
      </c>
      <c r="O901" t="s">
        <v>674</v>
      </c>
    </row>
    <row r="902" spans="1:15" x14ac:dyDescent="0.25">
      <c r="A902" t="s">
        <v>1670</v>
      </c>
      <c r="B902" t="s">
        <v>100</v>
      </c>
      <c r="C902" t="s">
        <v>621</v>
      </c>
      <c r="D902" t="s">
        <v>618</v>
      </c>
      <c r="E902" t="s">
        <v>622</v>
      </c>
      <c r="F902" s="213" t="s">
        <v>56</v>
      </c>
      <c r="G902" t="s">
        <v>66</v>
      </c>
      <c r="H902" t="s">
        <v>84</v>
      </c>
      <c r="I902" t="s">
        <v>623</v>
      </c>
      <c r="J902" t="s">
        <v>56</v>
      </c>
      <c r="K902" t="s">
        <v>21</v>
      </c>
      <c r="L902" t="s">
        <v>630</v>
      </c>
      <c r="M902" t="s">
        <v>36</v>
      </c>
      <c r="N902" t="s">
        <v>61</v>
      </c>
      <c r="O902" t="s">
        <v>1143</v>
      </c>
    </row>
    <row r="903" spans="1:15" x14ac:dyDescent="0.25">
      <c r="A903" t="s">
        <v>1671</v>
      </c>
      <c r="B903" t="s">
        <v>100</v>
      </c>
      <c r="C903" t="s">
        <v>621</v>
      </c>
      <c r="D903" t="s">
        <v>618</v>
      </c>
      <c r="E903" t="s">
        <v>622</v>
      </c>
      <c r="F903" s="213" t="s">
        <v>56</v>
      </c>
      <c r="G903" t="s">
        <v>66</v>
      </c>
      <c r="H903" t="s">
        <v>84</v>
      </c>
      <c r="I903" t="s">
        <v>623</v>
      </c>
      <c r="J903" t="s">
        <v>56</v>
      </c>
      <c r="K903" t="s">
        <v>18</v>
      </c>
      <c r="L903" t="s">
        <v>625</v>
      </c>
      <c r="M903" t="s">
        <v>36</v>
      </c>
      <c r="N903" t="s">
        <v>1451</v>
      </c>
      <c r="O903" t="s">
        <v>623</v>
      </c>
    </row>
    <row r="904" spans="1:15" x14ac:dyDescent="0.25">
      <c r="A904" t="s">
        <v>1672</v>
      </c>
      <c r="B904" t="s">
        <v>100</v>
      </c>
      <c r="C904" t="s">
        <v>621</v>
      </c>
      <c r="D904" t="s">
        <v>618</v>
      </c>
      <c r="E904" t="s">
        <v>622</v>
      </c>
      <c r="F904" s="213" t="s">
        <v>56</v>
      </c>
      <c r="G904" t="s">
        <v>66</v>
      </c>
      <c r="H904" t="s">
        <v>84</v>
      </c>
      <c r="I904" t="s">
        <v>623</v>
      </c>
      <c r="J904" t="s">
        <v>56</v>
      </c>
      <c r="K904" t="s">
        <v>14</v>
      </c>
      <c r="L904" t="s">
        <v>632</v>
      </c>
      <c r="M904" t="s">
        <v>36</v>
      </c>
      <c r="N904" t="s">
        <v>705</v>
      </c>
      <c r="O904" t="s">
        <v>1287</v>
      </c>
    </row>
    <row r="905" spans="1:15" x14ac:dyDescent="0.25">
      <c r="A905" t="s">
        <v>1673</v>
      </c>
      <c r="B905" t="s">
        <v>100</v>
      </c>
      <c r="C905" t="s">
        <v>621</v>
      </c>
      <c r="D905" t="s">
        <v>618</v>
      </c>
      <c r="E905" t="s">
        <v>622</v>
      </c>
      <c r="F905" s="213" t="s">
        <v>56</v>
      </c>
      <c r="G905" t="s">
        <v>66</v>
      </c>
      <c r="H905" t="s">
        <v>84</v>
      </c>
      <c r="I905" t="s">
        <v>623</v>
      </c>
      <c r="J905" t="s">
        <v>56</v>
      </c>
      <c r="K905" t="s">
        <v>12</v>
      </c>
      <c r="L905" t="s">
        <v>642</v>
      </c>
      <c r="M905" t="s">
        <v>36</v>
      </c>
      <c r="N905" t="s">
        <v>59</v>
      </c>
      <c r="O905" t="s">
        <v>1044</v>
      </c>
    </row>
    <row r="906" spans="1:15" x14ac:dyDescent="0.25">
      <c r="A906" t="s">
        <v>1674</v>
      </c>
      <c r="B906" t="s">
        <v>100</v>
      </c>
      <c r="C906" t="s">
        <v>621</v>
      </c>
      <c r="D906" t="s">
        <v>618</v>
      </c>
      <c r="E906" t="s">
        <v>622</v>
      </c>
      <c r="F906" s="213" t="s">
        <v>56</v>
      </c>
      <c r="G906" t="s">
        <v>66</v>
      </c>
      <c r="H906" t="s">
        <v>84</v>
      </c>
      <c r="I906" t="s">
        <v>623</v>
      </c>
      <c r="J906" t="s">
        <v>56</v>
      </c>
      <c r="K906" t="s">
        <v>10</v>
      </c>
      <c r="L906" t="s">
        <v>643</v>
      </c>
      <c r="M906" t="s">
        <v>36</v>
      </c>
      <c r="N906" t="s">
        <v>72</v>
      </c>
      <c r="O906" t="s">
        <v>1035</v>
      </c>
    </row>
    <row r="907" spans="1:15" x14ac:dyDescent="0.25">
      <c r="A907" t="s">
        <v>1675</v>
      </c>
      <c r="B907" t="s">
        <v>100</v>
      </c>
      <c r="C907" t="s">
        <v>621</v>
      </c>
      <c r="D907" t="s">
        <v>618</v>
      </c>
      <c r="E907" t="s">
        <v>622</v>
      </c>
      <c r="F907" s="213" t="s">
        <v>56</v>
      </c>
      <c r="G907" t="s">
        <v>66</v>
      </c>
      <c r="H907" t="s">
        <v>84</v>
      </c>
      <c r="I907" t="s">
        <v>623</v>
      </c>
      <c r="J907" t="s">
        <v>56</v>
      </c>
      <c r="K907" t="s">
        <v>8</v>
      </c>
      <c r="L907" t="s">
        <v>685</v>
      </c>
      <c r="M907" t="s">
        <v>36</v>
      </c>
      <c r="N907" t="s">
        <v>70</v>
      </c>
      <c r="O907" t="s">
        <v>633</v>
      </c>
    </row>
    <row r="908" spans="1:15" x14ac:dyDescent="0.25">
      <c r="A908" t="s">
        <v>1676</v>
      </c>
      <c r="B908" t="s">
        <v>100</v>
      </c>
      <c r="C908" t="s">
        <v>621</v>
      </c>
      <c r="D908" t="s">
        <v>618</v>
      </c>
      <c r="E908" t="s">
        <v>622</v>
      </c>
      <c r="F908" s="213" t="s">
        <v>56</v>
      </c>
      <c r="G908" t="s">
        <v>66</v>
      </c>
      <c r="H908" t="s">
        <v>84</v>
      </c>
      <c r="I908" t="s">
        <v>623</v>
      </c>
      <c r="J908" t="s">
        <v>56</v>
      </c>
      <c r="K908" t="s">
        <v>6</v>
      </c>
      <c r="L908" t="s">
        <v>645</v>
      </c>
      <c r="M908" t="s">
        <v>36</v>
      </c>
      <c r="N908" t="s">
        <v>1631</v>
      </c>
      <c r="O908" t="s">
        <v>1346</v>
      </c>
    </row>
    <row r="909" spans="1:15" x14ac:dyDescent="0.25">
      <c r="A909" t="s">
        <v>1677</v>
      </c>
      <c r="B909" t="s">
        <v>100</v>
      </c>
      <c r="C909" t="s">
        <v>621</v>
      </c>
      <c r="D909" t="s">
        <v>618</v>
      </c>
      <c r="E909" t="s">
        <v>622</v>
      </c>
      <c r="F909" s="213" t="s">
        <v>56</v>
      </c>
      <c r="G909" t="s">
        <v>66</v>
      </c>
      <c r="H909" t="s">
        <v>84</v>
      </c>
      <c r="I909" t="s">
        <v>623</v>
      </c>
      <c r="J909" t="s">
        <v>56</v>
      </c>
      <c r="K909" t="s">
        <v>4</v>
      </c>
      <c r="L909" t="s">
        <v>674</v>
      </c>
      <c r="M909" t="s">
        <v>36</v>
      </c>
      <c r="N909" t="s">
        <v>90</v>
      </c>
      <c r="O909" t="s">
        <v>789</v>
      </c>
    </row>
    <row r="910" spans="1:15" x14ac:dyDescent="0.25">
      <c r="A910" t="s">
        <v>1678</v>
      </c>
      <c r="B910" t="s">
        <v>100</v>
      </c>
      <c r="C910" t="s">
        <v>621</v>
      </c>
      <c r="D910" t="s">
        <v>618</v>
      </c>
      <c r="E910" t="s">
        <v>622</v>
      </c>
      <c r="F910" s="213" t="s">
        <v>56</v>
      </c>
      <c r="G910" t="s">
        <v>66</v>
      </c>
      <c r="H910" t="s">
        <v>84</v>
      </c>
      <c r="I910" t="s">
        <v>623</v>
      </c>
      <c r="J910" t="s">
        <v>56</v>
      </c>
      <c r="K910" t="s">
        <v>2</v>
      </c>
      <c r="L910" t="s">
        <v>693</v>
      </c>
      <c r="M910" t="s">
        <v>36</v>
      </c>
      <c r="N910" t="s">
        <v>42</v>
      </c>
      <c r="O910" t="s">
        <v>1344</v>
      </c>
    </row>
    <row r="911" spans="1:15" x14ac:dyDescent="0.25">
      <c r="A911" t="s">
        <v>1679</v>
      </c>
      <c r="B911" t="s">
        <v>100</v>
      </c>
      <c r="C911" t="s">
        <v>621</v>
      </c>
      <c r="D911" t="s">
        <v>618</v>
      </c>
      <c r="E911" t="s">
        <v>622</v>
      </c>
      <c r="F911" s="213" t="s">
        <v>56</v>
      </c>
      <c r="G911" t="s">
        <v>66</v>
      </c>
      <c r="H911" t="s">
        <v>84</v>
      </c>
      <c r="I911" t="s">
        <v>623</v>
      </c>
      <c r="J911" t="s">
        <v>56</v>
      </c>
      <c r="K911" t="s">
        <v>0</v>
      </c>
      <c r="L911" t="s">
        <v>627</v>
      </c>
      <c r="M911" t="s">
        <v>36</v>
      </c>
      <c r="N911" t="s">
        <v>56</v>
      </c>
      <c r="O911" t="s">
        <v>1080</v>
      </c>
    </row>
    <row r="912" spans="1:15" x14ac:dyDescent="0.25">
      <c r="A912" t="s">
        <v>1680</v>
      </c>
      <c r="B912" t="s">
        <v>100</v>
      </c>
      <c r="C912" t="s">
        <v>621</v>
      </c>
      <c r="D912" t="s">
        <v>618</v>
      </c>
      <c r="E912" t="s">
        <v>622</v>
      </c>
      <c r="F912" s="213" t="s">
        <v>56</v>
      </c>
      <c r="G912" t="s">
        <v>66</v>
      </c>
      <c r="H912" t="s">
        <v>84</v>
      </c>
      <c r="I912" t="s">
        <v>623</v>
      </c>
      <c r="J912" t="s">
        <v>56</v>
      </c>
      <c r="K912" t="s">
        <v>100</v>
      </c>
      <c r="L912" t="s">
        <v>825</v>
      </c>
      <c r="M912" t="s">
        <v>36</v>
      </c>
      <c r="N912" t="s">
        <v>53</v>
      </c>
      <c r="O912" t="s">
        <v>1131</v>
      </c>
    </row>
    <row r="913" spans="1:15" x14ac:dyDescent="0.25">
      <c r="A913" t="s">
        <v>1681</v>
      </c>
      <c r="B913" t="s">
        <v>100</v>
      </c>
      <c r="C913" t="s">
        <v>621</v>
      </c>
      <c r="D913" t="s">
        <v>618</v>
      </c>
      <c r="E913" t="s">
        <v>622</v>
      </c>
      <c r="F913" s="213" t="s">
        <v>56</v>
      </c>
      <c r="G913" t="s">
        <v>66</v>
      </c>
      <c r="H913" t="s">
        <v>84</v>
      </c>
      <c r="I913" t="s">
        <v>623</v>
      </c>
      <c r="J913" t="s">
        <v>56</v>
      </c>
      <c r="K913" t="s">
        <v>27</v>
      </c>
      <c r="L913" t="s">
        <v>626</v>
      </c>
      <c r="M913" t="s">
        <v>47</v>
      </c>
      <c r="N913" t="s">
        <v>1597</v>
      </c>
      <c r="O913" t="s">
        <v>718</v>
      </c>
    </row>
    <row r="914" spans="1:15" x14ac:dyDescent="0.25">
      <c r="A914" t="s">
        <v>1682</v>
      </c>
      <c r="B914" t="s">
        <v>100</v>
      </c>
      <c r="C914" t="s">
        <v>621</v>
      </c>
      <c r="D914" t="s">
        <v>618</v>
      </c>
      <c r="E914" t="s">
        <v>622</v>
      </c>
      <c r="F914" s="213" t="s">
        <v>56</v>
      </c>
      <c r="G914" t="s">
        <v>66</v>
      </c>
      <c r="H914" t="s">
        <v>84</v>
      </c>
      <c r="I914" t="s">
        <v>623</v>
      </c>
      <c r="J914" t="s">
        <v>56</v>
      </c>
      <c r="K914" t="s">
        <v>25</v>
      </c>
      <c r="L914" t="s">
        <v>628</v>
      </c>
      <c r="M914" t="s">
        <v>47</v>
      </c>
      <c r="N914" t="s">
        <v>1683</v>
      </c>
      <c r="O914" t="s">
        <v>1497</v>
      </c>
    </row>
    <row r="915" spans="1:15" x14ac:dyDescent="0.25">
      <c r="A915" t="s">
        <v>1684</v>
      </c>
      <c r="B915" t="s">
        <v>100</v>
      </c>
      <c r="C915" t="s">
        <v>621</v>
      </c>
      <c r="D915" t="s">
        <v>618</v>
      </c>
      <c r="E915" t="s">
        <v>622</v>
      </c>
      <c r="F915" s="213" t="s">
        <v>56</v>
      </c>
      <c r="G915" t="s">
        <v>66</v>
      </c>
      <c r="H915" t="s">
        <v>84</v>
      </c>
      <c r="I915" t="s">
        <v>623</v>
      </c>
      <c r="J915" t="s">
        <v>56</v>
      </c>
      <c r="K915" t="s">
        <v>22</v>
      </c>
      <c r="L915" t="s">
        <v>630</v>
      </c>
      <c r="M915" t="s">
        <v>47</v>
      </c>
      <c r="N915" t="s">
        <v>418</v>
      </c>
      <c r="O915" t="s">
        <v>718</v>
      </c>
    </row>
    <row r="916" spans="1:15" x14ac:dyDescent="0.25">
      <c r="A916" t="s">
        <v>1685</v>
      </c>
      <c r="B916" t="s">
        <v>100</v>
      </c>
      <c r="C916" t="s">
        <v>621</v>
      </c>
      <c r="D916" t="s">
        <v>618</v>
      </c>
      <c r="E916" t="s">
        <v>622</v>
      </c>
      <c r="F916" s="213" t="s">
        <v>56</v>
      </c>
      <c r="G916" t="s">
        <v>66</v>
      </c>
      <c r="H916" t="s">
        <v>84</v>
      </c>
      <c r="I916" t="s">
        <v>623</v>
      </c>
      <c r="J916" t="s">
        <v>56</v>
      </c>
      <c r="K916" t="s">
        <v>19</v>
      </c>
      <c r="L916" t="s">
        <v>625</v>
      </c>
      <c r="M916" t="s">
        <v>47</v>
      </c>
      <c r="N916" t="s">
        <v>1686</v>
      </c>
      <c r="O916" t="s">
        <v>718</v>
      </c>
    </row>
    <row r="917" spans="1:15" x14ac:dyDescent="0.25">
      <c r="A917" t="s">
        <v>1687</v>
      </c>
      <c r="B917" t="s">
        <v>100</v>
      </c>
      <c r="C917" t="s">
        <v>621</v>
      </c>
      <c r="D917" t="s">
        <v>618</v>
      </c>
      <c r="E917" t="s">
        <v>622</v>
      </c>
      <c r="F917" s="213" t="s">
        <v>56</v>
      </c>
      <c r="G917" t="s">
        <v>66</v>
      </c>
      <c r="H917" t="s">
        <v>84</v>
      </c>
      <c r="I917" t="s">
        <v>623</v>
      </c>
      <c r="J917" t="s">
        <v>56</v>
      </c>
      <c r="K917" t="s">
        <v>15</v>
      </c>
      <c r="L917" t="s">
        <v>632</v>
      </c>
      <c r="M917" t="s">
        <v>47</v>
      </c>
      <c r="N917" t="s">
        <v>667</v>
      </c>
      <c r="O917" t="s">
        <v>1503</v>
      </c>
    </row>
    <row r="918" spans="1:15" x14ac:dyDescent="0.25">
      <c r="A918" t="s">
        <v>1688</v>
      </c>
      <c r="B918" t="s">
        <v>100</v>
      </c>
      <c r="C918" t="s">
        <v>621</v>
      </c>
      <c r="D918" t="s">
        <v>618</v>
      </c>
      <c r="E918" t="s">
        <v>622</v>
      </c>
      <c r="F918" s="213" t="s">
        <v>56</v>
      </c>
      <c r="G918" t="s">
        <v>66</v>
      </c>
      <c r="H918" t="s">
        <v>84</v>
      </c>
      <c r="I918" t="s">
        <v>623</v>
      </c>
      <c r="J918" t="s">
        <v>56</v>
      </c>
      <c r="K918" t="s">
        <v>12</v>
      </c>
      <c r="L918" t="s">
        <v>629</v>
      </c>
      <c r="M918" t="s">
        <v>47</v>
      </c>
      <c r="N918" t="s">
        <v>1689</v>
      </c>
      <c r="O918" t="s">
        <v>1503</v>
      </c>
    </row>
    <row r="919" spans="1:15" x14ac:dyDescent="0.25">
      <c r="A919" t="s">
        <v>1690</v>
      </c>
      <c r="B919" t="s">
        <v>100</v>
      </c>
      <c r="C919" t="s">
        <v>621</v>
      </c>
      <c r="D919" t="s">
        <v>618</v>
      </c>
      <c r="E919" t="s">
        <v>622</v>
      </c>
      <c r="F919" s="213" t="s">
        <v>56</v>
      </c>
      <c r="G919" t="s">
        <v>66</v>
      </c>
      <c r="H919" t="s">
        <v>84</v>
      </c>
      <c r="I919" t="s">
        <v>623</v>
      </c>
      <c r="J919" t="s">
        <v>56</v>
      </c>
      <c r="K919" t="s">
        <v>10</v>
      </c>
      <c r="L919" t="s">
        <v>635</v>
      </c>
      <c r="M919" t="s">
        <v>47</v>
      </c>
      <c r="N919" t="s">
        <v>825</v>
      </c>
      <c r="O919" t="s">
        <v>1691</v>
      </c>
    </row>
    <row r="920" spans="1:15" x14ac:dyDescent="0.25">
      <c r="A920" t="s">
        <v>1692</v>
      </c>
      <c r="B920" t="s">
        <v>100</v>
      </c>
      <c r="C920" t="s">
        <v>621</v>
      </c>
      <c r="D920" t="s">
        <v>618</v>
      </c>
      <c r="E920" t="s">
        <v>622</v>
      </c>
      <c r="F920" s="213" t="s">
        <v>56</v>
      </c>
      <c r="G920" t="s">
        <v>66</v>
      </c>
      <c r="H920" t="s">
        <v>84</v>
      </c>
      <c r="I920" t="s">
        <v>623</v>
      </c>
      <c r="J920" t="s">
        <v>56</v>
      </c>
      <c r="K920" t="s">
        <v>8</v>
      </c>
      <c r="L920" t="s">
        <v>637</v>
      </c>
      <c r="M920" t="s">
        <v>47</v>
      </c>
      <c r="N920" t="s">
        <v>765</v>
      </c>
      <c r="O920" t="s">
        <v>1691</v>
      </c>
    </row>
    <row r="921" spans="1:15" x14ac:dyDescent="0.25">
      <c r="A921" t="s">
        <v>1693</v>
      </c>
      <c r="B921" t="s">
        <v>100</v>
      </c>
      <c r="C921" t="s">
        <v>621</v>
      </c>
      <c r="D921" t="s">
        <v>618</v>
      </c>
      <c r="E921" t="s">
        <v>622</v>
      </c>
      <c r="F921" s="213" t="s">
        <v>56</v>
      </c>
      <c r="G921" t="s">
        <v>66</v>
      </c>
      <c r="H921" t="s">
        <v>84</v>
      </c>
      <c r="I921" t="s">
        <v>623</v>
      </c>
      <c r="J921" t="s">
        <v>56</v>
      </c>
      <c r="K921" t="s">
        <v>6</v>
      </c>
      <c r="L921" t="s">
        <v>639</v>
      </c>
      <c r="M921" t="s">
        <v>47</v>
      </c>
      <c r="N921" t="s">
        <v>1392</v>
      </c>
      <c r="O921" t="s">
        <v>1497</v>
      </c>
    </row>
    <row r="922" spans="1:15" x14ac:dyDescent="0.25">
      <c r="A922" t="s">
        <v>1694</v>
      </c>
      <c r="B922" t="s">
        <v>100</v>
      </c>
      <c r="C922" t="s">
        <v>621</v>
      </c>
      <c r="D922" t="s">
        <v>618</v>
      </c>
      <c r="E922" t="s">
        <v>622</v>
      </c>
      <c r="F922" s="213" t="s">
        <v>56</v>
      </c>
      <c r="G922" t="s">
        <v>66</v>
      </c>
      <c r="H922" t="s">
        <v>84</v>
      </c>
      <c r="I922" t="s">
        <v>623</v>
      </c>
      <c r="J922" t="s">
        <v>56</v>
      </c>
      <c r="K922" t="s">
        <v>4</v>
      </c>
      <c r="L922" t="s">
        <v>662</v>
      </c>
      <c r="M922" t="s">
        <v>47</v>
      </c>
      <c r="N922" t="s">
        <v>1032</v>
      </c>
      <c r="O922" t="s">
        <v>1691</v>
      </c>
    </row>
    <row r="923" spans="1:15" x14ac:dyDescent="0.25">
      <c r="A923" t="s">
        <v>1695</v>
      </c>
      <c r="B923" t="s">
        <v>100</v>
      </c>
      <c r="C923" t="s">
        <v>621</v>
      </c>
      <c r="D923" t="s">
        <v>618</v>
      </c>
      <c r="E923" t="s">
        <v>622</v>
      </c>
      <c r="F923" s="213" t="s">
        <v>56</v>
      </c>
      <c r="G923" t="s">
        <v>66</v>
      </c>
      <c r="H923" t="s">
        <v>84</v>
      </c>
      <c r="I923" t="s">
        <v>623</v>
      </c>
      <c r="J923" t="s">
        <v>56</v>
      </c>
      <c r="K923" t="s">
        <v>2</v>
      </c>
      <c r="L923" t="s">
        <v>749</v>
      </c>
      <c r="M923" t="s">
        <v>47</v>
      </c>
      <c r="N923" t="s">
        <v>1581</v>
      </c>
      <c r="O923" t="s">
        <v>718</v>
      </c>
    </row>
    <row r="924" spans="1:15" x14ac:dyDescent="0.25">
      <c r="A924" t="s">
        <v>1696</v>
      </c>
      <c r="B924" t="s">
        <v>100</v>
      </c>
      <c r="C924" t="s">
        <v>621</v>
      </c>
      <c r="D924" t="s">
        <v>618</v>
      </c>
      <c r="E924" t="s">
        <v>622</v>
      </c>
      <c r="F924" s="213" t="s">
        <v>56</v>
      </c>
      <c r="G924" t="s">
        <v>66</v>
      </c>
      <c r="H924" t="s">
        <v>84</v>
      </c>
      <c r="I924" t="s">
        <v>623</v>
      </c>
      <c r="J924" t="s">
        <v>56</v>
      </c>
      <c r="K924" t="s">
        <v>24</v>
      </c>
      <c r="L924" t="s">
        <v>807</v>
      </c>
      <c r="M924" t="s">
        <v>47</v>
      </c>
      <c r="N924" t="s">
        <v>1621</v>
      </c>
      <c r="O924" t="s">
        <v>718</v>
      </c>
    </row>
    <row r="925" spans="1:15" x14ac:dyDescent="0.25">
      <c r="A925" t="s">
        <v>1697</v>
      </c>
      <c r="B925" t="s">
        <v>100</v>
      </c>
      <c r="C925" t="s">
        <v>621</v>
      </c>
      <c r="D925" t="s">
        <v>618</v>
      </c>
      <c r="E925" t="s">
        <v>622</v>
      </c>
      <c r="F925" s="213" t="s">
        <v>56</v>
      </c>
      <c r="G925" t="s">
        <v>66</v>
      </c>
      <c r="H925" t="s">
        <v>84</v>
      </c>
      <c r="I925" t="s">
        <v>623</v>
      </c>
      <c r="J925" t="s">
        <v>56</v>
      </c>
      <c r="K925" t="s">
        <v>25</v>
      </c>
      <c r="L925" t="s">
        <v>827</v>
      </c>
      <c r="M925" t="s">
        <v>47</v>
      </c>
      <c r="N925" t="s">
        <v>1698</v>
      </c>
      <c r="O925" t="s">
        <v>718</v>
      </c>
    </row>
    <row r="926" spans="1:15" x14ac:dyDescent="0.25">
      <c r="A926" t="s">
        <v>1699</v>
      </c>
      <c r="B926" t="s">
        <v>100</v>
      </c>
      <c r="C926" t="s">
        <v>621</v>
      </c>
      <c r="D926" t="s">
        <v>618</v>
      </c>
      <c r="E926" t="s">
        <v>622</v>
      </c>
      <c r="F926" s="213" t="s">
        <v>56</v>
      </c>
      <c r="G926" t="s">
        <v>66</v>
      </c>
      <c r="H926" t="s">
        <v>84</v>
      </c>
      <c r="I926" t="s">
        <v>623</v>
      </c>
      <c r="J926" t="s">
        <v>56</v>
      </c>
      <c r="K926" t="s">
        <v>26</v>
      </c>
      <c r="L926" t="s">
        <v>729</v>
      </c>
      <c r="M926" t="s">
        <v>47</v>
      </c>
      <c r="N926" t="s">
        <v>656</v>
      </c>
      <c r="O926" t="s">
        <v>1497</v>
      </c>
    </row>
    <row r="927" spans="1:15" x14ac:dyDescent="0.25">
      <c r="A927" t="s">
        <v>1700</v>
      </c>
      <c r="B927" t="s">
        <v>100</v>
      </c>
      <c r="C927" t="s">
        <v>621</v>
      </c>
      <c r="D927" t="s">
        <v>618</v>
      </c>
      <c r="E927" t="s">
        <v>622</v>
      </c>
      <c r="F927" s="213" t="s">
        <v>56</v>
      </c>
      <c r="G927" t="s">
        <v>66</v>
      </c>
      <c r="H927" t="s">
        <v>84</v>
      </c>
      <c r="I927" t="s">
        <v>623</v>
      </c>
      <c r="J927" t="s">
        <v>56</v>
      </c>
      <c r="K927" t="s">
        <v>28</v>
      </c>
      <c r="L927" t="s">
        <v>698</v>
      </c>
      <c r="M927" t="s">
        <v>47</v>
      </c>
      <c r="N927" t="s">
        <v>642</v>
      </c>
      <c r="O927" t="s">
        <v>718</v>
      </c>
    </row>
    <row r="928" spans="1:15" x14ac:dyDescent="0.25">
      <c r="A928" t="s">
        <v>1701</v>
      </c>
      <c r="B928" t="s">
        <v>100</v>
      </c>
      <c r="C928" t="s">
        <v>621</v>
      </c>
      <c r="D928" t="s">
        <v>618</v>
      </c>
      <c r="E928" t="s">
        <v>622</v>
      </c>
      <c r="F928" s="213" t="s">
        <v>56</v>
      </c>
      <c r="G928" t="s">
        <v>66</v>
      </c>
      <c r="H928" t="s">
        <v>84</v>
      </c>
      <c r="I928" t="s">
        <v>623</v>
      </c>
      <c r="J928" t="s">
        <v>56</v>
      </c>
      <c r="K928" t="s">
        <v>30</v>
      </c>
      <c r="L928" t="s">
        <v>631</v>
      </c>
      <c r="M928" t="s">
        <v>47</v>
      </c>
      <c r="N928" t="s">
        <v>967</v>
      </c>
      <c r="O928" t="s">
        <v>1503</v>
      </c>
    </row>
    <row r="929" spans="1:15" x14ac:dyDescent="0.25">
      <c r="A929" t="s">
        <v>1702</v>
      </c>
      <c r="B929" t="s">
        <v>100</v>
      </c>
      <c r="C929" t="s">
        <v>621</v>
      </c>
      <c r="D929" t="s">
        <v>618</v>
      </c>
      <c r="E929" t="s">
        <v>622</v>
      </c>
      <c r="F929" s="213" t="s">
        <v>56</v>
      </c>
      <c r="G929" t="s">
        <v>66</v>
      </c>
      <c r="H929" t="s">
        <v>84</v>
      </c>
      <c r="I929" t="s">
        <v>623</v>
      </c>
      <c r="J929" t="s">
        <v>56</v>
      </c>
      <c r="K929" t="s">
        <v>32</v>
      </c>
      <c r="L929" t="s">
        <v>101</v>
      </c>
      <c r="M929" t="s">
        <v>47</v>
      </c>
      <c r="N929" t="s">
        <v>1231</v>
      </c>
      <c r="O929" t="s">
        <v>1703</v>
      </c>
    </row>
    <row r="930" spans="1:15" x14ac:dyDescent="0.25">
      <c r="A930" t="s">
        <v>1704</v>
      </c>
      <c r="B930" t="s">
        <v>100</v>
      </c>
      <c r="C930" t="s">
        <v>621</v>
      </c>
      <c r="D930" t="s">
        <v>618</v>
      </c>
      <c r="E930" t="s">
        <v>622</v>
      </c>
      <c r="F930" s="213" t="s">
        <v>56</v>
      </c>
      <c r="G930" t="s">
        <v>66</v>
      </c>
      <c r="H930" t="s">
        <v>84</v>
      </c>
      <c r="I930" t="s">
        <v>623</v>
      </c>
      <c r="J930" t="s">
        <v>56</v>
      </c>
      <c r="K930" t="s">
        <v>25</v>
      </c>
      <c r="L930" t="s">
        <v>46</v>
      </c>
      <c r="M930" t="s">
        <v>47</v>
      </c>
      <c r="N930" t="s">
        <v>25</v>
      </c>
      <c r="O930" t="s">
        <v>1397</v>
      </c>
    </row>
    <row r="931" spans="1:15" x14ac:dyDescent="0.25">
      <c r="A931" t="s">
        <v>1705</v>
      </c>
      <c r="B931" t="s">
        <v>100</v>
      </c>
      <c r="C931" t="s">
        <v>621</v>
      </c>
      <c r="D931" t="s">
        <v>618</v>
      </c>
      <c r="E931" t="s">
        <v>622</v>
      </c>
      <c r="F931" s="213" t="s">
        <v>56</v>
      </c>
      <c r="G931" t="s">
        <v>66</v>
      </c>
      <c r="H931" t="s">
        <v>84</v>
      </c>
      <c r="I931" t="s">
        <v>623</v>
      </c>
      <c r="J931" t="s">
        <v>56</v>
      </c>
      <c r="K931" t="s">
        <v>28</v>
      </c>
      <c r="L931" t="s">
        <v>39</v>
      </c>
      <c r="M931" t="s">
        <v>47</v>
      </c>
      <c r="N931" t="s">
        <v>1703</v>
      </c>
      <c r="O931" t="s">
        <v>900</v>
      </c>
    </row>
    <row r="932" spans="1:15" x14ac:dyDescent="0.25">
      <c r="A932" t="s">
        <v>1706</v>
      </c>
      <c r="B932" t="s">
        <v>100</v>
      </c>
      <c r="C932" t="s">
        <v>621</v>
      </c>
      <c r="D932" t="s">
        <v>618</v>
      </c>
      <c r="E932" t="s">
        <v>622</v>
      </c>
      <c r="F932" s="213" t="s">
        <v>56</v>
      </c>
      <c r="G932" t="s">
        <v>66</v>
      </c>
      <c r="H932" t="s">
        <v>84</v>
      </c>
      <c r="I932" t="s">
        <v>623</v>
      </c>
      <c r="J932" t="s">
        <v>56</v>
      </c>
      <c r="K932" t="s">
        <v>30</v>
      </c>
      <c r="L932" t="s">
        <v>35</v>
      </c>
      <c r="M932" t="s">
        <v>47</v>
      </c>
      <c r="N932" t="s">
        <v>33</v>
      </c>
      <c r="O932" t="s">
        <v>1224</v>
      </c>
    </row>
    <row r="933" spans="1:15" x14ac:dyDescent="0.25">
      <c r="A933" t="s">
        <v>1707</v>
      </c>
      <c r="B933" t="s">
        <v>100</v>
      </c>
      <c r="C933" t="s">
        <v>621</v>
      </c>
      <c r="D933" t="s">
        <v>618</v>
      </c>
      <c r="E933" t="s">
        <v>622</v>
      </c>
      <c r="F933" s="213" t="s">
        <v>56</v>
      </c>
      <c r="G933" t="s">
        <v>66</v>
      </c>
      <c r="H933" t="s">
        <v>84</v>
      </c>
      <c r="I933" t="s">
        <v>623</v>
      </c>
      <c r="J933" t="s">
        <v>56</v>
      </c>
      <c r="K933" t="s">
        <v>30</v>
      </c>
      <c r="L933" t="s">
        <v>624</v>
      </c>
      <c r="M933" t="s">
        <v>46</v>
      </c>
      <c r="N933" t="s">
        <v>1514</v>
      </c>
      <c r="O933" t="s">
        <v>1492</v>
      </c>
    </row>
    <row r="934" spans="1:15" x14ac:dyDescent="0.25">
      <c r="A934" t="s">
        <v>1708</v>
      </c>
      <c r="B934" t="s">
        <v>100</v>
      </c>
      <c r="C934" t="s">
        <v>621</v>
      </c>
      <c r="D934" t="s">
        <v>618</v>
      </c>
      <c r="E934" t="s">
        <v>622</v>
      </c>
      <c r="F934" s="213" t="s">
        <v>56</v>
      </c>
      <c r="G934" t="s">
        <v>66</v>
      </c>
      <c r="H934" t="s">
        <v>84</v>
      </c>
      <c r="I934" t="s">
        <v>623</v>
      </c>
      <c r="J934" t="s">
        <v>56</v>
      </c>
      <c r="K934" t="s">
        <v>31</v>
      </c>
      <c r="L934" t="s">
        <v>654</v>
      </c>
      <c r="M934" t="s">
        <v>46</v>
      </c>
      <c r="N934" t="s">
        <v>94</v>
      </c>
      <c r="O934" t="s">
        <v>645</v>
      </c>
    </row>
    <row r="935" spans="1:15" x14ac:dyDescent="0.25">
      <c r="A935" t="s">
        <v>1709</v>
      </c>
      <c r="B935" t="s">
        <v>100</v>
      </c>
      <c r="C935" t="s">
        <v>621</v>
      </c>
      <c r="D935" t="s">
        <v>618</v>
      </c>
      <c r="E935" t="s">
        <v>622</v>
      </c>
      <c r="F935" s="213" t="s">
        <v>56</v>
      </c>
      <c r="G935" t="s">
        <v>66</v>
      </c>
      <c r="H935" t="s">
        <v>84</v>
      </c>
      <c r="I935" t="s">
        <v>623</v>
      </c>
      <c r="J935" t="s">
        <v>56</v>
      </c>
      <c r="K935" t="s">
        <v>33</v>
      </c>
      <c r="L935" t="s">
        <v>418</v>
      </c>
      <c r="M935" t="s">
        <v>46</v>
      </c>
      <c r="N935" t="s">
        <v>54</v>
      </c>
      <c r="O935" t="s">
        <v>636</v>
      </c>
    </row>
    <row r="936" spans="1:15" x14ac:dyDescent="0.25">
      <c r="A936" t="s">
        <v>1710</v>
      </c>
      <c r="B936" t="s">
        <v>100</v>
      </c>
      <c r="C936" t="s">
        <v>621</v>
      </c>
      <c r="D936" t="s">
        <v>618</v>
      </c>
      <c r="E936" t="s">
        <v>622</v>
      </c>
      <c r="F936" s="213" t="s">
        <v>56</v>
      </c>
      <c r="G936" t="s">
        <v>66</v>
      </c>
      <c r="H936" t="s">
        <v>84</v>
      </c>
      <c r="I936" t="s">
        <v>623</v>
      </c>
      <c r="J936" t="s">
        <v>56</v>
      </c>
      <c r="K936" t="s">
        <v>23</v>
      </c>
      <c r="L936" t="s">
        <v>630</v>
      </c>
      <c r="M936" t="s">
        <v>46</v>
      </c>
      <c r="N936" t="s">
        <v>1542</v>
      </c>
      <c r="O936" t="s">
        <v>632</v>
      </c>
    </row>
    <row r="937" spans="1:15" x14ac:dyDescent="0.25">
      <c r="A937" t="s">
        <v>1711</v>
      </c>
      <c r="B937" t="s">
        <v>100</v>
      </c>
      <c r="C937" t="s">
        <v>621</v>
      </c>
      <c r="D937" t="s">
        <v>618</v>
      </c>
      <c r="E937" t="s">
        <v>622</v>
      </c>
      <c r="F937" s="213" t="s">
        <v>56</v>
      </c>
      <c r="G937" t="s">
        <v>66</v>
      </c>
      <c r="H937" t="s">
        <v>84</v>
      </c>
      <c r="I937" t="s">
        <v>623</v>
      </c>
      <c r="J937" t="s">
        <v>56</v>
      </c>
      <c r="K937" t="s">
        <v>20</v>
      </c>
      <c r="L937" t="s">
        <v>625</v>
      </c>
      <c r="M937" t="s">
        <v>46</v>
      </c>
      <c r="N937" t="s">
        <v>631</v>
      </c>
      <c r="O937" t="s">
        <v>1503</v>
      </c>
    </row>
    <row r="938" spans="1:15" x14ac:dyDescent="0.25">
      <c r="A938" t="s">
        <v>1712</v>
      </c>
      <c r="B938" t="s">
        <v>100</v>
      </c>
      <c r="C938" t="s">
        <v>621</v>
      </c>
      <c r="D938" t="s">
        <v>618</v>
      </c>
      <c r="E938" t="s">
        <v>622</v>
      </c>
      <c r="F938" s="213" t="s">
        <v>56</v>
      </c>
      <c r="G938" t="s">
        <v>66</v>
      </c>
      <c r="H938" t="s">
        <v>84</v>
      </c>
      <c r="I938" t="s">
        <v>623</v>
      </c>
      <c r="J938" t="s">
        <v>56</v>
      </c>
      <c r="K938" t="s">
        <v>16</v>
      </c>
      <c r="L938" t="s">
        <v>632</v>
      </c>
      <c r="M938" t="s">
        <v>46</v>
      </c>
      <c r="N938" t="s">
        <v>1287</v>
      </c>
      <c r="O938" t="s">
        <v>718</v>
      </c>
    </row>
    <row r="939" spans="1:15" x14ac:dyDescent="0.25">
      <c r="A939" t="s">
        <v>1713</v>
      </c>
      <c r="B939" t="s">
        <v>100</v>
      </c>
      <c r="C939" t="s">
        <v>621</v>
      </c>
      <c r="D939" t="s">
        <v>618</v>
      </c>
      <c r="E939" t="s">
        <v>622</v>
      </c>
      <c r="F939" s="213" t="s">
        <v>56</v>
      </c>
      <c r="G939" t="s">
        <v>66</v>
      </c>
      <c r="H939" t="s">
        <v>84</v>
      </c>
      <c r="I939" t="s">
        <v>623</v>
      </c>
      <c r="J939" t="s">
        <v>56</v>
      </c>
      <c r="K939" t="s">
        <v>13</v>
      </c>
      <c r="L939" t="s">
        <v>629</v>
      </c>
      <c r="M939" t="s">
        <v>46</v>
      </c>
      <c r="N939" t="s">
        <v>818</v>
      </c>
      <c r="O939" t="s">
        <v>1497</v>
      </c>
    </row>
    <row r="940" spans="1:15" x14ac:dyDescent="0.25">
      <c r="A940" t="s">
        <v>1714</v>
      </c>
      <c r="B940" t="s">
        <v>100</v>
      </c>
      <c r="C940" t="s">
        <v>621</v>
      </c>
      <c r="D940" t="s">
        <v>618</v>
      </c>
      <c r="E940" t="s">
        <v>622</v>
      </c>
      <c r="F940" s="213" t="s">
        <v>56</v>
      </c>
      <c r="G940" t="s">
        <v>66</v>
      </c>
      <c r="H940" t="s">
        <v>84</v>
      </c>
      <c r="I940" t="s">
        <v>623</v>
      </c>
      <c r="J940" t="s">
        <v>56</v>
      </c>
      <c r="K940" t="s">
        <v>10</v>
      </c>
      <c r="L940" t="s">
        <v>695</v>
      </c>
      <c r="M940" t="s">
        <v>46</v>
      </c>
      <c r="N940" t="s">
        <v>731</v>
      </c>
      <c r="O940" t="s">
        <v>1703</v>
      </c>
    </row>
    <row r="941" spans="1:15" x14ac:dyDescent="0.25">
      <c r="A941" t="s">
        <v>1715</v>
      </c>
      <c r="B941" t="s">
        <v>100</v>
      </c>
      <c r="C941" t="s">
        <v>621</v>
      </c>
      <c r="D941" t="s">
        <v>618</v>
      </c>
      <c r="E941" t="s">
        <v>622</v>
      </c>
      <c r="F941" s="213" t="s">
        <v>56</v>
      </c>
      <c r="G941" t="s">
        <v>66</v>
      </c>
      <c r="H941" t="s">
        <v>84</v>
      </c>
      <c r="I941" t="s">
        <v>623</v>
      </c>
      <c r="J941" t="s">
        <v>56</v>
      </c>
      <c r="K941" t="s">
        <v>8</v>
      </c>
      <c r="L941" t="s">
        <v>656</v>
      </c>
      <c r="M941" t="s">
        <v>46</v>
      </c>
      <c r="N941" t="s">
        <v>1433</v>
      </c>
      <c r="O941" t="s">
        <v>1503</v>
      </c>
    </row>
    <row r="942" spans="1:15" x14ac:dyDescent="0.25">
      <c r="A942" t="s">
        <v>1716</v>
      </c>
      <c r="B942" t="s">
        <v>100</v>
      </c>
      <c r="C942" t="s">
        <v>621</v>
      </c>
      <c r="D942" t="s">
        <v>618</v>
      </c>
      <c r="E942" t="s">
        <v>622</v>
      </c>
      <c r="F942" s="213" t="s">
        <v>56</v>
      </c>
      <c r="G942" t="s">
        <v>66</v>
      </c>
      <c r="H942" t="s">
        <v>84</v>
      </c>
      <c r="I942" t="s">
        <v>623</v>
      </c>
      <c r="J942" t="s">
        <v>56</v>
      </c>
      <c r="K942" t="s">
        <v>6</v>
      </c>
      <c r="L942" t="s">
        <v>809</v>
      </c>
      <c r="M942" t="s">
        <v>46</v>
      </c>
      <c r="N942" t="s">
        <v>1616</v>
      </c>
      <c r="O942" t="s">
        <v>1703</v>
      </c>
    </row>
    <row r="943" spans="1:15" x14ac:dyDescent="0.25">
      <c r="A943" t="s">
        <v>1717</v>
      </c>
      <c r="B943" t="s">
        <v>100</v>
      </c>
      <c r="C943" t="s">
        <v>621</v>
      </c>
      <c r="D943" t="s">
        <v>618</v>
      </c>
      <c r="E943" t="s">
        <v>622</v>
      </c>
      <c r="F943" s="213" t="s">
        <v>56</v>
      </c>
      <c r="G943" t="s">
        <v>66</v>
      </c>
      <c r="H943" t="s">
        <v>84</v>
      </c>
      <c r="I943" t="s">
        <v>623</v>
      </c>
      <c r="J943" t="s">
        <v>56</v>
      </c>
      <c r="K943" t="s">
        <v>4</v>
      </c>
      <c r="L943" t="s">
        <v>644</v>
      </c>
      <c r="M943" t="s">
        <v>46</v>
      </c>
      <c r="N943" t="s">
        <v>1497</v>
      </c>
      <c r="O943" t="s">
        <v>1390</v>
      </c>
    </row>
    <row r="944" spans="1:15" x14ac:dyDescent="0.25">
      <c r="A944" t="s">
        <v>1718</v>
      </c>
      <c r="B944" t="s">
        <v>100</v>
      </c>
      <c r="C944" t="s">
        <v>621</v>
      </c>
      <c r="D944" t="s">
        <v>618</v>
      </c>
      <c r="E944" t="s">
        <v>622</v>
      </c>
      <c r="F944" s="213" t="s">
        <v>56</v>
      </c>
      <c r="G944" t="s">
        <v>66</v>
      </c>
      <c r="H944" t="s">
        <v>84</v>
      </c>
      <c r="I944" t="s">
        <v>623</v>
      </c>
      <c r="J944" t="s">
        <v>56</v>
      </c>
      <c r="K944" t="s">
        <v>2</v>
      </c>
      <c r="L944" t="s">
        <v>735</v>
      </c>
      <c r="M944" t="s">
        <v>46</v>
      </c>
      <c r="N944" t="s">
        <v>37</v>
      </c>
      <c r="O944" t="s">
        <v>1158</v>
      </c>
    </row>
    <row r="945" spans="1:15" x14ac:dyDescent="0.25">
      <c r="A945" t="s">
        <v>1719</v>
      </c>
      <c r="B945" t="s">
        <v>100</v>
      </c>
      <c r="C945" t="s">
        <v>621</v>
      </c>
      <c r="D945" t="s">
        <v>618</v>
      </c>
      <c r="E945" t="s">
        <v>622</v>
      </c>
      <c r="F945" s="213" t="s">
        <v>56</v>
      </c>
      <c r="G945" t="s">
        <v>66</v>
      </c>
      <c r="H945" t="s">
        <v>84</v>
      </c>
      <c r="I945" t="s">
        <v>623</v>
      </c>
      <c r="J945" t="s">
        <v>56</v>
      </c>
      <c r="K945" t="s">
        <v>1</v>
      </c>
      <c r="L945" t="s">
        <v>741</v>
      </c>
      <c r="M945" t="s">
        <v>46</v>
      </c>
      <c r="N945" t="s">
        <v>726</v>
      </c>
      <c r="O945" t="s">
        <v>1691</v>
      </c>
    </row>
    <row r="946" spans="1:15" x14ac:dyDescent="0.25">
      <c r="A946" t="s">
        <v>1720</v>
      </c>
      <c r="B946" t="s">
        <v>100</v>
      </c>
      <c r="C946" t="s">
        <v>621</v>
      </c>
      <c r="D946" t="s">
        <v>618</v>
      </c>
      <c r="E946" t="s">
        <v>622</v>
      </c>
      <c r="F946" s="213" t="s">
        <v>56</v>
      </c>
      <c r="G946" t="s">
        <v>66</v>
      </c>
      <c r="H946" t="s">
        <v>84</v>
      </c>
      <c r="I946" t="s">
        <v>623</v>
      </c>
      <c r="J946" t="s">
        <v>56</v>
      </c>
      <c r="K946" t="s">
        <v>0</v>
      </c>
      <c r="L946" t="s">
        <v>825</v>
      </c>
      <c r="M946" t="s">
        <v>46</v>
      </c>
      <c r="N946" t="s">
        <v>47</v>
      </c>
      <c r="O946" t="s">
        <v>1044</v>
      </c>
    </row>
    <row r="947" spans="1:15" x14ac:dyDescent="0.25">
      <c r="A947" t="s">
        <v>1721</v>
      </c>
      <c r="B947" t="s">
        <v>100</v>
      </c>
      <c r="C947" t="s">
        <v>621</v>
      </c>
      <c r="D947" t="s">
        <v>618</v>
      </c>
      <c r="E947" t="s">
        <v>622</v>
      </c>
      <c r="F947" s="213" t="s">
        <v>56</v>
      </c>
      <c r="G947" t="s">
        <v>66</v>
      </c>
      <c r="H947" t="s">
        <v>84</v>
      </c>
      <c r="I947" t="s">
        <v>623</v>
      </c>
      <c r="J947" t="s">
        <v>56</v>
      </c>
      <c r="K947" t="s">
        <v>27</v>
      </c>
      <c r="L947" t="s">
        <v>626</v>
      </c>
      <c r="M947" t="s">
        <v>1147</v>
      </c>
      <c r="N947" t="s">
        <v>14</v>
      </c>
      <c r="O947" t="s">
        <v>714</v>
      </c>
    </row>
    <row r="948" spans="1:15" x14ac:dyDescent="0.25">
      <c r="A948" t="s">
        <v>1722</v>
      </c>
      <c r="B948" t="s">
        <v>100</v>
      </c>
      <c r="C948" t="s">
        <v>621</v>
      </c>
      <c r="D948" t="s">
        <v>618</v>
      </c>
      <c r="E948" t="s">
        <v>622</v>
      </c>
      <c r="F948" s="213" t="s">
        <v>56</v>
      </c>
      <c r="G948" t="s">
        <v>66</v>
      </c>
      <c r="H948" t="s">
        <v>84</v>
      </c>
      <c r="I948" t="s">
        <v>623</v>
      </c>
      <c r="J948" t="s">
        <v>56</v>
      </c>
      <c r="K948" t="s">
        <v>25</v>
      </c>
      <c r="L948" t="s">
        <v>628</v>
      </c>
      <c r="M948" t="s">
        <v>1147</v>
      </c>
      <c r="N948" t="s">
        <v>18</v>
      </c>
      <c r="O948" t="s">
        <v>626</v>
      </c>
    </row>
    <row r="949" spans="1:15" x14ac:dyDescent="0.25">
      <c r="A949" t="s">
        <v>1723</v>
      </c>
      <c r="B949" t="s">
        <v>100</v>
      </c>
      <c r="C949" t="s">
        <v>621</v>
      </c>
      <c r="D949" t="s">
        <v>618</v>
      </c>
      <c r="E949" t="s">
        <v>622</v>
      </c>
      <c r="F949" s="213" t="s">
        <v>56</v>
      </c>
      <c r="G949" t="s">
        <v>66</v>
      </c>
      <c r="H949" t="s">
        <v>84</v>
      </c>
      <c r="I949" t="s">
        <v>623</v>
      </c>
      <c r="J949" t="s">
        <v>56</v>
      </c>
      <c r="K949" t="s">
        <v>22</v>
      </c>
      <c r="L949" t="s">
        <v>630</v>
      </c>
      <c r="M949" t="s">
        <v>1147</v>
      </c>
      <c r="N949" t="s">
        <v>1</v>
      </c>
      <c r="O949" t="s">
        <v>645</v>
      </c>
    </row>
    <row r="950" spans="1:15" x14ac:dyDescent="0.25">
      <c r="A950" t="s">
        <v>1724</v>
      </c>
      <c r="B950" t="s">
        <v>100</v>
      </c>
      <c r="C950" t="s">
        <v>621</v>
      </c>
      <c r="D950" t="s">
        <v>618</v>
      </c>
      <c r="E950" t="s">
        <v>622</v>
      </c>
      <c r="F950" s="213" t="s">
        <v>56</v>
      </c>
      <c r="G950" t="s">
        <v>66</v>
      </c>
      <c r="H950" t="s">
        <v>84</v>
      </c>
      <c r="I950" t="s">
        <v>623</v>
      </c>
      <c r="J950" t="s">
        <v>56</v>
      </c>
      <c r="K950" t="s">
        <v>19</v>
      </c>
      <c r="L950" t="s">
        <v>625</v>
      </c>
      <c r="M950" t="s">
        <v>1147</v>
      </c>
      <c r="N950" t="s">
        <v>18</v>
      </c>
      <c r="O950" t="s">
        <v>38</v>
      </c>
    </row>
    <row r="951" spans="1:15" x14ac:dyDescent="0.25">
      <c r="A951" t="s">
        <v>1725</v>
      </c>
      <c r="B951" t="s">
        <v>100</v>
      </c>
      <c r="C951" t="s">
        <v>621</v>
      </c>
      <c r="D951" t="s">
        <v>618</v>
      </c>
      <c r="E951" t="s">
        <v>622</v>
      </c>
      <c r="F951" s="213" t="s">
        <v>56</v>
      </c>
      <c r="G951" t="s">
        <v>66</v>
      </c>
      <c r="H951" t="s">
        <v>84</v>
      </c>
      <c r="I951" t="s">
        <v>623</v>
      </c>
      <c r="J951" t="s">
        <v>56</v>
      </c>
      <c r="K951" t="s">
        <v>27</v>
      </c>
      <c r="L951" t="s">
        <v>626</v>
      </c>
      <c r="M951" t="s">
        <v>631</v>
      </c>
      <c r="N951" t="s">
        <v>20</v>
      </c>
      <c r="O951" t="s">
        <v>1514</v>
      </c>
    </row>
    <row r="952" spans="1:15" x14ac:dyDescent="0.25">
      <c r="A952" t="s">
        <v>1726</v>
      </c>
      <c r="B952" t="s">
        <v>100</v>
      </c>
      <c r="C952" t="s">
        <v>621</v>
      </c>
      <c r="D952" t="s">
        <v>618</v>
      </c>
      <c r="E952" t="s">
        <v>622</v>
      </c>
      <c r="F952" s="213" t="s">
        <v>56</v>
      </c>
      <c r="G952" t="s">
        <v>66</v>
      </c>
      <c r="H952" t="s">
        <v>84</v>
      </c>
      <c r="I952" t="s">
        <v>623</v>
      </c>
      <c r="J952" t="s">
        <v>56</v>
      </c>
      <c r="K952" t="s">
        <v>25</v>
      </c>
      <c r="L952" t="s">
        <v>628</v>
      </c>
      <c r="M952" t="s">
        <v>631</v>
      </c>
      <c r="N952" t="s">
        <v>21</v>
      </c>
      <c r="O952" t="s">
        <v>24</v>
      </c>
    </row>
    <row r="953" spans="1:15" x14ac:dyDescent="0.25">
      <c r="A953" t="s">
        <v>1727</v>
      </c>
      <c r="B953" t="s">
        <v>100</v>
      </c>
      <c r="C953" t="s">
        <v>621</v>
      </c>
      <c r="D953" t="s">
        <v>618</v>
      </c>
      <c r="E953" t="s">
        <v>622</v>
      </c>
      <c r="F953" s="213" t="s">
        <v>56</v>
      </c>
      <c r="G953" t="s">
        <v>66</v>
      </c>
      <c r="H953" t="s">
        <v>84</v>
      </c>
      <c r="I953" t="s">
        <v>623</v>
      </c>
      <c r="J953" t="s">
        <v>56</v>
      </c>
      <c r="K953" t="s">
        <v>22</v>
      </c>
      <c r="L953" t="s">
        <v>630</v>
      </c>
      <c r="M953" t="s">
        <v>631</v>
      </c>
      <c r="N953" t="s">
        <v>14</v>
      </c>
      <c r="O953" t="s">
        <v>807</v>
      </c>
    </row>
    <row r="954" spans="1:15" x14ac:dyDescent="0.25">
      <c r="A954" t="s">
        <v>1728</v>
      </c>
      <c r="B954" t="s">
        <v>100</v>
      </c>
      <c r="C954" t="s">
        <v>621</v>
      </c>
      <c r="D954" t="s">
        <v>618</v>
      </c>
      <c r="E954" t="s">
        <v>622</v>
      </c>
      <c r="F954" s="213" t="s">
        <v>56</v>
      </c>
      <c r="G954" t="s">
        <v>66</v>
      </c>
      <c r="H954" t="s">
        <v>84</v>
      </c>
      <c r="I954" t="s">
        <v>623</v>
      </c>
      <c r="J954" t="s">
        <v>56</v>
      </c>
      <c r="K954" t="s">
        <v>19</v>
      </c>
      <c r="L954" t="s">
        <v>625</v>
      </c>
      <c r="M954" t="s">
        <v>631</v>
      </c>
      <c r="N954" t="s">
        <v>15</v>
      </c>
      <c r="O954" t="s">
        <v>44</v>
      </c>
    </row>
    <row r="955" spans="1:15" x14ac:dyDescent="0.25">
      <c r="A955" t="s">
        <v>1729</v>
      </c>
      <c r="B955" t="s">
        <v>100</v>
      </c>
      <c r="C955" t="s">
        <v>621</v>
      </c>
      <c r="D955" t="s">
        <v>618</v>
      </c>
      <c r="E955" t="s">
        <v>622</v>
      </c>
      <c r="F955" s="213" t="s">
        <v>56</v>
      </c>
      <c r="G955" t="s">
        <v>66</v>
      </c>
      <c r="H955" t="s">
        <v>84</v>
      </c>
      <c r="I955" t="s">
        <v>623</v>
      </c>
      <c r="J955" t="s">
        <v>56</v>
      </c>
      <c r="K955" t="s">
        <v>15</v>
      </c>
      <c r="L955" t="s">
        <v>632</v>
      </c>
      <c r="M955" t="s">
        <v>631</v>
      </c>
      <c r="N955" t="s">
        <v>3</v>
      </c>
      <c r="O955" t="s">
        <v>695</v>
      </c>
    </row>
    <row r="956" spans="1:15" x14ac:dyDescent="0.25">
      <c r="A956" t="s">
        <v>1730</v>
      </c>
      <c r="B956" t="s">
        <v>100</v>
      </c>
      <c r="C956" t="s">
        <v>621</v>
      </c>
      <c r="D956" t="s">
        <v>618</v>
      </c>
      <c r="E956" t="s">
        <v>622</v>
      </c>
      <c r="F956" s="213" t="s">
        <v>56</v>
      </c>
      <c r="G956" t="s">
        <v>66</v>
      </c>
      <c r="H956" t="s">
        <v>84</v>
      </c>
      <c r="I956" t="s">
        <v>623</v>
      </c>
      <c r="J956" t="s">
        <v>56</v>
      </c>
      <c r="K956" t="s">
        <v>27</v>
      </c>
      <c r="L956" t="s">
        <v>626</v>
      </c>
      <c r="M956" t="s">
        <v>49</v>
      </c>
      <c r="N956" t="s">
        <v>645</v>
      </c>
      <c r="O956" t="s">
        <v>1492</v>
      </c>
    </row>
    <row r="957" spans="1:15" x14ac:dyDescent="0.25">
      <c r="A957" t="s">
        <v>1731</v>
      </c>
      <c r="B957" t="s">
        <v>100</v>
      </c>
      <c r="C957" t="s">
        <v>621</v>
      </c>
      <c r="D957" t="s">
        <v>618</v>
      </c>
      <c r="E957" t="s">
        <v>622</v>
      </c>
      <c r="F957" s="213" t="s">
        <v>56</v>
      </c>
      <c r="G957" t="s">
        <v>66</v>
      </c>
      <c r="H957" t="s">
        <v>84</v>
      </c>
      <c r="I957" t="s">
        <v>623</v>
      </c>
      <c r="J957" t="s">
        <v>56</v>
      </c>
      <c r="K957" t="s">
        <v>25</v>
      </c>
      <c r="L957" t="s">
        <v>628</v>
      </c>
      <c r="M957" t="s">
        <v>49</v>
      </c>
      <c r="N957" t="s">
        <v>1643</v>
      </c>
      <c r="O957" t="s">
        <v>1691</v>
      </c>
    </row>
    <row r="958" spans="1:15" x14ac:dyDescent="0.25">
      <c r="A958" t="s">
        <v>1732</v>
      </c>
      <c r="B958" t="s">
        <v>100</v>
      </c>
      <c r="C958" t="s">
        <v>621</v>
      </c>
      <c r="D958" t="s">
        <v>618</v>
      </c>
      <c r="E958" t="s">
        <v>622</v>
      </c>
      <c r="F958" s="213" t="s">
        <v>56</v>
      </c>
      <c r="G958" t="s">
        <v>66</v>
      </c>
      <c r="H958" t="s">
        <v>84</v>
      </c>
      <c r="I958" t="s">
        <v>623</v>
      </c>
      <c r="J958" t="s">
        <v>56</v>
      </c>
      <c r="K958" t="s">
        <v>22</v>
      </c>
      <c r="L958" t="s">
        <v>630</v>
      </c>
      <c r="M958" t="s">
        <v>49</v>
      </c>
      <c r="N958" t="s">
        <v>735</v>
      </c>
      <c r="O958" t="s">
        <v>1691</v>
      </c>
    </row>
    <row r="959" spans="1:15" x14ac:dyDescent="0.25">
      <c r="A959" t="s">
        <v>1733</v>
      </c>
      <c r="B959" t="s">
        <v>100</v>
      </c>
      <c r="C959" t="s">
        <v>621</v>
      </c>
      <c r="D959" t="s">
        <v>618</v>
      </c>
      <c r="E959" t="s">
        <v>622</v>
      </c>
      <c r="F959" s="213" t="s">
        <v>56</v>
      </c>
      <c r="G959" t="s">
        <v>66</v>
      </c>
      <c r="H959" t="s">
        <v>84</v>
      </c>
      <c r="I959" t="s">
        <v>623</v>
      </c>
      <c r="J959" t="s">
        <v>56</v>
      </c>
      <c r="K959" t="s">
        <v>19</v>
      </c>
      <c r="L959" t="s">
        <v>625</v>
      </c>
      <c r="M959" t="s">
        <v>49</v>
      </c>
      <c r="N959" t="s">
        <v>1646</v>
      </c>
      <c r="O959" t="s">
        <v>1497</v>
      </c>
    </row>
    <row r="960" spans="1:15" x14ac:dyDescent="0.25">
      <c r="A960" t="s">
        <v>1734</v>
      </c>
      <c r="B960" t="s">
        <v>100</v>
      </c>
      <c r="C960" t="s">
        <v>621</v>
      </c>
      <c r="D960" t="s">
        <v>618</v>
      </c>
      <c r="E960" t="s">
        <v>622</v>
      </c>
      <c r="F960" s="213" t="s">
        <v>56</v>
      </c>
      <c r="G960" t="s">
        <v>66</v>
      </c>
      <c r="H960" t="s">
        <v>84</v>
      </c>
      <c r="I960" t="s">
        <v>623</v>
      </c>
      <c r="J960" t="s">
        <v>56</v>
      </c>
      <c r="K960" t="s">
        <v>15</v>
      </c>
      <c r="L960" t="s">
        <v>632</v>
      </c>
      <c r="M960" t="s">
        <v>49</v>
      </c>
      <c r="N960" t="s">
        <v>1433</v>
      </c>
      <c r="O960" t="s">
        <v>1703</v>
      </c>
    </row>
    <row r="961" spans="1:15" x14ac:dyDescent="0.25">
      <c r="A961" t="s">
        <v>1735</v>
      </c>
      <c r="B961" t="s">
        <v>100</v>
      </c>
      <c r="C961" t="s">
        <v>621</v>
      </c>
      <c r="D961" t="s">
        <v>618</v>
      </c>
      <c r="E961" t="s">
        <v>622</v>
      </c>
      <c r="F961" s="213" t="s">
        <v>56</v>
      </c>
      <c r="G961" t="s">
        <v>66</v>
      </c>
      <c r="H961" t="s">
        <v>84</v>
      </c>
      <c r="I961" t="s">
        <v>623</v>
      </c>
      <c r="J961" t="s">
        <v>56</v>
      </c>
      <c r="K961" t="s">
        <v>12</v>
      </c>
      <c r="L961" t="s">
        <v>629</v>
      </c>
      <c r="M961" t="s">
        <v>49</v>
      </c>
      <c r="N961" t="s">
        <v>793</v>
      </c>
      <c r="O961" t="s">
        <v>1451</v>
      </c>
    </row>
    <row r="962" spans="1:15" x14ac:dyDescent="0.25">
      <c r="A962" t="s">
        <v>1736</v>
      </c>
      <c r="B962" t="s">
        <v>100</v>
      </c>
      <c r="C962" t="s">
        <v>621</v>
      </c>
      <c r="D962" t="s">
        <v>618</v>
      </c>
      <c r="E962" t="s">
        <v>622</v>
      </c>
      <c r="F962" s="213" t="s">
        <v>56</v>
      </c>
      <c r="G962" t="s">
        <v>66</v>
      </c>
      <c r="H962" t="s">
        <v>84</v>
      </c>
      <c r="I962" t="s">
        <v>623</v>
      </c>
      <c r="J962" t="s">
        <v>56</v>
      </c>
      <c r="K962" t="s">
        <v>10</v>
      </c>
      <c r="L962" t="s">
        <v>635</v>
      </c>
      <c r="M962" t="s">
        <v>49</v>
      </c>
      <c r="N962" t="s">
        <v>1481</v>
      </c>
      <c r="O962" t="s">
        <v>1691</v>
      </c>
    </row>
    <row r="963" spans="1:15" x14ac:dyDescent="0.25">
      <c r="A963" t="s">
        <v>1737</v>
      </c>
      <c r="B963" t="s">
        <v>100</v>
      </c>
      <c r="C963" t="s">
        <v>621</v>
      </c>
      <c r="D963" t="s">
        <v>618</v>
      </c>
      <c r="E963" t="s">
        <v>622</v>
      </c>
      <c r="F963" s="213" t="s">
        <v>56</v>
      </c>
      <c r="G963" t="s">
        <v>66</v>
      </c>
      <c r="H963" t="s">
        <v>84</v>
      </c>
      <c r="I963" t="s">
        <v>623</v>
      </c>
      <c r="J963" t="s">
        <v>56</v>
      </c>
      <c r="K963" t="s">
        <v>8</v>
      </c>
      <c r="L963" t="s">
        <v>637</v>
      </c>
      <c r="M963" t="s">
        <v>49</v>
      </c>
      <c r="N963" t="s">
        <v>1738</v>
      </c>
      <c r="O963" t="s">
        <v>1503</v>
      </c>
    </row>
    <row r="964" spans="1:15" x14ac:dyDescent="0.25">
      <c r="A964" t="s">
        <v>1739</v>
      </c>
      <c r="B964" t="s">
        <v>100</v>
      </c>
      <c r="C964" t="s">
        <v>621</v>
      </c>
      <c r="D964" t="s">
        <v>618</v>
      </c>
      <c r="E964" t="s">
        <v>622</v>
      </c>
      <c r="F964" s="213" t="s">
        <v>56</v>
      </c>
      <c r="G964" t="s">
        <v>66</v>
      </c>
      <c r="H964" t="s">
        <v>84</v>
      </c>
      <c r="I964" t="s">
        <v>623</v>
      </c>
      <c r="J964" t="s">
        <v>56</v>
      </c>
      <c r="K964" t="s">
        <v>6</v>
      </c>
      <c r="L964" t="s">
        <v>639</v>
      </c>
      <c r="M964" t="s">
        <v>49</v>
      </c>
      <c r="N964" t="s">
        <v>1224</v>
      </c>
      <c r="O964" t="s">
        <v>1492</v>
      </c>
    </row>
    <row r="965" spans="1:15" x14ac:dyDescent="0.25">
      <c r="A965" t="s">
        <v>1740</v>
      </c>
      <c r="B965" t="s">
        <v>100</v>
      </c>
      <c r="C965" t="s">
        <v>621</v>
      </c>
      <c r="D965" t="s">
        <v>618</v>
      </c>
      <c r="E965" t="s">
        <v>622</v>
      </c>
      <c r="F965" s="213" t="s">
        <v>56</v>
      </c>
      <c r="G965" t="s">
        <v>66</v>
      </c>
      <c r="H965" t="s">
        <v>84</v>
      </c>
      <c r="I965" t="s">
        <v>623</v>
      </c>
      <c r="J965" t="s">
        <v>56</v>
      </c>
      <c r="K965" t="s">
        <v>4</v>
      </c>
      <c r="L965" t="s">
        <v>662</v>
      </c>
      <c r="M965" t="s">
        <v>49</v>
      </c>
      <c r="N965" t="s">
        <v>1108</v>
      </c>
      <c r="O965" t="s">
        <v>1691</v>
      </c>
    </row>
    <row r="966" spans="1:15" x14ac:dyDescent="0.25">
      <c r="A966" t="s">
        <v>1741</v>
      </c>
      <c r="B966" t="s">
        <v>100</v>
      </c>
      <c r="C966" t="s">
        <v>621</v>
      </c>
      <c r="D966" t="s">
        <v>618</v>
      </c>
      <c r="E966" t="s">
        <v>622</v>
      </c>
      <c r="F966" s="213" t="s">
        <v>56</v>
      </c>
      <c r="G966" t="s">
        <v>66</v>
      </c>
      <c r="H966" t="s">
        <v>84</v>
      </c>
      <c r="I966" t="s">
        <v>623</v>
      </c>
      <c r="J966" t="s">
        <v>56</v>
      </c>
      <c r="K966" t="s">
        <v>2</v>
      </c>
      <c r="L966" t="s">
        <v>749</v>
      </c>
      <c r="M966" t="s">
        <v>49</v>
      </c>
      <c r="N966" t="s">
        <v>419</v>
      </c>
      <c r="O966" t="s">
        <v>1497</v>
      </c>
    </row>
    <row r="967" spans="1:15" x14ac:dyDescent="0.25">
      <c r="A967" t="s">
        <v>1742</v>
      </c>
      <c r="B967" t="s">
        <v>100</v>
      </c>
      <c r="C967" t="s">
        <v>621</v>
      </c>
      <c r="D967" t="s">
        <v>618</v>
      </c>
      <c r="E967" t="s">
        <v>622</v>
      </c>
      <c r="F967" s="213" t="s">
        <v>56</v>
      </c>
      <c r="G967" t="s">
        <v>66</v>
      </c>
      <c r="H967" t="s">
        <v>84</v>
      </c>
      <c r="I967" t="s">
        <v>623</v>
      </c>
      <c r="J967" t="s">
        <v>56</v>
      </c>
      <c r="K967" t="s">
        <v>24</v>
      </c>
      <c r="L967" t="s">
        <v>807</v>
      </c>
      <c r="M967" t="s">
        <v>49</v>
      </c>
      <c r="N967" t="s">
        <v>1405</v>
      </c>
      <c r="O967" t="s">
        <v>1497</v>
      </c>
    </row>
    <row r="968" spans="1:15" x14ac:dyDescent="0.25">
      <c r="A968" t="s">
        <v>1743</v>
      </c>
      <c r="B968" t="s">
        <v>100</v>
      </c>
      <c r="C968" t="s">
        <v>621</v>
      </c>
      <c r="D968" t="s">
        <v>618</v>
      </c>
      <c r="E968" t="s">
        <v>622</v>
      </c>
      <c r="F968" s="213" t="s">
        <v>56</v>
      </c>
      <c r="G968" t="s">
        <v>66</v>
      </c>
      <c r="H968" t="s">
        <v>84</v>
      </c>
      <c r="I968" t="s">
        <v>623</v>
      </c>
      <c r="J968" t="s">
        <v>56</v>
      </c>
      <c r="K968" t="s">
        <v>25</v>
      </c>
      <c r="L968" t="s">
        <v>827</v>
      </c>
      <c r="M968" t="s">
        <v>49</v>
      </c>
      <c r="N968" t="s">
        <v>625</v>
      </c>
      <c r="O968" t="s">
        <v>1497</v>
      </c>
    </row>
    <row r="969" spans="1:15" x14ac:dyDescent="0.25">
      <c r="A969" t="s">
        <v>1744</v>
      </c>
      <c r="B969" t="s">
        <v>100</v>
      </c>
      <c r="C969" t="s">
        <v>621</v>
      </c>
      <c r="D969" t="s">
        <v>618</v>
      </c>
      <c r="E969" t="s">
        <v>622</v>
      </c>
      <c r="F969" s="213" t="s">
        <v>56</v>
      </c>
      <c r="G969" t="s">
        <v>66</v>
      </c>
      <c r="H969" t="s">
        <v>84</v>
      </c>
      <c r="I969" t="s">
        <v>623</v>
      </c>
      <c r="J969" t="s">
        <v>56</v>
      </c>
      <c r="K969" t="s">
        <v>26</v>
      </c>
      <c r="L969" t="s">
        <v>729</v>
      </c>
      <c r="M969" t="s">
        <v>49</v>
      </c>
      <c r="N969" t="s">
        <v>1745</v>
      </c>
      <c r="O969" t="s">
        <v>1497</v>
      </c>
    </row>
    <row r="970" spans="1:15" x14ac:dyDescent="0.25">
      <c r="A970" t="s">
        <v>1746</v>
      </c>
      <c r="B970" t="s">
        <v>100</v>
      </c>
      <c r="C970" t="s">
        <v>621</v>
      </c>
      <c r="D970" t="s">
        <v>618</v>
      </c>
      <c r="E970" t="s">
        <v>622</v>
      </c>
      <c r="F970" s="213" t="s">
        <v>56</v>
      </c>
      <c r="G970" t="s">
        <v>66</v>
      </c>
      <c r="H970" t="s">
        <v>84</v>
      </c>
      <c r="I970" t="s">
        <v>623</v>
      </c>
      <c r="J970" t="s">
        <v>56</v>
      </c>
      <c r="K970" t="s">
        <v>28</v>
      </c>
      <c r="L970" t="s">
        <v>698</v>
      </c>
      <c r="M970" t="s">
        <v>49</v>
      </c>
      <c r="N970" t="s">
        <v>1082</v>
      </c>
      <c r="O970" t="s">
        <v>1703</v>
      </c>
    </row>
    <row r="971" spans="1:15" x14ac:dyDescent="0.25">
      <c r="A971" t="s">
        <v>1747</v>
      </c>
      <c r="B971" t="s">
        <v>100</v>
      </c>
      <c r="C971" t="s">
        <v>621</v>
      </c>
      <c r="D971" t="s">
        <v>618</v>
      </c>
      <c r="E971" t="s">
        <v>622</v>
      </c>
      <c r="F971" s="213" t="s">
        <v>56</v>
      </c>
      <c r="G971" t="s">
        <v>66</v>
      </c>
      <c r="H971" t="s">
        <v>84</v>
      </c>
      <c r="I971" t="s">
        <v>623</v>
      </c>
      <c r="J971" t="s">
        <v>56</v>
      </c>
      <c r="K971" t="s">
        <v>30</v>
      </c>
      <c r="L971" t="s">
        <v>631</v>
      </c>
      <c r="M971" t="s">
        <v>49</v>
      </c>
      <c r="N971" t="s">
        <v>632</v>
      </c>
      <c r="O971" t="s">
        <v>1497</v>
      </c>
    </row>
    <row r="972" spans="1:15" x14ac:dyDescent="0.25">
      <c r="A972" t="s">
        <v>1748</v>
      </c>
      <c r="B972" t="s">
        <v>100</v>
      </c>
      <c r="C972" t="s">
        <v>621</v>
      </c>
      <c r="D972" t="s">
        <v>618</v>
      </c>
      <c r="E972" t="s">
        <v>622</v>
      </c>
      <c r="F972" s="213" t="s">
        <v>56</v>
      </c>
      <c r="G972" t="s">
        <v>66</v>
      </c>
      <c r="H972" t="s">
        <v>84</v>
      </c>
      <c r="I972" t="s">
        <v>623</v>
      </c>
      <c r="J972" t="s">
        <v>56</v>
      </c>
      <c r="K972" t="s">
        <v>32</v>
      </c>
      <c r="L972" t="s">
        <v>101</v>
      </c>
      <c r="M972" t="s">
        <v>49</v>
      </c>
      <c r="N972" t="s">
        <v>94</v>
      </c>
      <c r="O972" t="s">
        <v>656</v>
      </c>
    </row>
    <row r="973" spans="1:15" x14ac:dyDescent="0.25">
      <c r="A973" t="s">
        <v>1749</v>
      </c>
      <c r="B973" t="s">
        <v>100</v>
      </c>
      <c r="C973" t="s">
        <v>621</v>
      </c>
      <c r="D973" t="s">
        <v>618</v>
      </c>
      <c r="E973" t="s">
        <v>622</v>
      </c>
      <c r="F973" s="213" t="s">
        <v>56</v>
      </c>
      <c r="G973" t="s">
        <v>66</v>
      </c>
      <c r="H973" t="s">
        <v>84</v>
      </c>
      <c r="I973" t="s">
        <v>623</v>
      </c>
      <c r="J973" t="s">
        <v>56</v>
      </c>
      <c r="K973" t="s">
        <v>25</v>
      </c>
      <c r="L973" t="s">
        <v>46</v>
      </c>
      <c r="M973" t="s">
        <v>49</v>
      </c>
      <c r="N973" t="s">
        <v>78</v>
      </c>
      <c r="O973" t="s">
        <v>755</v>
      </c>
    </row>
    <row r="974" spans="1:15" x14ac:dyDescent="0.25">
      <c r="A974" t="s">
        <v>1750</v>
      </c>
      <c r="B974" t="s">
        <v>100</v>
      </c>
      <c r="C974" t="s">
        <v>621</v>
      </c>
      <c r="D974" t="s">
        <v>618</v>
      </c>
      <c r="E974" t="s">
        <v>622</v>
      </c>
      <c r="F974" s="213" t="s">
        <v>56</v>
      </c>
      <c r="G974" t="s">
        <v>66</v>
      </c>
      <c r="H974" t="s">
        <v>84</v>
      </c>
      <c r="I974" t="s">
        <v>623</v>
      </c>
      <c r="J974" t="s">
        <v>56</v>
      </c>
      <c r="K974" t="s">
        <v>28</v>
      </c>
      <c r="L974" t="s">
        <v>39</v>
      </c>
      <c r="M974" t="s">
        <v>49</v>
      </c>
      <c r="N974" t="s">
        <v>34</v>
      </c>
      <c r="O974" t="s">
        <v>1209</v>
      </c>
    </row>
    <row r="975" spans="1:15" x14ac:dyDescent="0.25">
      <c r="A975" t="s">
        <v>1751</v>
      </c>
      <c r="B975" t="s">
        <v>100</v>
      </c>
      <c r="C975" t="s">
        <v>621</v>
      </c>
      <c r="D975" t="s">
        <v>618</v>
      </c>
      <c r="E975" t="s">
        <v>622</v>
      </c>
      <c r="F975" s="213" t="s">
        <v>56</v>
      </c>
      <c r="G975" t="s">
        <v>66</v>
      </c>
      <c r="H975" t="s">
        <v>84</v>
      </c>
      <c r="I975" t="s">
        <v>623</v>
      </c>
      <c r="J975" t="s">
        <v>56</v>
      </c>
      <c r="K975" t="s">
        <v>30</v>
      </c>
      <c r="L975" t="s">
        <v>35</v>
      </c>
      <c r="M975" t="s">
        <v>49</v>
      </c>
      <c r="N975" t="s">
        <v>30</v>
      </c>
      <c r="O975" t="s">
        <v>1344</v>
      </c>
    </row>
    <row r="976" spans="1:15" x14ac:dyDescent="0.25">
      <c r="A976" t="s">
        <v>1752</v>
      </c>
      <c r="B976" t="s">
        <v>100</v>
      </c>
      <c r="C976" t="s">
        <v>621</v>
      </c>
      <c r="D976" t="s">
        <v>618</v>
      </c>
      <c r="E976" t="s">
        <v>622</v>
      </c>
      <c r="F976" s="213" t="s">
        <v>56</v>
      </c>
      <c r="G976" t="s">
        <v>66</v>
      </c>
      <c r="H976" t="s">
        <v>84</v>
      </c>
      <c r="I976" t="s">
        <v>623</v>
      </c>
      <c r="J976" t="s">
        <v>56</v>
      </c>
      <c r="K976" t="s">
        <v>30</v>
      </c>
      <c r="L976" t="s">
        <v>624</v>
      </c>
      <c r="M976" t="s">
        <v>47</v>
      </c>
      <c r="N976" t="s">
        <v>1753</v>
      </c>
      <c r="O976" t="s">
        <v>628</v>
      </c>
    </row>
    <row r="977" spans="1:15" x14ac:dyDescent="0.25">
      <c r="A977" t="s">
        <v>1754</v>
      </c>
      <c r="B977" t="s">
        <v>100</v>
      </c>
      <c r="C977" t="s">
        <v>621</v>
      </c>
      <c r="D977" t="s">
        <v>618</v>
      </c>
      <c r="E977" t="s">
        <v>622</v>
      </c>
      <c r="F977" s="213" t="s">
        <v>56</v>
      </c>
      <c r="G977" t="s">
        <v>66</v>
      </c>
      <c r="H977" t="s">
        <v>84</v>
      </c>
      <c r="I977" t="s">
        <v>623</v>
      </c>
      <c r="J977" t="s">
        <v>56</v>
      </c>
      <c r="K977" t="s">
        <v>31</v>
      </c>
      <c r="L977" t="s">
        <v>654</v>
      </c>
      <c r="M977" t="s">
        <v>47</v>
      </c>
      <c r="N977" t="s">
        <v>1584</v>
      </c>
      <c r="O977" t="s">
        <v>642</v>
      </c>
    </row>
    <row r="978" spans="1:15" x14ac:dyDescent="0.25">
      <c r="A978" t="s">
        <v>1755</v>
      </c>
      <c r="B978" t="s">
        <v>100</v>
      </c>
      <c r="C978" t="s">
        <v>621</v>
      </c>
      <c r="D978" t="s">
        <v>618</v>
      </c>
      <c r="E978" t="s">
        <v>622</v>
      </c>
      <c r="F978" s="213" t="s">
        <v>56</v>
      </c>
      <c r="G978" t="s">
        <v>66</v>
      </c>
      <c r="H978" t="s">
        <v>84</v>
      </c>
      <c r="I978" t="s">
        <v>623</v>
      </c>
      <c r="J978" t="s">
        <v>56</v>
      </c>
      <c r="K978" t="s">
        <v>33</v>
      </c>
      <c r="L978" t="s">
        <v>418</v>
      </c>
      <c r="M978" t="s">
        <v>47</v>
      </c>
      <c r="N978" t="s">
        <v>71</v>
      </c>
      <c r="O978" t="s">
        <v>875</v>
      </c>
    </row>
    <row r="979" spans="1:15" x14ac:dyDescent="0.25">
      <c r="A979" t="s">
        <v>1756</v>
      </c>
      <c r="B979" t="s">
        <v>100</v>
      </c>
      <c r="C979" t="s">
        <v>621</v>
      </c>
      <c r="D979" t="s">
        <v>618</v>
      </c>
      <c r="E979" t="s">
        <v>622</v>
      </c>
      <c r="F979" s="213" t="s">
        <v>56</v>
      </c>
      <c r="G979" t="s">
        <v>66</v>
      </c>
      <c r="H979" t="s">
        <v>84</v>
      </c>
      <c r="I979" t="s">
        <v>623</v>
      </c>
      <c r="J979" t="s">
        <v>56</v>
      </c>
      <c r="K979" t="s">
        <v>23</v>
      </c>
      <c r="L979" t="s">
        <v>630</v>
      </c>
      <c r="M979" t="s">
        <v>47</v>
      </c>
      <c r="N979" t="s">
        <v>18</v>
      </c>
      <c r="O979" t="s">
        <v>1757</v>
      </c>
    </row>
    <row r="980" spans="1:15" x14ac:dyDescent="0.25">
      <c r="A980" t="s">
        <v>1758</v>
      </c>
      <c r="B980" t="s">
        <v>100</v>
      </c>
      <c r="C980" t="s">
        <v>621</v>
      </c>
      <c r="D980" t="s">
        <v>618</v>
      </c>
      <c r="E980" t="s">
        <v>622</v>
      </c>
      <c r="F980" s="213" t="s">
        <v>56</v>
      </c>
      <c r="G980" t="s">
        <v>66</v>
      </c>
      <c r="H980" t="s">
        <v>84</v>
      </c>
      <c r="I980" t="s">
        <v>623</v>
      </c>
      <c r="J980" t="s">
        <v>56</v>
      </c>
      <c r="K980" t="s">
        <v>20</v>
      </c>
      <c r="L980" t="s">
        <v>625</v>
      </c>
      <c r="M980" t="s">
        <v>47</v>
      </c>
      <c r="N980" t="s">
        <v>13</v>
      </c>
      <c r="O980" t="s">
        <v>1619</v>
      </c>
    </row>
    <row r="981" spans="1:15" x14ac:dyDescent="0.25">
      <c r="A981" t="s">
        <v>1759</v>
      </c>
      <c r="B981" t="s">
        <v>100</v>
      </c>
      <c r="C981" t="s">
        <v>621</v>
      </c>
      <c r="D981" t="s">
        <v>618</v>
      </c>
      <c r="E981" t="s">
        <v>622</v>
      </c>
      <c r="F981" s="213" t="s">
        <v>56</v>
      </c>
      <c r="G981" t="s">
        <v>66</v>
      </c>
      <c r="H981" t="s">
        <v>84</v>
      </c>
      <c r="I981" t="s">
        <v>623</v>
      </c>
      <c r="J981" t="s">
        <v>56</v>
      </c>
      <c r="K981" t="s">
        <v>16</v>
      </c>
      <c r="L981" t="s">
        <v>632</v>
      </c>
      <c r="M981" t="s">
        <v>47</v>
      </c>
      <c r="N981" t="s">
        <v>60</v>
      </c>
      <c r="O981" t="s">
        <v>1231</v>
      </c>
    </row>
    <row r="982" spans="1:15" x14ac:dyDescent="0.25">
      <c r="A982" t="s">
        <v>1760</v>
      </c>
      <c r="B982" t="s">
        <v>100</v>
      </c>
      <c r="C982" t="s">
        <v>621</v>
      </c>
      <c r="D982" t="s">
        <v>618</v>
      </c>
      <c r="E982" t="s">
        <v>622</v>
      </c>
      <c r="F982" s="213" t="s">
        <v>56</v>
      </c>
      <c r="G982" t="s">
        <v>66</v>
      </c>
      <c r="H982" t="s">
        <v>84</v>
      </c>
      <c r="I982" t="s">
        <v>623</v>
      </c>
      <c r="J982" t="s">
        <v>56</v>
      </c>
      <c r="K982" t="s">
        <v>13</v>
      </c>
      <c r="L982" t="s">
        <v>629</v>
      </c>
      <c r="M982" t="s">
        <v>47</v>
      </c>
      <c r="N982" t="s">
        <v>56</v>
      </c>
      <c r="O982" t="s">
        <v>812</v>
      </c>
    </row>
    <row r="983" spans="1:15" x14ac:dyDescent="0.25">
      <c r="A983" t="s">
        <v>1761</v>
      </c>
      <c r="B983" t="s">
        <v>100</v>
      </c>
      <c r="C983" t="s">
        <v>621</v>
      </c>
      <c r="D983" t="s">
        <v>618</v>
      </c>
      <c r="E983" t="s">
        <v>622</v>
      </c>
      <c r="F983" s="213" t="s">
        <v>56</v>
      </c>
      <c r="G983" t="s">
        <v>66</v>
      </c>
      <c r="H983" t="s">
        <v>84</v>
      </c>
      <c r="I983" t="s">
        <v>623</v>
      </c>
      <c r="J983" t="s">
        <v>56</v>
      </c>
      <c r="K983" t="s">
        <v>10</v>
      </c>
      <c r="L983" t="s">
        <v>695</v>
      </c>
      <c r="M983" t="s">
        <v>47</v>
      </c>
      <c r="N983" t="s">
        <v>1691</v>
      </c>
      <c r="O983" t="s">
        <v>654</v>
      </c>
    </row>
    <row r="984" spans="1:15" x14ac:dyDescent="0.25">
      <c r="A984" t="s">
        <v>1762</v>
      </c>
      <c r="B984" t="s">
        <v>100</v>
      </c>
      <c r="C984" t="s">
        <v>621</v>
      </c>
      <c r="D984" t="s">
        <v>618</v>
      </c>
      <c r="E984" t="s">
        <v>622</v>
      </c>
      <c r="F984" s="213" t="s">
        <v>56</v>
      </c>
      <c r="G984" t="s">
        <v>66</v>
      </c>
      <c r="H984" t="s">
        <v>84</v>
      </c>
      <c r="I984" t="s">
        <v>623</v>
      </c>
      <c r="J984" t="s">
        <v>56</v>
      </c>
      <c r="K984" t="s">
        <v>8</v>
      </c>
      <c r="L984" t="s">
        <v>656</v>
      </c>
      <c r="M984" t="s">
        <v>47</v>
      </c>
      <c r="N984" t="s">
        <v>1181</v>
      </c>
      <c r="O984" t="s">
        <v>1492</v>
      </c>
    </row>
    <row r="985" spans="1:15" x14ac:dyDescent="0.25">
      <c r="A985" t="s">
        <v>1763</v>
      </c>
      <c r="B985" t="s">
        <v>100</v>
      </c>
      <c r="C985" t="s">
        <v>621</v>
      </c>
      <c r="D985" t="s">
        <v>618</v>
      </c>
      <c r="E985" t="s">
        <v>622</v>
      </c>
      <c r="F985" s="213" t="s">
        <v>56</v>
      </c>
      <c r="G985" t="s">
        <v>66</v>
      </c>
      <c r="H985" t="s">
        <v>84</v>
      </c>
      <c r="I985" t="s">
        <v>623</v>
      </c>
      <c r="J985" t="s">
        <v>56</v>
      </c>
      <c r="K985" t="s">
        <v>6</v>
      </c>
      <c r="L985" t="s">
        <v>809</v>
      </c>
      <c r="M985" t="s">
        <v>47</v>
      </c>
      <c r="N985" t="s">
        <v>84</v>
      </c>
      <c r="O985" t="s">
        <v>627</v>
      </c>
    </row>
    <row r="986" spans="1:15" x14ac:dyDescent="0.25">
      <c r="A986" t="s">
        <v>1764</v>
      </c>
      <c r="B986" t="s">
        <v>100</v>
      </c>
      <c r="C986" t="s">
        <v>621</v>
      </c>
      <c r="D986" t="s">
        <v>618</v>
      </c>
      <c r="E986" t="s">
        <v>622</v>
      </c>
      <c r="F986" s="213" t="s">
        <v>56</v>
      </c>
      <c r="G986" t="s">
        <v>66</v>
      </c>
      <c r="H986" t="s">
        <v>84</v>
      </c>
      <c r="I986" t="s">
        <v>623</v>
      </c>
      <c r="J986" t="s">
        <v>56</v>
      </c>
      <c r="K986" t="s">
        <v>4</v>
      </c>
      <c r="L986" t="s">
        <v>644</v>
      </c>
      <c r="M986" t="s">
        <v>47</v>
      </c>
      <c r="N986" t="s">
        <v>76</v>
      </c>
      <c r="O986" t="s">
        <v>975</v>
      </c>
    </row>
    <row r="987" spans="1:15" x14ac:dyDescent="0.25">
      <c r="A987" t="s">
        <v>1765</v>
      </c>
      <c r="B987" t="s">
        <v>100</v>
      </c>
      <c r="C987" t="s">
        <v>621</v>
      </c>
      <c r="D987" t="s">
        <v>618</v>
      </c>
      <c r="E987" t="s">
        <v>622</v>
      </c>
      <c r="F987" s="213" t="s">
        <v>56</v>
      </c>
      <c r="G987" t="s">
        <v>66</v>
      </c>
      <c r="H987" t="s">
        <v>84</v>
      </c>
      <c r="I987" t="s">
        <v>623</v>
      </c>
      <c r="J987" t="s">
        <v>56</v>
      </c>
      <c r="K987" t="s">
        <v>2</v>
      </c>
      <c r="L987" t="s">
        <v>735</v>
      </c>
      <c r="M987" t="s">
        <v>47</v>
      </c>
      <c r="N987" t="s">
        <v>1766</v>
      </c>
      <c r="O987" t="s">
        <v>1451</v>
      </c>
    </row>
    <row r="988" spans="1:15" x14ac:dyDescent="0.25">
      <c r="A988" t="s">
        <v>1767</v>
      </c>
      <c r="B988" t="s">
        <v>100</v>
      </c>
      <c r="C988" t="s">
        <v>621</v>
      </c>
      <c r="D988" t="s">
        <v>618</v>
      </c>
      <c r="E988" t="s">
        <v>622</v>
      </c>
      <c r="F988" s="213" t="s">
        <v>56</v>
      </c>
      <c r="G988" t="s">
        <v>66</v>
      </c>
      <c r="H988" t="s">
        <v>84</v>
      </c>
      <c r="I988" t="s">
        <v>623</v>
      </c>
      <c r="J988" t="s">
        <v>56</v>
      </c>
      <c r="K988" t="s">
        <v>1</v>
      </c>
      <c r="L988" t="s">
        <v>741</v>
      </c>
      <c r="M988" t="s">
        <v>47</v>
      </c>
      <c r="N988" t="s">
        <v>96</v>
      </c>
      <c r="O988" t="s">
        <v>695</v>
      </c>
    </row>
    <row r="989" spans="1:15" x14ac:dyDescent="0.25">
      <c r="A989" t="s">
        <v>1768</v>
      </c>
      <c r="B989" t="s">
        <v>100</v>
      </c>
      <c r="C989" t="s">
        <v>621</v>
      </c>
      <c r="D989" t="s">
        <v>618</v>
      </c>
      <c r="E989" t="s">
        <v>622</v>
      </c>
      <c r="F989" s="213" t="s">
        <v>56</v>
      </c>
      <c r="G989" t="s">
        <v>66</v>
      </c>
      <c r="H989" t="s">
        <v>84</v>
      </c>
      <c r="I989" t="s">
        <v>623</v>
      </c>
      <c r="J989" t="s">
        <v>56</v>
      </c>
      <c r="K989" t="s">
        <v>27</v>
      </c>
      <c r="L989" t="s">
        <v>626</v>
      </c>
      <c r="M989" t="s">
        <v>50</v>
      </c>
      <c r="N989" t="s">
        <v>1558</v>
      </c>
      <c r="O989" t="s">
        <v>1691</v>
      </c>
    </row>
    <row r="990" spans="1:15" x14ac:dyDescent="0.25">
      <c r="A990" t="s">
        <v>1769</v>
      </c>
      <c r="B990" t="s">
        <v>100</v>
      </c>
      <c r="C990" t="s">
        <v>621</v>
      </c>
      <c r="D990" t="s">
        <v>618</v>
      </c>
      <c r="E990" t="s">
        <v>622</v>
      </c>
      <c r="F990" s="213" t="s">
        <v>56</v>
      </c>
      <c r="G990" t="s">
        <v>66</v>
      </c>
      <c r="H990" t="s">
        <v>84</v>
      </c>
      <c r="I990" t="s">
        <v>623</v>
      </c>
      <c r="J990" t="s">
        <v>56</v>
      </c>
      <c r="K990" t="s">
        <v>25</v>
      </c>
      <c r="L990" t="s">
        <v>628</v>
      </c>
      <c r="M990" t="s">
        <v>50</v>
      </c>
      <c r="N990" t="s">
        <v>1381</v>
      </c>
      <c r="O990" t="s">
        <v>1691</v>
      </c>
    </row>
    <row r="991" spans="1:15" x14ac:dyDescent="0.25">
      <c r="A991" t="s">
        <v>1770</v>
      </c>
      <c r="B991" t="s">
        <v>100</v>
      </c>
      <c r="C991" t="s">
        <v>621</v>
      </c>
      <c r="D991" t="s">
        <v>618</v>
      </c>
      <c r="E991" t="s">
        <v>622</v>
      </c>
      <c r="F991" s="213" t="s">
        <v>56</v>
      </c>
      <c r="G991" t="s">
        <v>66</v>
      </c>
      <c r="H991" t="s">
        <v>84</v>
      </c>
      <c r="I991" t="s">
        <v>623</v>
      </c>
      <c r="J991" t="s">
        <v>56</v>
      </c>
      <c r="K991" t="s">
        <v>22</v>
      </c>
      <c r="L991" t="s">
        <v>630</v>
      </c>
      <c r="M991" t="s">
        <v>50</v>
      </c>
      <c r="N991" t="s">
        <v>628</v>
      </c>
      <c r="O991" t="s">
        <v>1492</v>
      </c>
    </row>
    <row r="992" spans="1:15" x14ac:dyDescent="0.25">
      <c r="A992" t="s">
        <v>1771</v>
      </c>
      <c r="B992" t="s">
        <v>100</v>
      </c>
      <c r="C992" t="s">
        <v>621</v>
      </c>
      <c r="D992" t="s">
        <v>618</v>
      </c>
      <c r="E992" t="s">
        <v>622</v>
      </c>
      <c r="F992" s="213" t="s">
        <v>56</v>
      </c>
      <c r="G992" t="s">
        <v>66</v>
      </c>
      <c r="H992" t="s">
        <v>84</v>
      </c>
      <c r="I992" t="s">
        <v>623</v>
      </c>
      <c r="J992" t="s">
        <v>56</v>
      </c>
      <c r="K992" t="s">
        <v>19</v>
      </c>
      <c r="L992" t="s">
        <v>625</v>
      </c>
      <c r="M992" t="s">
        <v>50</v>
      </c>
      <c r="N992" t="s">
        <v>627</v>
      </c>
      <c r="O992" t="s">
        <v>1503</v>
      </c>
    </row>
    <row r="993" spans="1:15" x14ac:dyDescent="0.25">
      <c r="A993" t="s">
        <v>1772</v>
      </c>
      <c r="B993" t="s">
        <v>100</v>
      </c>
      <c r="C993" t="s">
        <v>621</v>
      </c>
      <c r="D993" t="s">
        <v>618</v>
      </c>
      <c r="E993" t="s">
        <v>622</v>
      </c>
      <c r="F993" s="213" t="s">
        <v>56</v>
      </c>
      <c r="G993" t="s">
        <v>66</v>
      </c>
      <c r="H993" t="s">
        <v>84</v>
      </c>
      <c r="I993" t="s">
        <v>623</v>
      </c>
      <c r="J993" t="s">
        <v>56</v>
      </c>
      <c r="K993" t="s">
        <v>15</v>
      </c>
      <c r="L993" t="s">
        <v>632</v>
      </c>
      <c r="M993" t="s">
        <v>50</v>
      </c>
      <c r="N993" t="s">
        <v>78</v>
      </c>
      <c r="O993" t="s">
        <v>647</v>
      </c>
    </row>
    <row r="994" spans="1:15" x14ac:dyDescent="0.25">
      <c r="A994" t="s">
        <v>1773</v>
      </c>
      <c r="B994" t="s">
        <v>100</v>
      </c>
      <c r="C994" t="s">
        <v>621</v>
      </c>
      <c r="D994" t="s">
        <v>618</v>
      </c>
      <c r="E994" t="s">
        <v>622</v>
      </c>
      <c r="F994" s="213" t="s">
        <v>56</v>
      </c>
      <c r="G994" t="s">
        <v>66</v>
      </c>
      <c r="H994" t="s">
        <v>84</v>
      </c>
      <c r="I994" t="s">
        <v>623</v>
      </c>
      <c r="J994" t="s">
        <v>56</v>
      </c>
      <c r="K994" t="s">
        <v>12</v>
      </c>
      <c r="L994" t="s">
        <v>629</v>
      </c>
      <c r="M994" t="s">
        <v>50</v>
      </c>
      <c r="N994" t="s">
        <v>705</v>
      </c>
      <c r="O994" t="s">
        <v>1410</v>
      </c>
    </row>
    <row r="995" spans="1:15" x14ac:dyDescent="0.25">
      <c r="A995" t="s">
        <v>1774</v>
      </c>
      <c r="B995" t="s">
        <v>100</v>
      </c>
      <c r="C995" t="s">
        <v>621</v>
      </c>
      <c r="D995" t="s">
        <v>618</v>
      </c>
      <c r="E995" t="s">
        <v>622</v>
      </c>
      <c r="F995" s="213" t="s">
        <v>56</v>
      </c>
      <c r="G995" t="s">
        <v>66</v>
      </c>
      <c r="H995" t="s">
        <v>84</v>
      </c>
      <c r="I995" t="s">
        <v>623</v>
      </c>
      <c r="J995" t="s">
        <v>56</v>
      </c>
      <c r="K995" t="s">
        <v>10</v>
      </c>
      <c r="L995" t="s">
        <v>635</v>
      </c>
      <c r="M995" t="s">
        <v>50</v>
      </c>
      <c r="N995" t="s">
        <v>735</v>
      </c>
      <c r="O995" t="s">
        <v>1503</v>
      </c>
    </row>
    <row r="996" spans="1:15" x14ac:dyDescent="0.25">
      <c r="A996" t="s">
        <v>1775</v>
      </c>
      <c r="B996" t="s">
        <v>100</v>
      </c>
      <c r="C996" t="s">
        <v>621</v>
      </c>
      <c r="D996" t="s">
        <v>618</v>
      </c>
      <c r="E996" t="s">
        <v>622</v>
      </c>
      <c r="F996" s="213" t="s">
        <v>56</v>
      </c>
      <c r="G996" t="s">
        <v>66</v>
      </c>
      <c r="H996" t="s">
        <v>84</v>
      </c>
      <c r="I996" t="s">
        <v>623</v>
      </c>
      <c r="J996" t="s">
        <v>56</v>
      </c>
      <c r="K996" t="s">
        <v>8</v>
      </c>
      <c r="L996" t="s">
        <v>637</v>
      </c>
      <c r="M996" t="s">
        <v>50</v>
      </c>
      <c r="N996" t="s">
        <v>1075</v>
      </c>
      <c r="O996" t="s">
        <v>1703</v>
      </c>
    </row>
    <row r="997" spans="1:15" x14ac:dyDescent="0.25">
      <c r="A997" t="s">
        <v>1776</v>
      </c>
      <c r="B997" t="s">
        <v>100</v>
      </c>
      <c r="C997" t="s">
        <v>621</v>
      </c>
      <c r="D997" t="s">
        <v>618</v>
      </c>
      <c r="E997" t="s">
        <v>622</v>
      </c>
      <c r="F997" s="213" t="s">
        <v>56</v>
      </c>
      <c r="G997" t="s">
        <v>66</v>
      </c>
      <c r="H997" t="s">
        <v>84</v>
      </c>
      <c r="I997" t="s">
        <v>623</v>
      </c>
      <c r="J997" t="s">
        <v>56</v>
      </c>
      <c r="K997" t="s">
        <v>6</v>
      </c>
      <c r="L997" t="s">
        <v>639</v>
      </c>
      <c r="M997" t="s">
        <v>50</v>
      </c>
      <c r="N997" t="s">
        <v>1291</v>
      </c>
      <c r="O997" t="s">
        <v>1691</v>
      </c>
    </row>
    <row r="998" spans="1:15" x14ac:dyDescent="0.25">
      <c r="A998" t="s">
        <v>1777</v>
      </c>
      <c r="B998" t="s">
        <v>100</v>
      </c>
      <c r="C998" t="s">
        <v>621</v>
      </c>
      <c r="D998" t="s">
        <v>618</v>
      </c>
      <c r="E998" t="s">
        <v>622</v>
      </c>
      <c r="F998" s="213" t="s">
        <v>56</v>
      </c>
      <c r="G998" t="s">
        <v>66</v>
      </c>
      <c r="H998" t="s">
        <v>84</v>
      </c>
      <c r="I998" t="s">
        <v>623</v>
      </c>
      <c r="J998" t="s">
        <v>56</v>
      </c>
      <c r="K998" t="s">
        <v>4</v>
      </c>
      <c r="L998" t="s">
        <v>662</v>
      </c>
      <c r="M998" t="s">
        <v>50</v>
      </c>
      <c r="N998" t="s">
        <v>1055</v>
      </c>
      <c r="O998" t="s">
        <v>1703</v>
      </c>
    </row>
    <row r="999" spans="1:15" x14ac:dyDescent="0.25">
      <c r="A999" t="s">
        <v>1778</v>
      </c>
      <c r="B999" t="s">
        <v>100</v>
      </c>
      <c r="C999" t="s">
        <v>621</v>
      </c>
      <c r="D999" t="s">
        <v>618</v>
      </c>
      <c r="E999" t="s">
        <v>622</v>
      </c>
      <c r="F999" s="213" t="s">
        <v>56</v>
      </c>
      <c r="G999" t="s">
        <v>66</v>
      </c>
      <c r="H999" t="s">
        <v>84</v>
      </c>
      <c r="I999" t="s">
        <v>623</v>
      </c>
      <c r="J999" t="s">
        <v>56</v>
      </c>
      <c r="K999" t="s">
        <v>2</v>
      </c>
      <c r="L999" t="s">
        <v>749</v>
      </c>
      <c r="M999" t="s">
        <v>50</v>
      </c>
      <c r="N999" t="s">
        <v>1278</v>
      </c>
      <c r="O999" t="s">
        <v>1492</v>
      </c>
    </row>
    <row r="1000" spans="1:15" x14ac:dyDescent="0.25">
      <c r="A1000" t="s">
        <v>1779</v>
      </c>
      <c r="B1000" t="s">
        <v>100</v>
      </c>
      <c r="C1000" t="s">
        <v>621</v>
      </c>
      <c r="D1000" t="s">
        <v>618</v>
      </c>
      <c r="E1000" t="s">
        <v>622</v>
      </c>
      <c r="F1000" s="213" t="s">
        <v>56</v>
      </c>
      <c r="G1000" t="s">
        <v>66</v>
      </c>
      <c r="H1000" t="s">
        <v>84</v>
      </c>
      <c r="I1000" t="s">
        <v>623</v>
      </c>
      <c r="J1000" t="s">
        <v>56</v>
      </c>
      <c r="K1000" t="s">
        <v>24</v>
      </c>
      <c r="L1000" t="s">
        <v>807</v>
      </c>
      <c r="M1000" t="s">
        <v>50</v>
      </c>
      <c r="N1000" t="s">
        <v>1294</v>
      </c>
      <c r="O1000" t="s">
        <v>1492</v>
      </c>
    </row>
    <row r="1001" spans="1:15" x14ac:dyDescent="0.25">
      <c r="A1001" t="s">
        <v>1780</v>
      </c>
      <c r="B1001" t="s">
        <v>100</v>
      </c>
      <c r="C1001" t="s">
        <v>621</v>
      </c>
      <c r="D1001" t="s">
        <v>618</v>
      </c>
      <c r="E1001" t="s">
        <v>622</v>
      </c>
      <c r="F1001" s="213" t="s">
        <v>56</v>
      </c>
      <c r="G1001" t="s">
        <v>66</v>
      </c>
      <c r="H1001" t="s">
        <v>84</v>
      </c>
      <c r="I1001" t="s">
        <v>623</v>
      </c>
      <c r="J1001" t="s">
        <v>56</v>
      </c>
      <c r="K1001" t="s">
        <v>25</v>
      </c>
      <c r="L1001" t="s">
        <v>827</v>
      </c>
      <c r="M1001" t="s">
        <v>50</v>
      </c>
      <c r="N1001" t="s">
        <v>1698</v>
      </c>
      <c r="O1001" t="s">
        <v>1492</v>
      </c>
    </row>
  </sheetData>
  <phoneticPr fontId="31" type="noConversion"/>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211"/>
  <dimension ref="C1:EK660"/>
  <sheetViews>
    <sheetView topLeftCell="BQ1" zoomScaleNormal="100" zoomScaleSheetLayoutView="50" workbookViewId="0">
      <selection activeCell="CG10" sqref="CG10"/>
    </sheetView>
  </sheetViews>
  <sheetFormatPr defaultColWidth="4.7109375" defaultRowHeight="22.9" customHeight="1" x14ac:dyDescent="0.25"/>
  <cols>
    <col min="4" max="5" width="4.7109375" customWidth="1"/>
    <col min="8" max="9" width="4.7109375" customWidth="1"/>
    <col min="11" max="11" width="4.7109375" customWidth="1"/>
    <col min="16" max="16" width="4.5703125" style="176" customWidth="1"/>
    <col min="17" max="17" width="5.28515625" bestFit="1" customWidth="1"/>
    <col min="23" max="23" width="4.5703125" customWidth="1"/>
    <col min="30" max="30" width="4.7109375" customWidth="1"/>
    <col min="37" max="37" width="4.7109375" customWidth="1"/>
    <col min="51" max="51" width="4.85546875" customWidth="1"/>
    <col min="52" max="52" width="5.5703125" customWidth="1"/>
    <col min="53" max="54" width="4.7109375" customWidth="1"/>
    <col min="59" max="59" width="6.28515625" bestFit="1" customWidth="1"/>
    <col min="61" max="64" width="4.7109375" customWidth="1"/>
    <col min="69" max="69" width="5.140625" customWidth="1"/>
    <col min="83" max="83" width="5.42578125" customWidth="1"/>
    <col min="84" max="84" width="4.85546875" bestFit="1" customWidth="1"/>
    <col min="85" max="85" width="5.5703125" bestFit="1" customWidth="1"/>
    <col min="87" max="87" width="5.28515625" bestFit="1" customWidth="1"/>
    <col min="92" max="92" width="6.140625" customWidth="1"/>
    <col min="96" max="96" width="5.5703125" bestFit="1" customWidth="1"/>
    <col min="114" max="114" width="4.85546875" bestFit="1" customWidth="1"/>
    <col min="118" max="118" width="4.85546875" bestFit="1" customWidth="1"/>
    <col min="119" max="119" width="4" customWidth="1"/>
    <col min="120" max="121" width="4.85546875" bestFit="1" customWidth="1"/>
    <col min="123" max="131" width="4.85546875" bestFit="1" customWidth="1"/>
    <col min="133" max="134" width="4.85546875" bestFit="1" customWidth="1"/>
  </cols>
  <sheetData>
    <row r="1" spans="10:136" ht="22.9" customHeight="1" thickBot="1" x14ac:dyDescent="0.3"/>
    <row r="2" spans="10:136" ht="22.9" customHeight="1" thickTop="1" thickBot="1" x14ac:dyDescent="0.3">
      <c r="O2" s="239" t="s">
        <v>592</v>
      </c>
      <c r="P2" s="240"/>
      <c r="Q2" s="240"/>
      <c r="R2" s="240"/>
      <c r="S2" s="240"/>
      <c r="T2" s="240"/>
      <c r="U2" s="241"/>
      <c r="CF2" s="239">
        <v>0</v>
      </c>
      <c r="CG2" s="240"/>
      <c r="CH2" s="240"/>
      <c r="CI2" s="240"/>
      <c r="CJ2" s="240"/>
      <c r="CK2" s="240"/>
      <c r="CL2" s="241"/>
    </row>
    <row r="3" spans="10:136" ht="22.9" customHeight="1" thickTop="1" x14ac:dyDescent="0.25">
      <c r="O3" s="115">
        <f ca="1">K10</f>
        <v>1.89</v>
      </c>
      <c r="P3" s="177" t="s">
        <v>106</v>
      </c>
      <c r="Q3" s="117" t="s">
        <v>106</v>
      </c>
      <c r="R3" s="118" t="s">
        <v>106</v>
      </c>
      <c r="S3" s="119" t="str">
        <f>Изопрайса</f>
        <v>R</v>
      </c>
      <c r="T3" s="120" t="str">
        <f>Изопрайса</f>
        <v>R</v>
      </c>
      <c r="U3" s="121" t="str">
        <f>Изопрайса</f>
        <v>R</v>
      </c>
      <c r="CF3" s="115">
        <f ca="1">CG9</f>
        <v>2.7142857142857144</v>
      </c>
      <c r="CG3" s="116" t="s">
        <v>106</v>
      </c>
      <c r="CH3" s="117" t="s">
        <v>106</v>
      </c>
      <c r="CI3" s="118" t="s">
        <v>108</v>
      </c>
      <c r="CJ3" s="119" t="str">
        <f>Изопрайса</f>
        <v>R</v>
      </c>
      <c r="CK3" s="120" t="str">
        <f>Изопрайса</f>
        <v>R</v>
      </c>
      <c r="CL3" s="121" t="str">
        <f>Изопрайса</f>
        <v>Y</v>
      </c>
    </row>
    <row r="4" spans="10:136" ht="22.9" customHeight="1" thickBot="1" x14ac:dyDescent="0.3">
      <c r="O4" s="46">
        <f ca="1">V9</f>
        <v>3.55</v>
      </c>
      <c r="P4" s="178" t="s">
        <v>107</v>
      </c>
      <c r="Q4" s="48" t="s">
        <v>106</v>
      </c>
      <c r="R4" s="49" t="s">
        <v>106</v>
      </c>
      <c r="S4" s="50" t="str">
        <f>Изопрайса</f>
        <v>T</v>
      </c>
      <c r="T4" s="51" t="str">
        <f>Изопрайса</f>
        <v>R</v>
      </c>
      <c r="U4" s="52" t="str">
        <f>Изопрайса</f>
        <v>R</v>
      </c>
      <c r="CF4" s="46">
        <f ca="1">CN9</f>
        <v>2.5</v>
      </c>
      <c r="CG4" s="47" t="s">
        <v>106</v>
      </c>
      <c r="CH4" s="48" t="s">
        <v>106</v>
      </c>
      <c r="CI4" s="49" t="s">
        <v>108</v>
      </c>
      <c r="CJ4" s="50" t="str">
        <f>Изопрайса</f>
        <v>R</v>
      </c>
      <c r="CK4" s="51" t="str">
        <f>Изопрайса</f>
        <v>R</v>
      </c>
      <c r="CL4" s="52" t="str">
        <f>Изопрайса</f>
        <v>Y</v>
      </c>
    </row>
    <row r="5" spans="10:136" ht="22.9" customHeight="1" thickBot="1" x14ac:dyDescent="0.3">
      <c r="O5" s="53">
        <f ca="1">Матрица_Расчёт</f>
        <v>2.5499999999999998</v>
      </c>
      <c r="P5" s="179" t="s">
        <v>105</v>
      </c>
      <c r="Q5" s="55" t="s">
        <v>107</v>
      </c>
      <c r="R5" s="56" t="s">
        <v>106</v>
      </c>
      <c r="S5" s="57" t="str">
        <f>Изопрайса</f>
        <v>E</v>
      </c>
      <c r="T5" s="58" t="str">
        <f>Изопрайса</f>
        <v>T</v>
      </c>
      <c r="U5" s="59" t="str">
        <f>Изопрайса</f>
        <v>R</v>
      </c>
      <c r="W5" t="s">
        <v>586</v>
      </c>
      <c r="CD5" s="194"/>
      <c r="CE5" s="146"/>
      <c r="CF5" s="53">
        <f ca="1">Матрица_Расчёт</f>
        <v>2.63</v>
      </c>
      <c r="CG5" s="54" t="s">
        <v>107</v>
      </c>
      <c r="CH5" s="55" t="s">
        <v>106</v>
      </c>
      <c r="CI5" s="56" t="s">
        <v>104</v>
      </c>
      <c r="CJ5" s="198" t="str">
        <f>Изопрайса</f>
        <v>T</v>
      </c>
      <c r="CK5" s="199" t="str">
        <f>Изопрайса</f>
        <v>R</v>
      </c>
      <c r="CL5" s="200" t="str">
        <f>Изопрайса</f>
        <v>W</v>
      </c>
      <c r="CM5" s="194"/>
      <c r="CN5" s="194"/>
      <c r="CO5" s="194"/>
      <c r="CP5" s="194"/>
    </row>
    <row r="6" spans="10:136" ht="22.9" customHeight="1" thickTop="1" thickBot="1" x14ac:dyDescent="0.3">
      <c r="BG6" s="194"/>
      <c r="BH6" s="194"/>
      <c r="BI6" s="194"/>
      <c r="BJ6" s="194"/>
      <c r="BK6" s="194"/>
      <c r="CL6" s="194"/>
      <c r="CM6" s="194"/>
      <c r="CN6" s="194"/>
      <c r="CO6" s="194"/>
      <c r="CP6" s="194"/>
      <c r="CQ6" s="194"/>
      <c r="CR6" s="194"/>
      <c r="CS6" s="194"/>
      <c r="CT6" s="194"/>
      <c r="CU6" s="194"/>
      <c r="CV6" s="194"/>
      <c r="CW6" s="194"/>
      <c r="CX6" s="194"/>
      <c r="CY6" s="194"/>
      <c r="CZ6" s="194"/>
      <c r="DA6" s="194"/>
      <c r="DB6" s="194"/>
      <c r="DC6" s="194"/>
      <c r="DD6" s="194"/>
      <c r="DE6" s="194"/>
      <c r="DF6" s="194"/>
      <c r="DG6" s="194"/>
      <c r="DH6" s="194"/>
      <c r="DI6" s="194"/>
      <c r="DJ6" s="194"/>
      <c r="DK6" s="194"/>
      <c r="DL6" s="194"/>
      <c r="DM6" s="194"/>
      <c r="DN6" s="194"/>
      <c r="DO6" s="194"/>
      <c r="DT6" s="193"/>
      <c r="DU6" s="193"/>
      <c r="DV6" s="193"/>
      <c r="DW6" s="193"/>
      <c r="DX6" s="193"/>
      <c r="DY6" s="193"/>
    </row>
    <row r="7" spans="10:136" ht="22.9" customHeight="1" thickTop="1" thickBot="1" x14ac:dyDescent="0.3">
      <c r="K7" s="239" t="s">
        <v>593</v>
      </c>
      <c r="L7" s="240"/>
      <c r="M7" s="240"/>
      <c r="N7" s="240"/>
      <c r="O7" s="240"/>
      <c r="P7" s="240"/>
      <c r="Q7" s="241"/>
      <c r="S7" s="239" t="s">
        <v>594</v>
      </c>
      <c r="T7" s="240"/>
      <c r="U7" s="240"/>
      <c r="V7" s="241"/>
      <c r="BA7" s="239">
        <f>CF2+1</f>
        <v>1</v>
      </c>
      <c r="BB7" s="240"/>
      <c r="BC7" s="240"/>
      <c r="BD7" s="241"/>
      <c r="BK7" s="194"/>
      <c r="CD7" s="239">
        <v>1</v>
      </c>
      <c r="CE7" s="240"/>
      <c r="CF7" s="240"/>
      <c r="CG7" s="241"/>
      <c r="CK7" s="239"/>
      <c r="CL7" s="240"/>
      <c r="CM7" s="240"/>
      <c r="CN7" s="241"/>
      <c r="CS7" s="194"/>
      <c r="CT7" s="194"/>
      <c r="CU7" s="194"/>
      <c r="CV7" s="194"/>
      <c r="CW7" s="194"/>
      <c r="CX7" s="194"/>
      <c r="CY7" s="194"/>
      <c r="CZ7" s="194"/>
      <c r="DA7" s="194"/>
      <c r="DB7" s="194"/>
      <c r="DC7" s="194"/>
      <c r="DD7" s="194"/>
      <c r="DE7" s="194"/>
      <c r="DF7" s="194"/>
      <c r="DG7" s="194"/>
      <c r="DH7" s="194"/>
      <c r="DI7" s="194"/>
      <c r="DJ7" s="194"/>
      <c r="DK7" s="194"/>
      <c r="DL7" s="194"/>
      <c r="DM7" s="194"/>
      <c r="DN7" s="194"/>
      <c r="DO7" s="194"/>
      <c r="DT7" s="193"/>
      <c r="DU7" s="239">
        <f>BN50+1</f>
        <v>17</v>
      </c>
      <c r="DV7" s="240"/>
      <c r="DW7" s="240"/>
      <c r="DX7" s="241"/>
      <c r="DY7" s="193"/>
    </row>
    <row r="8" spans="10:136" ht="22.9" customHeight="1" thickTop="1" x14ac:dyDescent="0.25">
      <c r="K8" s="115">
        <f ca="1">M14</f>
        <v>1.9</v>
      </c>
      <c r="L8" s="116" t="s">
        <v>107</v>
      </c>
      <c r="M8" s="117" t="s">
        <v>106</v>
      </c>
      <c r="N8" s="118" t="s">
        <v>106</v>
      </c>
      <c r="O8" s="119" t="str">
        <f>Изопрайса</f>
        <v>T</v>
      </c>
      <c r="P8" s="120" t="str">
        <f>Изопрайса</f>
        <v>R</v>
      </c>
      <c r="Q8" s="121" t="str">
        <f>Изопрайса</f>
        <v>R</v>
      </c>
      <c r="S8" s="242" t="s">
        <v>360</v>
      </c>
      <c r="T8" s="243"/>
      <c r="U8" s="244"/>
      <c r="V8" s="122"/>
      <c r="BA8" s="242" t="s">
        <v>357</v>
      </c>
      <c r="BB8" s="243"/>
      <c r="BC8" s="244"/>
      <c r="BD8" s="122"/>
      <c r="BK8" s="194"/>
      <c r="CD8" s="242" t="s">
        <v>359</v>
      </c>
      <c r="CE8" s="243"/>
      <c r="CF8" s="244"/>
      <c r="CG8" s="122"/>
      <c r="CK8" s="242" t="s">
        <v>360</v>
      </c>
      <c r="CL8" s="243"/>
      <c r="CM8" s="244"/>
      <c r="CN8" s="122"/>
      <c r="CS8" s="194"/>
      <c r="CT8" s="194"/>
      <c r="CU8" s="194"/>
      <c r="CV8" s="194"/>
      <c r="CW8" s="194"/>
      <c r="CX8" s="194"/>
      <c r="CY8" s="194"/>
      <c r="CZ8" s="194"/>
      <c r="DA8" s="194"/>
      <c r="DB8" s="194"/>
      <c r="DC8" s="194"/>
      <c r="DD8" s="194"/>
      <c r="DE8" s="194"/>
      <c r="DF8" s="194"/>
      <c r="DG8" s="194"/>
      <c r="DH8" s="194"/>
      <c r="DI8" s="194"/>
      <c r="DJ8" s="194"/>
      <c r="DK8" s="194"/>
      <c r="DL8" s="194"/>
      <c r="DM8" s="194"/>
      <c r="DN8" s="194"/>
      <c r="DO8" s="194"/>
      <c r="DT8" s="193" t="s">
        <v>615</v>
      </c>
      <c r="DU8" s="242" t="s">
        <v>357</v>
      </c>
      <c r="DV8" s="243"/>
      <c r="DW8" s="244"/>
      <c r="DX8" s="122"/>
      <c r="DY8" s="193" t="s">
        <v>615</v>
      </c>
    </row>
    <row r="9" spans="10:136" ht="22.9" customHeight="1" thickBot="1" x14ac:dyDescent="0.3">
      <c r="K9" s="46">
        <f ca="1">R14</f>
        <v>2.2000000000000002</v>
      </c>
      <c r="L9" s="47" t="s">
        <v>108</v>
      </c>
      <c r="M9" s="48" t="s">
        <v>106</v>
      </c>
      <c r="N9" s="49" t="s">
        <v>106</v>
      </c>
      <c r="O9" s="50" t="str">
        <f>Изопрайса</f>
        <v>Y</v>
      </c>
      <c r="P9" s="51" t="str">
        <f>Изопрайса</f>
        <v>R</v>
      </c>
      <c r="Q9" s="52" t="str">
        <f>Изопрайса</f>
        <v>R</v>
      </c>
      <c r="S9" s="81">
        <f ca="1">Min_1</f>
        <v>4</v>
      </c>
      <c r="T9" s="82">
        <f ca="1">Mid_1</f>
        <v>1</v>
      </c>
      <c r="U9" s="83">
        <f ca="1">Max_1</f>
        <v>4</v>
      </c>
      <c r="V9" s="76">
        <f ca="1">Приведение</f>
        <v>3.55</v>
      </c>
      <c r="BA9" s="81">
        <f ca="1">Min_1</f>
        <v>1</v>
      </c>
      <c r="BB9" s="82">
        <f ca="1">Mid_1</f>
        <v>2.5</v>
      </c>
      <c r="BC9" s="83">
        <f ca="1">Max_1</f>
        <v>4</v>
      </c>
      <c r="BD9" s="76">
        <f ca="1">Приведение</f>
        <v>3.16</v>
      </c>
      <c r="BK9" s="194"/>
      <c r="CB9">
        <v>2.5</v>
      </c>
      <c r="CC9">
        <v>4</v>
      </c>
      <c r="CD9" s="81">
        <f ca="1">Min_1</f>
        <v>1</v>
      </c>
      <c r="CE9" s="82">
        <f ca="1">Mid_1</f>
        <v>4</v>
      </c>
      <c r="CF9" s="83">
        <f ca="1">Max_1</f>
        <v>1</v>
      </c>
      <c r="CG9" s="76">
        <f ca="1">Приведение</f>
        <v>2.7142857142857144</v>
      </c>
      <c r="CI9">
        <v>2.5</v>
      </c>
      <c r="CJ9">
        <v>4</v>
      </c>
      <c r="CK9" s="81">
        <f ca="1">Min_1</f>
        <v>4</v>
      </c>
      <c r="CL9" s="82">
        <f ca="1">Mid_1</f>
        <v>1</v>
      </c>
      <c r="CM9" s="83">
        <f ca="1">Max_1</f>
        <v>4</v>
      </c>
      <c r="CN9" s="76">
        <f ca="1">Приведение</f>
        <v>2.5</v>
      </c>
      <c r="CS9" s="194"/>
      <c r="CT9" s="194"/>
      <c r="CU9" s="194"/>
      <c r="CV9" s="194"/>
      <c r="CW9" s="194"/>
      <c r="CX9" s="194"/>
      <c r="CY9" s="194"/>
      <c r="CZ9" s="194"/>
      <c r="DA9" s="194"/>
      <c r="DB9" s="194"/>
      <c r="DC9" s="194"/>
      <c r="DD9" s="194"/>
      <c r="DE9" s="194"/>
      <c r="DF9" s="194"/>
      <c r="DG9" s="194"/>
      <c r="DH9" s="194"/>
      <c r="DI9" s="194"/>
      <c r="DJ9" s="194"/>
      <c r="DK9" s="194"/>
      <c r="DL9" s="194"/>
      <c r="DM9" s="194"/>
      <c r="DN9" s="194"/>
      <c r="DO9" s="194"/>
      <c r="DT9" s="193"/>
      <c r="DU9" s="81">
        <f ca="1">Min_1</f>
        <v>1</v>
      </c>
      <c r="DV9" s="82">
        <f ca="1">Mid_1</f>
        <v>2.5</v>
      </c>
      <c r="DW9" s="83">
        <f ca="1">Max_1</f>
        <v>4</v>
      </c>
      <c r="DX9" s="76">
        <f ca="1">Приведение</f>
        <v>1.8000000000000003</v>
      </c>
      <c r="DY9" s="193"/>
    </row>
    <row r="10" spans="10:136" ht="22.9" customHeight="1" thickBot="1" x14ac:dyDescent="0.3">
      <c r="K10" s="53">
        <f ca="1">Матрица_Расчёт</f>
        <v>1.89</v>
      </c>
      <c r="L10" s="54" t="s">
        <v>105</v>
      </c>
      <c r="M10" s="55" t="s">
        <v>107</v>
      </c>
      <c r="N10" s="56" t="s">
        <v>106</v>
      </c>
      <c r="O10" s="57" t="str">
        <f>Изопрайса</f>
        <v>E</v>
      </c>
      <c r="P10" s="58" t="str">
        <f>Изопрайса</f>
        <v>T</v>
      </c>
      <c r="Q10" s="59" t="str">
        <f>Изопрайса</f>
        <v>R</v>
      </c>
      <c r="S10" s="77">
        <v>0</v>
      </c>
      <c r="T10" s="78"/>
      <c r="U10" s="79">
        <v>100</v>
      </c>
      <c r="V10" s="80">
        <v>85</v>
      </c>
      <c r="BA10" s="77">
        <v>1</v>
      </c>
      <c r="BB10" s="78">
        <v>2</v>
      </c>
      <c r="BC10" s="79">
        <v>4</v>
      </c>
      <c r="BD10" s="184">
        <f ca="1">AR16</f>
        <v>3.16</v>
      </c>
      <c r="CD10" s="77">
        <v>-20</v>
      </c>
      <c r="CE10" s="78">
        <v>2.5</v>
      </c>
      <c r="CF10" s="79">
        <v>20</v>
      </c>
      <c r="CG10" s="184">
        <v>10</v>
      </c>
      <c r="CH10">
        <v>10</v>
      </c>
      <c r="CK10" s="77">
        <v>-10</v>
      </c>
      <c r="CL10" s="78">
        <v>-15</v>
      </c>
      <c r="CM10" s="79">
        <v>-20</v>
      </c>
      <c r="CN10" s="185">
        <v>-12.5</v>
      </c>
      <c r="CO10" s="229">
        <v>-12.5</v>
      </c>
      <c r="CS10" s="194"/>
      <c r="CT10" s="194"/>
      <c r="CU10" s="194"/>
      <c r="CV10" s="194"/>
      <c r="CW10" s="194"/>
      <c r="CX10" s="194"/>
      <c r="CY10" s="194"/>
      <c r="CZ10" s="194"/>
      <c r="DA10" s="194"/>
      <c r="DB10" s="194"/>
      <c r="DC10" s="194"/>
      <c r="DD10" s="194"/>
      <c r="DE10" s="194"/>
      <c r="DF10" s="194"/>
      <c r="DG10" s="194"/>
      <c r="DH10" s="194"/>
      <c r="DI10" s="194"/>
      <c r="DJ10" s="194"/>
      <c r="DK10" s="194"/>
      <c r="DL10" s="194"/>
      <c r="DM10" s="194"/>
      <c r="DN10" s="194"/>
      <c r="DO10" s="194"/>
      <c r="DT10" s="193"/>
      <c r="DU10" s="77">
        <v>1</v>
      </c>
      <c r="DV10" s="78">
        <v>2</v>
      </c>
      <c r="DW10" s="79">
        <v>4</v>
      </c>
      <c r="DX10" s="184">
        <f ca="1">DY16</f>
        <v>1.8</v>
      </c>
      <c r="DY10" s="193"/>
    </row>
    <row r="11" spans="10:136" ht="22.9" customHeight="1" thickTop="1" thickBot="1" x14ac:dyDescent="0.3">
      <c r="BG11" s="194"/>
      <c r="BH11" s="194"/>
      <c r="DT11" s="193"/>
      <c r="DU11" s="193"/>
      <c r="DV11" s="193"/>
      <c r="DW11" s="193"/>
      <c r="DX11" s="193"/>
      <c r="DY11" s="193"/>
    </row>
    <row r="12" spans="10:136" ht="22.9" customHeight="1" thickTop="1" thickBot="1" x14ac:dyDescent="0.3">
      <c r="J12" s="239" t="s">
        <v>595</v>
      </c>
      <c r="K12" s="240"/>
      <c r="L12" s="240"/>
      <c r="M12" s="241"/>
      <c r="O12" s="239" t="s">
        <v>596</v>
      </c>
      <c r="P12" s="240"/>
      <c r="Q12" s="240"/>
      <c r="R12" s="241"/>
      <c r="BA12" s="207"/>
      <c r="BZ12" s="239">
        <v>2</v>
      </c>
      <c r="CA12" s="240"/>
      <c r="CB12" s="240"/>
      <c r="CC12" s="240"/>
      <c r="CD12" s="240"/>
      <c r="CE12" s="240"/>
      <c r="CF12" s="241"/>
      <c r="CN12" s="239">
        <v>6</v>
      </c>
      <c r="CO12" s="240"/>
      <c r="CP12" s="240"/>
      <c r="CQ12" s="240"/>
      <c r="CR12" s="240"/>
      <c r="CS12" s="240"/>
      <c r="CT12" s="241"/>
      <c r="DX12" s="193"/>
      <c r="DY12" s="193"/>
      <c r="DZ12" s="193"/>
      <c r="EA12" s="193"/>
      <c r="EB12" s="193"/>
      <c r="EC12" s="193"/>
      <c r="ED12" s="193"/>
      <c r="EE12" s="193"/>
      <c r="EF12" s="193"/>
    </row>
    <row r="13" spans="10:136" ht="22.9" customHeight="1" thickTop="1" thickBot="1" x14ac:dyDescent="0.3">
      <c r="J13" s="242" t="s">
        <v>357</v>
      </c>
      <c r="K13" s="243"/>
      <c r="L13" s="244"/>
      <c r="M13" s="122"/>
      <c r="O13" s="242" t="s">
        <v>357</v>
      </c>
      <c r="P13" s="243"/>
      <c r="Q13" s="244"/>
      <c r="R13" s="122"/>
      <c r="AR13" s="239">
        <f>BA7+1</f>
        <v>2</v>
      </c>
      <c r="AS13" s="240"/>
      <c r="AT13" s="240"/>
      <c r="AU13" s="240"/>
      <c r="AV13" s="240"/>
      <c r="AW13" s="240"/>
      <c r="AX13" s="241"/>
      <c r="BZ13" s="115">
        <f ca="1">BY19</f>
        <v>3.5</v>
      </c>
      <c r="CA13" s="116" t="s">
        <v>108</v>
      </c>
      <c r="CB13" s="117" t="s">
        <v>106</v>
      </c>
      <c r="CC13" s="118" t="s">
        <v>106</v>
      </c>
      <c r="CD13" s="119" t="str">
        <f>Изопрайса</f>
        <v>Y</v>
      </c>
      <c r="CE13" s="120" t="str">
        <f>Изопрайса</f>
        <v>R</v>
      </c>
      <c r="CF13" s="121" t="str">
        <f>Изопрайса</f>
        <v>R</v>
      </c>
      <c r="CN13" s="115">
        <f ca="1">CM19</f>
        <v>1.5699999999999998</v>
      </c>
      <c r="CO13" s="116" t="s">
        <v>103</v>
      </c>
      <c r="CP13" s="117" t="s">
        <v>105</v>
      </c>
      <c r="CQ13" s="118" t="s">
        <v>107</v>
      </c>
      <c r="CR13" s="119" t="str">
        <f>Изопрайса</f>
        <v>Q</v>
      </c>
      <c r="CS13" s="120" t="str">
        <f>Изопрайса</f>
        <v>E</v>
      </c>
      <c r="CT13" s="121" t="str">
        <f>Изопрайса</f>
        <v>T</v>
      </c>
      <c r="DX13" s="193" t="s">
        <v>615</v>
      </c>
      <c r="DY13" s="239">
        <f>DU7+1</f>
        <v>18</v>
      </c>
      <c r="DZ13" s="240"/>
      <c r="EA13" s="240"/>
      <c r="EB13" s="240"/>
      <c r="EC13" s="240"/>
      <c r="ED13" s="240"/>
      <c r="EE13" s="241"/>
      <c r="EF13" s="193" t="s">
        <v>615</v>
      </c>
    </row>
    <row r="14" spans="10:136" ht="22.9" customHeight="1" thickTop="1" thickBot="1" x14ac:dyDescent="0.3">
      <c r="J14" s="81">
        <f ca="1">Min_1</f>
        <v>1</v>
      </c>
      <c r="K14" s="82">
        <f ca="1">Mid_1</f>
        <v>2.5</v>
      </c>
      <c r="L14" s="83">
        <f ca="1">Max_1</f>
        <v>4</v>
      </c>
      <c r="M14" s="76">
        <f ca="1">Приведение</f>
        <v>1.9</v>
      </c>
      <c r="O14" s="81">
        <f ca="1">Min_1</f>
        <v>1</v>
      </c>
      <c r="P14" s="180">
        <f ca="1">Mid_1</f>
        <v>2.5</v>
      </c>
      <c r="Q14" s="83">
        <f ca="1">Max_1</f>
        <v>4</v>
      </c>
      <c r="R14" s="76">
        <f ca="1">Приведение</f>
        <v>2.2000000000000002</v>
      </c>
      <c r="AR14" s="115">
        <f ca="1">AT20</f>
        <v>3.19</v>
      </c>
      <c r="AS14" s="116" t="s">
        <v>104</v>
      </c>
      <c r="AT14" s="117" t="s">
        <v>105</v>
      </c>
      <c r="AU14" s="118" t="s">
        <v>105</v>
      </c>
      <c r="AV14" s="119" t="str">
        <f>Изопрайса</f>
        <v>W</v>
      </c>
      <c r="AW14" s="120" t="str">
        <f>Изопрайса</f>
        <v>E</v>
      </c>
      <c r="AX14" s="121" t="str">
        <f>Изопрайса</f>
        <v>E</v>
      </c>
      <c r="BB14" s="207"/>
      <c r="BZ14" s="46">
        <f ca="1">CF19</f>
        <v>1</v>
      </c>
      <c r="CA14" s="47" t="s">
        <v>105</v>
      </c>
      <c r="CB14" s="48" t="s">
        <v>103</v>
      </c>
      <c r="CC14" s="49" t="s">
        <v>107</v>
      </c>
      <c r="CD14" s="50" t="str">
        <f>Изопрайса</f>
        <v>E</v>
      </c>
      <c r="CE14" s="51" t="str">
        <f>Изопрайса</f>
        <v>Q</v>
      </c>
      <c r="CF14" s="52" t="str">
        <f>Изопрайса</f>
        <v>T</v>
      </c>
      <c r="CN14" s="46">
        <f ca="1">CT19</f>
        <v>1</v>
      </c>
      <c r="CO14" s="47" t="s">
        <v>106</v>
      </c>
      <c r="CP14" s="48" t="s">
        <v>108</v>
      </c>
      <c r="CQ14" s="49" t="s">
        <v>104</v>
      </c>
      <c r="CR14" s="50" t="str">
        <f>Изопрайса</f>
        <v>R</v>
      </c>
      <c r="CS14" s="51" t="str">
        <f>Изопрайса</f>
        <v>Y</v>
      </c>
      <c r="CT14" s="52" t="str">
        <f>Изопрайса</f>
        <v>W</v>
      </c>
      <c r="DX14" s="193"/>
      <c r="DY14" s="115">
        <f ca="1">EA20</f>
        <v>1.1100000000000001</v>
      </c>
      <c r="DZ14" s="116" t="s">
        <v>103</v>
      </c>
      <c r="EA14" s="117" t="s">
        <v>103</v>
      </c>
      <c r="EB14" s="118" t="s">
        <v>105</v>
      </c>
      <c r="EC14" s="119" t="str">
        <f>Изопрайса</f>
        <v>Q</v>
      </c>
      <c r="ED14" s="120" t="str">
        <f>Изопрайса</f>
        <v>Q</v>
      </c>
      <c r="EE14" s="121" t="str">
        <f>Изопрайса</f>
        <v>E</v>
      </c>
      <c r="EF14" s="193"/>
    </row>
    <row r="15" spans="10:136" ht="22.9" customHeight="1" thickBot="1" x14ac:dyDescent="0.3">
      <c r="J15" s="77">
        <v>0</v>
      </c>
      <c r="K15" s="78"/>
      <c r="L15" s="79">
        <v>100</v>
      </c>
      <c r="M15" s="80">
        <v>30</v>
      </c>
      <c r="O15" s="77">
        <v>0</v>
      </c>
      <c r="P15" s="181"/>
      <c r="Q15" s="79">
        <v>100</v>
      </c>
      <c r="R15" s="80">
        <v>40</v>
      </c>
      <c r="AR15" s="46">
        <f ca="1">AY20</f>
        <v>3.15</v>
      </c>
      <c r="AS15" s="47" t="s">
        <v>106</v>
      </c>
      <c r="AT15" s="48" t="s">
        <v>108</v>
      </c>
      <c r="AU15" s="49" t="s">
        <v>104</v>
      </c>
      <c r="AV15" s="50" t="str">
        <f>Изопрайса</f>
        <v>R</v>
      </c>
      <c r="AW15" s="51" t="str">
        <f>Изопрайса</f>
        <v>Y</v>
      </c>
      <c r="AX15" s="52" t="str">
        <f>Изопрайса</f>
        <v>W</v>
      </c>
      <c r="BB15" s="207"/>
      <c r="BF15" s="194"/>
      <c r="BG15" s="194"/>
      <c r="BH15" s="194"/>
      <c r="BI15" s="194"/>
      <c r="BJ15" s="194"/>
      <c r="BK15" s="194"/>
      <c r="BL15" s="194"/>
      <c r="BZ15" s="53">
        <f ca="1">Матрица_Расчёт</f>
        <v>2.5</v>
      </c>
      <c r="CA15" s="54" t="s">
        <v>105</v>
      </c>
      <c r="CB15" s="55" t="s">
        <v>103</v>
      </c>
      <c r="CC15" s="56" t="s">
        <v>105</v>
      </c>
      <c r="CD15" s="57" t="str">
        <f>Изопрайса</f>
        <v>E</v>
      </c>
      <c r="CE15" s="58" t="str">
        <f>Изопрайса</f>
        <v>Q</v>
      </c>
      <c r="CF15" s="59" t="str">
        <f>Изопрайса</f>
        <v>E</v>
      </c>
      <c r="CN15" s="53">
        <f ca="1">Матрица_Расчёт</f>
        <v>1.57</v>
      </c>
      <c r="CO15" s="54" t="s">
        <v>107</v>
      </c>
      <c r="CP15" s="55" t="s">
        <v>104</v>
      </c>
      <c r="CQ15" s="56" t="s">
        <v>107</v>
      </c>
      <c r="CR15" s="57" t="str">
        <f>Изопрайса</f>
        <v>T</v>
      </c>
      <c r="CS15" s="58" t="str">
        <f>Изопрайса</f>
        <v>W</v>
      </c>
      <c r="CT15" s="59" t="str">
        <f>Изопрайса</f>
        <v>T</v>
      </c>
      <c r="DX15" s="193"/>
      <c r="DY15" s="46">
        <f ca="1">EH20</f>
        <v>1.67</v>
      </c>
      <c r="DZ15" s="47" t="s">
        <v>103</v>
      </c>
      <c r="EA15" s="48" t="s">
        <v>107</v>
      </c>
      <c r="EB15" s="49" t="s">
        <v>108</v>
      </c>
      <c r="EC15" s="50" t="str">
        <f>Изопрайса</f>
        <v>Q</v>
      </c>
      <c r="ED15" s="51" t="str">
        <f>Изопрайса</f>
        <v>T</v>
      </c>
      <c r="EE15" s="52" t="str">
        <f>Изопрайса</f>
        <v>Y</v>
      </c>
      <c r="EF15" s="193"/>
    </row>
    <row r="16" spans="10:136" ht="22.9" customHeight="1" thickTop="1" thickBot="1" x14ac:dyDescent="0.3">
      <c r="AR16" s="53">
        <f ca="1">Матрица_Расчёт</f>
        <v>3.16</v>
      </c>
      <c r="AS16" s="54" t="s">
        <v>106</v>
      </c>
      <c r="AT16" s="55" t="s">
        <v>104</v>
      </c>
      <c r="AU16" s="56" t="s">
        <v>103</v>
      </c>
      <c r="AV16" s="57" t="str">
        <f>Изопрайса</f>
        <v>R</v>
      </c>
      <c r="AW16" s="58" t="str">
        <f>Изопрайса</f>
        <v>W</v>
      </c>
      <c r="AX16" s="59" t="str">
        <f>Изопрайса</f>
        <v>Q</v>
      </c>
      <c r="BE16" s="194"/>
      <c r="BF16" s="194"/>
      <c r="BG16" s="194"/>
      <c r="BH16" s="194"/>
      <c r="BI16" s="194"/>
      <c r="BJ16" s="194"/>
      <c r="BK16" s="194"/>
      <c r="BL16" s="194"/>
      <c r="DN16" s="194"/>
      <c r="DO16" s="194"/>
      <c r="DR16" s="194"/>
      <c r="DS16" s="194"/>
      <c r="DX16" s="193"/>
      <c r="DY16" s="53">
        <f ca="1">Матрица_Расчёт</f>
        <v>1.8</v>
      </c>
      <c r="DZ16" s="54" t="s">
        <v>106</v>
      </c>
      <c r="EA16" s="55" t="s">
        <v>108</v>
      </c>
      <c r="EB16" s="56" t="s">
        <v>108</v>
      </c>
      <c r="EC16" s="57" t="str">
        <f>Изопрайса</f>
        <v>R</v>
      </c>
      <c r="ED16" s="58" t="str">
        <f>Изопрайса</f>
        <v>Y</v>
      </c>
      <c r="EE16" s="59" t="str">
        <f>Изопрайса</f>
        <v>Y</v>
      </c>
      <c r="EF16" s="193"/>
    </row>
    <row r="17" spans="4:141" ht="22.9" customHeight="1" thickTop="1" thickBot="1" x14ac:dyDescent="0.3">
      <c r="BV17" s="239"/>
      <c r="BW17" s="240"/>
      <c r="BX17" s="240"/>
      <c r="BY17" s="241"/>
      <c r="CC17" s="239"/>
      <c r="CD17" s="240"/>
      <c r="CE17" s="240"/>
      <c r="CF17" s="241"/>
      <c r="CJ17" s="239"/>
      <c r="CK17" s="240"/>
      <c r="CL17" s="240"/>
      <c r="CM17" s="241"/>
      <c r="CQ17" s="239"/>
      <c r="CR17" s="240"/>
      <c r="CS17" s="240"/>
      <c r="CT17" s="241"/>
    </row>
    <row r="18" spans="4:141" ht="22.9" customHeight="1" thickTop="1" thickBot="1" x14ac:dyDescent="0.3">
      <c r="AQ18" s="239">
        <f>AR13+1</f>
        <v>3</v>
      </c>
      <c r="AR18" s="240"/>
      <c r="AS18" s="240"/>
      <c r="AT18" s="241"/>
      <c r="AV18" s="239">
        <f>AO29+1</f>
        <v>7</v>
      </c>
      <c r="AW18" s="240"/>
      <c r="AX18" s="240"/>
      <c r="AY18" s="241"/>
      <c r="BF18" s="194"/>
      <c r="BG18" s="194"/>
      <c r="BH18" s="194"/>
      <c r="BI18" s="194"/>
      <c r="BJ18" s="194"/>
      <c r="BK18" s="194"/>
      <c r="BL18" s="194"/>
      <c r="BV18" s="242" t="s">
        <v>357</v>
      </c>
      <c r="BW18" s="243"/>
      <c r="BX18" s="244"/>
      <c r="BY18" s="122"/>
      <c r="CC18" s="242" t="s">
        <v>357</v>
      </c>
      <c r="CD18" s="243"/>
      <c r="CE18" s="244"/>
      <c r="CF18" s="122"/>
      <c r="CJ18" s="242" t="s">
        <v>358</v>
      </c>
      <c r="CK18" s="243"/>
      <c r="CL18" s="244"/>
      <c r="CM18" s="122"/>
      <c r="CQ18" s="242" t="s">
        <v>357</v>
      </c>
      <c r="CR18" s="243"/>
      <c r="CS18" s="244"/>
      <c r="CT18" s="122"/>
      <c r="DN18" s="194"/>
      <c r="DO18" s="194"/>
      <c r="DR18" s="194"/>
      <c r="DS18" s="194"/>
      <c r="DX18" s="239">
        <f>DY13+1</f>
        <v>19</v>
      </c>
      <c r="DY18" s="240"/>
      <c r="DZ18" s="240"/>
      <c r="EA18" s="241"/>
      <c r="EE18" s="239">
        <f>DX29+1</f>
        <v>29</v>
      </c>
      <c r="EF18" s="240"/>
      <c r="EG18" s="240"/>
      <c r="EH18" s="241"/>
    </row>
    <row r="19" spans="4:141" ht="22.9" customHeight="1" thickTop="1" thickBot="1" x14ac:dyDescent="0.3">
      <c r="AQ19" s="242" t="s">
        <v>357</v>
      </c>
      <c r="AR19" s="243"/>
      <c r="AS19" s="244"/>
      <c r="AT19" s="122"/>
      <c r="AV19" s="242" t="s">
        <v>357</v>
      </c>
      <c r="AW19" s="243"/>
      <c r="AX19" s="244"/>
      <c r="AY19" s="122"/>
      <c r="BE19" s="194"/>
      <c r="BF19" s="194"/>
      <c r="BG19" s="194"/>
      <c r="BH19" s="194"/>
      <c r="BI19" s="194"/>
      <c r="BJ19" s="194"/>
      <c r="BK19" s="194"/>
      <c r="BL19" s="194"/>
      <c r="BV19" s="81">
        <f ca="1">Min_1</f>
        <v>1</v>
      </c>
      <c r="BW19" s="82">
        <f ca="1">Mid_1</f>
        <v>2.5</v>
      </c>
      <c r="BX19" s="83">
        <f ca="1">Max_1</f>
        <v>4</v>
      </c>
      <c r="BY19" s="76">
        <f ca="1">Приведение</f>
        <v>3.5</v>
      </c>
      <c r="CC19" s="81">
        <f ca="1">Min_1</f>
        <v>1</v>
      </c>
      <c r="CD19" s="82">
        <f ca="1">Mid_1</f>
        <v>2.5</v>
      </c>
      <c r="CE19" s="83">
        <f ca="1">Max_1</f>
        <v>4</v>
      </c>
      <c r="CF19" s="76">
        <f ca="1">Приведение</f>
        <v>1</v>
      </c>
      <c r="CJ19" s="81">
        <f ca="1">Min_1</f>
        <v>4</v>
      </c>
      <c r="CK19" s="82">
        <f ca="1">Mid_1</f>
        <v>2.5</v>
      </c>
      <c r="CL19" s="83">
        <f ca="1">Max_1</f>
        <v>1</v>
      </c>
      <c r="CM19" s="76">
        <f ca="1">Приведение</f>
        <v>1.5699999999999998</v>
      </c>
      <c r="CQ19" s="81">
        <f ca="1">Min_1</f>
        <v>1</v>
      </c>
      <c r="CR19" s="82">
        <f ca="1">Mid_1</f>
        <v>2.5</v>
      </c>
      <c r="CS19" s="83">
        <f ca="1">Max_1</f>
        <v>4</v>
      </c>
      <c r="CT19" s="76">
        <f ca="1">Приведение</f>
        <v>1</v>
      </c>
      <c r="DN19" s="194"/>
      <c r="DO19" s="194"/>
      <c r="DR19" s="194"/>
      <c r="DS19" s="194"/>
      <c r="DX19" s="242" t="s">
        <v>357</v>
      </c>
      <c r="DY19" s="243"/>
      <c r="DZ19" s="244"/>
      <c r="EA19" s="122"/>
      <c r="EE19" s="242" t="s">
        <v>357</v>
      </c>
      <c r="EF19" s="243"/>
      <c r="EG19" s="244"/>
      <c r="EH19" s="122"/>
    </row>
    <row r="20" spans="4:141" ht="22.9" customHeight="1" thickTop="1" thickBot="1" x14ac:dyDescent="0.3">
      <c r="D20" s="253" t="s">
        <v>597</v>
      </c>
      <c r="E20" s="254"/>
      <c r="F20" s="254"/>
      <c r="G20" s="255"/>
      <c r="N20" s="239" t="s">
        <v>598</v>
      </c>
      <c r="O20" s="240"/>
      <c r="P20" s="240"/>
      <c r="Q20" s="241"/>
      <c r="AQ20" s="81">
        <f ca="1">Min_1</f>
        <v>1</v>
      </c>
      <c r="AR20" s="82">
        <f ca="1">Mid_1</f>
        <v>2.5</v>
      </c>
      <c r="AS20" s="83">
        <f ca="1">Max_1</f>
        <v>4</v>
      </c>
      <c r="AT20" s="76">
        <f ca="1">Приведение</f>
        <v>3.19</v>
      </c>
      <c r="AV20" s="81">
        <f ca="1">Min_1</f>
        <v>1</v>
      </c>
      <c r="AW20" s="82">
        <f ca="1">Mid_1</f>
        <v>2.5</v>
      </c>
      <c r="AX20" s="83">
        <f ca="1">Max_1</f>
        <v>4</v>
      </c>
      <c r="AY20" s="76">
        <f ca="1">Приведение</f>
        <v>3.15</v>
      </c>
      <c r="BE20" s="194"/>
      <c r="BF20" s="194"/>
      <c r="BG20" s="194"/>
      <c r="BH20" s="194"/>
      <c r="BI20" s="194"/>
      <c r="BJ20" s="194"/>
      <c r="BK20" s="194"/>
      <c r="BL20" s="194"/>
      <c r="BV20" s="77">
        <v>-5</v>
      </c>
      <c r="BW20" s="78"/>
      <c r="BX20" s="79">
        <v>1</v>
      </c>
      <c r="BY20" s="80">
        <v>0</v>
      </c>
      <c r="BZ20" s="229">
        <v>0.15</v>
      </c>
      <c r="CC20" s="77">
        <v>-1</v>
      </c>
      <c r="CD20" s="78"/>
      <c r="CE20" s="79">
        <v>10</v>
      </c>
      <c r="CF20" s="80">
        <v>-1</v>
      </c>
      <c r="CG20" s="229">
        <v>-0.5</v>
      </c>
      <c r="CJ20" s="77">
        <v>0</v>
      </c>
      <c r="CK20" s="78"/>
      <c r="CL20" s="79">
        <v>1</v>
      </c>
      <c r="CM20" s="80">
        <v>0.81</v>
      </c>
      <c r="CN20" s="229">
        <v>0.15</v>
      </c>
      <c r="CQ20" s="77">
        <v>1</v>
      </c>
      <c r="CR20" s="78"/>
      <c r="CS20" s="79">
        <v>4</v>
      </c>
      <c r="CT20" s="80">
        <v>1</v>
      </c>
      <c r="DN20" s="194"/>
      <c r="DO20" s="194"/>
      <c r="DR20" s="194"/>
      <c r="DS20" s="194"/>
      <c r="DX20" s="81">
        <f ca="1">Min_1</f>
        <v>1</v>
      </c>
      <c r="DY20" s="82">
        <f ca="1">Mid_1</f>
        <v>2.5</v>
      </c>
      <c r="DZ20" s="83">
        <f ca="1">Max_1</f>
        <v>4</v>
      </c>
      <c r="EA20" s="76">
        <f ca="1">Приведение</f>
        <v>1.1100000000000001</v>
      </c>
      <c r="EE20" s="81">
        <f ca="1">Min_1</f>
        <v>1</v>
      </c>
      <c r="EF20" s="82">
        <f ca="1">Mid_1</f>
        <v>2.5</v>
      </c>
      <c r="EG20" s="83">
        <f ca="1">Max_1</f>
        <v>4</v>
      </c>
      <c r="EH20" s="76">
        <f ca="1">Приведение</f>
        <v>1.67</v>
      </c>
    </row>
    <row r="21" spans="4:141" ht="22.9" customHeight="1" thickTop="1" thickBot="1" x14ac:dyDescent="0.3">
      <c r="D21" s="242" t="s">
        <v>357</v>
      </c>
      <c r="E21" s="243"/>
      <c r="F21" s="244"/>
      <c r="G21" s="122"/>
      <c r="N21" s="242" t="s">
        <v>358</v>
      </c>
      <c r="O21" s="243"/>
      <c r="P21" s="244"/>
      <c r="Q21" s="122"/>
      <c r="AQ21" s="77">
        <v>1</v>
      </c>
      <c r="AR21" s="78"/>
      <c r="AS21" s="79">
        <v>4</v>
      </c>
      <c r="AT21" s="185">
        <f ca="1">AL27</f>
        <v>3.19</v>
      </c>
      <c r="AV21" s="77">
        <v>1</v>
      </c>
      <c r="AW21" s="78"/>
      <c r="AX21" s="79">
        <v>4</v>
      </c>
      <c r="AY21" s="184">
        <f ca="1">AY27</f>
        <v>3.15</v>
      </c>
      <c r="BE21" s="194"/>
      <c r="BF21" s="194"/>
      <c r="BG21" s="194"/>
      <c r="BH21" s="194"/>
      <c r="BI21" s="194"/>
      <c r="BJ21" s="194"/>
      <c r="BK21" s="194"/>
      <c r="BL21" s="194"/>
      <c r="CN21" s="194"/>
      <c r="DN21" s="194"/>
      <c r="DO21" s="194"/>
      <c r="DR21" s="194"/>
      <c r="DS21" s="194"/>
      <c r="DX21" s="77">
        <v>1</v>
      </c>
      <c r="DY21" s="78"/>
      <c r="DZ21" s="79">
        <v>4</v>
      </c>
      <c r="EA21" s="184">
        <f ca="1">DU27</f>
        <v>1.1100000000000001</v>
      </c>
      <c r="EE21" s="77">
        <v>1</v>
      </c>
      <c r="EF21" s="78"/>
      <c r="EG21" s="79">
        <v>4</v>
      </c>
      <c r="EH21" s="184">
        <f ca="1">EC27</f>
        <v>1.67</v>
      </c>
    </row>
    <row r="22" spans="4:141" ht="22.9" customHeight="1" thickTop="1" x14ac:dyDescent="0.25">
      <c r="D22" s="81">
        <f>IF(D21="Прямая",1,IF(D21="Обратная",4,IF(D21="Опт. в макс.",1,IF(D21="Опт. в мин.",4,))))</f>
        <v>1</v>
      </c>
      <c r="E22" s="82">
        <f>IF(AND(D22=4,F22=4),1,IF(AND(D22=1,F22=1),4,(ABS(F22-D22))/2+1))</f>
        <v>2.5</v>
      </c>
      <c r="F22" s="83">
        <f>IF(D21="Прямая",4,IF(D21="Обратная",1,IF(D21="Опт. в макс.",1,IF(D21="Опт. в мин.",4,))))</f>
        <v>4</v>
      </c>
      <c r="G22" s="76">
        <f>Приведение</f>
        <v>4</v>
      </c>
      <c r="N22" s="81">
        <f>IF(N21="Прямая",1,IF(N21="Обратная",4,IF(N21="Опт. в макс.",1,IF(N21="Опт. в мин.",4,))))</f>
        <v>4</v>
      </c>
      <c r="O22" s="82">
        <f>IF(AND(N22=4,P22=4),1,IF(AND(N22=1,P22=1),4,(ABS(P22-N22))/2+1))</f>
        <v>2.5</v>
      </c>
      <c r="P22" s="182">
        <f>IF(N21="Прямая",4,IF(N21="Обратная",1,IF(N21="Опт. в макс.",1,IF(N21="Опт. в мин.",4,))))</f>
        <v>1</v>
      </c>
      <c r="Q22" s="76">
        <f>Приведение</f>
        <v>3</v>
      </c>
      <c r="AT22" s="146"/>
    </row>
    <row r="23" spans="4:141" ht="22.9" customHeight="1" thickBot="1" x14ac:dyDescent="0.3">
      <c r="D23" s="77">
        <v>0</v>
      </c>
      <c r="E23" s="78"/>
      <c r="F23" s="79">
        <v>100</v>
      </c>
      <c r="G23" s="80">
        <v>100</v>
      </c>
      <c r="N23" s="77">
        <v>1</v>
      </c>
      <c r="O23" s="78"/>
      <c r="P23" s="183">
        <v>4</v>
      </c>
      <c r="Q23" s="80">
        <v>2</v>
      </c>
    </row>
    <row r="24" spans="4:141" ht="22.9" customHeight="1" thickTop="1" thickBot="1" x14ac:dyDescent="0.3">
      <c r="AL24" s="239">
        <f>AQ18+1</f>
        <v>4</v>
      </c>
      <c r="AM24" s="240"/>
      <c r="AN24" s="240"/>
      <c r="AO24" s="240"/>
      <c r="AP24" s="240"/>
      <c r="AQ24" s="240"/>
      <c r="AR24" s="241"/>
      <c r="AY24" s="239">
        <f>AV18+1</f>
        <v>8</v>
      </c>
      <c r="AZ24" s="240"/>
      <c r="BA24" s="240"/>
      <c r="BB24" s="240"/>
      <c r="BC24" s="240"/>
      <c r="BD24" s="240"/>
      <c r="BE24" s="241"/>
      <c r="BH24" s="194"/>
      <c r="DN24" s="194"/>
      <c r="DO24" s="194"/>
      <c r="DR24" s="194"/>
      <c r="DS24" s="194"/>
      <c r="DU24" s="239">
        <f>DX18+1</f>
        <v>20</v>
      </c>
      <c r="DV24" s="240"/>
      <c r="DW24" s="240"/>
      <c r="DX24" s="240"/>
      <c r="DY24" s="240"/>
      <c r="DZ24" s="240"/>
      <c r="EA24" s="241"/>
      <c r="EC24" s="239">
        <f>EE18+1</f>
        <v>30</v>
      </c>
      <c r="ED24" s="240"/>
      <c r="EE24" s="240"/>
      <c r="EF24" s="240"/>
      <c r="EG24" s="240"/>
      <c r="EH24" s="240"/>
      <c r="EI24" s="241"/>
    </row>
    <row r="25" spans="4:141" ht="22.9" customHeight="1" thickTop="1" thickBot="1" x14ac:dyDescent="0.3">
      <c r="H25" s="250" t="s">
        <v>600</v>
      </c>
      <c r="I25" s="251"/>
      <c r="J25" s="251"/>
      <c r="K25" s="251"/>
      <c r="L25" s="251"/>
      <c r="M25" s="251"/>
      <c r="N25" s="252"/>
      <c r="R25" s="250" t="s">
        <v>601</v>
      </c>
      <c r="S25" s="251"/>
      <c r="T25" s="251"/>
      <c r="U25" s="252"/>
      <c r="AL25" s="115">
        <f ca="1">AM31</f>
        <v>3.2233333333333332</v>
      </c>
      <c r="AM25" s="116" t="s">
        <v>107</v>
      </c>
      <c r="AN25" s="117" t="s">
        <v>106</v>
      </c>
      <c r="AO25" s="118" t="s">
        <v>104</v>
      </c>
      <c r="AP25" s="119" t="str">
        <f>Изопрайса</f>
        <v>T</v>
      </c>
      <c r="AQ25" s="120" t="str">
        <f>Изопрайса</f>
        <v>R</v>
      </c>
      <c r="AR25" s="121" t="str">
        <f>Изопрайса</f>
        <v>W</v>
      </c>
      <c r="AY25" s="115">
        <f ca="1">AZ31</f>
        <v>3.09</v>
      </c>
      <c r="AZ25" s="116" t="s">
        <v>106</v>
      </c>
      <c r="BA25" s="117" t="s">
        <v>104</v>
      </c>
      <c r="BB25" s="118" t="s">
        <v>107</v>
      </c>
      <c r="BC25" s="119" t="str">
        <f>Изопрайса</f>
        <v>R</v>
      </c>
      <c r="BD25" s="120" t="str">
        <f>Изопрайса</f>
        <v>W</v>
      </c>
      <c r="BE25" s="121" t="str">
        <f>Изопрайса</f>
        <v>T</v>
      </c>
      <c r="BG25" s="194"/>
      <c r="BH25" s="194"/>
      <c r="BJ25" s="194"/>
      <c r="BK25" s="194"/>
      <c r="BL25" s="194"/>
      <c r="BM25" s="194"/>
      <c r="BN25" s="194"/>
      <c r="BO25" s="194"/>
      <c r="BP25" s="194"/>
      <c r="BQ25" s="194"/>
      <c r="BR25" s="194"/>
      <c r="CN25" s="194"/>
      <c r="CO25" s="194"/>
      <c r="CP25" s="194"/>
      <c r="DB25" s="194"/>
      <c r="DC25" s="194"/>
      <c r="DD25" s="194"/>
      <c r="DE25" s="194"/>
      <c r="DF25" s="194"/>
      <c r="DG25" s="194"/>
      <c r="DH25" s="194"/>
      <c r="DI25" s="194"/>
      <c r="DJ25" s="194"/>
      <c r="DK25" s="194"/>
      <c r="DL25" s="194"/>
      <c r="DM25" s="194"/>
      <c r="DN25" s="194"/>
      <c r="DO25" s="194"/>
      <c r="DR25" s="194"/>
      <c r="DS25" s="194"/>
      <c r="DU25" s="115">
        <f ca="1">DU31</f>
        <v>1.1100000000000001</v>
      </c>
      <c r="DV25" s="116" t="s">
        <v>103</v>
      </c>
      <c r="DW25" s="117" t="s">
        <v>105</v>
      </c>
      <c r="DX25" s="118" t="s">
        <v>105</v>
      </c>
      <c r="DY25" s="119" t="str">
        <f>Изопрайса</f>
        <v>Q</v>
      </c>
      <c r="DZ25" s="120" t="str">
        <f>Изопрайса</f>
        <v>E</v>
      </c>
      <c r="EA25" s="121" t="str">
        <f>Изопрайса</f>
        <v>E</v>
      </c>
      <c r="EC25" s="115">
        <f ca="1">EF31</f>
        <v>1.56</v>
      </c>
      <c r="ED25" s="116" t="s">
        <v>105</v>
      </c>
      <c r="EE25" s="117" t="s">
        <v>105</v>
      </c>
      <c r="EF25" s="118" t="s">
        <v>103</v>
      </c>
      <c r="EG25" s="119" t="str">
        <f>Изопрайса</f>
        <v>E</v>
      </c>
      <c r="EH25" s="120" t="str">
        <f>Изопрайса</f>
        <v>E</v>
      </c>
      <c r="EI25" s="121" t="str">
        <f>Изопрайса</f>
        <v>Q</v>
      </c>
    </row>
    <row r="26" spans="4:141" ht="22.9" customHeight="1" thickTop="1" thickBot="1" x14ac:dyDescent="0.3">
      <c r="H26" s="115">
        <f>G22</f>
        <v>4</v>
      </c>
      <c r="I26" s="116" t="s">
        <v>104</v>
      </c>
      <c r="J26" s="117" t="s">
        <v>105</v>
      </c>
      <c r="K26" s="118" t="s">
        <v>105</v>
      </c>
      <c r="L26" s="119" t="str">
        <f>Изопрайса</f>
        <v>W</v>
      </c>
      <c r="M26" s="120" t="str">
        <f>Изопрайса</f>
        <v>E</v>
      </c>
      <c r="N26" s="121" t="str">
        <f>Изопрайса</f>
        <v>E</v>
      </c>
      <c r="O26" s="5" t="s">
        <v>607</v>
      </c>
      <c r="R26" s="242" t="s">
        <v>357</v>
      </c>
      <c r="S26" s="243"/>
      <c r="T26" s="244"/>
      <c r="U26" s="122"/>
      <c r="AL26" s="46">
        <f ca="1">AR31</f>
        <v>1.1821428571428572</v>
      </c>
      <c r="AM26" s="47" t="s">
        <v>104</v>
      </c>
      <c r="AN26" s="48" t="s">
        <v>107</v>
      </c>
      <c r="AO26" s="49" t="s">
        <v>106</v>
      </c>
      <c r="AP26" s="50" t="str">
        <f>Изопрайса</f>
        <v>W</v>
      </c>
      <c r="AQ26" s="51" t="str">
        <f>Изопрайса</f>
        <v>T</v>
      </c>
      <c r="AR26" s="52" t="str">
        <f>Изопрайса</f>
        <v>R</v>
      </c>
      <c r="AY26" s="46">
        <f ca="1">BF31</f>
        <v>2.4900000000000002</v>
      </c>
      <c r="AZ26" s="47" t="s">
        <v>106</v>
      </c>
      <c r="BA26" s="48" t="s">
        <v>106</v>
      </c>
      <c r="BB26" s="49" t="s">
        <v>104</v>
      </c>
      <c r="BC26" s="50" t="str">
        <f>Изопрайса</f>
        <v>R</v>
      </c>
      <c r="BD26" s="51" t="str">
        <f>Изопрайса</f>
        <v>R</v>
      </c>
      <c r="BE26" s="52" t="str">
        <f>Изопрайса</f>
        <v>W</v>
      </c>
      <c r="BG26" s="194"/>
      <c r="BH26" s="194"/>
      <c r="BJ26" s="194"/>
      <c r="BK26" s="194"/>
      <c r="BL26" s="194"/>
      <c r="BM26" s="194"/>
      <c r="BN26" s="194"/>
      <c r="BO26" s="194"/>
      <c r="BP26" s="194"/>
      <c r="BQ26" s="194"/>
      <c r="BR26" s="194"/>
      <c r="BS26" s="194"/>
      <c r="BT26" s="194"/>
      <c r="CN26" s="194"/>
      <c r="CO26" s="194"/>
      <c r="CP26" s="194"/>
      <c r="DB26" s="194"/>
      <c r="DG26" s="194"/>
      <c r="DH26" s="194"/>
      <c r="DI26" s="194"/>
      <c r="DJ26" s="194"/>
      <c r="DK26" s="194"/>
      <c r="DL26" s="194"/>
      <c r="DM26" s="194"/>
      <c r="DN26" s="194"/>
      <c r="DO26" s="194"/>
      <c r="DR26" s="194"/>
      <c r="DS26" s="194"/>
      <c r="DU26" s="46">
        <f ca="1">EA31</f>
        <v>1</v>
      </c>
      <c r="DV26" s="47" t="s">
        <v>103</v>
      </c>
      <c r="DW26" s="48" t="s">
        <v>105</v>
      </c>
      <c r="DX26" s="49" t="s">
        <v>105</v>
      </c>
      <c r="DY26" s="50" t="str">
        <f>Изопрайса</f>
        <v>Q</v>
      </c>
      <c r="DZ26" s="51" t="str">
        <f>Изопрайса</f>
        <v>E</v>
      </c>
      <c r="EA26" s="52" t="str">
        <f>Изопрайса</f>
        <v>E</v>
      </c>
      <c r="EC26" s="46">
        <f ca="1">EK31</f>
        <v>3.08</v>
      </c>
      <c r="ED26" s="47" t="s">
        <v>108</v>
      </c>
      <c r="EE26" s="48" t="s">
        <v>104</v>
      </c>
      <c r="EF26" s="49" t="s">
        <v>103</v>
      </c>
      <c r="EG26" s="50" t="str">
        <f>Изопрайса</f>
        <v>Y</v>
      </c>
      <c r="EH26" s="51" t="str">
        <f>Изопрайса</f>
        <v>W</v>
      </c>
      <c r="EI26" s="52" t="str">
        <f>Изопрайса</f>
        <v>Q</v>
      </c>
    </row>
    <row r="27" spans="4:141" ht="22.9" customHeight="1" thickBot="1" x14ac:dyDescent="0.3">
      <c r="H27" s="46">
        <f>Q22</f>
        <v>3</v>
      </c>
      <c r="I27" s="47" t="s">
        <v>106</v>
      </c>
      <c r="J27" s="48" t="s">
        <v>108</v>
      </c>
      <c r="K27" s="49" t="s">
        <v>104</v>
      </c>
      <c r="L27" s="50" t="str">
        <f>Изопрайса</f>
        <v>R</v>
      </c>
      <c r="M27" s="51" t="str">
        <f>Изопрайса</f>
        <v>Y</v>
      </c>
      <c r="N27" s="52" t="str">
        <f>Изопрайса</f>
        <v>W</v>
      </c>
      <c r="O27" s="5" t="s">
        <v>562</v>
      </c>
      <c r="R27" s="81">
        <f>IF(R26="Прямая",1,IF(R26="Обратная",4,IF(R26="Опт. в макс.",1,IF(R26="Опт. в мин.",4,))))</f>
        <v>1</v>
      </c>
      <c r="S27" s="82">
        <f>IF(AND(R27=4,T27=4),1,IF(AND(R27=1,T27=1),4,(ABS(T27-R27))/2+1))</f>
        <v>2.5</v>
      </c>
      <c r="T27" s="83">
        <f>IF(R26="Прямая",4,IF(R26="Обратная",1,IF(R26="Опт. в макс.",1,IF(R26="Опт. в мин.",4,))))</f>
        <v>4</v>
      </c>
      <c r="U27" s="76">
        <f>Приведение</f>
        <v>1.75</v>
      </c>
      <c r="AL27" s="53">
        <f ca="1">Матрица_Расчёт</f>
        <v>3.19</v>
      </c>
      <c r="AM27" s="54" t="s">
        <v>107</v>
      </c>
      <c r="AN27" s="55" t="s">
        <v>104</v>
      </c>
      <c r="AO27" s="56" t="s">
        <v>107</v>
      </c>
      <c r="AP27" s="57" t="str">
        <f>Изопрайса</f>
        <v>T</v>
      </c>
      <c r="AQ27" s="58" t="str">
        <f>Изопрайса</f>
        <v>W</v>
      </c>
      <c r="AR27" s="59" t="str">
        <f>Изопрайса</f>
        <v>T</v>
      </c>
      <c r="AY27" s="53">
        <f ca="1">Матрица_Расчёт</f>
        <v>3.15</v>
      </c>
      <c r="AZ27" s="54" t="s">
        <v>103</v>
      </c>
      <c r="BA27" s="55" t="s">
        <v>107</v>
      </c>
      <c r="BB27" s="56" t="s">
        <v>106</v>
      </c>
      <c r="BC27" s="57" t="str">
        <f>Изопрайса</f>
        <v>Q</v>
      </c>
      <c r="BD27" s="58" t="str">
        <f>Изопрайса</f>
        <v>T</v>
      </c>
      <c r="BE27" s="59" t="str">
        <f>Изопрайса</f>
        <v>R</v>
      </c>
      <c r="DN27" s="194"/>
      <c r="DO27" s="194"/>
      <c r="DR27" s="194"/>
      <c r="DS27" s="194"/>
      <c r="DU27" s="53">
        <f ca="1">Матрица_Расчёт</f>
        <v>1.1100000000000001</v>
      </c>
      <c r="DV27" s="54" t="s">
        <v>106</v>
      </c>
      <c r="DW27" s="55" t="s">
        <v>108</v>
      </c>
      <c r="DX27" s="56" t="s">
        <v>108</v>
      </c>
      <c r="DY27" s="57" t="str">
        <f>Изопрайса</f>
        <v>R</v>
      </c>
      <c r="DZ27" s="58" t="str">
        <f>Изопрайса</f>
        <v>Y</v>
      </c>
      <c r="EA27" s="59" t="str">
        <f>Изопрайса</f>
        <v>Y</v>
      </c>
      <c r="EC27" s="53">
        <f ca="1">Матрица_Расчёт</f>
        <v>1.67</v>
      </c>
      <c r="ED27" s="54" t="s">
        <v>108</v>
      </c>
      <c r="EE27" s="55" t="s">
        <v>106</v>
      </c>
      <c r="EF27" s="56" t="s">
        <v>106</v>
      </c>
      <c r="EG27" s="57" t="str">
        <f>Изопрайса</f>
        <v>Y</v>
      </c>
      <c r="EH27" s="58" t="str">
        <f>Изопрайса</f>
        <v>R</v>
      </c>
      <c r="EI27" s="59" t="str">
        <f>Изопрайса</f>
        <v>R</v>
      </c>
    </row>
    <row r="28" spans="4:141" ht="22.9" customHeight="1" thickTop="1" thickBot="1" x14ac:dyDescent="0.3">
      <c r="H28" s="53">
        <f>Матрица_Расчёт</f>
        <v>3</v>
      </c>
      <c r="I28" s="54" t="s">
        <v>106</v>
      </c>
      <c r="J28" s="55" t="s">
        <v>104</v>
      </c>
      <c r="K28" s="56" t="s">
        <v>103</v>
      </c>
      <c r="L28" s="57" t="str">
        <f>Изопрайса</f>
        <v>R</v>
      </c>
      <c r="M28" s="58" t="str">
        <f>Изопрайса</f>
        <v>W</v>
      </c>
      <c r="N28" s="59" t="str">
        <f>Изопрайса</f>
        <v>Q</v>
      </c>
      <c r="O28" s="5" t="s">
        <v>606</v>
      </c>
      <c r="R28" s="77">
        <f>R31</f>
        <v>1</v>
      </c>
      <c r="S28" s="78"/>
      <c r="T28" s="79">
        <f>T31</f>
        <v>5</v>
      </c>
      <c r="U28" s="80">
        <v>2</v>
      </c>
    </row>
    <row r="29" spans="4:141" ht="22.9" customHeight="1" thickTop="1" thickBot="1" x14ac:dyDescent="0.3">
      <c r="L29" s="5" t="s">
        <v>607</v>
      </c>
      <c r="M29" s="5" t="s">
        <v>562</v>
      </c>
      <c r="N29" s="5" t="s">
        <v>606</v>
      </c>
      <c r="AJ29" s="239">
        <f>AL24+1</f>
        <v>5</v>
      </c>
      <c r="AK29" s="240"/>
      <c r="AL29" s="240"/>
      <c r="AM29" s="241"/>
      <c r="AO29" s="239">
        <f>AJ29+1</f>
        <v>6</v>
      </c>
      <c r="AP29" s="240"/>
      <c r="AQ29" s="240"/>
      <c r="AR29" s="241"/>
      <c r="AW29" s="239">
        <f>AY24+1</f>
        <v>9</v>
      </c>
      <c r="AX29" s="240"/>
      <c r="AY29" s="240"/>
      <c r="AZ29" s="241"/>
      <c r="BC29" s="239">
        <f>AW29+1</f>
        <v>10</v>
      </c>
      <c r="BD29" s="240"/>
      <c r="BE29" s="240"/>
      <c r="BF29" s="241"/>
      <c r="BH29" s="197"/>
      <c r="BJ29" s="194"/>
      <c r="BK29" s="194"/>
      <c r="BL29" s="194"/>
      <c r="BM29" s="194"/>
      <c r="BN29" s="194"/>
      <c r="BO29" s="194"/>
      <c r="DG29" s="194"/>
      <c r="DH29" s="194"/>
      <c r="DI29" s="194"/>
      <c r="DJ29" s="194"/>
      <c r="DK29" s="194"/>
      <c r="DL29" s="194"/>
      <c r="DR29" s="239">
        <f>DU24+1</f>
        <v>21</v>
      </c>
      <c r="DS29" s="240"/>
      <c r="DT29" s="240"/>
      <c r="DU29" s="241"/>
      <c r="DX29" s="239">
        <f>DS40+1</f>
        <v>28</v>
      </c>
      <c r="DY29" s="240"/>
      <c r="DZ29" s="240"/>
      <c r="EA29" s="241"/>
      <c r="EC29" s="239">
        <f>EC24+1</f>
        <v>31</v>
      </c>
      <c r="ED29" s="240"/>
      <c r="EE29" s="240"/>
      <c r="EF29" s="241"/>
      <c r="EH29" s="239">
        <f>EC29+1</f>
        <v>32</v>
      </c>
      <c r="EI29" s="240"/>
      <c r="EJ29" s="240"/>
      <c r="EK29" s="241"/>
    </row>
    <row r="30" spans="4:141" ht="22.9" customHeight="1" thickTop="1" thickBot="1" x14ac:dyDescent="0.3">
      <c r="R30" s="105" t="s">
        <v>602</v>
      </c>
      <c r="S30" s="106"/>
      <c r="T30" s="107" t="s">
        <v>603</v>
      </c>
      <c r="AJ30" s="242" t="s">
        <v>357</v>
      </c>
      <c r="AK30" s="243"/>
      <c r="AL30" s="244"/>
      <c r="AM30" s="122"/>
      <c r="AO30" s="242" t="s">
        <v>357</v>
      </c>
      <c r="AP30" s="243"/>
      <c r="AQ30" s="244"/>
      <c r="AR30" s="122"/>
      <c r="AW30" s="242" t="s">
        <v>357</v>
      </c>
      <c r="AX30" s="243"/>
      <c r="AY30" s="244"/>
      <c r="AZ30" s="122"/>
      <c r="BC30" s="242" t="s">
        <v>357</v>
      </c>
      <c r="BD30" s="243"/>
      <c r="BE30" s="244"/>
      <c r="BF30" s="122"/>
      <c r="BH30" s="197"/>
      <c r="BJ30" s="194"/>
      <c r="BK30" s="194"/>
      <c r="BL30" s="194"/>
      <c r="BM30" s="194"/>
      <c r="BN30" s="194"/>
      <c r="BO30" s="194"/>
      <c r="DG30" s="194"/>
      <c r="DH30" s="194"/>
      <c r="DI30" s="194"/>
      <c r="DJ30" s="194"/>
      <c r="DK30" s="194"/>
      <c r="DL30" s="194"/>
      <c r="DR30" s="242" t="s">
        <v>357</v>
      </c>
      <c r="DS30" s="243"/>
      <c r="DT30" s="244"/>
      <c r="DU30" s="122"/>
      <c r="DX30" s="242" t="s">
        <v>357</v>
      </c>
      <c r="DY30" s="243"/>
      <c r="DZ30" s="244"/>
      <c r="EA30" s="122"/>
      <c r="EC30" s="242" t="s">
        <v>357</v>
      </c>
      <c r="ED30" s="243"/>
      <c r="EE30" s="244"/>
      <c r="EF30" s="122"/>
      <c r="EH30" s="242" t="s">
        <v>357</v>
      </c>
      <c r="EI30" s="243"/>
      <c r="EJ30" s="244"/>
      <c r="EK30" s="122"/>
    </row>
    <row r="31" spans="4:141" ht="22.9" customHeight="1" thickTop="1" thickBot="1" x14ac:dyDescent="0.3">
      <c r="H31" s="239" t="s">
        <v>604</v>
      </c>
      <c r="I31" s="240"/>
      <c r="J31" s="240"/>
      <c r="K31" s="240"/>
      <c r="L31" s="240"/>
      <c r="M31" s="240"/>
      <c r="N31" s="241"/>
      <c r="R31" s="108">
        <v>1</v>
      </c>
      <c r="S31" s="98">
        <f>MAX(Таблица1372257259[№_Э])</f>
        <v>5</v>
      </c>
      <c r="T31" s="109">
        <v>5</v>
      </c>
      <c r="AJ31" s="81">
        <f ca="1">Min_1</f>
        <v>1</v>
      </c>
      <c r="AK31" s="82">
        <f ca="1">Mid_1</f>
        <v>2.5</v>
      </c>
      <c r="AL31" s="83">
        <f ca="1">Max_1</f>
        <v>4</v>
      </c>
      <c r="AM31" s="76">
        <f ca="1">Приведение</f>
        <v>3.2233333333333332</v>
      </c>
      <c r="AO31" s="81">
        <f ca="1">Min_1</f>
        <v>1</v>
      </c>
      <c r="AP31" s="82">
        <f ca="1">Mid_1</f>
        <v>2.5</v>
      </c>
      <c r="AQ31" s="83">
        <f ca="1">Max_1</f>
        <v>4</v>
      </c>
      <c r="AR31" s="76">
        <f ca="1">Приведение</f>
        <v>1.1821428571428572</v>
      </c>
      <c r="AW31" s="81">
        <f ca="1">Min_1</f>
        <v>1</v>
      </c>
      <c r="AX31" s="82">
        <f ca="1">Mid_1</f>
        <v>2.5</v>
      </c>
      <c r="AY31" s="83">
        <f ca="1">Max_1</f>
        <v>4</v>
      </c>
      <c r="AZ31" s="76">
        <f ca="1">Приведение</f>
        <v>3.09</v>
      </c>
      <c r="BC31" s="81">
        <f ca="1">Min_1</f>
        <v>1</v>
      </c>
      <c r="BD31" s="82">
        <f ca="1">Mid_1</f>
        <v>2.5</v>
      </c>
      <c r="BE31" s="83">
        <f ca="1">Max_1</f>
        <v>4</v>
      </c>
      <c r="BF31" s="76">
        <f ca="1">Приведение</f>
        <v>2.4900000000000002</v>
      </c>
      <c r="BH31" s="197"/>
      <c r="BJ31" s="194"/>
      <c r="BK31" s="194"/>
      <c r="BL31" s="194"/>
      <c r="BM31" s="194"/>
      <c r="BN31" s="194"/>
      <c r="BO31" s="194"/>
      <c r="DE31" s="194"/>
      <c r="DF31" s="194"/>
      <c r="DG31" s="194"/>
      <c r="DH31" s="194"/>
      <c r="DI31" s="194"/>
      <c r="DJ31" s="194"/>
      <c r="DK31" s="194"/>
      <c r="DL31" s="194"/>
      <c r="DR31" s="81">
        <f ca="1">Min_1</f>
        <v>1</v>
      </c>
      <c r="DS31" s="82">
        <f ca="1">Mid_1</f>
        <v>2.5</v>
      </c>
      <c r="DT31" s="83">
        <f ca="1">Max_1</f>
        <v>4</v>
      </c>
      <c r="DU31" s="76">
        <f ca="1">Приведение</f>
        <v>1.1100000000000001</v>
      </c>
      <c r="DX31" s="81">
        <f ca="1">Min_1</f>
        <v>1</v>
      </c>
      <c r="DY31" s="82">
        <f ca="1">Mid_1</f>
        <v>2.5</v>
      </c>
      <c r="DZ31" s="83">
        <f ca="1">Max_1</f>
        <v>4</v>
      </c>
      <c r="EA31" s="76">
        <f ca="1">Приведение</f>
        <v>1</v>
      </c>
      <c r="EC31" s="81">
        <f ca="1">Min_1</f>
        <v>1</v>
      </c>
      <c r="ED31" s="82">
        <f ca="1">Mid_1</f>
        <v>2.5</v>
      </c>
      <c r="EE31" s="83">
        <f ca="1">Max_1</f>
        <v>4</v>
      </c>
      <c r="EF31" s="76">
        <f ca="1">Приведение</f>
        <v>1.56</v>
      </c>
      <c r="EH31" s="81">
        <f ca="1">Min_1</f>
        <v>1</v>
      </c>
      <c r="EI31" s="82">
        <f ca="1">Mid_1</f>
        <v>2.5</v>
      </c>
      <c r="EJ31" s="83">
        <f ca="1">Max_1</f>
        <v>4</v>
      </c>
      <c r="EK31" s="76">
        <f ca="1">Приведение</f>
        <v>3.08</v>
      </c>
    </row>
    <row r="32" spans="4:141" ht="22.9" customHeight="1" thickTop="1" thickBot="1" x14ac:dyDescent="0.95">
      <c r="H32" s="115">
        <f>H28</f>
        <v>3</v>
      </c>
      <c r="I32" s="116" t="s">
        <v>108</v>
      </c>
      <c r="J32" s="117" t="s">
        <v>108</v>
      </c>
      <c r="K32" s="118" t="s">
        <v>104</v>
      </c>
      <c r="L32" s="119" t="str">
        <f>Изопрайса</f>
        <v>Y</v>
      </c>
      <c r="M32" s="120" t="str">
        <f>Изопрайса</f>
        <v>Y</v>
      </c>
      <c r="N32" s="121" t="str">
        <f>Изопрайса</f>
        <v>W</v>
      </c>
      <c r="R32" s="110" t="s">
        <v>452</v>
      </c>
      <c r="S32" s="101" t="s">
        <v>441</v>
      </c>
      <c r="T32" s="111" t="s">
        <v>453</v>
      </c>
      <c r="AJ32" s="77">
        <v>-5</v>
      </c>
      <c r="AK32" s="78"/>
      <c r="AL32" s="79">
        <v>4</v>
      </c>
      <c r="AM32" s="80">
        <v>1.67</v>
      </c>
      <c r="AO32" s="77">
        <v>1</v>
      </c>
      <c r="AP32" s="78"/>
      <c r="AQ32" s="79">
        <v>15</v>
      </c>
      <c r="AR32" s="80">
        <v>1.85</v>
      </c>
      <c r="AW32" s="77">
        <v>1</v>
      </c>
      <c r="AX32" s="78">
        <v>0</v>
      </c>
      <c r="AY32" s="79">
        <v>4</v>
      </c>
      <c r="AZ32" s="185">
        <v>3.09</v>
      </c>
      <c r="BC32" s="77">
        <v>1</v>
      </c>
      <c r="BD32" s="78"/>
      <c r="BE32" s="79">
        <v>4</v>
      </c>
      <c r="BF32" s="184">
        <f ca="1">BF38</f>
        <v>2.4900000000000002</v>
      </c>
      <c r="BH32" s="195"/>
      <c r="BJ32" s="194"/>
      <c r="BK32" s="194"/>
      <c r="BL32" s="194"/>
      <c r="BM32" s="194"/>
      <c r="BN32" s="194"/>
      <c r="BO32" s="194"/>
      <c r="DE32" s="194"/>
      <c r="DF32" s="194"/>
      <c r="DG32" s="194"/>
      <c r="DH32" s="194"/>
      <c r="DI32" s="194"/>
      <c r="DJ32" s="194"/>
      <c r="DK32" s="194"/>
      <c r="DL32" s="194"/>
      <c r="DO32" s="195"/>
      <c r="DR32" s="77">
        <v>1</v>
      </c>
      <c r="DS32" s="78"/>
      <c r="DT32" s="79">
        <v>4</v>
      </c>
      <c r="DU32" s="184">
        <f ca="1">DN38</f>
        <v>1.1100000000000001</v>
      </c>
      <c r="DX32" s="77">
        <v>1</v>
      </c>
      <c r="DY32" s="78"/>
      <c r="DZ32" s="79">
        <v>4</v>
      </c>
      <c r="EA32" s="80">
        <v>1</v>
      </c>
      <c r="EC32" s="77">
        <v>1</v>
      </c>
      <c r="ED32" s="78"/>
      <c r="EE32" s="79">
        <v>4</v>
      </c>
      <c r="EF32" s="80">
        <v>1.56</v>
      </c>
      <c r="EH32" s="77">
        <v>1</v>
      </c>
      <c r="EI32" s="78"/>
      <c r="EJ32" s="79">
        <v>4</v>
      </c>
      <c r="EK32" s="80">
        <v>3.08</v>
      </c>
    </row>
    <row r="33" spans="8:126" ht="22.9" customHeight="1" thickTop="1" thickBot="1" x14ac:dyDescent="0.3">
      <c r="H33" s="46">
        <f>U27</f>
        <v>1.75</v>
      </c>
      <c r="I33" s="47" t="s">
        <v>104</v>
      </c>
      <c r="J33" s="48" t="s">
        <v>105</v>
      </c>
      <c r="K33" s="49" t="s">
        <v>103</v>
      </c>
      <c r="L33" s="50" t="str">
        <f>Изопрайса</f>
        <v>W</v>
      </c>
      <c r="M33" s="51" t="str">
        <f>Изопрайса</f>
        <v>E</v>
      </c>
      <c r="N33" s="52" t="str">
        <f>Изопрайса</f>
        <v>Q</v>
      </c>
      <c r="R33" s="110">
        <f>ROW()-ROW(Таблица1372257259[#Headers])</f>
        <v>1</v>
      </c>
      <c r="S33" s="130" t="str">
        <f ca="1">Фантом</f>
        <v/>
      </c>
      <c r="T33" s="111">
        <v>5</v>
      </c>
    </row>
    <row r="34" spans="8:126" ht="22.9" customHeight="1" thickBot="1" x14ac:dyDescent="0.3">
      <c r="H34" s="53">
        <f>Матрица_Расчёт</f>
        <v>1</v>
      </c>
      <c r="I34" s="54" t="s">
        <v>106</v>
      </c>
      <c r="J34" s="55" t="s">
        <v>104</v>
      </c>
      <c r="K34" s="56" t="s">
        <v>103</v>
      </c>
      <c r="L34" s="57" t="str">
        <f>Изопрайса</f>
        <v>R</v>
      </c>
      <c r="M34" s="58" t="str">
        <f>Изопрайса</f>
        <v>W</v>
      </c>
      <c r="N34" s="59" t="str">
        <f>Изопрайса</f>
        <v>Q</v>
      </c>
      <c r="R34" s="110">
        <f>ROW()-ROW(Таблица1372257259[#Headers])</f>
        <v>2</v>
      </c>
      <c r="S34" s="130">
        <f ca="1">Фантом</f>
        <v>4.2</v>
      </c>
      <c r="T34" s="111">
        <v>5</v>
      </c>
    </row>
    <row r="35" spans="8:126" ht="22.9" customHeight="1" thickTop="1" thickBot="1" x14ac:dyDescent="0.3">
      <c r="R35" s="156">
        <f>ROW()-ROW(Таблица1372257259[#Headers])</f>
        <v>3</v>
      </c>
      <c r="S35" s="157">
        <f ca="1">Фантом</f>
        <v>3.4</v>
      </c>
      <c r="T35" s="156">
        <v>3</v>
      </c>
      <c r="BF35" s="239">
        <f>BC29+1</f>
        <v>11</v>
      </c>
      <c r="BG35" s="240"/>
      <c r="BH35" s="240"/>
      <c r="BI35" s="240"/>
      <c r="BJ35" s="240"/>
      <c r="BK35" s="240"/>
      <c r="BL35" s="241"/>
      <c r="DE35" s="194"/>
      <c r="DF35" s="194"/>
      <c r="DG35" s="194"/>
      <c r="DH35" s="194"/>
      <c r="DI35" s="194"/>
      <c r="DJ35" s="194"/>
      <c r="DK35" s="194"/>
      <c r="DL35" s="194"/>
      <c r="DN35" s="239">
        <f>DR29+1</f>
        <v>22</v>
      </c>
      <c r="DO35" s="240"/>
      <c r="DP35" s="240"/>
      <c r="DQ35" s="240"/>
      <c r="DR35" s="240"/>
      <c r="DS35" s="240"/>
      <c r="DT35" s="241"/>
    </row>
    <row r="36" spans="8:126" ht="22.9" customHeight="1" thickTop="1" thickBot="1" x14ac:dyDescent="0.3">
      <c r="R36" s="156">
        <f>ROW()-ROW(Таблица1372257259[#Headers])</f>
        <v>4</v>
      </c>
      <c r="S36" s="157">
        <f ca="1">Фантом</f>
        <v>2.6</v>
      </c>
      <c r="T36" s="156">
        <v>4</v>
      </c>
      <c r="BF36" s="115">
        <f ca="1">BG42</f>
        <v>2.4900000000000002</v>
      </c>
      <c r="BG36" s="116" t="s">
        <v>106</v>
      </c>
      <c r="BH36" s="117" t="s">
        <v>104</v>
      </c>
      <c r="BI36" s="118" t="s">
        <v>107</v>
      </c>
      <c r="BJ36" s="119" t="str">
        <f>Изопрайса</f>
        <v>R</v>
      </c>
      <c r="BK36" s="120" t="str">
        <f>Изопрайса</f>
        <v>W</v>
      </c>
      <c r="BL36" s="121" t="str">
        <f>Изопрайса</f>
        <v>T</v>
      </c>
      <c r="DE36" s="194"/>
      <c r="DF36" s="194"/>
      <c r="DG36" s="194"/>
      <c r="DH36" s="194"/>
      <c r="DI36" s="194"/>
      <c r="DJ36" s="194"/>
      <c r="DK36" s="194"/>
      <c r="DL36" s="194"/>
      <c r="DN36" s="115">
        <f ca="1">DQ42</f>
        <v>1.07</v>
      </c>
      <c r="DO36" s="116" t="s">
        <v>105</v>
      </c>
      <c r="DP36" s="117" t="s">
        <v>105</v>
      </c>
      <c r="DQ36" s="118" t="s">
        <v>103</v>
      </c>
      <c r="DR36" s="119" t="str">
        <f>Изопрайса</f>
        <v>E</v>
      </c>
      <c r="DS36" s="120" t="str">
        <f>Изопрайса</f>
        <v>E</v>
      </c>
      <c r="DT36" s="121" t="str">
        <f>Изопрайса</f>
        <v>Q</v>
      </c>
    </row>
    <row r="37" spans="8:126" ht="22.5" customHeight="1" thickBot="1" x14ac:dyDescent="0.3">
      <c r="H37" s="158" t="s">
        <v>395</v>
      </c>
      <c r="I37" s="159" t="s">
        <v>597</v>
      </c>
      <c r="J37" s="160" t="s">
        <v>598</v>
      </c>
      <c r="K37" s="161" t="s">
        <v>599</v>
      </c>
      <c r="L37" s="162" t="s">
        <v>605</v>
      </c>
      <c r="R37" s="163">
        <f>ROW()-ROW(Таблица1372257259[#Headers])</f>
        <v>5</v>
      </c>
      <c r="S37" s="164">
        <f ca="1">Фантом</f>
        <v>1.8</v>
      </c>
      <c r="T37" s="163">
        <v>4</v>
      </c>
      <c r="BF37" s="46">
        <f ca="1">BL42</f>
        <v>1.59</v>
      </c>
      <c r="BG37" s="47" t="s">
        <v>106</v>
      </c>
      <c r="BH37" s="48" t="s">
        <v>106</v>
      </c>
      <c r="BI37" s="49" t="s">
        <v>104</v>
      </c>
      <c r="BJ37" s="50" t="str">
        <f>Изопрайса</f>
        <v>R</v>
      </c>
      <c r="BK37" s="51" t="str">
        <f>Изопрайса</f>
        <v>R</v>
      </c>
      <c r="BL37" s="52" t="str">
        <f>Изопрайса</f>
        <v>W</v>
      </c>
      <c r="DE37" s="194"/>
      <c r="DF37" s="194"/>
      <c r="DG37" s="194"/>
      <c r="DH37" s="194"/>
      <c r="DI37" s="194"/>
      <c r="DJ37" s="194"/>
      <c r="DK37" s="194"/>
      <c r="DL37" s="194"/>
      <c r="DN37" s="46">
        <f ca="1">DV42</f>
        <v>3.02</v>
      </c>
      <c r="DO37" s="47" t="s">
        <v>108</v>
      </c>
      <c r="DP37" s="48" t="s">
        <v>104</v>
      </c>
      <c r="DQ37" s="49" t="s">
        <v>103</v>
      </c>
      <c r="DR37" s="50" t="str">
        <f>Изопрайса</f>
        <v>Y</v>
      </c>
      <c r="DS37" s="51" t="str">
        <f>Изопрайса</f>
        <v>W</v>
      </c>
      <c r="DT37" s="52" t="str">
        <f>Изопрайса</f>
        <v>Q</v>
      </c>
    </row>
    <row r="38" spans="8:126" ht="22.9" customHeight="1" thickBot="1" x14ac:dyDescent="0.3">
      <c r="H38" s="165">
        <v>1</v>
      </c>
      <c r="I38" s="166">
        <v>37</v>
      </c>
      <c r="J38" s="167">
        <v>2</v>
      </c>
      <c r="K38" s="168">
        <v>3</v>
      </c>
      <c r="L38" s="169">
        <v>1.5</v>
      </c>
      <c r="O38" s="249">
        <f>L38/$L$43</f>
        <v>0.20689655172413793</v>
      </c>
      <c r="P38" s="249"/>
      <c r="R38" s="112" t="s">
        <v>454</v>
      </c>
      <c r="S38" s="113">
        <f>MAX(Таблица1372257259[№_Э])</f>
        <v>5</v>
      </c>
      <c r="T38" s="114">
        <f ca="1">MEDIAN(Таблица1372257259[_]:Таблица1372257259[О])</f>
        <v>4</v>
      </c>
      <c r="BF38" s="53">
        <f ca="1">Матрица_Расчёт</f>
        <v>2.4900000000000002</v>
      </c>
      <c r="BG38" s="54" t="s">
        <v>103</v>
      </c>
      <c r="BH38" s="55" t="s">
        <v>107</v>
      </c>
      <c r="BI38" s="56" t="s">
        <v>106</v>
      </c>
      <c r="BJ38" s="57" t="str">
        <f>Изопрайса</f>
        <v>Q</v>
      </c>
      <c r="BK38" s="58" t="str">
        <f>Изопрайса</f>
        <v>T</v>
      </c>
      <c r="BL38" s="59" t="str">
        <f>Изопрайса</f>
        <v>R</v>
      </c>
      <c r="DN38" s="53">
        <f ca="1">Матрица_Расчёт</f>
        <v>1.1100000000000001</v>
      </c>
      <c r="DO38" s="54" t="s">
        <v>108</v>
      </c>
      <c r="DP38" s="55" t="s">
        <v>106</v>
      </c>
      <c r="DQ38" s="56" t="s">
        <v>106</v>
      </c>
      <c r="DR38" s="57" t="str">
        <f>Изопрайса</f>
        <v>Y</v>
      </c>
      <c r="DS38" s="58" t="str">
        <f>Изопрайса</f>
        <v>R</v>
      </c>
      <c r="DT38" s="59" t="str">
        <f>Изопрайса</f>
        <v>R</v>
      </c>
    </row>
    <row r="39" spans="8:126" ht="22.9" customHeight="1" thickTop="1" thickBot="1" x14ac:dyDescent="0.3">
      <c r="H39" s="170">
        <v>2</v>
      </c>
      <c r="I39" s="171">
        <v>16</v>
      </c>
      <c r="J39" s="6">
        <v>4</v>
      </c>
      <c r="K39" s="172">
        <v>4</v>
      </c>
      <c r="L39" s="173">
        <v>1</v>
      </c>
      <c r="O39" s="249">
        <f>L39/$L$43</f>
        <v>0.13793103448275862</v>
      </c>
      <c r="P39" s="249"/>
      <c r="DD39" s="194"/>
      <c r="DE39" s="194"/>
      <c r="DF39" s="194"/>
      <c r="DG39" s="194"/>
      <c r="DH39" s="194"/>
    </row>
    <row r="40" spans="8:126" ht="22.9" customHeight="1" thickTop="1" thickBot="1" x14ac:dyDescent="0.3">
      <c r="H40" s="170">
        <v>3</v>
      </c>
      <c r="I40" s="171">
        <v>52</v>
      </c>
      <c r="J40" s="6">
        <v>1</v>
      </c>
      <c r="K40" s="172">
        <v>3</v>
      </c>
      <c r="L40" s="173">
        <v>1.5</v>
      </c>
      <c r="O40" s="249">
        <f>L40/$L$43</f>
        <v>0.20689655172413793</v>
      </c>
      <c r="P40" s="249"/>
      <c r="BD40" s="239">
        <f>BF35+1</f>
        <v>12</v>
      </c>
      <c r="BE40" s="240"/>
      <c r="BF40" s="240"/>
      <c r="BG40" s="241"/>
      <c r="BI40" s="239">
        <f>BD40+1</f>
        <v>13</v>
      </c>
      <c r="BJ40" s="240"/>
      <c r="BK40" s="240"/>
      <c r="BL40" s="241"/>
      <c r="BR40" s="194"/>
      <c r="BS40" s="194"/>
      <c r="BT40" s="194"/>
      <c r="BU40" s="194"/>
      <c r="BV40" s="194"/>
      <c r="BW40" s="194"/>
      <c r="BX40" s="194"/>
      <c r="BY40" s="194"/>
      <c r="BZ40" s="194"/>
      <c r="CA40" s="194"/>
      <c r="CB40" s="194"/>
      <c r="CC40" s="194"/>
      <c r="CD40" s="194"/>
      <c r="CE40" s="194"/>
      <c r="CF40" s="194"/>
      <c r="CG40" s="194"/>
      <c r="CH40" s="194"/>
      <c r="CI40" s="194"/>
      <c r="CJ40" s="194"/>
      <c r="CK40" s="194"/>
      <c r="CL40" s="194"/>
      <c r="CM40" s="194"/>
      <c r="CN40" s="194"/>
      <c r="CO40" s="194"/>
      <c r="CP40" s="194"/>
      <c r="CQ40" s="194"/>
      <c r="CR40" s="194"/>
      <c r="CS40" s="194"/>
      <c r="CT40" s="194"/>
      <c r="CU40" s="194"/>
      <c r="CV40" s="194"/>
      <c r="CW40" s="194"/>
      <c r="CX40" s="194"/>
      <c r="CY40" s="194"/>
      <c r="CZ40" s="194"/>
      <c r="DA40" s="194"/>
      <c r="DB40" s="194"/>
      <c r="DC40" s="194"/>
      <c r="DD40" s="194"/>
      <c r="DE40" s="194"/>
      <c r="DF40" s="194"/>
      <c r="DG40" s="194"/>
      <c r="DH40" s="194"/>
      <c r="DN40" s="239">
        <f>DN35+1</f>
        <v>23</v>
      </c>
      <c r="DO40" s="240"/>
      <c r="DP40" s="240"/>
      <c r="DQ40" s="241"/>
      <c r="DS40" s="239">
        <f>DO50+1</f>
        <v>27</v>
      </c>
      <c r="DT40" s="240"/>
      <c r="DU40" s="240"/>
      <c r="DV40" s="241"/>
    </row>
    <row r="41" spans="8:126" ht="22.9" customHeight="1" thickTop="1" x14ac:dyDescent="0.25">
      <c r="H41" s="170">
        <v>4</v>
      </c>
      <c r="I41" s="171">
        <v>28</v>
      </c>
      <c r="J41" s="6">
        <v>3</v>
      </c>
      <c r="K41" s="172">
        <v>3.4</v>
      </c>
      <c r="L41" s="173">
        <v>1</v>
      </c>
      <c r="O41" s="249">
        <f>L41/$L$43</f>
        <v>0.13793103448275862</v>
      </c>
      <c r="P41" s="249"/>
      <c r="BD41" s="242" t="s">
        <v>357</v>
      </c>
      <c r="BE41" s="243"/>
      <c r="BF41" s="244"/>
      <c r="BG41" s="122"/>
      <c r="BI41" s="242" t="s">
        <v>357</v>
      </c>
      <c r="BJ41" s="243"/>
      <c r="BK41" s="244"/>
      <c r="BL41" s="122"/>
      <c r="BR41" s="194"/>
      <c r="BS41" s="194"/>
      <c r="BT41" s="194"/>
      <c r="BU41" s="194"/>
      <c r="BV41" s="194"/>
      <c r="BW41" s="194"/>
      <c r="BX41" s="194"/>
      <c r="BY41" s="194"/>
      <c r="BZ41" s="194"/>
      <c r="CA41" s="194"/>
      <c r="CB41" s="194"/>
      <c r="CC41" s="194"/>
      <c r="CD41" s="194"/>
      <c r="CE41" s="194"/>
      <c r="CF41" s="194"/>
      <c r="CG41" s="194"/>
      <c r="CH41" s="194"/>
      <c r="CI41" s="194"/>
      <c r="CJ41" s="194"/>
      <c r="CK41" s="194"/>
      <c r="CL41" s="194"/>
      <c r="CM41" s="194"/>
      <c r="CN41" s="194"/>
      <c r="CO41" s="194"/>
      <c r="CP41" s="194"/>
      <c r="CQ41" s="194"/>
      <c r="CR41" s="194"/>
      <c r="CS41" s="194"/>
      <c r="CT41" s="194"/>
      <c r="CU41" s="194"/>
      <c r="CV41" s="194"/>
      <c r="CW41" s="194"/>
      <c r="CX41" s="194"/>
      <c r="CY41" s="194"/>
      <c r="CZ41" s="194"/>
      <c r="DA41" s="194"/>
      <c r="DB41" s="194"/>
      <c r="DC41" s="194"/>
      <c r="DD41" s="194"/>
      <c r="DE41" s="194"/>
      <c r="DF41" s="194"/>
      <c r="DG41" s="194"/>
      <c r="DH41" s="194"/>
      <c r="DN41" s="242" t="s">
        <v>357</v>
      </c>
      <c r="DO41" s="243"/>
      <c r="DP41" s="244"/>
      <c r="DQ41" s="122"/>
      <c r="DS41" s="242" t="s">
        <v>357</v>
      </c>
      <c r="DT41" s="243"/>
      <c r="DU41" s="244"/>
      <c r="DV41" s="122"/>
    </row>
    <row r="42" spans="8:126" ht="22.9" customHeight="1" thickBot="1" x14ac:dyDescent="0.95">
      <c r="H42" s="174">
        <v>5</v>
      </c>
      <c r="I42" s="171">
        <v>61</v>
      </c>
      <c r="J42" s="6">
        <v>1</v>
      </c>
      <c r="K42" s="172">
        <v>4</v>
      </c>
      <c r="L42" s="175">
        <v>2.25</v>
      </c>
      <c r="O42" s="249">
        <f>L42/$L$43</f>
        <v>0.31034482758620691</v>
      </c>
      <c r="P42" s="249"/>
      <c r="W42">
        <v>1.3</v>
      </c>
      <c r="BD42" s="81">
        <f ca="1">Min_1</f>
        <v>1</v>
      </c>
      <c r="BE42" s="82">
        <f ca="1">Mid_1</f>
        <v>2.5</v>
      </c>
      <c r="BF42" s="83">
        <f ca="1">Max_1</f>
        <v>4</v>
      </c>
      <c r="BG42" s="76">
        <f ca="1">Приведение</f>
        <v>2.4900000000000002</v>
      </c>
      <c r="BI42" s="81">
        <f ca="1">Min_1</f>
        <v>1</v>
      </c>
      <c r="BJ42" s="82">
        <f ca="1">Mid_1</f>
        <v>2.5</v>
      </c>
      <c r="BK42" s="83">
        <f ca="1">Max_1</f>
        <v>4</v>
      </c>
      <c r="BL42" s="76">
        <f ca="1">Приведение</f>
        <v>1.59</v>
      </c>
      <c r="BR42" s="194"/>
      <c r="BS42" s="194"/>
      <c r="BT42" s="194"/>
      <c r="BU42" s="194"/>
      <c r="BV42" s="194"/>
      <c r="BW42" s="194"/>
      <c r="BX42" s="194"/>
      <c r="BY42" s="194"/>
      <c r="BZ42" s="194"/>
      <c r="CA42" s="194"/>
      <c r="CB42" s="194"/>
      <c r="CC42" s="194"/>
      <c r="CD42" s="194"/>
      <c r="CE42" s="194"/>
      <c r="CF42" s="194"/>
      <c r="CG42" s="194"/>
      <c r="CH42" s="194"/>
      <c r="CI42" s="194"/>
      <c r="CJ42" s="194"/>
      <c r="CK42" s="194"/>
      <c r="CL42" s="194"/>
      <c r="CM42" s="194"/>
      <c r="CN42" s="194"/>
      <c r="CO42" s="194"/>
      <c r="CP42" s="194"/>
      <c r="CQ42" s="194"/>
      <c r="CR42" s="194"/>
      <c r="CS42" s="194"/>
      <c r="CT42" s="194"/>
      <c r="CU42" s="194"/>
      <c r="CV42" s="194"/>
      <c r="CW42" s="194"/>
      <c r="CX42" s="194"/>
      <c r="CY42" s="194"/>
      <c r="CZ42" s="194"/>
      <c r="DA42" s="194"/>
      <c r="DB42" s="194"/>
      <c r="DC42" s="194"/>
      <c r="DD42" s="194"/>
      <c r="DE42" s="194"/>
      <c r="DF42" s="203"/>
      <c r="DG42" s="203"/>
      <c r="DH42" s="194"/>
      <c r="DN42" s="81">
        <f ca="1">Min_1</f>
        <v>1</v>
      </c>
      <c r="DO42" s="82">
        <f ca="1">Mid_1</f>
        <v>2.5</v>
      </c>
      <c r="DP42" s="83">
        <f ca="1">Max_1</f>
        <v>4</v>
      </c>
      <c r="DQ42" s="76">
        <f ca="1">Приведение</f>
        <v>1.07</v>
      </c>
      <c r="DS42" s="81">
        <f ca="1">Min_1</f>
        <v>1</v>
      </c>
      <c r="DT42" s="82">
        <f ca="1">Mid_1</f>
        <v>2.5</v>
      </c>
      <c r="DU42" s="83">
        <f ca="1">Max_1</f>
        <v>4</v>
      </c>
      <c r="DV42" s="76">
        <f ca="1">Приведение</f>
        <v>3.02</v>
      </c>
    </row>
    <row r="43" spans="8:126" ht="22.9" customHeight="1" thickBot="1" x14ac:dyDescent="0.95">
      <c r="L43" s="5">
        <f>SUM(L38:L42)</f>
        <v>7.25</v>
      </c>
      <c r="W43">
        <v>2.65</v>
      </c>
      <c r="BD43" s="77">
        <v>1</v>
      </c>
      <c r="BE43" s="78">
        <v>4</v>
      </c>
      <c r="BF43" s="79">
        <v>4</v>
      </c>
      <c r="BG43" s="185">
        <v>2.4900000000000002</v>
      </c>
      <c r="BH43">
        <v>2.4900000000000002</v>
      </c>
      <c r="BI43" s="77">
        <v>1</v>
      </c>
      <c r="BJ43" s="78"/>
      <c r="BK43" s="79">
        <v>4</v>
      </c>
      <c r="BL43" s="184">
        <f ca="1">BK48</f>
        <v>1.59</v>
      </c>
      <c r="BM43">
        <v>1.49</v>
      </c>
      <c r="BR43" s="194"/>
      <c r="BS43" s="194"/>
      <c r="BT43" s="194"/>
      <c r="BU43" s="194"/>
      <c r="BV43" s="194"/>
      <c r="BW43" s="201"/>
      <c r="BX43" s="201"/>
      <c r="BY43" s="201"/>
      <c r="BZ43" s="194"/>
      <c r="CA43" s="194"/>
      <c r="CB43" s="194"/>
      <c r="CC43" s="194"/>
      <c r="CD43" s="194"/>
      <c r="CE43" s="194"/>
      <c r="CF43" s="194"/>
      <c r="CG43" s="194"/>
      <c r="CH43" s="194"/>
      <c r="CI43" s="194"/>
      <c r="CJ43" s="194"/>
      <c r="CK43" s="194"/>
      <c r="CL43" s="194"/>
      <c r="CM43" s="194"/>
      <c r="CN43" s="194"/>
      <c r="CO43" s="194"/>
      <c r="CP43" s="194"/>
      <c r="CQ43" s="194"/>
      <c r="CR43" s="194"/>
      <c r="CS43" s="194"/>
      <c r="CT43" s="194"/>
      <c r="CU43" s="194"/>
      <c r="CV43" s="194"/>
      <c r="CW43" s="194"/>
      <c r="CX43" s="194"/>
      <c r="CY43" s="194"/>
      <c r="CZ43" s="194"/>
      <c r="DA43" s="194"/>
      <c r="DB43" s="194"/>
      <c r="DC43" s="194"/>
      <c r="DD43" s="194"/>
      <c r="DE43" s="194"/>
      <c r="DF43" s="203"/>
      <c r="DG43" s="203"/>
      <c r="DH43" s="194"/>
      <c r="DN43" s="77">
        <v>1</v>
      </c>
      <c r="DO43" s="78"/>
      <c r="DP43" s="79">
        <v>4</v>
      </c>
      <c r="DQ43" s="184">
        <f ca="1">DJ48</f>
        <v>1.07</v>
      </c>
      <c r="DS43" s="77">
        <v>1</v>
      </c>
      <c r="DT43" s="78"/>
      <c r="DU43" s="79">
        <v>4</v>
      </c>
      <c r="DV43" s="80">
        <v>3.02</v>
      </c>
    </row>
    <row r="44" spans="8:126" ht="22.9" customHeight="1" thickTop="1" thickBot="1" x14ac:dyDescent="0.3">
      <c r="W44">
        <v>1</v>
      </c>
    </row>
    <row r="45" spans="8:126" ht="22.9" customHeight="1" thickTop="1" thickBot="1" x14ac:dyDescent="0.95">
      <c r="BK45" s="239">
        <f>BI40+1</f>
        <v>14</v>
      </c>
      <c r="BL45" s="240"/>
      <c r="BM45" s="240"/>
      <c r="BN45" s="240"/>
      <c r="BO45" s="240"/>
      <c r="BP45" s="240"/>
      <c r="BQ45" s="241"/>
      <c r="BR45" s="194"/>
      <c r="BS45" s="202"/>
      <c r="BT45" s="202"/>
      <c r="BU45" s="201"/>
      <c r="BV45" s="201"/>
      <c r="BW45" s="201"/>
      <c r="BX45" s="201"/>
      <c r="BY45" s="201"/>
      <c r="BZ45" s="194"/>
      <c r="CA45" s="194"/>
      <c r="CB45" s="194"/>
      <c r="CC45" s="194"/>
      <c r="CD45" s="194"/>
      <c r="CE45" s="194"/>
      <c r="CF45" s="194"/>
      <c r="CG45" s="194"/>
      <c r="CH45" s="194"/>
      <c r="CI45" s="194"/>
      <c r="CJ45" s="194"/>
      <c r="CK45" s="194"/>
      <c r="CL45" s="194"/>
      <c r="CM45" s="194"/>
      <c r="CN45" s="194"/>
      <c r="CO45" s="194"/>
      <c r="CP45" s="194"/>
      <c r="CQ45" s="194"/>
      <c r="CR45" s="194"/>
      <c r="CS45" s="194"/>
      <c r="CT45" s="194"/>
      <c r="CU45" s="194"/>
      <c r="CV45" s="194"/>
      <c r="CW45" s="194"/>
      <c r="CX45" s="194"/>
      <c r="CY45" s="194"/>
      <c r="CZ45" s="194"/>
      <c r="DA45" s="194"/>
      <c r="DB45" s="201"/>
      <c r="DC45" s="201"/>
      <c r="DD45" s="202"/>
      <c r="DE45" s="202"/>
      <c r="DF45" s="194"/>
      <c r="DG45" s="194"/>
      <c r="DH45" s="194"/>
      <c r="DJ45" s="239">
        <f>DN40+1</f>
        <v>24</v>
      </c>
      <c r="DK45" s="240"/>
      <c r="DL45" s="240"/>
      <c r="DM45" s="240"/>
      <c r="DN45" s="240"/>
      <c r="DO45" s="240"/>
      <c r="DP45" s="241"/>
    </row>
    <row r="46" spans="8:126" ht="22.9" customHeight="1" thickTop="1" x14ac:dyDescent="0.25">
      <c r="BK46" s="115">
        <f ca="1">BL52</f>
        <v>1.6</v>
      </c>
      <c r="BL46" s="116" t="s">
        <v>106</v>
      </c>
      <c r="BM46" s="117" t="s">
        <v>104</v>
      </c>
      <c r="BN46" s="118" t="s">
        <v>107</v>
      </c>
      <c r="BO46" s="119" t="str">
        <f>Изопрайса</f>
        <v>R</v>
      </c>
      <c r="BP46" s="120" t="str">
        <f>Изопрайса</f>
        <v>W</v>
      </c>
      <c r="BQ46" s="121" t="str">
        <f>Изопрайса</f>
        <v>T</v>
      </c>
      <c r="BR46" s="194"/>
      <c r="BS46" s="194"/>
      <c r="BT46" s="194"/>
      <c r="BU46" s="194"/>
      <c r="BV46" s="194"/>
      <c r="BW46" s="194"/>
      <c r="BX46" s="194"/>
      <c r="BY46" s="194"/>
      <c r="BZ46" s="194"/>
      <c r="CA46" s="194"/>
      <c r="CB46" s="194"/>
      <c r="CC46" s="194"/>
      <c r="CD46" s="194"/>
      <c r="CE46" s="194"/>
      <c r="CF46" s="194"/>
      <c r="CG46" s="194"/>
      <c r="CH46" s="194"/>
      <c r="CI46" s="194"/>
      <c r="CJ46" s="194"/>
      <c r="CK46" s="194"/>
      <c r="CL46" s="194"/>
      <c r="CM46" s="194"/>
      <c r="CN46" s="194"/>
      <c r="CO46" s="194"/>
      <c r="CP46" s="194"/>
      <c r="CQ46" s="194"/>
      <c r="CR46" s="194"/>
      <c r="CS46" s="194"/>
      <c r="CT46" s="194"/>
      <c r="CU46" s="194"/>
      <c r="CV46" s="194"/>
      <c r="CW46" s="194"/>
      <c r="CX46" s="194"/>
      <c r="CY46" s="194"/>
      <c r="CZ46" s="194"/>
      <c r="DA46" s="194"/>
      <c r="DB46" s="194"/>
      <c r="DC46" s="194"/>
      <c r="DD46" s="194"/>
      <c r="DE46" s="194"/>
      <c r="DF46" s="194"/>
      <c r="DG46" s="194"/>
      <c r="DH46" s="194"/>
      <c r="DJ46" s="115">
        <f ca="1">DM52</f>
        <v>1.0566666666666666</v>
      </c>
      <c r="DK46" s="116" t="s">
        <v>105</v>
      </c>
      <c r="DL46" s="117" t="s">
        <v>105</v>
      </c>
      <c r="DM46" s="118" t="s">
        <v>103</v>
      </c>
      <c r="DN46" s="119" t="str">
        <f>Изопрайса</f>
        <v>E</v>
      </c>
      <c r="DO46" s="120" t="str">
        <f>Изопрайса</f>
        <v>E</v>
      </c>
      <c r="DP46" s="121" t="str">
        <f>Изопрайса</f>
        <v>Q</v>
      </c>
    </row>
    <row r="47" spans="8:126" ht="22.9" customHeight="1" thickBot="1" x14ac:dyDescent="0.3">
      <c r="BK47" s="46">
        <f ca="1">BQ52</f>
        <v>1.4233333333333333</v>
      </c>
      <c r="BL47" s="47" t="s">
        <v>106</v>
      </c>
      <c r="BM47" s="48" t="s">
        <v>106</v>
      </c>
      <c r="BN47" s="49" t="s">
        <v>104</v>
      </c>
      <c r="BO47" s="50" t="str">
        <f>Изопрайса</f>
        <v>R</v>
      </c>
      <c r="BP47" s="51" t="str">
        <f>Изопрайса</f>
        <v>R</v>
      </c>
      <c r="BQ47" s="52" t="str">
        <f>Изопрайса</f>
        <v>W</v>
      </c>
      <c r="BR47" s="194"/>
      <c r="BS47" s="194"/>
      <c r="BT47" s="194"/>
      <c r="BU47" s="194"/>
      <c r="BV47" s="194"/>
      <c r="BW47" s="194"/>
      <c r="BX47" s="194"/>
      <c r="BY47" s="194"/>
      <c r="BZ47" s="194"/>
      <c r="CA47" s="194"/>
      <c r="CB47" s="194"/>
      <c r="CC47" s="194"/>
      <c r="CD47" s="194"/>
      <c r="CE47" s="194"/>
      <c r="CF47" s="194"/>
      <c r="CG47" s="194"/>
      <c r="CH47" s="194"/>
      <c r="CI47" s="194"/>
      <c r="CJ47" s="194"/>
      <c r="CK47" s="194"/>
      <c r="CL47" s="194"/>
      <c r="CM47" s="194"/>
      <c r="CN47" s="194"/>
      <c r="CO47" s="194"/>
      <c r="CP47" s="194"/>
      <c r="CQ47" s="194"/>
      <c r="CR47" s="194"/>
      <c r="CS47" s="194"/>
      <c r="CT47" s="194"/>
      <c r="CU47" s="194"/>
      <c r="CV47" s="194"/>
      <c r="CW47" s="194"/>
      <c r="CX47" s="194"/>
      <c r="CY47" s="194"/>
      <c r="CZ47" s="194"/>
      <c r="DA47" s="194"/>
      <c r="DB47" s="194"/>
      <c r="DC47" s="194"/>
      <c r="DD47" s="194"/>
      <c r="DE47" s="194"/>
      <c r="DF47" s="194"/>
      <c r="DG47" s="194"/>
      <c r="DH47" s="194"/>
      <c r="DJ47" s="46">
        <f ca="1">DR52</f>
        <v>2.333333333333333</v>
      </c>
      <c r="DK47" s="47" t="s">
        <v>108</v>
      </c>
      <c r="DL47" s="48" t="s">
        <v>104</v>
      </c>
      <c r="DM47" s="49" t="s">
        <v>103</v>
      </c>
      <c r="DN47" s="50" t="str">
        <f>Изопрайса</f>
        <v>Y</v>
      </c>
      <c r="DO47" s="51" t="str">
        <f>Изопрайса</f>
        <v>W</v>
      </c>
      <c r="DP47" s="52" t="str">
        <f>Изопрайса</f>
        <v>Q</v>
      </c>
    </row>
    <row r="48" spans="8:126" ht="22.9" customHeight="1" thickBot="1" x14ac:dyDescent="0.3">
      <c r="BK48" s="53">
        <f ca="1">Матрица_Расчёт</f>
        <v>1.59</v>
      </c>
      <c r="BL48" s="54" t="s">
        <v>103</v>
      </c>
      <c r="BM48" s="55" t="s">
        <v>107</v>
      </c>
      <c r="BN48" s="56" t="s">
        <v>106</v>
      </c>
      <c r="BO48" s="57" t="str">
        <f>Изопрайса</f>
        <v>Q</v>
      </c>
      <c r="BP48" s="58" t="str">
        <f>Изопрайса</f>
        <v>T</v>
      </c>
      <c r="BQ48" s="59" t="str">
        <f>Изопрайса</f>
        <v>R</v>
      </c>
      <c r="DD48" s="194"/>
      <c r="DE48" s="194"/>
      <c r="DF48" s="194"/>
      <c r="DG48" s="194"/>
      <c r="DH48" s="194"/>
      <c r="DJ48" s="53">
        <f ca="1">Матрица_Расчёт</f>
        <v>1.07</v>
      </c>
      <c r="DK48" s="54" t="s">
        <v>108</v>
      </c>
      <c r="DL48" s="55" t="s">
        <v>106</v>
      </c>
      <c r="DM48" s="56" t="s">
        <v>106</v>
      </c>
      <c r="DN48" s="57" t="str">
        <f>Изопрайса</f>
        <v>Y</v>
      </c>
      <c r="DO48" s="58" t="str">
        <f>Изопрайса</f>
        <v>R</v>
      </c>
      <c r="DP48" s="59" t="str">
        <f>Изопрайса</f>
        <v>R</v>
      </c>
    </row>
    <row r="49" spans="3:140" ht="22.9" customHeight="1" thickTop="1" thickBot="1" x14ac:dyDescent="0.3">
      <c r="DD49" s="194"/>
      <c r="DE49" s="194"/>
      <c r="DF49" s="194"/>
      <c r="DG49" s="194"/>
      <c r="DH49" s="194"/>
    </row>
    <row r="50" spans="3:140" ht="22.9" customHeight="1" thickTop="1" thickBot="1" x14ac:dyDescent="0.3">
      <c r="BI50" s="239">
        <f>BK45+1</f>
        <v>15</v>
      </c>
      <c r="BJ50" s="240"/>
      <c r="BK50" s="240"/>
      <c r="BL50" s="241"/>
      <c r="BN50" s="239">
        <f>BI50+1</f>
        <v>16</v>
      </c>
      <c r="BO50" s="240"/>
      <c r="BP50" s="240"/>
      <c r="BQ50" s="241"/>
      <c r="DD50" s="194"/>
      <c r="DE50" s="194"/>
      <c r="DF50" s="194"/>
      <c r="DG50" s="194"/>
      <c r="DH50" s="194"/>
      <c r="DJ50" s="239">
        <f>DJ45+1</f>
        <v>25</v>
      </c>
      <c r="DK50" s="240"/>
      <c r="DL50" s="240"/>
      <c r="DM50" s="241"/>
      <c r="DO50" s="239">
        <f>DJ50+1</f>
        <v>26</v>
      </c>
      <c r="DP50" s="240"/>
      <c r="DQ50" s="240"/>
      <c r="DR50" s="241"/>
    </row>
    <row r="51" spans="3:140" ht="22.9" customHeight="1" thickTop="1" thickBot="1" x14ac:dyDescent="0.3">
      <c r="M51" s="239"/>
      <c r="N51" s="240"/>
      <c r="O51" s="240"/>
      <c r="P51" s="240"/>
      <c r="Q51" s="240"/>
      <c r="R51" s="240"/>
      <c r="S51" s="241"/>
      <c r="BI51" s="242" t="s">
        <v>359</v>
      </c>
      <c r="BJ51" s="243"/>
      <c r="BK51" s="244"/>
      <c r="BL51" s="122"/>
      <c r="BN51" s="242" t="s">
        <v>357</v>
      </c>
      <c r="BO51" s="243"/>
      <c r="BP51" s="244"/>
      <c r="BQ51" s="122"/>
      <c r="BZ51" s="194"/>
      <c r="CA51" s="194"/>
      <c r="CB51" s="194"/>
      <c r="CC51" s="194"/>
      <c r="CD51" s="194"/>
      <c r="CE51" s="194"/>
      <c r="CF51" s="194"/>
      <c r="CG51" s="194"/>
      <c r="CH51" s="194"/>
      <c r="CI51" s="194"/>
      <c r="CJ51" s="194"/>
      <c r="CK51" s="194"/>
      <c r="CL51" s="194"/>
      <c r="CM51" s="194"/>
      <c r="CN51" s="194"/>
      <c r="CO51" s="194"/>
      <c r="CP51" s="194"/>
      <c r="CQ51" s="194"/>
      <c r="CR51" s="194"/>
      <c r="CS51" s="194"/>
      <c r="CT51" s="194"/>
      <c r="CU51" s="194"/>
      <c r="CV51" s="194"/>
      <c r="CW51" s="194"/>
      <c r="CX51" s="194"/>
      <c r="CY51" s="194"/>
      <c r="CZ51" s="194"/>
      <c r="DA51" s="194"/>
      <c r="DB51" s="194"/>
      <c r="DC51" s="194"/>
      <c r="DD51" s="194"/>
      <c r="DE51" s="194"/>
      <c r="DJ51" s="242" t="s">
        <v>357</v>
      </c>
      <c r="DK51" s="243"/>
      <c r="DL51" s="244"/>
      <c r="DM51" s="122"/>
      <c r="DO51" s="242" t="s">
        <v>357</v>
      </c>
      <c r="DP51" s="243"/>
      <c r="DQ51" s="244"/>
      <c r="DR51" s="122"/>
    </row>
    <row r="52" spans="3:140" ht="22.9" customHeight="1" thickTop="1" x14ac:dyDescent="0.25">
      <c r="M52" s="115">
        <f ca="1">M59</f>
        <v>3.4000000000000004</v>
      </c>
      <c r="N52" s="116" t="s">
        <v>106</v>
      </c>
      <c r="O52" s="117" t="s">
        <v>108</v>
      </c>
      <c r="P52" s="118" t="s">
        <v>104</v>
      </c>
      <c r="Q52" s="119" t="str">
        <f>Изопрайса</f>
        <v>R</v>
      </c>
      <c r="R52" s="120" t="str">
        <f>Изопрайса</f>
        <v>Y</v>
      </c>
      <c r="S52" s="121" t="str">
        <f>Изопрайса</f>
        <v>W</v>
      </c>
      <c r="BI52" s="81">
        <f ca="1">Min_1</f>
        <v>1</v>
      </c>
      <c r="BJ52" s="82">
        <f ca="1">Mid_1</f>
        <v>4</v>
      </c>
      <c r="BK52" s="83">
        <f ca="1">Max_1</f>
        <v>1</v>
      </c>
      <c r="BL52" s="76">
        <f ca="1">Приведение</f>
        <v>1.6</v>
      </c>
      <c r="BN52" s="81">
        <f ca="1">Min_1</f>
        <v>1</v>
      </c>
      <c r="BO52" s="82">
        <f ca="1">Mid_1</f>
        <v>2.5</v>
      </c>
      <c r="BP52" s="83">
        <f ca="1">Max_1</f>
        <v>4</v>
      </c>
      <c r="BQ52" s="76">
        <f ca="1">Приведение</f>
        <v>1.4233333333333333</v>
      </c>
      <c r="BZ52" s="194"/>
      <c r="CA52" s="194"/>
      <c r="CB52" s="194"/>
      <c r="CC52" s="194"/>
      <c r="CD52" s="194"/>
      <c r="CE52" s="194"/>
      <c r="CF52" s="194"/>
      <c r="CG52" s="194"/>
      <c r="CH52" s="194"/>
      <c r="CI52" s="194"/>
      <c r="CJ52" s="194"/>
      <c r="CK52" s="194"/>
      <c r="CL52" s="194"/>
      <c r="CM52" s="194"/>
      <c r="CN52" s="194"/>
      <c r="CO52" s="194"/>
      <c r="CP52" s="194"/>
      <c r="CQ52" s="194"/>
      <c r="CR52" s="194"/>
      <c r="CS52" s="194"/>
      <c r="CT52" s="194"/>
      <c r="CU52" s="194"/>
      <c r="CV52" s="194"/>
      <c r="CW52" s="194"/>
      <c r="CX52" s="194"/>
      <c r="CY52" s="194"/>
      <c r="CZ52" s="194"/>
      <c r="DA52" s="194"/>
      <c r="DB52" s="194"/>
      <c r="DC52" s="194"/>
      <c r="DD52" s="194"/>
      <c r="DE52" s="194"/>
      <c r="DJ52" s="81">
        <f ca="1">Min_1</f>
        <v>1</v>
      </c>
      <c r="DK52" s="82">
        <f ca="1">Mid_1</f>
        <v>2.5</v>
      </c>
      <c r="DL52" s="83">
        <f ca="1">Max_1</f>
        <v>4</v>
      </c>
      <c r="DM52" s="76">
        <f ca="1">Приведение</f>
        <v>1.0566666666666666</v>
      </c>
      <c r="DO52" s="81">
        <f ca="1">Min_1</f>
        <v>1</v>
      </c>
      <c r="DP52" s="82">
        <f ca="1">Mid_1</f>
        <v>2.5</v>
      </c>
      <c r="DQ52" s="83">
        <f ca="1">Max_1</f>
        <v>4</v>
      </c>
      <c r="DR52" s="76">
        <f ca="1">Приведение</f>
        <v>2.333333333333333</v>
      </c>
    </row>
    <row r="53" spans="3:140" ht="22.9" customHeight="1" thickBot="1" x14ac:dyDescent="0.95">
      <c r="H53" s="5">
        <v>1</v>
      </c>
      <c r="I53" s="5">
        <v>4</v>
      </c>
      <c r="M53" s="46">
        <f ca="1">T59</f>
        <v>2.25</v>
      </c>
      <c r="N53" s="47" t="s">
        <v>103</v>
      </c>
      <c r="O53" s="48" t="s">
        <v>105</v>
      </c>
      <c r="P53" s="49" t="s">
        <v>107</v>
      </c>
      <c r="Q53" s="50" t="str">
        <f>Изопрайса</f>
        <v>Q</v>
      </c>
      <c r="R53" s="51" t="str">
        <f>Изопрайса</f>
        <v>E</v>
      </c>
      <c r="S53" s="52" t="str">
        <f>Изопрайса</f>
        <v>T</v>
      </c>
      <c r="BI53" s="77">
        <v>-25</v>
      </c>
      <c r="BJ53" s="78">
        <v>0</v>
      </c>
      <c r="BK53" s="79">
        <v>5</v>
      </c>
      <c r="BL53" s="185">
        <v>4</v>
      </c>
      <c r="BN53" s="77">
        <v>1</v>
      </c>
      <c r="BO53" s="78"/>
      <c r="BP53" s="79">
        <v>10</v>
      </c>
      <c r="BQ53" s="184">
        <v>2.27</v>
      </c>
      <c r="BZ53" s="194"/>
      <c r="CA53" s="194"/>
      <c r="CB53" s="194"/>
      <c r="CC53" s="194"/>
      <c r="CD53" s="194"/>
      <c r="CE53" s="194"/>
      <c r="CF53" s="194"/>
      <c r="CG53" s="194"/>
      <c r="CH53" s="194"/>
      <c r="CI53" s="194"/>
      <c r="CJ53" s="194"/>
      <c r="CK53" s="194"/>
      <c r="CL53" s="194"/>
      <c r="CM53" s="194"/>
      <c r="CN53" s="194"/>
      <c r="CO53" s="194"/>
      <c r="CP53" s="194"/>
      <c r="CQ53" s="194"/>
      <c r="CR53" s="194"/>
      <c r="CS53" s="194"/>
      <c r="CT53" s="194"/>
      <c r="CU53" s="194"/>
      <c r="CV53" s="194"/>
      <c r="CW53" s="194"/>
      <c r="CX53" s="194"/>
      <c r="CY53" s="194"/>
      <c r="CZ53" s="194"/>
      <c r="DA53" s="194"/>
      <c r="DB53" s="194"/>
      <c r="DC53" s="203"/>
      <c r="DD53" s="203"/>
      <c r="DE53" s="194"/>
      <c r="DJ53" s="77">
        <v>1</v>
      </c>
      <c r="DK53" s="78"/>
      <c r="DL53" s="79">
        <v>10</v>
      </c>
      <c r="DM53" s="184">
        <v>1.17</v>
      </c>
      <c r="DO53" s="77">
        <v>2</v>
      </c>
      <c r="DP53" s="78"/>
      <c r="DQ53" s="79">
        <v>20</v>
      </c>
      <c r="DR53" s="80">
        <v>10</v>
      </c>
    </row>
    <row r="54" spans="3:140" ht="22.9" customHeight="1" thickTop="1" thickBot="1" x14ac:dyDescent="0.3">
      <c r="M54" s="53">
        <f ca="1">Матрица_Расчёт</f>
        <v>2.7199999999999998</v>
      </c>
      <c r="N54" s="54" t="s">
        <v>106</v>
      </c>
      <c r="O54" s="55" t="s">
        <v>104</v>
      </c>
      <c r="P54" s="56" t="s">
        <v>105</v>
      </c>
      <c r="Q54" s="57" t="str">
        <f>Изопрайса</f>
        <v>R</v>
      </c>
      <c r="R54" s="58" t="str">
        <f>Изопрайса</f>
        <v>W</v>
      </c>
      <c r="S54" s="59" t="str">
        <f>Изопрайса</f>
        <v>E</v>
      </c>
      <c r="AZ54" s="204"/>
      <c r="BA54" s="204"/>
      <c r="BB54" s="204"/>
      <c r="BC54" s="204"/>
      <c r="BD54" s="204"/>
      <c r="BE54" s="204"/>
      <c r="BF54" s="204"/>
      <c r="BG54" s="204"/>
      <c r="BH54" s="204"/>
      <c r="BI54" s="204"/>
      <c r="BJ54" s="204"/>
      <c r="BK54" s="204"/>
      <c r="BL54" s="204"/>
      <c r="BM54" s="204"/>
      <c r="BN54" s="204"/>
      <c r="BO54" s="204"/>
      <c r="BP54" s="204"/>
      <c r="BQ54" s="204"/>
      <c r="BR54" s="204"/>
      <c r="BS54" s="204"/>
      <c r="BT54" s="204"/>
      <c r="BU54" s="204"/>
      <c r="BV54" s="204"/>
      <c r="BW54" s="204"/>
      <c r="BX54" s="204"/>
      <c r="BY54" s="204"/>
      <c r="BZ54" s="204"/>
      <c r="CA54" s="204"/>
      <c r="CB54" s="204"/>
      <c r="CC54" s="204"/>
      <c r="CD54" s="204"/>
      <c r="CE54" s="204"/>
      <c r="CF54" s="204"/>
      <c r="CG54" s="204"/>
      <c r="CH54" s="204"/>
      <c r="CI54" s="204"/>
      <c r="CJ54" s="204"/>
      <c r="CK54" s="204"/>
      <c r="CL54" s="204"/>
      <c r="CM54" s="204"/>
      <c r="CN54" s="204"/>
      <c r="CO54" s="204"/>
      <c r="CP54" s="204"/>
      <c r="CQ54" s="204"/>
      <c r="CR54" s="204"/>
      <c r="CS54" s="204"/>
      <c r="CT54" s="204"/>
      <c r="CU54" s="204"/>
      <c r="CV54" s="204"/>
      <c r="CW54" s="204"/>
      <c r="CX54" s="204"/>
      <c r="CY54" s="204"/>
      <c r="CZ54" s="204"/>
      <c r="DA54" s="204"/>
      <c r="DB54" s="204"/>
      <c r="DC54" s="204"/>
      <c r="DD54" s="204"/>
      <c r="DE54" s="204"/>
      <c r="DF54" s="204"/>
      <c r="DG54" s="204"/>
      <c r="DH54" s="204"/>
      <c r="DI54" s="204"/>
      <c r="DJ54" s="204"/>
      <c r="DK54" s="204"/>
      <c r="DL54" s="204"/>
      <c r="DM54" s="204"/>
      <c r="DN54" s="204"/>
      <c r="DO54" s="204"/>
      <c r="DP54" s="204"/>
      <c r="DQ54" s="204"/>
      <c r="DR54" s="204"/>
      <c r="DS54" s="204"/>
      <c r="DT54" s="204"/>
      <c r="DU54" s="204"/>
      <c r="DV54" s="204"/>
      <c r="DW54" s="204"/>
      <c r="DX54" s="204"/>
      <c r="DY54" s="204"/>
      <c r="DZ54" s="204"/>
      <c r="EA54" s="204"/>
      <c r="EB54" s="204"/>
      <c r="EC54" s="204"/>
      <c r="ED54" s="204"/>
      <c r="EE54" s="204"/>
      <c r="EF54" s="204"/>
      <c r="EG54" s="204"/>
      <c r="EH54" s="204"/>
      <c r="EI54" s="204"/>
      <c r="EJ54" s="204"/>
    </row>
    <row r="55" spans="3:140" ht="22.9" customHeight="1" thickTop="1" thickBot="1" x14ac:dyDescent="0.95">
      <c r="BQ55" s="239"/>
      <c r="BR55" s="240"/>
      <c r="BS55" s="240"/>
      <c r="BT55" s="240"/>
      <c r="BU55" s="240"/>
      <c r="BV55" s="240"/>
      <c r="BW55" s="241"/>
      <c r="BZ55" s="194"/>
      <c r="CA55" s="194"/>
      <c r="CB55" s="194"/>
      <c r="CC55" s="194"/>
      <c r="CD55" s="194"/>
      <c r="CE55" s="201"/>
      <c r="CF55" s="201"/>
      <c r="CG55" s="194"/>
      <c r="CH55" s="194"/>
      <c r="CI55" s="194"/>
      <c r="CJ55" s="194"/>
      <c r="CK55" s="194"/>
      <c r="CL55" s="194"/>
      <c r="CM55" s="194"/>
      <c r="CN55" s="194"/>
      <c r="CO55" s="194"/>
      <c r="CP55" s="194"/>
      <c r="CQ55" s="194"/>
      <c r="CR55" s="194"/>
      <c r="CS55" s="194"/>
      <c r="CT55" s="194"/>
      <c r="CU55" s="194"/>
      <c r="CV55" s="194"/>
      <c r="CW55" s="194"/>
      <c r="CX55" s="194"/>
      <c r="CY55" s="194"/>
      <c r="CZ55" s="194"/>
      <c r="DA55" s="194"/>
      <c r="DB55" s="194"/>
      <c r="DC55" s="202"/>
      <c r="DD55" s="202"/>
      <c r="DE55" s="194"/>
      <c r="DG55" s="239"/>
      <c r="DH55" s="240"/>
      <c r="DI55" s="240"/>
      <c r="DJ55" s="240"/>
      <c r="DK55" s="240"/>
      <c r="DL55" s="240"/>
      <c r="DM55" s="241"/>
    </row>
    <row r="56" spans="3:140" ht="22.9" customHeight="1" thickTop="1" thickBot="1" x14ac:dyDescent="0.95">
      <c r="C56">
        <v>4</v>
      </c>
      <c r="D56">
        <v>1</v>
      </c>
      <c r="F56">
        <v>2.8</v>
      </c>
      <c r="G56">
        <v>1</v>
      </c>
      <c r="BQ56" s="115">
        <f ca="1">BR62</f>
        <v>2.2000000000000002</v>
      </c>
      <c r="BR56" s="116" t="s">
        <v>106</v>
      </c>
      <c r="BS56" s="117" t="s">
        <v>104</v>
      </c>
      <c r="BT56" s="118" t="s">
        <v>107</v>
      </c>
      <c r="BU56" s="119" t="str">
        <f>Изопрайса</f>
        <v>R</v>
      </c>
      <c r="BV56" s="120" t="str">
        <f>Изопрайса</f>
        <v>W</v>
      </c>
      <c r="BW56" s="121" t="str">
        <f>Изопрайса</f>
        <v>T</v>
      </c>
      <c r="BZ56" s="194"/>
      <c r="CA56" s="194"/>
      <c r="CB56" s="202"/>
      <c r="CC56" s="202"/>
      <c r="CD56" s="201"/>
      <c r="CE56" s="201"/>
      <c r="CF56" s="201"/>
      <c r="CG56" s="194"/>
      <c r="CH56" s="194"/>
      <c r="CI56" s="194"/>
      <c r="CJ56" s="194"/>
      <c r="CK56" s="194"/>
      <c r="CL56" s="194"/>
      <c r="CM56" s="194"/>
      <c r="CN56" s="194"/>
      <c r="CO56" s="194"/>
      <c r="CP56" s="194"/>
      <c r="CQ56" s="194"/>
      <c r="CR56" s="194"/>
      <c r="CS56" s="194"/>
      <c r="CT56" s="194"/>
      <c r="CU56" s="194"/>
      <c r="CV56" s="194"/>
      <c r="CW56" s="194"/>
      <c r="CX56" s="194"/>
      <c r="CY56" s="201"/>
      <c r="CZ56" s="201"/>
      <c r="DA56" s="202"/>
      <c r="DB56" s="202"/>
      <c r="DC56" s="194"/>
      <c r="DD56" s="194"/>
      <c r="DE56" s="194"/>
      <c r="DG56" s="115">
        <f ca="1">DJ62</f>
        <v>1.1466666666666667</v>
      </c>
      <c r="DH56" s="116" t="s">
        <v>105</v>
      </c>
      <c r="DI56" s="117" t="s">
        <v>105</v>
      </c>
      <c r="DJ56" s="118" t="s">
        <v>103</v>
      </c>
      <c r="DK56" s="119" t="str">
        <f>Изопрайса</f>
        <v>E</v>
      </c>
      <c r="DL56" s="120" t="str">
        <f>Изопрайса</f>
        <v>E</v>
      </c>
      <c r="DM56" s="121" t="str">
        <f>Изопрайса</f>
        <v>Q</v>
      </c>
    </row>
    <row r="57" spans="3:140" ht="22.9" customHeight="1" thickTop="1" thickBot="1" x14ac:dyDescent="0.3">
      <c r="C57">
        <v>-1</v>
      </c>
      <c r="D57">
        <v>4</v>
      </c>
      <c r="F57">
        <v>1</v>
      </c>
      <c r="G57">
        <v>4</v>
      </c>
      <c r="J57" s="239"/>
      <c r="K57" s="240"/>
      <c r="L57" s="240"/>
      <c r="M57" s="241"/>
      <c r="Q57" s="239"/>
      <c r="R57" s="240"/>
      <c r="S57" s="240"/>
      <c r="T57" s="241"/>
      <c r="BQ57" s="46">
        <f ca="1">BW62</f>
        <v>1.5533333333333332</v>
      </c>
      <c r="BR57" s="47" t="s">
        <v>106</v>
      </c>
      <c r="BS57" s="48" t="s">
        <v>106</v>
      </c>
      <c r="BT57" s="49" t="s">
        <v>104</v>
      </c>
      <c r="BU57" s="50" t="str">
        <f>Изопрайса</f>
        <v>R</v>
      </c>
      <c r="BV57" s="51" t="str">
        <f>Изопрайса</f>
        <v>R</v>
      </c>
      <c r="BW57" s="52" t="str">
        <f>Изопрайса</f>
        <v>W</v>
      </c>
      <c r="BZ57" s="194"/>
      <c r="CA57" s="194"/>
      <c r="CB57" s="194"/>
      <c r="CC57" s="194"/>
      <c r="CD57" s="194"/>
      <c r="CE57" s="194"/>
      <c r="CF57" s="194"/>
      <c r="CG57" s="194"/>
      <c r="CH57" s="194"/>
      <c r="CI57" s="194"/>
      <c r="CJ57" s="194"/>
      <c r="CK57" s="194"/>
      <c r="CL57" s="194"/>
      <c r="CM57" s="194"/>
      <c r="CN57" s="194"/>
      <c r="CO57" s="194"/>
      <c r="CP57" s="194"/>
      <c r="CQ57" s="194"/>
      <c r="CR57" s="194"/>
      <c r="CS57" s="194"/>
      <c r="CT57" s="194"/>
      <c r="CU57" s="194"/>
      <c r="CV57" s="194"/>
      <c r="CW57" s="194"/>
      <c r="CX57" s="194"/>
      <c r="CY57" s="194"/>
      <c r="CZ57" s="194"/>
      <c r="DA57" s="194"/>
      <c r="DB57" s="194"/>
      <c r="DC57" s="194"/>
      <c r="DD57" s="194"/>
      <c r="DE57" s="194"/>
      <c r="DG57" s="46">
        <f ca="1">DO62</f>
        <v>2.333333333333333</v>
      </c>
      <c r="DH57" s="47" t="s">
        <v>108</v>
      </c>
      <c r="DI57" s="48" t="s">
        <v>104</v>
      </c>
      <c r="DJ57" s="49" t="s">
        <v>103</v>
      </c>
      <c r="DK57" s="50" t="str">
        <f>Изопрайса</f>
        <v>Y</v>
      </c>
      <c r="DL57" s="51" t="str">
        <f>Изопрайса</f>
        <v>W</v>
      </c>
      <c r="DM57" s="52" t="str">
        <f>Изопрайса</f>
        <v>Q</v>
      </c>
    </row>
    <row r="58" spans="3:140" ht="22.9" customHeight="1" thickTop="1" thickBot="1" x14ac:dyDescent="0.3">
      <c r="J58" s="242" t="s">
        <v>359</v>
      </c>
      <c r="K58" s="243"/>
      <c r="L58" s="244"/>
      <c r="M58" s="122"/>
      <c r="Q58" s="242" t="s">
        <v>357</v>
      </c>
      <c r="R58" s="243"/>
      <c r="S58" s="244"/>
      <c r="T58" s="122"/>
      <c r="W58" s="191"/>
      <c r="X58" s="191"/>
      <c r="Y58" s="191"/>
      <c r="AK58" s="239"/>
      <c r="AL58" s="240"/>
      <c r="AM58" s="240"/>
      <c r="AN58" s="240"/>
      <c r="AO58" s="240"/>
      <c r="AP58" s="240"/>
      <c r="AQ58" s="241"/>
      <c r="BQ58" s="53">
        <f ca="1">Матрица_Расчёт</f>
        <v>2.27</v>
      </c>
      <c r="BR58" s="54" t="s">
        <v>103</v>
      </c>
      <c r="BS58" s="55" t="s">
        <v>107</v>
      </c>
      <c r="BT58" s="56" t="s">
        <v>106</v>
      </c>
      <c r="BU58" s="57" t="str">
        <f>Изопрайса</f>
        <v>Q</v>
      </c>
      <c r="BV58" s="58" t="str">
        <f>Изопрайса</f>
        <v>T</v>
      </c>
      <c r="BW58" s="59" t="str">
        <f>Изопрайса</f>
        <v>R</v>
      </c>
      <c r="BZ58" s="194"/>
      <c r="CA58" s="194"/>
      <c r="CB58" s="194"/>
      <c r="CC58" s="194"/>
      <c r="CD58" s="194"/>
      <c r="CE58" s="194"/>
      <c r="CF58" s="194"/>
      <c r="CG58" s="194"/>
      <c r="CH58" s="194"/>
      <c r="CI58" s="194"/>
      <c r="CJ58" s="194"/>
      <c r="CK58" s="194"/>
      <c r="CL58" s="194"/>
      <c r="CM58" s="194"/>
      <c r="CN58" s="194"/>
      <c r="CO58" s="194"/>
      <c r="CP58" s="194"/>
      <c r="CQ58" s="194"/>
      <c r="CR58" s="194"/>
      <c r="CS58" s="194"/>
      <c r="CT58" s="194"/>
      <c r="CU58" s="194"/>
      <c r="CV58" s="194"/>
      <c r="CW58" s="194"/>
      <c r="CX58" s="194"/>
      <c r="CY58" s="194"/>
      <c r="CZ58" s="194"/>
      <c r="DA58" s="194"/>
      <c r="DB58" s="194"/>
      <c r="DC58" s="194"/>
      <c r="DD58" s="194"/>
      <c r="DE58" s="194"/>
      <c r="DG58" s="53">
        <f ca="1">Матрица_Расчёт</f>
        <v>1.17</v>
      </c>
      <c r="DH58" s="54" t="s">
        <v>108</v>
      </c>
      <c r="DI58" s="55" t="s">
        <v>106</v>
      </c>
      <c r="DJ58" s="56" t="s">
        <v>106</v>
      </c>
      <c r="DK58" s="57" t="str">
        <f>Изопрайса</f>
        <v>Y</v>
      </c>
      <c r="DL58" s="58" t="str">
        <f>Изопрайса</f>
        <v>R</v>
      </c>
      <c r="DM58" s="59" t="str">
        <f>Изопрайса</f>
        <v>R</v>
      </c>
    </row>
    <row r="59" spans="3:140" ht="22.9" customHeight="1" thickTop="1" thickBot="1" x14ac:dyDescent="0.3">
      <c r="C59" t="s">
        <v>609</v>
      </c>
      <c r="D59">
        <v>4</v>
      </c>
      <c r="F59" s="5" t="s">
        <v>610</v>
      </c>
      <c r="G59" s="5">
        <v>-1</v>
      </c>
      <c r="J59" s="81">
        <f ca="1">Min_1</f>
        <v>1</v>
      </c>
      <c r="K59" s="82">
        <f ca="1">Mid_1</f>
        <v>4</v>
      </c>
      <c r="L59" s="83">
        <f ca="1">Max_1</f>
        <v>1</v>
      </c>
      <c r="M59" s="76">
        <f ca="1">Приведение</f>
        <v>3.4000000000000004</v>
      </c>
      <c r="N59">
        <v>2.8</v>
      </c>
      <c r="O59">
        <v>1.6</v>
      </c>
      <c r="Q59" s="81">
        <f ca="1">Min_1</f>
        <v>1</v>
      </c>
      <c r="R59" s="82">
        <f ca="1">Mid_1</f>
        <v>2.5</v>
      </c>
      <c r="S59" s="83">
        <f ca="1">Max_1</f>
        <v>4</v>
      </c>
      <c r="T59" s="76">
        <f ca="1">Приведение</f>
        <v>2.25</v>
      </c>
      <c r="W59" s="5">
        <v>1</v>
      </c>
      <c r="X59" s="5">
        <v>4</v>
      </c>
      <c r="Y59" s="5"/>
      <c r="AK59" s="115">
        <f ca="1">AF66</f>
        <v>2.5599999999999996</v>
      </c>
      <c r="AL59" s="116" t="s">
        <v>104</v>
      </c>
      <c r="AM59" s="117" t="s">
        <v>105</v>
      </c>
      <c r="AN59" s="118" t="s">
        <v>105</v>
      </c>
      <c r="AO59" s="119" t="str">
        <f>Изопрайса</f>
        <v>W</v>
      </c>
      <c r="AP59" s="120" t="str">
        <f>Изопрайса</f>
        <v>E</v>
      </c>
      <c r="AQ59" s="121" t="str">
        <f>Изопрайса</f>
        <v>E</v>
      </c>
      <c r="CY59" s="194"/>
      <c r="CZ59" s="194"/>
      <c r="DA59" s="194"/>
      <c r="DB59" s="194"/>
      <c r="DC59" s="194"/>
      <c r="DD59" s="194"/>
      <c r="DE59" s="194"/>
    </row>
    <row r="60" spans="3:140" ht="22.9" customHeight="1" thickTop="1" thickBot="1" x14ac:dyDescent="0.3">
      <c r="C60" t="s">
        <v>611</v>
      </c>
      <c r="D60">
        <v>1</v>
      </c>
      <c r="F60" s="5" t="s">
        <v>612</v>
      </c>
      <c r="G60" s="5">
        <v>4</v>
      </c>
      <c r="J60" s="77">
        <v>2</v>
      </c>
      <c r="K60" s="78">
        <v>2.5</v>
      </c>
      <c r="L60" s="79">
        <v>4</v>
      </c>
      <c r="M60" s="185">
        <f ca="1">M66</f>
        <v>2.8</v>
      </c>
      <c r="N60">
        <v>2</v>
      </c>
      <c r="O60">
        <v>4</v>
      </c>
      <c r="Q60" s="77">
        <v>1</v>
      </c>
      <c r="R60" s="78"/>
      <c r="S60" s="79">
        <v>4</v>
      </c>
      <c r="T60" s="80">
        <v>2.25</v>
      </c>
      <c r="W60" s="5">
        <v>20</v>
      </c>
      <c r="X60" s="5">
        <v>50</v>
      </c>
      <c r="AK60" s="46">
        <f ca="1">AQ67</f>
        <v>2.67</v>
      </c>
      <c r="AL60" s="47" t="s">
        <v>107</v>
      </c>
      <c r="AM60" s="48" t="s">
        <v>104</v>
      </c>
      <c r="AN60" s="49" t="s">
        <v>105</v>
      </c>
      <c r="AO60" s="50" t="str">
        <f>Изопрайса</f>
        <v>T</v>
      </c>
      <c r="AP60" s="51" t="str">
        <f>Изопрайса</f>
        <v>W</v>
      </c>
      <c r="AQ60" s="52" t="str">
        <f>Изопрайса</f>
        <v>E</v>
      </c>
      <c r="BO60" s="239"/>
      <c r="BP60" s="240"/>
      <c r="BQ60" s="240"/>
      <c r="BR60" s="241"/>
      <c r="BT60" s="239"/>
      <c r="BU60" s="240"/>
      <c r="BV60" s="240"/>
      <c r="BW60" s="241"/>
      <c r="CC60" s="194"/>
      <c r="CD60" s="194"/>
      <c r="CE60" s="194"/>
      <c r="CF60" s="194"/>
      <c r="CG60" s="194"/>
      <c r="CH60" s="194"/>
      <c r="CI60" s="194"/>
      <c r="CJ60" s="194"/>
      <c r="CK60" s="194"/>
      <c r="CL60" s="194"/>
      <c r="CM60" s="194"/>
      <c r="CN60" s="194"/>
      <c r="CO60" s="194"/>
      <c r="CP60" s="194"/>
      <c r="CQ60" s="194"/>
      <c r="CR60" s="194"/>
      <c r="CS60" s="194"/>
      <c r="CT60" s="194"/>
      <c r="CU60" s="194"/>
      <c r="CV60" s="194"/>
      <c r="CW60" s="194"/>
      <c r="CX60" s="194"/>
      <c r="CY60" s="194"/>
      <c r="CZ60" s="194"/>
      <c r="DA60" s="194"/>
      <c r="DB60" s="194"/>
      <c r="DC60" s="194"/>
      <c r="DD60" s="194"/>
      <c r="DE60" s="194"/>
      <c r="DG60" s="239"/>
      <c r="DH60" s="240"/>
      <c r="DI60" s="240"/>
      <c r="DJ60" s="241"/>
      <c r="DL60" s="239"/>
      <c r="DM60" s="240"/>
      <c r="DN60" s="240"/>
      <c r="DO60" s="241"/>
    </row>
    <row r="61" spans="3:140" ht="22.9" customHeight="1" thickTop="1" thickBot="1" x14ac:dyDescent="0.95">
      <c r="AK61" s="53">
        <f ca="1">Матрица_Расчёт</f>
        <v>2.56</v>
      </c>
      <c r="AL61" s="54" t="s">
        <v>108</v>
      </c>
      <c r="AM61" s="55" t="s">
        <v>106</v>
      </c>
      <c r="AN61" s="56" t="s">
        <v>104</v>
      </c>
      <c r="AO61" s="57" t="str">
        <f>Изопрайса</f>
        <v>Y</v>
      </c>
      <c r="AP61" s="58" t="str">
        <f>Изопрайса</f>
        <v>R</v>
      </c>
      <c r="AQ61" s="59" t="str">
        <f>Изопрайса</f>
        <v>W</v>
      </c>
      <c r="BO61" s="242" t="s">
        <v>359</v>
      </c>
      <c r="BP61" s="243"/>
      <c r="BQ61" s="244"/>
      <c r="BR61" s="122"/>
      <c r="BT61" s="242" t="s">
        <v>357</v>
      </c>
      <c r="BU61" s="243"/>
      <c r="BV61" s="244"/>
      <c r="BW61" s="122"/>
      <c r="CC61" s="194"/>
      <c r="CD61" s="194"/>
      <c r="CE61" s="194"/>
      <c r="CF61" s="194"/>
      <c r="CG61" s="194"/>
      <c r="CH61" s="194"/>
      <c r="CI61" s="194"/>
      <c r="CJ61" s="194"/>
      <c r="CK61" s="194"/>
      <c r="CL61" s="194"/>
      <c r="CM61" s="194"/>
      <c r="CN61" s="194"/>
      <c r="CO61" s="194"/>
      <c r="CP61" s="194"/>
      <c r="CQ61" s="194"/>
      <c r="CR61" s="194"/>
      <c r="CS61" s="194"/>
      <c r="CT61" s="194"/>
      <c r="CU61" s="194"/>
      <c r="CV61" s="194"/>
      <c r="CW61" s="194"/>
      <c r="CX61" s="194"/>
      <c r="CZ61" s="195"/>
      <c r="DA61" s="195"/>
      <c r="DG61" s="245" t="s">
        <v>357</v>
      </c>
      <c r="DH61" s="246"/>
      <c r="DI61" s="247"/>
      <c r="DJ61" s="122"/>
      <c r="DL61" s="245" t="s">
        <v>357</v>
      </c>
      <c r="DM61" s="246"/>
      <c r="DN61" s="247"/>
      <c r="DO61" s="122"/>
    </row>
    <row r="62" spans="3:140" ht="22.9" customHeight="1" thickTop="1" x14ac:dyDescent="0.9">
      <c r="C62" t="s">
        <v>610</v>
      </c>
      <c r="D62" s="125" t="s">
        <v>613</v>
      </c>
      <c r="E62">
        <v>4</v>
      </c>
      <c r="N62">
        <v>1.6</v>
      </c>
      <c r="O62">
        <v>3.4</v>
      </c>
      <c r="BO62" s="81">
        <f ca="1">Min_1</f>
        <v>1</v>
      </c>
      <c r="BP62" s="82">
        <f ca="1">Mid_1</f>
        <v>4</v>
      </c>
      <c r="BQ62" s="83">
        <f ca="1">Max_1</f>
        <v>1</v>
      </c>
      <c r="BR62" s="76">
        <f ca="1">Приведение</f>
        <v>2.2000000000000002</v>
      </c>
      <c r="BT62" s="81">
        <f ca="1">Min_1</f>
        <v>1</v>
      </c>
      <c r="BU62" s="82">
        <f ca="1">Mid_1</f>
        <v>2.5</v>
      </c>
      <c r="BV62" s="83">
        <f ca="1">Max_1</f>
        <v>4</v>
      </c>
      <c r="BW62" s="76">
        <f ca="1">Приведение</f>
        <v>1.5533333333333332</v>
      </c>
      <c r="CC62" s="194"/>
      <c r="CD62" s="194"/>
      <c r="CE62" s="194"/>
      <c r="CF62" s="194"/>
      <c r="CG62" s="194"/>
      <c r="CH62" s="194"/>
      <c r="CI62" s="194"/>
      <c r="CJ62" s="194"/>
      <c r="CK62" s="194"/>
      <c r="CL62" s="194"/>
      <c r="CM62" s="194"/>
      <c r="CN62" s="194"/>
      <c r="CO62" s="194"/>
      <c r="CP62" s="194"/>
      <c r="CQ62" s="194"/>
      <c r="CR62" s="194"/>
      <c r="CS62" s="194"/>
      <c r="CT62" s="194"/>
      <c r="CU62" s="194"/>
      <c r="CV62" s="194"/>
      <c r="CW62" s="194"/>
      <c r="CX62" s="194"/>
      <c r="CZ62" s="195"/>
      <c r="DA62" s="195"/>
      <c r="DG62" s="81">
        <f ca="1">Min_1</f>
        <v>1</v>
      </c>
      <c r="DH62" s="82">
        <f ca="1">Mid_1</f>
        <v>2.5</v>
      </c>
      <c r="DI62" s="83">
        <f ca="1">Max_1</f>
        <v>4</v>
      </c>
      <c r="DJ62" s="76">
        <f ca="1">Приведение</f>
        <v>1.1466666666666667</v>
      </c>
      <c r="DL62" s="81">
        <f ca="1">Min_1</f>
        <v>1</v>
      </c>
      <c r="DM62" s="82">
        <f ca="1">Mid_1</f>
        <v>2.5</v>
      </c>
      <c r="DN62" s="83">
        <f ca="1">Max_1</f>
        <v>4</v>
      </c>
      <c r="DO62" s="76">
        <f ca="1">Приведение</f>
        <v>2.333333333333333</v>
      </c>
    </row>
    <row r="63" spans="3:140" ht="22.9" customHeight="1" thickBot="1" x14ac:dyDescent="0.95">
      <c r="C63" t="s">
        <v>609</v>
      </c>
      <c r="D63">
        <v>2.8</v>
      </c>
      <c r="BO63" s="77">
        <v>-25</v>
      </c>
      <c r="BP63" s="78">
        <v>0</v>
      </c>
      <c r="BQ63" s="79">
        <v>5</v>
      </c>
      <c r="BR63" s="185">
        <v>3</v>
      </c>
      <c r="BT63" s="77">
        <v>1</v>
      </c>
      <c r="BU63" s="78"/>
      <c r="BV63" s="79">
        <v>10</v>
      </c>
      <c r="BW63" s="184">
        <f ca="1">BU68</f>
        <v>2.66</v>
      </c>
      <c r="CC63" s="194"/>
      <c r="CD63" s="194"/>
      <c r="CE63" s="194"/>
      <c r="CF63" s="194"/>
      <c r="CG63" s="194"/>
      <c r="CH63" s="194"/>
      <c r="CI63" s="194"/>
      <c r="CJ63" s="194"/>
      <c r="CK63" s="194"/>
      <c r="CL63" s="194"/>
      <c r="CM63" s="194"/>
      <c r="CN63" s="194"/>
      <c r="CO63" s="194"/>
      <c r="CP63" s="194"/>
      <c r="CQ63" s="194"/>
      <c r="CR63" s="194"/>
      <c r="CS63" s="194"/>
      <c r="CT63" s="194"/>
      <c r="CU63" s="194"/>
      <c r="CV63" s="194"/>
      <c r="CW63" s="194"/>
      <c r="CX63" s="194"/>
      <c r="CZ63" s="196"/>
      <c r="DA63" s="196"/>
      <c r="DG63" s="77">
        <v>1</v>
      </c>
      <c r="DH63" s="78"/>
      <c r="DI63" s="79">
        <v>10</v>
      </c>
      <c r="DJ63" s="184">
        <f ca="1">DD68</f>
        <v>1.44</v>
      </c>
      <c r="DL63" s="77">
        <v>2</v>
      </c>
      <c r="DM63" s="78"/>
      <c r="DN63" s="79">
        <v>20</v>
      </c>
      <c r="DO63" s="80">
        <v>10</v>
      </c>
    </row>
    <row r="64" spans="3:140" ht="22.9" customHeight="1" thickTop="1" thickBot="1" x14ac:dyDescent="0.95">
      <c r="C64" t="s">
        <v>610</v>
      </c>
      <c r="D64" t="s">
        <v>612</v>
      </c>
      <c r="F64" t="s">
        <v>609</v>
      </c>
      <c r="G64" t="s">
        <v>611</v>
      </c>
      <c r="J64" s="239"/>
      <c r="K64" s="240"/>
      <c r="L64" s="240"/>
      <c r="M64" s="241"/>
      <c r="AC64" s="239"/>
      <c r="AD64" s="240"/>
      <c r="AE64" s="240"/>
      <c r="AF64" s="241"/>
      <c r="AQ64" s="239"/>
      <c r="AR64" s="240"/>
      <c r="AS64" s="240"/>
      <c r="AT64" s="240"/>
      <c r="AU64" s="240"/>
      <c r="AV64" s="240"/>
      <c r="AW64" s="241"/>
      <c r="CC64" s="194"/>
      <c r="CD64" s="194"/>
      <c r="CE64" s="194"/>
      <c r="CF64" s="194"/>
      <c r="CG64" s="201"/>
      <c r="CH64" s="194"/>
      <c r="CI64" s="194"/>
      <c r="CJ64" s="194"/>
      <c r="CK64" s="194"/>
      <c r="CL64" s="194"/>
      <c r="CM64" s="194"/>
      <c r="CN64" s="194"/>
      <c r="CO64" s="194"/>
      <c r="CP64" s="194"/>
      <c r="CQ64" s="194"/>
      <c r="CR64" s="194"/>
      <c r="CS64" s="194"/>
      <c r="CT64" s="194"/>
      <c r="CU64" s="194"/>
      <c r="CV64" s="194"/>
      <c r="CW64" s="194"/>
      <c r="CX64" s="194"/>
      <c r="CY64" s="202"/>
      <c r="CZ64" s="194"/>
      <c r="DA64" s="194"/>
      <c r="DB64" s="194"/>
    </row>
    <row r="65" spans="3:116" ht="22.9" customHeight="1" thickTop="1" thickBot="1" x14ac:dyDescent="0.95">
      <c r="C65">
        <v>4</v>
      </c>
      <c r="D65">
        <v>4</v>
      </c>
      <c r="F65">
        <v>2.8</v>
      </c>
      <c r="G65">
        <v>1</v>
      </c>
      <c r="J65" s="242" t="s">
        <v>359</v>
      </c>
      <c r="K65" s="243"/>
      <c r="L65" s="244"/>
      <c r="M65" s="122"/>
      <c r="T65" s="248">
        <v>1</v>
      </c>
      <c r="U65" s="248"/>
      <c r="AC65" s="242" t="s">
        <v>359</v>
      </c>
      <c r="AD65" s="243"/>
      <c r="AE65" s="244"/>
      <c r="AF65" s="122"/>
      <c r="AQ65" s="115">
        <f ca="1">AT72</f>
        <v>2.75</v>
      </c>
      <c r="AR65" s="116" t="s">
        <v>107</v>
      </c>
      <c r="AS65" s="117" t="s">
        <v>104</v>
      </c>
      <c r="AT65" s="118" t="s">
        <v>107</v>
      </c>
      <c r="AU65" s="119" t="str">
        <f>Изопрайса</f>
        <v>T</v>
      </c>
      <c r="AV65" s="120" t="str">
        <f>Изопрайса</f>
        <v>W</v>
      </c>
      <c r="AW65" s="121" t="str">
        <f>Изопрайса</f>
        <v>T</v>
      </c>
      <c r="BU65" s="239"/>
      <c r="BV65" s="240"/>
      <c r="BW65" s="240"/>
      <c r="BX65" s="240"/>
      <c r="BY65" s="240"/>
      <c r="BZ65" s="240"/>
      <c r="CA65" s="241"/>
      <c r="CC65" s="194"/>
      <c r="CD65" s="202"/>
      <c r="CE65" s="202"/>
      <c r="CF65" s="201"/>
      <c r="CG65" s="201"/>
      <c r="CH65" s="194"/>
      <c r="CI65" s="194"/>
      <c r="CJ65" s="194"/>
      <c r="CK65" s="194"/>
      <c r="CL65" s="194"/>
      <c r="CM65" s="194"/>
      <c r="CN65" s="194"/>
      <c r="CO65" s="194"/>
      <c r="CP65" s="194"/>
      <c r="CQ65" s="194"/>
      <c r="CR65" s="194"/>
      <c r="CS65" s="194"/>
      <c r="CT65" s="194"/>
      <c r="CU65" s="194"/>
      <c r="CV65" s="194"/>
      <c r="CW65" s="194"/>
      <c r="CX65" s="194"/>
      <c r="CY65" s="194"/>
      <c r="CZ65" s="194"/>
      <c r="DA65" s="194"/>
      <c r="DB65" s="194"/>
      <c r="DD65" s="239"/>
      <c r="DE65" s="240"/>
      <c r="DF65" s="240"/>
      <c r="DG65" s="240"/>
      <c r="DH65" s="240"/>
      <c r="DI65" s="240"/>
      <c r="DJ65" s="241"/>
    </row>
    <row r="66" spans="3:116" ht="22.9" customHeight="1" thickTop="1" thickBot="1" x14ac:dyDescent="0.3">
      <c r="F66" s="5">
        <v>1</v>
      </c>
      <c r="G66" s="5">
        <v>4</v>
      </c>
      <c r="J66" s="81">
        <f ca="1">Min_1</f>
        <v>1</v>
      </c>
      <c r="K66" s="82">
        <f ca="1">Mid_1</f>
        <v>4</v>
      </c>
      <c r="L66" s="83">
        <f ca="1">Max_1</f>
        <v>1</v>
      </c>
      <c r="M66" s="76">
        <f ca="1">Приведение</f>
        <v>2.8</v>
      </c>
      <c r="T66" s="5">
        <v>2</v>
      </c>
      <c r="U66" s="5">
        <v>4</v>
      </c>
      <c r="AC66" s="81">
        <f ca="1">Min_1</f>
        <v>1</v>
      </c>
      <c r="AD66" s="82">
        <f ca="1">Mid_1</f>
        <v>4</v>
      </c>
      <c r="AE66" s="83">
        <f ca="1">Max_1</f>
        <v>1</v>
      </c>
      <c r="AF66" s="76">
        <f ca="1">Приведение</f>
        <v>2.5599999999999996</v>
      </c>
      <c r="AH66">
        <v>2.56</v>
      </c>
      <c r="AI66">
        <v>2.66</v>
      </c>
      <c r="AQ66" s="46">
        <f ca="1">BA72</f>
        <v>2.5</v>
      </c>
      <c r="AR66" s="47" t="s">
        <v>105</v>
      </c>
      <c r="AS66" s="48" t="s">
        <v>107</v>
      </c>
      <c r="AT66" s="49" t="s">
        <v>104</v>
      </c>
      <c r="AU66" s="50" t="str">
        <f>Изопрайса</f>
        <v>E</v>
      </c>
      <c r="AV66" s="51" t="str">
        <f>Изопрайса</f>
        <v>T</v>
      </c>
      <c r="AW66" s="52" t="str">
        <f>Изопрайса</f>
        <v>W</v>
      </c>
      <c r="BU66" s="115">
        <f ca="1">BV72</f>
        <v>2.8</v>
      </c>
      <c r="BV66" s="116" t="s">
        <v>106</v>
      </c>
      <c r="BW66" s="117" t="s">
        <v>104</v>
      </c>
      <c r="BX66" s="118" t="s">
        <v>107</v>
      </c>
      <c r="BY66" s="119" t="str">
        <f>Изопрайса</f>
        <v>R</v>
      </c>
      <c r="BZ66" s="120" t="str">
        <f>Изопрайса</f>
        <v>W</v>
      </c>
      <c r="CA66" s="121" t="str">
        <f>Изопрайса</f>
        <v>T</v>
      </c>
      <c r="CC66" s="194"/>
      <c r="CD66" s="194"/>
      <c r="CE66" s="194"/>
      <c r="CF66" s="194"/>
      <c r="CG66" s="194"/>
      <c r="CH66" s="194"/>
      <c r="CI66" s="194"/>
      <c r="CJ66" s="194"/>
      <c r="CK66" s="194"/>
      <c r="CL66" s="194"/>
      <c r="CM66" s="194"/>
      <c r="CN66" s="194"/>
      <c r="CO66" s="194"/>
      <c r="CP66" s="194"/>
      <c r="CQ66" s="194"/>
      <c r="CR66" s="194"/>
      <c r="CS66" s="194"/>
      <c r="CT66" s="194"/>
      <c r="CU66" s="194"/>
      <c r="CV66" s="194"/>
      <c r="CW66" s="194"/>
      <c r="CX66" s="194"/>
      <c r="CY66" s="194"/>
      <c r="CZ66" s="194"/>
      <c r="DA66" s="194"/>
      <c r="DB66" s="194"/>
      <c r="DD66" s="115">
        <f ca="1">DG72</f>
        <v>1.4433333333333334</v>
      </c>
      <c r="DE66" s="116" t="s">
        <v>105</v>
      </c>
      <c r="DF66" s="117" t="s">
        <v>105</v>
      </c>
      <c r="DG66" s="118" t="s">
        <v>103</v>
      </c>
      <c r="DH66" s="119" t="str">
        <f>Изопрайса</f>
        <v>E</v>
      </c>
      <c r="DI66" s="120" t="str">
        <f>Изопрайса</f>
        <v>E</v>
      </c>
      <c r="DJ66" s="121" t="str">
        <f>Изопрайса</f>
        <v>Q</v>
      </c>
    </row>
    <row r="67" spans="3:116" ht="22.9" customHeight="1" thickBot="1" x14ac:dyDescent="0.3">
      <c r="F67" s="5">
        <v>0</v>
      </c>
      <c r="G67" s="5">
        <v>2.5</v>
      </c>
      <c r="J67" s="77">
        <v>1</v>
      </c>
      <c r="K67" s="78">
        <v>2</v>
      </c>
      <c r="L67" s="79">
        <v>7</v>
      </c>
      <c r="M67" s="184">
        <v>4</v>
      </c>
      <c r="Q67" s="2">
        <v>1</v>
      </c>
      <c r="R67" s="2">
        <v>4</v>
      </c>
      <c r="T67" s="5">
        <v>1</v>
      </c>
      <c r="U67" s="5">
        <v>2.5</v>
      </c>
      <c r="AC67" s="77">
        <v>0</v>
      </c>
      <c r="AD67" s="78">
        <v>3</v>
      </c>
      <c r="AE67" s="79">
        <v>10</v>
      </c>
      <c r="AF67" s="185">
        <v>1.56</v>
      </c>
      <c r="AQ67" s="53">
        <f ca="1">Матрица_Расчёт</f>
        <v>2.67</v>
      </c>
      <c r="AR67" s="54" t="s">
        <v>105</v>
      </c>
      <c r="AS67" s="55" t="s">
        <v>105</v>
      </c>
      <c r="AT67" s="56" t="s">
        <v>107</v>
      </c>
      <c r="AU67" s="57" t="str">
        <f>Изопрайса</f>
        <v>E</v>
      </c>
      <c r="AV67" s="58" t="str">
        <f>Изопрайса</f>
        <v>E</v>
      </c>
      <c r="AW67" s="59" t="str">
        <f>Изопрайса</f>
        <v>T</v>
      </c>
      <c r="BU67" s="46">
        <f ca="1">CA72</f>
        <v>1.6666666666666665</v>
      </c>
      <c r="BV67" s="47" t="s">
        <v>106</v>
      </c>
      <c r="BW67" s="48" t="s">
        <v>106</v>
      </c>
      <c r="BX67" s="49" t="s">
        <v>104</v>
      </c>
      <c r="BY67" s="50" t="str">
        <f>Изопрайса</f>
        <v>R</v>
      </c>
      <c r="BZ67" s="51" t="str">
        <f>Изопрайса</f>
        <v>R</v>
      </c>
      <c r="CA67" s="52" t="str">
        <f>Изопрайса</f>
        <v>W</v>
      </c>
      <c r="CY67" s="194"/>
      <c r="CZ67" s="194"/>
      <c r="DA67" s="194"/>
      <c r="DB67" s="194"/>
      <c r="DD67" s="46">
        <f ca="1">DL72</f>
        <v>2.333333333333333</v>
      </c>
      <c r="DE67" s="47" t="s">
        <v>108</v>
      </c>
      <c r="DF67" s="48" t="s">
        <v>104</v>
      </c>
      <c r="DG67" s="49" t="s">
        <v>103</v>
      </c>
      <c r="DH67" s="50" t="str">
        <f>Изопрайса</f>
        <v>Y</v>
      </c>
      <c r="DI67" s="51" t="str">
        <f>Изопрайса</f>
        <v>W</v>
      </c>
      <c r="DJ67" s="52" t="str">
        <f>Изопрайса</f>
        <v>Q</v>
      </c>
    </row>
    <row r="68" spans="3:116" ht="22.9" customHeight="1" thickTop="1" thickBot="1" x14ac:dyDescent="0.3">
      <c r="BU68" s="53">
        <f ca="1">Матрица_Расчёт</f>
        <v>2.66</v>
      </c>
      <c r="BV68" s="54" t="s">
        <v>103</v>
      </c>
      <c r="BW68" s="55" t="s">
        <v>107</v>
      </c>
      <c r="BX68" s="56" t="s">
        <v>106</v>
      </c>
      <c r="BY68" s="57" t="str">
        <f>Изопрайса</f>
        <v>Q</v>
      </c>
      <c r="BZ68" s="58" t="str">
        <f>Изопрайса</f>
        <v>T</v>
      </c>
      <c r="CA68" s="59" t="str">
        <f>Изопрайса</f>
        <v>R</v>
      </c>
      <c r="CY68" s="194"/>
      <c r="CZ68" s="194"/>
      <c r="DA68" s="194"/>
      <c r="DB68" s="194"/>
      <c r="DD68" s="53">
        <f ca="1">Матрица_Расчёт</f>
        <v>1.44</v>
      </c>
      <c r="DE68" s="54" t="s">
        <v>108</v>
      </c>
      <c r="DF68" s="55" t="s">
        <v>106</v>
      </c>
      <c r="DG68" s="56" t="s">
        <v>106</v>
      </c>
      <c r="DH68" s="57" t="str">
        <f>Изопрайса</f>
        <v>Y</v>
      </c>
      <c r="DI68" s="58" t="str">
        <f>Изопрайса</f>
        <v>R</v>
      </c>
      <c r="DJ68" s="59" t="str">
        <f>Изопрайса</f>
        <v>R</v>
      </c>
    </row>
    <row r="69" spans="3:116" ht="22.9" customHeight="1" thickTop="1" thickBot="1" x14ac:dyDescent="0.3"/>
    <row r="70" spans="3:116" ht="22.9" customHeight="1" thickTop="1" thickBot="1" x14ac:dyDescent="0.3">
      <c r="H70" s="239"/>
      <c r="I70" s="240"/>
      <c r="J70" s="240"/>
      <c r="K70" s="240"/>
      <c r="L70" s="240"/>
      <c r="M70" s="240"/>
      <c r="N70" s="241"/>
      <c r="AC70" s="239"/>
      <c r="AD70" s="240"/>
      <c r="AE70" s="240"/>
      <c r="AF70" s="241"/>
      <c r="AQ70" s="239"/>
      <c r="AR70" s="240"/>
      <c r="AS70" s="240"/>
      <c r="AT70" s="241"/>
      <c r="AX70" s="239"/>
      <c r="AY70" s="240"/>
      <c r="AZ70" s="240"/>
      <c r="BA70" s="241"/>
      <c r="BS70" s="239"/>
      <c r="BT70" s="240"/>
      <c r="BU70" s="240"/>
      <c r="BV70" s="241"/>
      <c r="BX70" s="239"/>
      <c r="BY70" s="240"/>
      <c r="BZ70" s="240"/>
      <c r="CA70" s="241"/>
      <c r="DD70" s="239"/>
      <c r="DE70" s="240"/>
      <c r="DF70" s="240"/>
      <c r="DG70" s="241"/>
      <c r="DI70" s="239"/>
      <c r="DJ70" s="240"/>
      <c r="DK70" s="240"/>
      <c r="DL70" s="241"/>
    </row>
    <row r="71" spans="3:116" ht="22.9" customHeight="1" thickTop="1" x14ac:dyDescent="0.25">
      <c r="H71" s="115">
        <f ca="1">J79</f>
        <v>1.45</v>
      </c>
      <c r="I71" s="116" t="s">
        <v>107</v>
      </c>
      <c r="J71" s="117" t="s">
        <v>104</v>
      </c>
      <c r="K71" s="118" t="s">
        <v>103</v>
      </c>
      <c r="L71" s="119" t="str">
        <f>Изопрайса</f>
        <v>T</v>
      </c>
      <c r="M71" s="120" t="str">
        <f>Изопрайса</f>
        <v>W</v>
      </c>
      <c r="N71" s="121" t="str">
        <f>Изопрайса</f>
        <v>Q</v>
      </c>
      <c r="Q71" s="248">
        <v>2</v>
      </c>
      <c r="R71" s="248"/>
      <c r="AC71" s="242" t="s">
        <v>360</v>
      </c>
      <c r="AD71" s="243"/>
      <c r="AE71" s="244"/>
      <c r="AF71" s="122"/>
      <c r="AQ71" s="242" t="s">
        <v>357</v>
      </c>
      <c r="AR71" s="243"/>
      <c r="AS71" s="244"/>
      <c r="AT71" s="122"/>
      <c r="AX71" s="242" t="s">
        <v>357</v>
      </c>
      <c r="AY71" s="243"/>
      <c r="AZ71" s="244"/>
      <c r="BA71" s="122"/>
      <c r="BS71" s="242" t="s">
        <v>359</v>
      </c>
      <c r="BT71" s="243"/>
      <c r="BU71" s="244"/>
      <c r="BV71" s="122"/>
      <c r="BX71" s="242" t="s">
        <v>357</v>
      </c>
      <c r="BY71" s="243"/>
      <c r="BZ71" s="244"/>
      <c r="CA71" s="122"/>
      <c r="CG71" s="194"/>
      <c r="CH71" s="194"/>
      <c r="CI71" s="194"/>
      <c r="CJ71" s="194"/>
      <c r="CK71" s="194"/>
      <c r="CL71" s="194"/>
      <c r="CM71" s="194"/>
      <c r="CN71" s="194"/>
      <c r="CO71" s="194"/>
      <c r="CP71" s="194"/>
      <c r="CQ71" s="194"/>
      <c r="CR71" s="194"/>
      <c r="CS71" s="194"/>
      <c r="CT71" s="194"/>
      <c r="CU71" s="194"/>
      <c r="CV71" s="194"/>
      <c r="CW71" s="194"/>
      <c r="CX71" s="194"/>
      <c r="CY71" s="194"/>
      <c r="CZ71" s="194"/>
      <c r="DA71" s="194"/>
      <c r="DD71" s="245" t="s">
        <v>357</v>
      </c>
      <c r="DE71" s="246"/>
      <c r="DF71" s="247"/>
      <c r="DG71" s="122"/>
      <c r="DI71" s="245" t="s">
        <v>357</v>
      </c>
      <c r="DJ71" s="246"/>
      <c r="DK71" s="247"/>
      <c r="DL71" s="122"/>
    </row>
    <row r="72" spans="3:116" ht="22.9" customHeight="1" thickBot="1" x14ac:dyDescent="0.95">
      <c r="D72" s="5">
        <v>1</v>
      </c>
      <c r="E72" s="5">
        <v>4</v>
      </c>
      <c r="H72" s="46">
        <f ca="1">Q79</f>
        <v>1.698076923076923</v>
      </c>
      <c r="I72" s="47" t="s">
        <v>104</v>
      </c>
      <c r="J72" s="48" t="s">
        <v>107</v>
      </c>
      <c r="K72" s="49" t="s">
        <v>106</v>
      </c>
      <c r="L72" s="50" t="str">
        <f>Изопрайса</f>
        <v>W</v>
      </c>
      <c r="M72" s="186" t="str">
        <f>Изопрайса</f>
        <v>T</v>
      </c>
      <c r="N72" s="187" t="str">
        <f>Изопрайса</f>
        <v>R</v>
      </c>
      <c r="Q72" s="5">
        <v>1</v>
      </c>
      <c r="R72" s="5">
        <v>2.5</v>
      </c>
      <c r="AC72" s="81">
        <f ca="1">Min_1</f>
        <v>4</v>
      </c>
      <c r="AD72" s="82">
        <f ca="1">Mid_1</f>
        <v>1</v>
      </c>
      <c r="AE72" s="83">
        <f ca="1">Max_1</f>
        <v>4</v>
      </c>
      <c r="AF72" s="76">
        <f ca="1">Приведение</f>
        <v>1.65625</v>
      </c>
      <c r="AH72" s="37">
        <v>1.56</v>
      </c>
      <c r="AI72">
        <v>1.66</v>
      </c>
      <c r="AQ72" s="81">
        <f ca="1">Min_1</f>
        <v>1</v>
      </c>
      <c r="AR72" s="82">
        <f ca="1">Mid_1</f>
        <v>2.5</v>
      </c>
      <c r="AS72" s="83">
        <f ca="1">Max_1</f>
        <v>4</v>
      </c>
      <c r="AT72" s="76">
        <f ca="1">Приведение</f>
        <v>2.75</v>
      </c>
      <c r="AX72" s="81">
        <f ca="1">Min_1</f>
        <v>1</v>
      </c>
      <c r="AY72" s="82">
        <f ca="1">Mid_1</f>
        <v>2.5</v>
      </c>
      <c r="AZ72" s="83">
        <f ca="1">Max_1</f>
        <v>4</v>
      </c>
      <c r="BA72" s="76">
        <f ca="1">Приведение</f>
        <v>2.5</v>
      </c>
      <c r="BS72" s="81">
        <f ca="1">Min_1</f>
        <v>1</v>
      </c>
      <c r="BT72" s="82">
        <f ca="1">Mid_1</f>
        <v>4</v>
      </c>
      <c r="BU72" s="83">
        <f ca="1">Max_1</f>
        <v>1</v>
      </c>
      <c r="BV72" s="76">
        <f ca="1">Приведение</f>
        <v>2.8</v>
      </c>
      <c r="BX72" s="81">
        <f ca="1">Min_1</f>
        <v>1</v>
      </c>
      <c r="BY72" s="82">
        <f ca="1">Mid_1</f>
        <v>2.5</v>
      </c>
      <c r="BZ72" s="83">
        <f ca="1">Max_1</f>
        <v>4</v>
      </c>
      <c r="CA72" s="76">
        <f ca="1">Приведение</f>
        <v>1.6666666666666665</v>
      </c>
      <c r="CG72" s="194"/>
      <c r="CH72" s="194"/>
      <c r="CI72" s="194"/>
      <c r="CJ72" s="194"/>
      <c r="CK72" s="194"/>
      <c r="CL72" s="194"/>
      <c r="CM72" s="194"/>
      <c r="CN72" s="194"/>
      <c r="CO72" s="194"/>
      <c r="CP72" s="194"/>
      <c r="CQ72" s="194"/>
      <c r="CR72" s="194"/>
      <c r="CS72" s="194"/>
      <c r="CT72" s="194"/>
      <c r="CU72" s="194"/>
      <c r="CV72" s="194"/>
      <c r="CW72" s="194"/>
      <c r="CX72" s="194"/>
      <c r="CY72" s="203"/>
      <c r="CZ72" s="203"/>
      <c r="DA72" s="194"/>
      <c r="DD72" s="81">
        <f ca="1">Min_1</f>
        <v>1</v>
      </c>
      <c r="DE72" s="82">
        <f ca="1">Mid_1</f>
        <v>2.5</v>
      </c>
      <c r="DF72" s="83">
        <f ca="1">Max_1</f>
        <v>4</v>
      </c>
      <c r="DG72" s="76">
        <f ca="1">Приведение</f>
        <v>1.4433333333333334</v>
      </c>
      <c r="DI72" s="81">
        <f ca="1">Min_1</f>
        <v>1</v>
      </c>
      <c r="DJ72" s="82">
        <f ca="1">Mid_1</f>
        <v>2.5</v>
      </c>
      <c r="DK72" s="83">
        <f ca="1">Max_1</f>
        <v>4</v>
      </c>
      <c r="DL72" s="76">
        <f ca="1">Приведение</f>
        <v>2.333333333333333</v>
      </c>
    </row>
    <row r="73" spans="3:116" ht="22.9" customHeight="1" thickBot="1" x14ac:dyDescent="0.95">
      <c r="H73" s="53">
        <f ca="1">Матрица_Расчёт</f>
        <v>1.64</v>
      </c>
      <c r="I73" s="54" t="s">
        <v>106</v>
      </c>
      <c r="J73" s="55" t="s">
        <v>104</v>
      </c>
      <c r="K73" s="56" t="s">
        <v>107</v>
      </c>
      <c r="L73" s="189" t="str">
        <f>Изопрайса</f>
        <v>R</v>
      </c>
      <c r="M73" s="188" t="str">
        <f>Изопрайса</f>
        <v>W</v>
      </c>
      <c r="N73" s="190" t="str">
        <f>Изопрайса</f>
        <v>T</v>
      </c>
      <c r="AC73" s="77">
        <v>-7</v>
      </c>
      <c r="AD73" s="78">
        <v>-2</v>
      </c>
      <c r="AE73" s="79">
        <v>14</v>
      </c>
      <c r="AF73" s="185">
        <v>1.5</v>
      </c>
      <c r="AQ73" s="77">
        <v>1</v>
      </c>
      <c r="AR73" s="78"/>
      <c r="AS73" s="79">
        <v>25</v>
      </c>
      <c r="AT73" s="80">
        <v>15</v>
      </c>
      <c r="AX73" s="77">
        <v>-8</v>
      </c>
      <c r="AY73" s="78"/>
      <c r="AZ73" s="79">
        <v>8</v>
      </c>
      <c r="BA73" s="80">
        <v>0</v>
      </c>
      <c r="BS73" s="77">
        <v>-25</v>
      </c>
      <c r="BT73" s="78">
        <v>0</v>
      </c>
      <c r="BU73" s="79">
        <v>5</v>
      </c>
      <c r="BV73" s="185">
        <v>2</v>
      </c>
      <c r="BX73" s="77">
        <v>1</v>
      </c>
      <c r="BY73" s="78"/>
      <c r="BZ73" s="79">
        <v>10</v>
      </c>
      <c r="CA73" s="184">
        <f ca="1">BZ78</f>
        <v>3</v>
      </c>
      <c r="CG73" s="194"/>
      <c r="CH73" s="194"/>
      <c r="CI73" s="194"/>
      <c r="CJ73" s="194"/>
      <c r="CK73" s="194"/>
      <c r="CL73" s="194"/>
      <c r="CM73" s="194"/>
      <c r="CN73" s="194"/>
      <c r="CO73" s="194"/>
      <c r="CP73" s="194"/>
      <c r="CQ73" s="194"/>
      <c r="CR73" s="194"/>
      <c r="CS73" s="194"/>
      <c r="CT73" s="194"/>
      <c r="CU73" s="194"/>
      <c r="CV73" s="194"/>
      <c r="CW73" s="194"/>
      <c r="CX73" s="194"/>
      <c r="CY73" s="203"/>
      <c r="CZ73" s="203"/>
      <c r="DA73" s="194"/>
      <c r="DD73" s="77">
        <v>1</v>
      </c>
      <c r="DE73" s="78"/>
      <c r="DF73" s="79">
        <v>10</v>
      </c>
      <c r="DG73" s="184">
        <f ca="1">DB78</f>
        <v>2.33</v>
      </c>
      <c r="DI73" s="77">
        <v>2</v>
      </c>
      <c r="DJ73" s="78"/>
      <c r="DK73" s="79">
        <v>20</v>
      </c>
      <c r="DL73" s="80">
        <v>10</v>
      </c>
    </row>
    <row r="74" spans="3:116" ht="22.9" customHeight="1" thickTop="1" thickBot="1" x14ac:dyDescent="0.95">
      <c r="AH74" s="37"/>
      <c r="CG74" s="194"/>
      <c r="CH74" s="194"/>
      <c r="CI74" s="194"/>
      <c r="CJ74" s="194"/>
      <c r="CK74" s="194"/>
      <c r="CL74" s="194"/>
      <c r="CM74" s="194"/>
      <c r="CN74" s="194"/>
      <c r="CO74" s="194"/>
      <c r="CP74" s="194"/>
      <c r="CQ74" s="194"/>
      <c r="CR74" s="194"/>
      <c r="CS74" s="194"/>
      <c r="CT74" s="194"/>
      <c r="CU74" s="194"/>
      <c r="CV74" s="194"/>
      <c r="CW74" s="194"/>
      <c r="CX74" s="194"/>
      <c r="CY74" s="202"/>
      <c r="CZ74" s="202"/>
      <c r="DA74" s="194"/>
    </row>
    <row r="75" spans="3:116" ht="22.9" customHeight="1" thickTop="1" thickBot="1" x14ac:dyDescent="0.95">
      <c r="BZ75" s="239"/>
      <c r="CA75" s="240"/>
      <c r="CB75" s="240"/>
      <c r="CC75" s="240"/>
      <c r="CD75" s="240"/>
      <c r="CE75" s="240"/>
      <c r="CF75" s="241"/>
      <c r="CG75" s="194"/>
      <c r="CH75" s="194"/>
      <c r="CI75" s="194"/>
      <c r="CJ75" s="194"/>
      <c r="CK75" s="194"/>
      <c r="CL75" s="201"/>
      <c r="CM75" s="194"/>
      <c r="CN75" s="194"/>
      <c r="CO75" s="194"/>
      <c r="CP75" s="194"/>
      <c r="CQ75" s="194"/>
      <c r="CR75" s="194"/>
      <c r="CS75" s="194"/>
      <c r="CT75" s="194"/>
      <c r="CU75" s="194"/>
      <c r="CV75" s="194"/>
      <c r="CW75" s="194"/>
      <c r="CX75" s="202"/>
      <c r="CY75" s="194"/>
      <c r="CZ75" s="194"/>
      <c r="DA75" s="194"/>
      <c r="DB75" s="239"/>
      <c r="DC75" s="240"/>
      <c r="DD75" s="240"/>
      <c r="DE75" s="240"/>
      <c r="DF75" s="240"/>
      <c r="DG75" s="240"/>
      <c r="DH75" s="241"/>
    </row>
    <row r="76" spans="3:116" ht="22.9" customHeight="1" thickTop="1" thickBot="1" x14ac:dyDescent="0.95">
      <c r="AO76" s="239"/>
      <c r="AP76" s="240"/>
      <c r="AQ76" s="240"/>
      <c r="AR76" s="241"/>
      <c r="BZ76" s="115">
        <f ca="1">CA82</f>
        <v>4</v>
      </c>
      <c r="CA76" s="116" t="s">
        <v>106</v>
      </c>
      <c r="CB76" s="117" t="s">
        <v>104</v>
      </c>
      <c r="CC76" s="118" t="s">
        <v>107</v>
      </c>
      <c r="CD76" s="119" t="str">
        <f>Изопрайса</f>
        <v>R</v>
      </c>
      <c r="CE76" s="120" t="str">
        <f>Изопрайса</f>
        <v>W</v>
      </c>
      <c r="CF76" s="121" t="str">
        <f>Изопрайса</f>
        <v>T</v>
      </c>
      <c r="CG76" s="194"/>
      <c r="CH76" s="194"/>
      <c r="CI76" s="202"/>
      <c r="CJ76" s="202"/>
      <c r="CK76" s="201"/>
      <c r="CL76" s="201"/>
      <c r="CM76" s="194"/>
      <c r="CN76" s="194"/>
      <c r="CO76" s="194"/>
      <c r="CP76" s="194"/>
      <c r="CQ76" s="194"/>
      <c r="CR76" s="194"/>
      <c r="CS76" s="194"/>
      <c r="CT76" s="194"/>
      <c r="CU76" s="194"/>
      <c r="CV76" s="194"/>
      <c r="CW76" s="194"/>
      <c r="CX76" s="194"/>
      <c r="CY76" s="194"/>
      <c r="CZ76" s="194"/>
      <c r="DA76" s="194"/>
      <c r="DB76" s="115">
        <f ca="1">DE82</f>
        <v>2.333333333333333</v>
      </c>
      <c r="DC76" s="116" t="s">
        <v>105</v>
      </c>
      <c r="DD76" s="117" t="s">
        <v>105</v>
      </c>
      <c r="DE76" s="118" t="s">
        <v>103</v>
      </c>
      <c r="DF76" s="119" t="str">
        <f>Изопрайса</f>
        <v>E</v>
      </c>
      <c r="DG76" s="120" t="str">
        <f>Изопрайса</f>
        <v>E</v>
      </c>
      <c r="DH76" s="121" t="str">
        <f>Изопрайса</f>
        <v>Q</v>
      </c>
    </row>
    <row r="77" spans="3:116" ht="22.9" customHeight="1" thickTop="1" thickBot="1" x14ac:dyDescent="0.3">
      <c r="G77" s="239"/>
      <c r="H77" s="240"/>
      <c r="I77" s="240"/>
      <c r="J77" s="241"/>
      <c r="N77" s="239"/>
      <c r="O77" s="240"/>
      <c r="P77" s="240"/>
      <c r="Q77" s="241"/>
      <c r="AC77" s="239"/>
      <c r="AD77" s="240"/>
      <c r="AE77" s="240"/>
      <c r="AF77" s="241"/>
      <c r="AO77" s="242" t="s">
        <v>357</v>
      </c>
      <c r="AP77" s="243"/>
      <c r="AQ77" s="244"/>
      <c r="AR77" s="122"/>
      <c r="BZ77" s="46">
        <f ca="1">CF82</f>
        <v>2</v>
      </c>
      <c r="CA77" s="47" t="s">
        <v>106</v>
      </c>
      <c r="CB77" s="48" t="s">
        <v>106</v>
      </c>
      <c r="CC77" s="49" t="s">
        <v>104</v>
      </c>
      <c r="CD77" s="50" t="str">
        <f>Изопрайса</f>
        <v>R</v>
      </c>
      <c r="CE77" s="51" t="str">
        <f>Изопрайса</f>
        <v>R</v>
      </c>
      <c r="CF77" s="52" t="str">
        <f>Изопрайса</f>
        <v>W</v>
      </c>
      <c r="CG77" s="194"/>
      <c r="CH77" s="194"/>
      <c r="CI77" s="194"/>
      <c r="CJ77" s="194"/>
      <c r="CK77" s="194"/>
      <c r="CL77" s="194"/>
      <c r="CM77" s="194"/>
      <c r="CN77" s="194"/>
      <c r="CO77" s="194"/>
      <c r="CP77" s="194"/>
      <c r="CQ77" s="194"/>
      <c r="CR77" s="194"/>
      <c r="CS77" s="194"/>
      <c r="CT77" s="194"/>
      <c r="CU77" s="194"/>
      <c r="CV77" s="194"/>
      <c r="CW77" s="194"/>
      <c r="CX77" s="194"/>
      <c r="CY77" s="194"/>
      <c r="CZ77" s="194"/>
      <c r="DA77" s="194"/>
      <c r="DB77" s="46">
        <f ca="1">DJ82</f>
        <v>2.333333333333333</v>
      </c>
      <c r="DC77" s="47" t="s">
        <v>108</v>
      </c>
      <c r="DD77" s="48" t="s">
        <v>104</v>
      </c>
      <c r="DE77" s="49" t="s">
        <v>103</v>
      </c>
      <c r="DF77" s="50" t="str">
        <f>Изопрайса</f>
        <v>Y</v>
      </c>
      <c r="DG77" s="51" t="str">
        <f>Изопрайса</f>
        <v>W</v>
      </c>
      <c r="DH77" s="52" t="str">
        <f>Изопрайса</f>
        <v>Q</v>
      </c>
    </row>
    <row r="78" spans="3:116" ht="22.9" customHeight="1" thickTop="1" thickBot="1" x14ac:dyDescent="0.3">
      <c r="G78" s="242" t="s">
        <v>357</v>
      </c>
      <c r="H78" s="243"/>
      <c r="I78" s="244"/>
      <c r="J78" s="122"/>
      <c r="N78" s="242" t="s">
        <v>357</v>
      </c>
      <c r="O78" s="243"/>
      <c r="P78" s="244"/>
      <c r="Q78" s="122"/>
      <c r="AC78" s="242" t="s">
        <v>357</v>
      </c>
      <c r="AD78" s="243"/>
      <c r="AE78" s="244"/>
      <c r="AF78" s="122"/>
      <c r="AO78" s="81">
        <f ca="1">Min_1</f>
        <v>1</v>
      </c>
      <c r="AP78" s="82">
        <f ca="1">Mid_1</f>
        <v>2.5</v>
      </c>
      <c r="AQ78" s="83">
        <f ca="1">Max_1</f>
        <v>4</v>
      </c>
      <c r="AR78" s="76">
        <f ca="1">Приведение</f>
        <v>1.1764705882352942</v>
      </c>
      <c r="BZ78" s="53">
        <f ca="1">Матрица_Расчёт</f>
        <v>3</v>
      </c>
      <c r="CA78" s="54" t="s">
        <v>103</v>
      </c>
      <c r="CB78" s="55" t="s">
        <v>107</v>
      </c>
      <c r="CC78" s="56" t="s">
        <v>106</v>
      </c>
      <c r="CD78" s="57" t="str">
        <f>Изопрайса</f>
        <v>Q</v>
      </c>
      <c r="CE78" s="58" t="str">
        <f>Изопрайса</f>
        <v>T</v>
      </c>
      <c r="CF78" s="59" t="str">
        <f>Изопрайса</f>
        <v>R</v>
      </c>
      <c r="CG78" s="194"/>
      <c r="CH78" s="194"/>
      <c r="CI78" s="194"/>
      <c r="CJ78" s="194"/>
      <c r="CK78" s="194"/>
      <c r="CL78" s="194"/>
      <c r="CM78" s="194"/>
      <c r="CN78" s="194"/>
      <c r="CO78" s="194"/>
      <c r="CP78" s="194"/>
      <c r="CQ78" s="194"/>
      <c r="CR78" s="194"/>
      <c r="CS78" s="194"/>
      <c r="CT78" s="194"/>
      <c r="CU78" s="194"/>
      <c r="CV78" s="194"/>
      <c r="CW78" s="194"/>
      <c r="CX78" s="194"/>
      <c r="CY78" s="194"/>
      <c r="CZ78" s="194"/>
      <c r="DA78" s="194"/>
      <c r="DB78" s="53">
        <f ca="1">Матрица_Расчёт</f>
        <v>2.33</v>
      </c>
      <c r="DC78" s="54" t="s">
        <v>108</v>
      </c>
      <c r="DD78" s="55" t="s">
        <v>106</v>
      </c>
      <c r="DE78" s="56" t="s">
        <v>106</v>
      </c>
      <c r="DF78" s="57" t="str">
        <f>Изопрайса</f>
        <v>Y</v>
      </c>
      <c r="DG78" s="58" t="str">
        <f>Изопрайса</f>
        <v>R</v>
      </c>
      <c r="DH78" s="59" t="str">
        <f>Изопрайса</f>
        <v>R</v>
      </c>
    </row>
    <row r="79" spans="3:116" ht="22.9" customHeight="1" thickTop="1" thickBot="1" x14ac:dyDescent="0.3">
      <c r="D79" s="5">
        <v>1</v>
      </c>
      <c r="E79" s="5">
        <v>4</v>
      </c>
      <c r="G79" s="81">
        <f ca="1">Min_1</f>
        <v>1</v>
      </c>
      <c r="H79" s="82">
        <f ca="1">Mid_1</f>
        <v>2.5</v>
      </c>
      <c r="I79" s="83">
        <f ca="1">Max_1</f>
        <v>4</v>
      </c>
      <c r="J79" s="76">
        <f ca="1">Приведение</f>
        <v>1.45</v>
      </c>
      <c r="N79" s="81">
        <f ca="1">Min_1</f>
        <v>1</v>
      </c>
      <c r="O79" s="82">
        <f ca="1">Mid_1</f>
        <v>2.5</v>
      </c>
      <c r="P79" s="83">
        <f ca="1">Max_1</f>
        <v>4</v>
      </c>
      <c r="Q79" s="76">
        <f ca="1">Приведение</f>
        <v>1.698076923076923</v>
      </c>
      <c r="T79" s="5">
        <v>1</v>
      </c>
      <c r="U79" s="5">
        <v>4</v>
      </c>
      <c r="AC79" s="81">
        <f ca="1">Min_1</f>
        <v>1</v>
      </c>
      <c r="AD79" s="82">
        <f ca="1">Mid_1</f>
        <v>2.5</v>
      </c>
      <c r="AE79" s="83">
        <f ca="1">Max_1</f>
        <v>4</v>
      </c>
      <c r="AF79" s="76">
        <f ca="1">Приведение</f>
        <v>1</v>
      </c>
      <c r="AH79">
        <v>1</v>
      </c>
      <c r="AI79">
        <v>1.46</v>
      </c>
      <c r="AO79" s="77">
        <v>5</v>
      </c>
      <c r="AP79" s="78"/>
      <c r="AQ79" s="79">
        <v>-12</v>
      </c>
      <c r="AR79" s="80">
        <v>4</v>
      </c>
      <c r="CG79" s="194"/>
      <c r="CH79" s="194"/>
      <c r="CI79" s="194"/>
      <c r="CJ79" s="194"/>
      <c r="CK79" s="194"/>
      <c r="CL79" s="194"/>
      <c r="CM79" s="194"/>
      <c r="CN79" s="194"/>
      <c r="CO79" s="194"/>
      <c r="CP79" s="194"/>
      <c r="CQ79" s="194"/>
      <c r="CR79" s="194"/>
      <c r="CS79" s="194"/>
      <c r="CT79" s="194"/>
      <c r="CU79" s="194"/>
      <c r="CV79" s="194"/>
      <c r="CW79" s="194"/>
      <c r="CX79" s="194"/>
      <c r="CY79" s="194"/>
      <c r="CZ79" s="194"/>
      <c r="DA79" s="194"/>
    </row>
    <row r="80" spans="3:116" ht="22.9" customHeight="1" thickTop="1" thickBot="1" x14ac:dyDescent="0.3">
      <c r="D80" s="5">
        <v>1</v>
      </c>
      <c r="E80" s="5">
        <v>10</v>
      </c>
      <c r="G80" s="77">
        <v>1</v>
      </c>
      <c r="H80" s="78"/>
      <c r="I80" s="79">
        <v>4</v>
      </c>
      <c r="J80" s="80">
        <v>1.45</v>
      </c>
      <c r="N80" s="77">
        <v>20</v>
      </c>
      <c r="O80" s="78"/>
      <c r="P80" s="79">
        <v>150</v>
      </c>
      <c r="Q80" s="80">
        <v>50.25</v>
      </c>
      <c r="T80" s="5">
        <v>0</v>
      </c>
      <c r="U80" s="5">
        <v>-20</v>
      </c>
      <c r="AC80" s="77">
        <v>2</v>
      </c>
      <c r="AD80" s="78"/>
      <c r="AE80" s="79">
        <v>15</v>
      </c>
      <c r="AF80" s="80">
        <v>2</v>
      </c>
      <c r="BX80" s="239"/>
      <c r="BY80" s="240"/>
      <c r="BZ80" s="240"/>
      <c r="CA80" s="241"/>
      <c r="CC80" s="239"/>
      <c r="CD80" s="240"/>
      <c r="CE80" s="240"/>
      <c r="CF80" s="241"/>
      <c r="DB80" s="239"/>
      <c r="DC80" s="240"/>
      <c r="DD80" s="240"/>
      <c r="DE80" s="241"/>
      <c r="DG80" s="239"/>
      <c r="DH80" s="240"/>
      <c r="DI80" s="240"/>
      <c r="DJ80" s="241"/>
    </row>
    <row r="81" spans="29:114" ht="22.9" customHeight="1" thickTop="1" x14ac:dyDescent="0.25">
      <c r="BX81" s="242" t="s">
        <v>359</v>
      </c>
      <c r="BY81" s="243"/>
      <c r="BZ81" s="244"/>
      <c r="CA81" s="122"/>
      <c r="CC81" s="242" t="s">
        <v>357</v>
      </c>
      <c r="CD81" s="243"/>
      <c r="CE81" s="244"/>
      <c r="CF81" s="122"/>
      <c r="DB81" s="245" t="s">
        <v>357</v>
      </c>
      <c r="DC81" s="246"/>
      <c r="DD81" s="247"/>
      <c r="DE81" s="122"/>
      <c r="DG81" s="245" t="s">
        <v>357</v>
      </c>
      <c r="DH81" s="246"/>
      <c r="DI81" s="247"/>
      <c r="DJ81" s="122"/>
    </row>
    <row r="82" spans="29:114" ht="22.9" customHeight="1" thickBot="1" x14ac:dyDescent="0.3">
      <c r="BX82" s="81">
        <f ca="1">Min_1</f>
        <v>1</v>
      </c>
      <c r="BY82" s="82">
        <f ca="1">Mid_1</f>
        <v>4</v>
      </c>
      <c r="BZ82" s="83">
        <f ca="1">Max_1</f>
        <v>1</v>
      </c>
      <c r="CA82" s="76">
        <f ca="1">Приведение</f>
        <v>4</v>
      </c>
      <c r="CC82" s="81">
        <f ca="1">Min_1</f>
        <v>1</v>
      </c>
      <c r="CD82" s="82">
        <f ca="1">Mid_1</f>
        <v>2.5</v>
      </c>
      <c r="CE82" s="83">
        <f ca="1">Max_1</f>
        <v>4</v>
      </c>
      <c r="CF82" s="76">
        <f ca="1">Приведение</f>
        <v>2</v>
      </c>
      <c r="DB82" s="81">
        <f ca="1">Min_1</f>
        <v>1</v>
      </c>
      <c r="DC82" s="82">
        <f ca="1">Mid_1</f>
        <v>2.5</v>
      </c>
      <c r="DD82" s="83">
        <f ca="1">Max_1</f>
        <v>4</v>
      </c>
      <c r="DE82" s="76">
        <f ca="1">Приведение</f>
        <v>2.333333333333333</v>
      </c>
      <c r="DG82" s="81">
        <f ca="1">Min_1</f>
        <v>1</v>
      </c>
      <c r="DH82" s="82">
        <f ca="1">Mid_1</f>
        <v>2.5</v>
      </c>
      <c r="DI82" s="83">
        <f ca="1">Max_1</f>
        <v>4</v>
      </c>
      <c r="DJ82" s="76">
        <f ca="1">Приведение</f>
        <v>2.333333333333333</v>
      </c>
    </row>
    <row r="83" spans="29:114" ht="22.9" customHeight="1" thickTop="1" thickBot="1" x14ac:dyDescent="0.3">
      <c r="AC83" s="239"/>
      <c r="AD83" s="240"/>
      <c r="AE83" s="240"/>
      <c r="AF83" s="241"/>
      <c r="BX83" s="77">
        <v>-25</v>
      </c>
      <c r="BY83" s="78">
        <v>0</v>
      </c>
      <c r="BZ83" s="79">
        <v>5</v>
      </c>
      <c r="CA83" s="185">
        <v>0</v>
      </c>
      <c r="CC83" s="77">
        <v>1</v>
      </c>
      <c r="CD83" s="78"/>
      <c r="CE83" s="79">
        <v>10</v>
      </c>
      <c r="CF83" s="184">
        <v>4</v>
      </c>
      <c r="DB83" s="77">
        <v>1</v>
      </c>
      <c r="DC83" s="78"/>
      <c r="DD83" s="79">
        <v>10</v>
      </c>
      <c r="DE83" s="80">
        <v>5</v>
      </c>
      <c r="DG83" s="77">
        <v>2</v>
      </c>
      <c r="DH83" s="78"/>
      <c r="DI83" s="79">
        <v>20</v>
      </c>
      <c r="DJ83" s="80">
        <v>10</v>
      </c>
    </row>
    <row r="84" spans="29:114" ht="22.9" customHeight="1" thickTop="1" x14ac:dyDescent="0.25">
      <c r="AC84" s="242" t="s">
        <v>357</v>
      </c>
      <c r="AD84" s="243"/>
      <c r="AE84" s="244"/>
      <c r="AF84" s="122"/>
    </row>
    <row r="85" spans="29:114" ht="22.9" customHeight="1" x14ac:dyDescent="0.25">
      <c r="AC85" s="81">
        <f ca="1">Min_1</f>
        <v>1</v>
      </c>
      <c r="AD85" s="82">
        <f ca="1">Mid_1</f>
        <v>2.5</v>
      </c>
      <c r="AE85" s="83">
        <f ca="1">Max_1</f>
        <v>4</v>
      </c>
      <c r="AF85" s="76">
        <f ca="1">Приведение</f>
        <v>1.625</v>
      </c>
    </row>
    <row r="86" spans="29:114" ht="22.9" customHeight="1" thickBot="1" x14ac:dyDescent="0.3">
      <c r="AC86" s="77">
        <v>-2</v>
      </c>
      <c r="AD86" s="78"/>
      <c r="AE86" s="79">
        <v>22</v>
      </c>
      <c r="AF86" s="80">
        <v>3</v>
      </c>
    </row>
    <row r="87" spans="29:114" ht="22.9" customHeight="1" thickTop="1" x14ac:dyDescent="0.25"/>
    <row r="100" spans="73:82" ht="22.9" customHeight="1" thickBot="1" x14ac:dyDescent="0.3"/>
    <row r="101" spans="73:82" ht="22.9" customHeight="1" thickTop="1" thickBot="1" x14ac:dyDescent="0.3">
      <c r="BW101" s="239">
        <v>1</v>
      </c>
      <c r="BX101" s="240"/>
      <c r="BY101" s="240"/>
      <c r="BZ101" s="240"/>
      <c r="CA101" s="240"/>
      <c r="CB101" s="240"/>
      <c r="CC101" s="241"/>
    </row>
    <row r="102" spans="73:82" ht="22.9" customHeight="1" thickTop="1" x14ac:dyDescent="0.25">
      <c r="BW102" s="115" t="str">
        <f>BX108</f>
        <v>!!!</v>
      </c>
      <c r="BX102" s="116" t="s">
        <v>106</v>
      </c>
      <c r="BY102" s="117" t="s">
        <v>106</v>
      </c>
      <c r="BZ102" s="118" t="s">
        <v>106</v>
      </c>
      <c r="CA102" s="119" t="str">
        <f>Изопрайса</f>
        <v>R</v>
      </c>
      <c r="CB102" s="120" t="str">
        <f>Изопрайса</f>
        <v>R</v>
      </c>
      <c r="CC102" s="121" t="str">
        <f>Изопрайса</f>
        <v>R</v>
      </c>
    </row>
    <row r="103" spans="73:82" ht="22.9" customHeight="1" thickBot="1" x14ac:dyDescent="0.3">
      <c r="BW103" s="46">
        <f ca="1">CD108</f>
        <v>1</v>
      </c>
      <c r="BX103" s="47" t="s">
        <v>106</v>
      </c>
      <c r="BY103" s="48" t="s">
        <v>106</v>
      </c>
      <c r="BZ103" s="49" t="s">
        <v>106</v>
      </c>
      <c r="CA103" s="50" t="str">
        <f>Изопрайса</f>
        <v>R</v>
      </c>
      <c r="CB103" s="51" t="str">
        <f>Изопрайса</f>
        <v>R</v>
      </c>
      <c r="CC103" s="52" t="str">
        <f>Изопрайса</f>
        <v>R</v>
      </c>
    </row>
    <row r="104" spans="73:82" ht="22.9" customHeight="1" thickBot="1" x14ac:dyDescent="0.3">
      <c r="BW104" s="53">
        <f ca="1">Матрица_Расчёт</f>
        <v>0</v>
      </c>
      <c r="BX104" s="54" t="s">
        <v>106</v>
      </c>
      <c r="BY104" s="55" t="s">
        <v>106</v>
      </c>
      <c r="BZ104" s="56" t="s">
        <v>106</v>
      </c>
      <c r="CA104" s="57" t="str">
        <f>Изопрайса</f>
        <v>R</v>
      </c>
      <c r="CB104" s="58" t="str">
        <f>Изопрайса</f>
        <v>R</v>
      </c>
      <c r="CC104" s="59" t="str">
        <f>Изопрайса</f>
        <v>R</v>
      </c>
    </row>
    <row r="105" spans="73:82" ht="22.9" customHeight="1" thickTop="1" thickBot="1" x14ac:dyDescent="0.3"/>
    <row r="106" spans="73:82" ht="22.9" customHeight="1" thickTop="1" thickBot="1" x14ac:dyDescent="0.3">
      <c r="BU106" s="239">
        <v>1</v>
      </c>
      <c r="BV106" s="240"/>
      <c r="BW106" s="240"/>
      <c r="BX106" s="241"/>
      <c r="BY106" s="5">
        <v>3</v>
      </c>
      <c r="CA106" s="239">
        <v>2</v>
      </c>
      <c r="CB106" s="240"/>
      <c r="CC106" s="240"/>
      <c r="CD106" s="241"/>
    </row>
    <row r="107" spans="73:82" ht="22.9" customHeight="1" thickTop="1" x14ac:dyDescent="0.25">
      <c r="BU107" s="242" t="s">
        <v>359</v>
      </c>
      <c r="BV107" s="243"/>
      <c r="BW107" s="244"/>
      <c r="BX107" s="122"/>
      <c r="BY107" s="66"/>
      <c r="CA107" s="242" t="s">
        <v>357</v>
      </c>
      <c r="CB107" s="243"/>
      <c r="CC107" s="244"/>
      <c r="CD107" s="122"/>
    </row>
    <row r="108" spans="73:82" ht="22.9" customHeight="1" x14ac:dyDescent="0.25">
      <c r="BU108" s="214">
        <f ca="1">Min_1</f>
        <v>1</v>
      </c>
      <c r="BV108" s="215">
        <f ca="1">Mid_1</f>
        <v>4</v>
      </c>
      <c r="BW108" s="216">
        <f ca="1">Max_1</f>
        <v>1</v>
      </c>
      <c r="BX108" s="217" t="str">
        <f>Приведение</f>
        <v>!!!</v>
      </c>
      <c r="BY108" s="66"/>
      <c r="CA108" s="81">
        <f ca="1">Min_1</f>
        <v>1</v>
      </c>
      <c r="CB108" s="82">
        <f ca="1">Mid_1</f>
        <v>2.5</v>
      </c>
      <c r="CC108" s="83">
        <f ca="1">Max_1</f>
        <v>4</v>
      </c>
      <c r="CD108" s="76">
        <f ca="1">Приведение</f>
        <v>1</v>
      </c>
    </row>
    <row r="109" spans="73:82" ht="22.9" customHeight="1" thickBot="1" x14ac:dyDescent="0.3">
      <c r="BU109" s="218" t="e">
        <f>VLOOKUP(BW101,#REF!,2,FALSE)</f>
        <v>#REF!</v>
      </c>
      <c r="BV109" s="219" t="e">
        <f>VLOOKUP(BW101,#REF!,3,FALSE)</f>
        <v>#REF!</v>
      </c>
      <c r="BW109" s="220" t="e">
        <f>VLOOKUP(BW101,#REF!,4,FALSE)</f>
        <v>#REF!</v>
      </c>
      <c r="BX109" s="221">
        <v>-2</v>
      </c>
      <c r="BY109" s="66"/>
      <c r="CA109" s="77">
        <v>1</v>
      </c>
      <c r="CB109" s="78"/>
      <c r="CC109" s="79">
        <v>4</v>
      </c>
      <c r="CD109" s="80">
        <v>1</v>
      </c>
    </row>
    <row r="110" spans="73:82" ht="22.9" customHeight="1" thickTop="1" thickBot="1" x14ac:dyDescent="0.3"/>
    <row r="111" spans="73:82" ht="22.9" customHeight="1" thickTop="1" thickBot="1" x14ac:dyDescent="0.3">
      <c r="BW111" s="239">
        <f>BW101+1</f>
        <v>2</v>
      </c>
      <c r="BX111" s="240"/>
      <c r="BY111" s="240"/>
      <c r="BZ111" s="240"/>
      <c r="CA111" s="240"/>
      <c r="CB111" s="240"/>
      <c r="CC111" s="241"/>
    </row>
    <row r="112" spans="73:82" ht="22.9" customHeight="1" thickTop="1" x14ac:dyDescent="0.25">
      <c r="BW112" s="115" t="str">
        <f>BX118</f>
        <v>!!!</v>
      </c>
      <c r="BX112" s="116" t="s">
        <v>106</v>
      </c>
      <c r="BY112" s="117" t="s">
        <v>106</v>
      </c>
      <c r="BZ112" s="118" t="s">
        <v>106</v>
      </c>
      <c r="CA112" s="119" t="str">
        <f>Изопрайса</f>
        <v>R</v>
      </c>
      <c r="CB112" s="120" t="str">
        <f>Изопрайса</f>
        <v>R</v>
      </c>
      <c r="CC112" s="121" t="str">
        <f>Изопрайса</f>
        <v>R</v>
      </c>
    </row>
    <row r="113" spans="73:82" ht="22.9" customHeight="1" thickBot="1" x14ac:dyDescent="0.3">
      <c r="BW113" s="46">
        <f ca="1">CD118</f>
        <v>1</v>
      </c>
      <c r="BX113" s="47" t="s">
        <v>106</v>
      </c>
      <c r="BY113" s="48" t="s">
        <v>106</v>
      </c>
      <c r="BZ113" s="49" t="s">
        <v>106</v>
      </c>
      <c r="CA113" s="50" t="str">
        <f>Изопрайса</f>
        <v>R</v>
      </c>
      <c r="CB113" s="51" t="str">
        <f>Изопрайса</f>
        <v>R</v>
      </c>
      <c r="CC113" s="52" t="str">
        <f>Изопрайса</f>
        <v>R</v>
      </c>
    </row>
    <row r="114" spans="73:82" ht="22.9" customHeight="1" thickBot="1" x14ac:dyDescent="0.3">
      <c r="BW114" s="53">
        <f ca="1">Матрица_Расчёт</f>
        <v>0</v>
      </c>
      <c r="BX114" s="54" t="s">
        <v>106</v>
      </c>
      <c r="BY114" s="55" t="s">
        <v>106</v>
      </c>
      <c r="BZ114" s="56" t="s">
        <v>106</v>
      </c>
      <c r="CA114" s="57" t="str">
        <f>Изопрайса</f>
        <v>R</v>
      </c>
      <c r="CB114" s="58" t="str">
        <f>Изопрайса</f>
        <v>R</v>
      </c>
      <c r="CC114" s="59" t="str">
        <f>Изопрайса</f>
        <v>R</v>
      </c>
    </row>
    <row r="115" spans="73:82" ht="22.9" customHeight="1" thickTop="1" thickBot="1" x14ac:dyDescent="0.3"/>
    <row r="116" spans="73:82" ht="22.9" customHeight="1" thickTop="1" thickBot="1" x14ac:dyDescent="0.3">
      <c r="BU116" s="239">
        <f>BU106+2</f>
        <v>3</v>
      </c>
      <c r="BV116" s="240"/>
      <c r="BW116" s="240"/>
      <c r="BX116" s="241"/>
      <c r="BY116" s="5">
        <v>3</v>
      </c>
      <c r="CA116" s="239">
        <f>CA106+2</f>
        <v>4</v>
      </c>
      <c r="CB116" s="240"/>
      <c r="CC116" s="240"/>
      <c r="CD116" s="241"/>
    </row>
    <row r="117" spans="73:82" ht="22.9" customHeight="1" thickTop="1" x14ac:dyDescent="0.25">
      <c r="BU117" s="242" t="s">
        <v>359</v>
      </c>
      <c r="BV117" s="243"/>
      <c r="BW117" s="244"/>
      <c r="BX117" s="122"/>
      <c r="BY117" s="66"/>
      <c r="CA117" s="242" t="s">
        <v>357</v>
      </c>
      <c r="CB117" s="243"/>
      <c r="CC117" s="244"/>
      <c r="CD117" s="122"/>
    </row>
    <row r="118" spans="73:82" ht="22.9" customHeight="1" x14ac:dyDescent="0.25">
      <c r="BU118" s="214">
        <f ca="1">Min_1</f>
        <v>1</v>
      </c>
      <c r="BV118" s="215">
        <f ca="1">Mid_1</f>
        <v>4</v>
      </c>
      <c r="BW118" s="216">
        <f ca="1">Max_1</f>
        <v>1</v>
      </c>
      <c r="BX118" s="217" t="str">
        <f>Приведение</f>
        <v>!!!</v>
      </c>
      <c r="BY118" s="66"/>
      <c r="CA118" s="81">
        <f ca="1">Min_1</f>
        <v>1</v>
      </c>
      <c r="CB118" s="82">
        <f ca="1">Mid_1</f>
        <v>2.5</v>
      </c>
      <c r="CC118" s="83">
        <f ca="1">Max_1</f>
        <v>4</v>
      </c>
      <c r="CD118" s="76">
        <f ca="1">Приведение</f>
        <v>1</v>
      </c>
    </row>
    <row r="119" spans="73:82" ht="22.9" customHeight="1" thickBot="1" x14ac:dyDescent="0.3">
      <c r="BU119" s="218" t="e">
        <f>VLOOKUP(BW111,#REF!,2,FALSE)</f>
        <v>#REF!</v>
      </c>
      <c r="BV119" s="219" t="e">
        <f>VLOOKUP(BW111,#REF!,3,FALSE)</f>
        <v>#REF!</v>
      </c>
      <c r="BW119" s="220" t="e">
        <f>VLOOKUP(BW111,#REF!,4,FALSE)</f>
        <v>#REF!</v>
      </c>
      <c r="BX119" s="221">
        <v>-1</v>
      </c>
      <c r="BY119" s="66"/>
      <c r="CA119" s="77">
        <v>1</v>
      </c>
      <c r="CB119" s="78"/>
      <c r="CC119" s="79">
        <v>4</v>
      </c>
      <c r="CD119" s="80">
        <v>1</v>
      </c>
    </row>
    <row r="120" spans="73:82" ht="22.9" customHeight="1" thickTop="1" thickBot="1" x14ac:dyDescent="0.3"/>
    <row r="121" spans="73:82" ht="22.9" customHeight="1" thickTop="1" thickBot="1" x14ac:dyDescent="0.3">
      <c r="BW121" s="239">
        <f>BW111+1</f>
        <v>3</v>
      </c>
      <c r="BX121" s="240"/>
      <c r="BY121" s="240"/>
      <c r="BZ121" s="240"/>
      <c r="CA121" s="240"/>
      <c r="CB121" s="240"/>
      <c r="CC121" s="241"/>
    </row>
    <row r="122" spans="73:82" ht="22.9" customHeight="1" thickTop="1" x14ac:dyDescent="0.25">
      <c r="BW122" s="115" t="str">
        <f>BX128</f>
        <v>!!!</v>
      </c>
      <c r="BX122" s="116" t="s">
        <v>106</v>
      </c>
      <c r="BY122" s="117" t="s">
        <v>106</v>
      </c>
      <c r="BZ122" s="118" t="s">
        <v>106</v>
      </c>
      <c r="CA122" s="119" t="str">
        <f>Изопрайса</f>
        <v>R</v>
      </c>
      <c r="CB122" s="120" t="str">
        <f>Изопрайса</f>
        <v>R</v>
      </c>
      <c r="CC122" s="121" t="str">
        <f>Изопрайса</f>
        <v>R</v>
      </c>
    </row>
    <row r="123" spans="73:82" ht="22.9" customHeight="1" thickBot="1" x14ac:dyDescent="0.3">
      <c r="BW123" s="46">
        <f ca="1">CD128</f>
        <v>1</v>
      </c>
      <c r="BX123" s="47" t="s">
        <v>106</v>
      </c>
      <c r="BY123" s="48" t="s">
        <v>106</v>
      </c>
      <c r="BZ123" s="49" t="s">
        <v>106</v>
      </c>
      <c r="CA123" s="50" t="str">
        <f>Изопрайса</f>
        <v>R</v>
      </c>
      <c r="CB123" s="51" t="str">
        <f>Изопрайса</f>
        <v>R</v>
      </c>
      <c r="CC123" s="52" t="str">
        <f>Изопрайса</f>
        <v>R</v>
      </c>
    </row>
    <row r="124" spans="73:82" ht="22.9" customHeight="1" thickBot="1" x14ac:dyDescent="0.3">
      <c r="BW124" s="53">
        <f ca="1">Матрица_Расчёт</f>
        <v>0</v>
      </c>
      <c r="BX124" s="54" t="s">
        <v>106</v>
      </c>
      <c r="BY124" s="55" t="s">
        <v>106</v>
      </c>
      <c r="BZ124" s="56" t="s">
        <v>106</v>
      </c>
      <c r="CA124" s="57" t="str">
        <f>Изопрайса</f>
        <v>R</v>
      </c>
      <c r="CB124" s="58" t="str">
        <f>Изопрайса</f>
        <v>R</v>
      </c>
      <c r="CC124" s="59" t="str">
        <f>Изопрайса</f>
        <v>R</v>
      </c>
    </row>
    <row r="125" spans="73:82" ht="22.9" customHeight="1" thickTop="1" thickBot="1" x14ac:dyDescent="0.3"/>
    <row r="126" spans="73:82" ht="22.9" customHeight="1" thickTop="1" thickBot="1" x14ac:dyDescent="0.3">
      <c r="BU126" s="239">
        <f>BU116+2</f>
        <v>5</v>
      </c>
      <c r="BV126" s="240"/>
      <c r="BW126" s="240"/>
      <c r="BX126" s="241"/>
      <c r="BY126" s="5">
        <v>3</v>
      </c>
      <c r="CA126" s="239">
        <f>CA116+2</f>
        <v>6</v>
      </c>
      <c r="CB126" s="240"/>
      <c r="CC126" s="240"/>
      <c r="CD126" s="241"/>
    </row>
    <row r="127" spans="73:82" ht="22.9" customHeight="1" thickTop="1" x14ac:dyDescent="0.25">
      <c r="BU127" s="242" t="s">
        <v>359</v>
      </c>
      <c r="BV127" s="243"/>
      <c r="BW127" s="244"/>
      <c r="BX127" s="122"/>
      <c r="BY127" s="66"/>
      <c r="CA127" s="242" t="s">
        <v>357</v>
      </c>
      <c r="CB127" s="243"/>
      <c r="CC127" s="244"/>
      <c r="CD127" s="122"/>
    </row>
    <row r="128" spans="73:82" ht="22.9" customHeight="1" x14ac:dyDescent="0.25">
      <c r="BU128" s="214">
        <f ca="1">Min_1</f>
        <v>1</v>
      </c>
      <c r="BV128" s="215">
        <f ca="1">Mid_1</f>
        <v>4</v>
      </c>
      <c r="BW128" s="216">
        <f ca="1">Max_1</f>
        <v>1</v>
      </c>
      <c r="BX128" s="217" t="str">
        <f>Приведение</f>
        <v>!!!</v>
      </c>
      <c r="BY128" s="66"/>
      <c r="CA128" s="81">
        <f ca="1">Min_1</f>
        <v>1</v>
      </c>
      <c r="CB128" s="82">
        <f ca="1">Mid_1</f>
        <v>2.5</v>
      </c>
      <c r="CC128" s="83">
        <f ca="1">Max_1</f>
        <v>4</v>
      </c>
      <c r="CD128" s="76">
        <f ca="1">Приведение</f>
        <v>1</v>
      </c>
    </row>
    <row r="129" spans="73:82" ht="22.9" customHeight="1" thickBot="1" x14ac:dyDescent="0.3">
      <c r="BU129" s="218" t="e">
        <f>VLOOKUP(BW121,#REF!,2,FALSE)</f>
        <v>#REF!</v>
      </c>
      <c r="BV129" s="219" t="e">
        <f>VLOOKUP(BW121,#REF!,3,FALSE)</f>
        <v>#REF!</v>
      </c>
      <c r="BW129" s="220" t="e">
        <f>VLOOKUP(BW121,#REF!,4,FALSE)</f>
        <v>#REF!</v>
      </c>
      <c r="BX129" s="221">
        <v>-1</v>
      </c>
      <c r="BY129" s="66"/>
      <c r="CA129" s="77">
        <v>1</v>
      </c>
      <c r="CB129" s="78"/>
      <c r="CC129" s="79">
        <v>4</v>
      </c>
      <c r="CD129" s="80">
        <v>1</v>
      </c>
    </row>
    <row r="130" spans="73:82" ht="22.9" customHeight="1" thickTop="1" thickBot="1" x14ac:dyDescent="0.3"/>
    <row r="131" spans="73:82" ht="22.9" customHeight="1" thickTop="1" thickBot="1" x14ac:dyDescent="0.3">
      <c r="BW131" s="239">
        <f>BW121+1</f>
        <v>4</v>
      </c>
      <c r="BX131" s="240"/>
      <c r="BY131" s="240"/>
      <c r="BZ131" s="240"/>
      <c r="CA131" s="240"/>
      <c r="CB131" s="240"/>
      <c r="CC131" s="241"/>
    </row>
    <row r="132" spans="73:82" ht="22.9" customHeight="1" thickTop="1" x14ac:dyDescent="0.25">
      <c r="BW132" s="115" t="str">
        <f>BX138</f>
        <v>!!!</v>
      </c>
      <c r="BX132" s="116" t="s">
        <v>106</v>
      </c>
      <c r="BY132" s="117" t="s">
        <v>106</v>
      </c>
      <c r="BZ132" s="118" t="s">
        <v>106</v>
      </c>
      <c r="CA132" s="119" t="str">
        <f>Изопрайса</f>
        <v>R</v>
      </c>
      <c r="CB132" s="120" t="str">
        <f>Изопрайса</f>
        <v>R</v>
      </c>
      <c r="CC132" s="121" t="str">
        <f>Изопрайса</f>
        <v>R</v>
      </c>
    </row>
    <row r="133" spans="73:82" ht="22.9" customHeight="1" thickBot="1" x14ac:dyDescent="0.3">
      <c r="BW133" s="46">
        <f ca="1">CD138</f>
        <v>1</v>
      </c>
      <c r="BX133" s="47" t="s">
        <v>106</v>
      </c>
      <c r="BY133" s="48" t="s">
        <v>106</v>
      </c>
      <c r="BZ133" s="49" t="s">
        <v>106</v>
      </c>
      <c r="CA133" s="50" t="str">
        <f>Изопрайса</f>
        <v>R</v>
      </c>
      <c r="CB133" s="51" t="str">
        <f>Изопрайса</f>
        <v>R</v>
      </c>
      <c r="CC133" s="52" t="str">
        <f>Изопрайса</f>
        <v>R</v>
      </c>
    </row>
    <row r="134" spans="73:82" ht="22.9" customHeight="1" thickBot="1" x14ac:dyDescent="0.3">
      <c r="BW134" s="53">
        <f ca="1">Матрица_Расчёт</f>
        <v>0</v>
      </c>
      <c r="BX134" s="54" t="s">
        <v>106</v>
      </c>
      <c r="BY134" s="55" t="s">
        <v>106</v>
      </c>
      <c r="BZ134" s="56" t="s">
        <v>106</v>
      </c>
      <c r="CA134" s="57" t="str">
        <f>Изопрайса</f>
        <v>R</v>
      </c>
      <c r="CB134" s="58" t="str">
        <f>Изопрайса</f>
        <v>R</v>
      </c>
      <c r="CC134" s="59" t="str">
        <f>Изопрайса</f>
        <v>R</v>
      </c>
    </row>
    <row r="135" spans="73:82" ht="22.9" customHeight="1" thickTop="1" thickBot="1" x14ac:dyDescent="0.3"/>
    <row r="136" spans="73:82" ht="22.9" customHeight="1" thickTop="1" thickBot="1" x14ac:dyDescent="0.3">
      <c r="BU136" s="239">
        <f>BU126+2</f>
        <v>7</v>
      </c>
      <c r="BV136" s="240"/>
      <c r="BW136" s="240"/>
      <c r="BX136" s="241"/>
      <c r="BY136" s="5">
        <v>3</v>
      </c>
      <c r="CA136" s="239">
        <f>CA126+2</f>
        <v>8</v>
      </c>
      <c r="CB136" s="240"/>
      <c r="CC136" s="240"/>
      <c r="CD136" s="241"/>
    </row>
    <row r="137" spans="73:82" ht="22.9" customHeight="1" thickTop="1" x14ac:dyDescent="0.25">
      <c r="BU137" s="242" t="s">
        <v>359</v>
      </c>
      <c r="BV137" s="243"/>
      <c r="BW137" s="244"/>
      <c r="BX137" s="122"/>
      <c r="BY137" s="66"/>
      <c r="CA137" s="242" t="s">
        <v>357</v>
      </c>
      <c r="CB137" s="243"/>
      <c r="CC137" s="244"/>
      <c r="CD137" s="122"/>
    </row>
    <row r="138" spans="73:82" ht="22.9" customHeight="1" x14ac:dyDescent="0.25">
      <c r="BU138" s="214">
        <f ca="1">Min_1</f>
        <v>1</v>
      </c>
      <c r="BV138" s="215">
        <f ca="1">Mid_1</f>
        <v>4</v>
      </c>
      <c r="BW138" s="216">
        <f ca="1">Max_1</f>
        <v>1</v>
      </c>
      <c r="BX138" s="217" t="str">
        <f>Приведение</f>
        <v>!!!</v>
      </c>
      <c r="BY138" s="66"/>
      <c r="CA138" s="81">
        <f ca="1">Min_1</f>
        <v>1</v>
      </c>
      <c r="CB138" s="82">
        <f ca="1">Mid_1</f>
        <v>2.5</v>
      </c>
      <c r="CC138" s="83">
        <f ca="1">Max_1</f>
        <v>4</v>
      </c>
      <c r="CD138" s="76">
        <f ca="1">Приведение</f>
        <v>1</v>
      </c>
    </row>
    <row r="139" spans="73:82" ht="22.9" customHeight="1" thickBot="1" x14ac:dyDescent="0.3">
      <c r="BU139" s="218" t="e">
        <f>VLOOKUP(BW131,#REF!,2,FALSE)</f>
        <v>#REF!</v>
      </c>
      <c r="BV139" s="219" t="e">
        <f>VLOOKUP(BW131,#REF!,3,FALSE)</f>
        <v>#REF!</v>
      </c>
      <c r="BW139" s="220" t="e">
        <f>VLOOKUP(BW131,#REF!,4,FALSE)</f>
        <v>#REF!</v>
      </c>
      <c r="BX139" s="221">
        <v>-1</v>
      </c>
      <c r="BY139" s="66"/>
      <c r="CA139" s="77">
        <v>1</v>
      </c>
      <c r="CB139" s="78"/>
      <c r="CC139" s="79">
        <v>4</v>
      </c>
      <c r="CD139" s="80">
        <v>1</v>
      </c>
    </row>
    <row r="140" spans="73:82" ht="22.9" customHeight="1" thickTop="1" thickBot="1" x14ac:dyDescent="0.3"/>
    <row r="141" spans="73:82" ht="22.9" customHeight="1" thickTop="1" thickBot="1" x14ac:dyDescent="0.3">
      <c r="BW141" s="239">
        <f>BW131+1</f>
        <v>5</v>
      </c>
      <c r="BX141" s="240"/>
      <c r="BY141" s="240"/>
      <c r="BZ141" s="240"/>
      <c r="CA141" s="240"/>
      <c r="CB141" s="240"/>
      <c r="CC141" s="241"/>
    </row>
    <row r="142" spans="73:82" ht="22.9" customHeight="1" thickTop="1" x14ac:dyDescent="0.25">
      <c r="BW142" s="115" t="str">
        <f>BX148</f>
        <v>!!!</v>
      </c>
      <c r="BX142" s="116" t="s">
        <v>106</v>
      </c>
      <c r="BY142" s="117" t="s">
        <v>106</v>
      </c>
      <c r="BZ142" s="118" t="s">
        <v>106</v>
      </c>
      <c r="CA142" s="119" t="str">
        <f>Изопрайса</f>
        <v>R</v>
      </c>
      <c r="CB142" s="120" t="str">
        <f>Изопрайса</f>
        <v>R</v>
      </c>
      <c r="CC142" s="121" t="str">
        <f>Изопрайса</f>
        <v>R</v>
      </c>
    </row>
    <row r="143" spans="73:82" ht="22.9" customHeight="1" thickBot="1" x14ac:dyDescent="0.3">
      <c r="BW143" s="46">
        <f ca="1">CD148</f>
        <v>1</v>
      </c>
      <c r="BX143" s="47" t="s">
        <v>106</v>
      </c>
      <c r="BY143" s="48" t="s">
        <v>106</v>
      </c>
      <c r="BZ143" s="49" t="s">
        <v>106</v>
      </c>
      <c r="CA143" s="50" t="str">
        <f>Изопрайса</f>
        <v>R</v>
      </c>
      <c r="CB143" s="51" t="str">
        <f>Изопрайса</f>
        <v>R</v>
      </c>
      <c r="CC143" s="52" t="str">
        <f>Изопрайса</f>
        <v>R</v>
      </c>
    </row>
    <row r="144" spans="73:82" ht="22.9" customHeight="1" thickBot="1" x14ac:dyDescent="0.3">
      <c r="BW144" s="53">
        <f ca="1">Матрица_Расчёт</f>
        <v>0</v>
      </c>
      <c r="BX144" s="54" t="s">
        <v>106</v>
      </c>
      <c r="BY144" s="55" t="s">
        <v>106</v>
      </c>
      <c r="BZ144" s="56" t="s">
        <v>106</v>
      </c>
      <c r="CA144" s="57" t="str">
        <f>Изопрайса</f>
        <v>R</v>
      </c>
      <c r="CB144" s="58" t="str">
        <f>Изопрайса</f>
        <v>R</v>
      </c>
      <c r="CC144" s="59" t="str">
        <f>Изопрайса</f>
        <v>R</v>
      </c>
    </row>
    <row r="145" spans="73:82" ht="22.9" customHeight="1" thickTop="1" thickBot="1" x14ac:dyDescent="0.3"/>
    <row r="146" spans="73:82" ht="22.9" customHeight="1" thickTop="1" thickBot="1" x14ac:dyDescent="0.3">
      <c r="BU146" s="239">
        <f>BU136+2</f>
        <v>9</v>
      </c>
      <c r="BV146" s="240"/>
      <c r="BW146" s="240"/>
      <c r="BX146" s="241"/>
      <c r="BY146" s="5">
        <v>3</v>
      </c>
      <c r="CA146" s="239">
        <f>CA136+2</f>
        <v>10</v>
      </c>
      <c r="CB146" s="240"/>
      <c r="CC146" s="240"/>
      <c r="CD146" s="241"/>
    </row>
    <row r="147" spans="73:82" ht="22.9" customHeight="1" thickTop="1" x14ac:dyDescent="0.25">
      <c r="BU147" s="242" t="s">
        <v>359</v>
      </c>
      <c r="BV147" s="243"/>
      <c r="BW147" s="244"/>
      <c r="BX147" s="122"/>
      <c r="BY147" s="66"/>
      <c r="CA147" s="242" t="s">
        <v>357</v>
      </c>
      <c r="CB147" s="243"/>
      <c r="CC147" s="244"/>
      <c r="CD147" s="122"/>
    </row>
    <row r="148" spans="73:82" ht="22.9" customHeight="1" x14ac:dyDescent="0.25">
      <c r="BU148" s="214">
        <f ca="1">Min_1</f>
        <v>1</v>
      </c>
      <c r="BV148" s="215">
        <f ca="1">Mid_1</f>
        <v>4</v>
      </c>
      <c r="BW148" s="216">
        <f ca="1">Max_1</f>
        <v>1</v>
      </c>
      <c r="BX148" s="217" t="str">
        <f>Приведение</f>
        <v>!!!</v>
      </c>
      <c r="BY148" s="66"/>
      <c r="CA148" s="81">
        <f ca="1">Min_1</f>
        <v>1</v>
      </c>
      <c r="CB148" s="82">
        <f ca="1">Mid_1</f>
        <v>2.5</v>
      </c>
      <c r="CC148" s="83">
        <f ca="1">Max_1</f>
        <v>4</v>
      </c>
      <c r="CD148" s="76">
        <f ca="1">Приведение</f>
        <v>1</v>
      </c>
    </row>
    <row r="149" spans="73:82" ht="22.9" customHeight="1" thickBot="1" x14ac:dyDescent="0.3">
      <c r="BU149" s="218" t="e">
        <f>VLOOKUP(BW141,#REF!,2,FALSE)</f>
        <v>#REF!</v>
      </c>
      <c r="BV149" s="219" t="e">
        <f>VLOOKUP(BW141,#REF!,3,FALSE)</f>
        <v>#REF!</v>
      </c>
      <c r="BW149" s="220" t="e">
        <f>VLOOKUP(BW141,#REF!,4,FALSE)</f>
        <v>#REF!</v>
      </c>
      <c r="BX149" s="221">
        <v>-1</v>
      </c>
      <c r="BY149" s="66"/>
      <c r="CA149" s="77">
        <v>1</v>
      </c>
      <c r="CB149" s="78"/>
      <c r="CC149" s="79">
        <v>4</v>
      </c>
      <c r="CD149" s="80">
        <v>1</v>
      </c>
    </row>
    <row r="150" spans="73:82" ht="22.9" customHeight="1" thickTop="1" thickBot="1" x14ac:dyDescent="0.3"/>
    <row r="151" spans="73:82" ht="22.9" customHeight="1" thickTop="1" thickBot="1" x14ac:dyDescent="0.3">
      <c r="BW151" s="239">
        <f>BW141+1</f>
        <v>6</v>
      </c>
      <c r="BX151" s="240"/>
      <c r="BY151" s="240"/>
      <c r="BZ151" s="240"/>
      <c r="CA151" s="240"/>
      <c r="CB151" s="240"/>
      <c r="CC151" s="241"/>
    </row>
    <row r="152" spans="73:82" ht="22.9" customHeight="1" thickTop="1" x14ac:dyDescent="0.25">
      <c r="BW152" s="115" t="str">
        <f>BX158</f>
        <v>!!!</v>
      </c>
      <c r="BX152" s="116" t="s">
        <v>106</v>
      </c>
      <c r="BY152" s="117" t="s">
        <v>106</v>
      </c>
      <c r="BZ152" s="118" t="s">
        <v>106</v>
      </c>
      <c r="CA152" s="119" t="str">
        <f>Изопрайса</f>
        <v>R</v>
      </c>
      <c r="CB152" s="120" t="str">
        <f>Изопрайса</f>
        <v>R</v>
      </c>
      <c r="CC152" s="121" t="str">
        <f>Изопрайса</f>
        <v>R</v>
      </c>
    </row>
    <row r="153" spans="73:82" ht="22.9" customHeight="1" thickBot="1" x14ac:dyDescent="0.3">
      <c r="BW153" s="46">
        <f ca="1">CD158</f>
        <v>1</v>
      </c>
      <c r="BX153" s="47" t="s">
        <v>106</v>
      </c>
      <c r="BY153" s="48" t="s">
        <v>106</v>
      </c>
      <c r="BZ153" s="49" t="s">
        <v>106</v>
      </c>
      <c r="CA153" s="50" t="str">
        <f>Изопрайса</f>
        <v>R</v>
      </c>
      <c r="CB153" s="51" t="str">
        <f>Изопрайса</f>
        <v>R</v>
      </c>
      <c r="CC153" s="52" t="str">
        <f>Изопрайса</f>
        <v>R</v>
      </c>
    </row>
    <row r="154" spans="73:82" ht="22.9" customHeight="1" thickBot="1" x14ac:dyDescent="0.3">
      <c r="BW154" s="53">
        <f ca="1">Матрица_Расчёт</f>
        <v>0</v>
      </c>
      <c r="BX154" s="54" t="s">
        <v>106</v>
      </c>
      <c r="BY154" s="55" t="s">
        <v>106</v>
      </c>
      <c r="BZ154" s="56" t="s">
        <v>106</v>
      </c>
      <c r="CA154" s="57" t="str">
        <f>Изопрайса</f>
        <v>R</v>
      </c>
      <c r="CB154" s="58" t="str">
        <f>Изопрайса</f>
        <v>R</v>
      </c>
      <c r="CC154" s="59" t="str">
        <f>Изопрайса</f>
        <v>R</v>
      </c>
    </row>
    <row r="155" spans="73:82" ht="22.9" customHeight="1" thickTop="1" thickBot="1" x14ac:dyDescent="0.3"/>
    <row r="156" spans="73:82" ht="22.9" customHeight="1" thickTop="1" thickBot="1" x14ac:dyDescent="0.3">
      <c r="BU156" s="239">
        <f>BU146+2</f>
        <v>11</v>
      </c>
      <c r="BV156" s="240"/>
      <c r="BW156" s="240"/>
      <c r="BX156" s="241"/>
      <c r="BY156" s="5">
        <v>3</v>
      </c>
      <c r="CA156" s="239">
        <f>CA146+2</f>
        <v>12</v>
      </c>
      <c r="CB156" s="240"/>
      <c r="CC156" s="240"/>
      <c r="CD156" s="241"/>
    </row>
    <row r="157" spans="73:82" ht="22.9" customHeight="1" thickTop="1" x14ac:dyDescent="0.25">
      <c r="BU157" s="242" t="s">
        <v>359</v>
      </c>
      <c r="BV157" s="243"/>
      <c r="BW157" s="244"/>
      <c r="BX157" s="122"/>
      <c r="BY157" s="66"/>
      <c r="CA157" s="242" t="s">
        <v>357</v>
      </c>
      <c r="CB157" s="243"/>
      <c r="CC157" s="244"/>
      <c r="CD157" s="122"/>
    </row>
    <row r="158" spans="73:82" ht="22.9" customHeight="1" x14ac:dyDescent="0.25">
      <c r="BU158" s="214">
        <f ca="1">Min_1</f>
        <v>1</v>
      </c>
      <c r="BV158" s="215">
        <f ca="1">Mid_1</f>
        <v>4</v>
      </c>
      <c r="BW158" s="216">
        <f ca="1">Max_1</f>
        <v>1</v>
      </c>
      <c r="BX158" s="217" t="str">
        <f>Приведение</f>
        <v>!!!</v>
      </c>
      <c r="BY158" s="66"/>
      <c r="CA158" s="81">
        <f ca="1">Min_1</f>
        <v>1</v>
      </c>
      <c r="CB158" s="82">
        <f ca="1">Mid_1</f>
        <v>2.5</v>
      </c>
      <c r="CC158" s="83">
        <f ca="1">Max_1</f>
        <v>4</v>
      </c>
      <c r="CD158" s="76">
        <f ca="1">Приведение</f>
        <v>1</v>
      </c>
    </row>
    <row r="159" spans="73:82" ht="22.9" customHeight="1" thickBot="1" x14ac:dyDescent="0.3">
      <c r="BU159" s="218" t="e">
        <f>VLOOKUP(BW151,#REF!,2,FALSE)</f>
        <v>#REF!</v>
      </c>
      <c r="BV159" s="219" t="e">
        <f>VLOOKUP(BW151,#REF!,3,FALSE)</f>
        <v>#REF!</v>
      </c>
      <c r="BW159" s="220" t="e">
        <f>VLOOKUP(BW151,#REF!,4,FALSE)</f>
        <v>#REF!</v>
      </c>
      <c r="BX159" s="221">
        <v>1</v>
      </c>
      <c r="BY159" s="66"/>
      <c r="CA159" s="77">
        <v>1</v>
      </c>
      <c r="CB159" s="78"/>
      <c r="CC159" s="79">
        <v>4</v>
      </c>
      <c r="CD159" s="80">
        <v>1</v>
      </c>
    </row>
    <row r="160" spans="73:82" ht="22.9" customHeight="1" thickTop="1" thickBot="1" x14ac:dyDescent="0.3"/>
    <row r="161" spans="73:82" ht="22.9" customHeight="1" thickTop="1" thickBot="1" x14ac:dyDescent="0.3">
      <c r="BW161" s="239">
        <f>BW151+1</f>
        <v>7</v>
      </c>
      <c r="BX161" s="240"/>
      <c r="BY161" s="240"/>
      <c r="BZ161" s="240"/>
      <c r="CA161" s="240"/>
      <c r="CB161" s="240"/>
      <c r="CC161" s="241"/>
    </row>
    <row r="162" spans="73:82" ht="22.9" customHeight="1" thickTop="1" x14ac:dyDescent="0.25">
      <c r="BW162" s="115" t="str">
        <f>BX168</f>
        <v>!!!</v>
      </c>
      <c r="BX162" s="116" t="s">
        <v>106</v>
      </c>
      <c r="BY162" s="117" t="s">
        <v>106</v>
      </c>
      <c r="BZ162" s="118" t="s">
        <v>106</v>
      </c>
      <c r="CA162" s="119" t="str">
        <f>Изопрайса</f>
        <v>R</v>
      </c>
      <c r="CB162" s="120" t="str">
        <f>Изопрайса</f>
        <v>R</v>
      </c>
      <c r="CC162" s="121" t="str">
        <f>Изопрайса</f>
        <v>R</v>
      </c>
    </row>
    <row r="163" spans="73:82" ht="22.9" customHeight="1" thickBot="1" x14ac:dyDescent="0.3">
      <c r="BW163" s="46">
        <f ca="1">CD168</f>
        <v>1</v>
      </c>
      <c r="BX163" s="47" t="s">
        <v>106</v>
      </c>
      <c r="BY163" s="48" t="s">
        <v>106</v>
      </c>
      <c r="BZ163" s="49" t="s">
        <v>106</v>
      </c>
      <c r="CA163" s="50" t="str">
        <f>Изопрайса</f>
        <v>R</v>
      </c>
      <c r="CB163" s="51" t="str">
        <f>Изопрайса</f>
        <v>R</v>
      </c>
      <c r="CC163" s="52" t="str">
        <f>Изопрайса</f>
        <v>R</v>
      </c>
    </row>
    <row r="164" spans="73:82" ht="22.9" customHeight="1" thickBot="1" x14ac:dyDescent="0.3">
      <c r="BW164" s="53">
        <f ca="1">Матрица_Расчёт</f>
        <v>0</v>
      </c>
      <c r="BX164" s="54" t="s">
        <v>106</v>
      </c>
      <c r="BY164" s="55" t="s">
        <v>106</v>
      </c>
      <c r="BZ164" s="56" t="s">
        <v>106</v>
      </c>
      <c r="CA164" s="57" t="str">
        <f>Изопрайса</f>
        <v>R</v>
      </c>
      <c r="CB164" s="58" t="str">
        <f>Изопрайса</f>
        <v>R</v>
      </c>
      <c r="CC164" s="59" t="str">
        <f>Изопрайса</f>
        <v>R</v>
      </c>
    </row>
    <row r="165" spans="73:82" ht="22.9" customHeight="1" thickTop="1" thickBot="1" x14ac:dyDescent="0.3"/>
    <row r="166" spans="73:82" ht="22.9" customHeight="1" thickTop="1" thickBot="1" x14ac:dyDescent="0.3">
      <c r="BU166" s="239">
        <f>BU156+2</f>
        <v>13</v>
      </c>
      <c r="BV166" s="240"/>
      <c r="BW166" s="240"/>
      <c r="BX166" s="241"/>
      <c r="BY166" s="5">
        <v>3</v>
      </c>
      <c r="CA166" s="239">
        <f>CA156+2</f>
        <v>14</v>
      </c>
      <c r="CB166" s="240"/>
      <c r="CC166" s="240"/>
      <c r="CD166" s="241"/>
    </row>
    <row r="167" spans="73:82" ht="22.9" customHeight="1" thickTop="1" x14ac:dyDescent="0.25">
      <c r="BU167" s="242" t="s">
        <v>359</v>
      </c>
      <c r="BV167" s="243"/>
      <c r="BW167" s="244"/>
      <c r="BX167" s="122"/>
      <c r="BY167" s="66"/>
      <c r="CA167" s="242" t="s">
        <v>357</v>
      </c>
      <c r="CB167" s="243"/>
      <c r="CC167" s="244"/>
      <c r="CD167" s="122"/>
    </row>
    <row r="168" spans="73:82" ht="22.9" customHeight="1" x14ac:dyDescent="0.25">
      <c r="BU168" s="214">
        <f ca="1">Min_1</f>
        <v>1</v>
      </c>
      <c r="BV168" s="215">
        <f ca="1">Mid_1</f>
        <v>4</v>
      </c>
      <c r="BW168" s="216">
        <f ca="1">Max_1</f>
        <v>1</v>
      </c>
      <c r="BX168" s="217" t="str">
        <f>Приведение</f>
        <v>!!!</v>
      </c>
      <c r="BY168" s="66"/>
      <c r="CA168" s="81">
        <f ca="1">Min_1</f>
        <v>1</v>
      </c>
      <c r="CB168" s="82">
        <f ca="1">Mid_1</f>
        <v>2.5</v>
      </c>
      <c r="CC168" s="83">
        <f ca="1">Max_1</f>
        <v>4</v>
      </c>
      <c r="CD168" s="76">
        <f ca="1">Приведение</f>
        <v>1</v>
      </c>
    </row>
    <row r="169" spans="73:82" ht="22.9" customHeight="1" thickBot="1" x14ac:dyDescent="0.3">
      <c r="BU169" s="218" t="e">
        <f>VLOOKUP(BW161,#REF!,2,FALSE)</f>
        <v>#REF!</v>
      </c>
      <c r="BV169" s="219" t="e">
        <f>VLOOKUP(BW161,#REF!,3,FALSE)</f>
        <v>#REF!</v>
      </c>
      <c r="BW169" s="220" t="e">
        <f>VLOOKUP(BW161,#REF!,4,FALSE)</f>
        <v>#REF!</v>
      </c>
      <c r="BX169" s="221">
        <v>1</v>
      </c>
      <c r="BY169" s="66"/>
      <c r="CA169" s="77">
        <v>1</v>
      </c>
      <c r="CB169" s="78"/>
      <c r="CC169" s="79">
        <v>4</v>
      </c>
      <c r="CD169" s="80">
        <v>1</v>
      </c>
    </row>
    <row r="170" spans="73:82" ht="22.9" customHeight="1" thickTop="1" thickBot="1" x14ac:dyDescent="0.3"/>
    <row r="171" spans="73:82" ht="22.9" customHeight="1" thickTop="1" thickBot="1" x14ac:dyDescent="0.3">
      <c r="BW171" s="239">
        <f>BW161+1</f>
        <v>8</v>
      </c>
      <c r="BX171" s="240"/>
      <c r="BY171" s="240"/>
      <c r="BZ171" s="240"/>
      <c r="CA171" s="240"/>
      <c r="CB171" s="240"/>
      <c r="CC171" s="241"/>
    </row>
    <row r="172" spans="73:82" ht="22.9" customHeight="1" thickTop="1" x14ac:dyDescent="0.25">
      <c r="BW172" s="115" t="str">
        <f>BX178</f>
        <v>!!!</v>
      </c>
      <c r="BX172" s="116" t="s">
        <v>106</v>
      </c>
      <c r="BY172" s="117" t="s">
        <v>106</v>
      </c>
      <c r="BZ172" s="118" t="s">
        <v>106</v>
      </c>
      <c r="CA172" s="119" t="str">
        <f>Изопрайса</f>
        <v>R</v>
      </c>
      <c r="CB172" s="120" t="str">
        <f>Изопрайса</f>
        <v>R</v>
      </c>
      <c r="CC172" s="121" t="str">
        <f>Изопрайса</f>
        <v>R</v>
      </c>
    </row>
    <row r="173" spans="73:82" ht="22.9" customHeight="1" thickBot="1" x14ac:dyDescent="0.3">
      <c r="BW173" s="46">
        <f ca="1">CD178</f>
        <v>1</v>
      </c>
      <c r="BX173" s="47" t="s">
        <v>106</v>
      </c>
      <c r="BY173" s="48" t="s">
        <v>106</v>
      </c>
      <c r="BZ173" s="49" t="s">
        <v>106</v>
      </c>
      <c r="CA173" s="50" t="str">
        <f>Изопрайса</f>
        <v>R</v>
      </c>
      <c r="CB173" s="51" t="str">
        <f>Изопрайса</f>
        <v>R</v>
      </c>
      <c r="CC173" s="52" t="str">
        <f>Изопрайса</f>
        <v>R</v>
      </c>
    </row>
    <row r="174" spans="73:82" ht="22.9" customHeight="1" thickBot="1" x14ac:dyDescent="0.3">
      <c r="BW174" s="53">
        <f ca="1">Матрица_Расчёт</f>
        <v>0</v>
      </c>
      <c r="BX174" s="54" t="s">
        <v>106</v>
      </c>
      <c r="BY174" s="55" t="s">
        <v>106</v>
      </c>
      <c r="BZ174" s="56" t="s">
        <v>106</v>
      </c>
      <c r="CA174" s="57" t="str">
        <f>Изопрайса</f>
        <v>R</v>
      </c>
      <c r="CB174" s="58" t="str">
        <f>Изопрайса</f>
        <v>R</v>
      </c>
      <c r="CC174" s="59" t="str">
        <f>Изопрайса</f>
        <v>R</v>
      </c>
    </row>
    <row r="175" spans="73:82" ht="22.9" customHeight="1" thickTop="1" thickBot="1" x14ac:dyDescent="0.3"/>
    <row r="176" spans="73:82" ht="22.9" customHeight="1" thickTop="1" thickBot="1" x14ac:dyDescent="0.3">
      <c r="BU176" s="239">
        <f>BU166+2</f>
        <v>15</v>
      </c>
      <c r="BV176" s="240"/>
      <c r="BW176" s="240"/>
      <c r="BX176" s="241"/>
      <c r="BY176" s="5">
        <v>3</v>
      </c>
      <c r="CA176" s="239">
        <f>CA166+2</f>
        <v>16</v>
      </c>
      <c r="CB176" s="240"/>
      <c r="CC176" s="240"/>
      <c r="CD176" s="241"/>
    </row>
    <row r="177" spans="73:82" ht="22.9" customHeight="1" thickTop="1" x14ac:dyDescent="0.25">
      <c r="BU177" s="242" t="s">
        <v>359</v>
      </c>
      <c r="BV177" s="243"/>
      <c r="BW177" s="244"/>
      <c r="BX177" s="122"/>
      <c r="BY177" s="66"/>
      <c r="CA177" s="242" t="s">
        <v>357</v>
      </c>
      <c r="CB177" s="243"/>
      <c r="CC177" s="244"/>
      <c r="CD177" s="122"/>
    </row>
    <row r="178" spans="73:82" ht="22.9" customHeight="1" x14ac:dyDescent="0.25">
      <c r="BU178" s="214">
        <f ca="1">Min_1</f>
        <v>1</v>
      </c>
      <c r="BV178" s="215">
        <f ca="1">Mid_1</f>
        <v>4</v>
      </c>
      <c r="BW178" s="216">
        <f ca="1">Max_1</f>
        <v>1</v>
      </c>
      <c r="BX178" s="217" t="str">
        <f>Приведение</f>
        <v>!!!</v>
      </c>
      <c r="BY178" s="66"/>
      <c r="CA178" s="81">
        <f ca="1">Min_1</f>
        <v>1</v>
      </c>
      <c r="CB178" s="82">
        <f ca="1">Mid_1</f>
        <v>2.5</v>
      </c>
      <c r="CC178" s="83">
        <f ca="1">Max_1</f>
        <v>4</v>
      </c>
      <c r="CD178" s="76">
        <f ca="1">Приведение</f>
        <v>1</v>
      </c>
    </row>
    <row r="179" spans="73:82" ht="22.9" customHeight="1" thickBot="1" x14ac:dyDescent="0.3">
      <c r="BU179" s="218" t="e">
        <f>VLOOKUP(BW171,#REF!,2,FALSE)</f>
        <v>#REF!</v>
      </c>
      <c r="BV179" s="219" t="e">
        <f>VLOOKUP(BW171,#REF!,3,FALSE)</f>
        <v>#REF!</v>
      </c>
      <c r="BW179" s="220" t="e">
        <f>VLOOKUP(BW171,#REF!,4,FALSE)</f>
        <v>#REF!</v>
      </c>
      <c r="BX179" s="221">
        <v>1</v>
      </c>
      <c r="BY179" s="66"/>
      <c r="CA179" s="77">
        <v>1</v>
      </c>
      <c r="CB179" s="78"/>
      <c r="CC179" s="79">
        <v>4</v>
      </c>
      <c r="CD179" s="80">
        <v>1</v>
      </c>
    </row>
    <row r="180" spans="73:82" ht="22.9" customHeight="1" thickTop="1" thickBot="1" x14ac:dyDescent="0.3"/>
    <row r="181" spans="73:82" ht="22.9" customHeight="1" thickTop="1" thickBot="1" x14ac:dyDescent="0.3">
      <c r="BW181" s="239">
        <f>BW171+1</f>
        <v>9</v>
      </c>
      <c r="BX181" s="240"/>
      <c r="BY181" s="240"/>
      <c r="BZ181" s="240"/>
      <c r="CA181" s="240"/>
      <c r="CB181" s="240"/>
      <c r="CC181" s="241"/>
    </row>
    <row r="182" spans="73:82" ht="22.9" customHeight="1" thickTop="1" x14ac:dyDescent="0.25">
      <c r="BW182" s="115" t="str">
        <f>BX188</f>
        <v>!!!</v>
      </c>
      <c r="BX182" s="116" t="s">
        <v>106</v>
      </c>
      <c r="BY182" s="117" t="s">
        <v>106</v>
      </c>
      <c r="BZ182" s="118" t="s">
        <v>106</v>
      </c>
      <c r="CA182" s="119" t="str">
        <f>Изопрайса</f>
        <v>R</v>
      </c>
      <c r="CB182" s="120" t="str">
        <f>Изопрайса</f>
        <v>R</v>
      </c>
      <c r="CC182" s="121" t="str">
        <f>Изопрайса</f>
        <v>R</v>
      </c>
    </row>
    <row r="183" spans="73:82" ht="22.9" customHeight="1" thickBot="1" x14ac:dyDescent="0.3">
      <c r="BW183" s="46">
        <f ca="1">CD188</f>
        <v>1</v>
      </c>
      <c r="BX183" s="47" t="s">
        <v>106</v>
      </c>
      <c r="BY183" s="48" t="s">
        <v>106</v>
      </c>
      <c r="BZ183" s="49" t="s">
        <v>106</v>
      </c>
      <c r="CA183" s="50" t="str">
        <f>Изопрайса</f>
        <v>R</v>
      </c>
      <c r="CB183" s="51" t="str">
        <f>Изопрайса</f>
        <v>R</v>
      </c>
      <c r="CC183" s="52" t="str">
        <f>Изопрайса</f>
        <v>R</v>
      </c>
    </row>
    <row r="184" spans="73:82" ht="22.9" customHeight="1" thickBot="1" x14ac:dyDescent="0.3">
      <c r="BW184" s="53">
        <f ca="1">Матрица_Расчёт</f>
        <v>0</v>
      </c>
      <c r="BX184" s="54" t="s">
        <v>106</v>
      </c>
      <c r="BY184" s="55" t="s">
        <v>106</v>
      </c>
      <c r="BZ184" s="56" t="s">
        <v>106</v>
      </c>
      <c r="CA184" s="57" t="str">
        <f>Изопрайса</f>
        <v>R</v>
      </c>
      <c r="CB184" s="58" t="str">
        <f>Изопрайса</f>
        <v>R</v>
      </c>
      <c r="CC184" s="59" t="str">
        <f>Изопрайса</f>
        <v>R</v>
      </c>
    </row>
    <row r="185" spans="73:82" ht="22.9" customHeight="1" thickTop="1" thickBot="1" x14ac:dyDescent="0.3"/>
    <row r="186" spans="73:82" ht="22.9" customHeight="1" thickTop="1" thickBot="1" x14ac:dyDescent="0.3">
      <c r="BU186" s="239">
        <f>BU176+2</f>
        <v>17</v>
      </c>
      <c r="BV186" s="240"/>
      <c r="BW186" s="240"/>
      <c r="BX186" s="241"/>
      <c r="BY186" s="5">
        <v>3</v>
      </c>
      <c r="CA186" s="239">
        <f>CA176+2</f>
        <v>18</v>
      </c>
      <c r="CB186" s="240"/>
      <c r="CC186" s="240"/>
      <c r="CD186" s="241"/>
    </row>
    <row r="187" spans="73:82" ht="22.9" customHeight="1" thickTop="1" x14ac:dyDescent="0.25">
      <c r="BU187" s="242" t="s">
        <v>359</v>
      </c>
      <c r="BV187" s="243"/>
      <c r="BW187" s="244"/>
      <c r="BX187" s="122"/>
      <c r="BY187" s="66"/>
      <c r="CA187" s="242" t="s">
        <v>357</v>
      </c>
      <c r="CB187" s="243"/>
      <c r="CC187" s="244"/>
      <c r="CD187" s="122"/>
    </row>
    <row r="188" spans="73:82" ht="22.9" customHeight="1" x14ac:dyDescent="0.25">
      <c r="BU188" s="214">
        <f ca="1">Min_1</f>
        <v>1</v>
      </c>
      <c r="BV188" s="215">
        <f ca="1">Mid_1</f>
        <v>4</v>
      </c>
      <c r="BW188" s="216">
        <f ca="1">Max_1</f>
        <v>1</v>
      </c>
      <c r="BX188" s="217" t="str">
        <f>Приведение</f>
        <v>!!!</v>
      </c>
      <c r="BY188" s="66"/>
      <c r="CA188" s="81">
        <f ca="1">Min_1</f>
        <v>1</v>
      </c>
      <c r="CB188" s="82">
        <f ca="1">Mid_1</f>
        <v>2.5</v>
      </c>
      <c r="CC188" s="83">
        <f ca="1">Max_1</f>
        <v>4</v>
      </c>
      <c r="CD188" s="76">
        <f ca="1">Приведение</f>
        <v>1</v>
      </c>
    </row>
    <row r="189" spans="73:82" ht="22.9" customHeight="1" thickBot="1" x14ac:dyDescent="0.3">
      <c r="BU189" s="218" t="e">
        <f>VLOOKUP(BW181,#REF!,2,FALSE)</f>
        <v>#REF!</v>
      </c>
      <c r="BV189" s="219" t="e">
        <f>VLOOKUP(BW181,#REF!,3,FALSE)</f>
        <v>#REF!</v>
      </c>
      <c r="BW189" s="220" t="e">
        <f>VLOOKUP(BW181,#REF!,4,FALSE)</f>
        <v>#REF!</v>
      </c>
      <c r="BX189" s="221">
        <v>2</v>
      </c>
      <c r="BY189" s="66"/>
      <c r="CA189" s="77">
        <v>1</v>
      </c>
      <c r="CB189" s="78"/>
      <c r="CC189" s="79">
        <v>4</v>
      </c>
      <c r="CD189" s="80">
        <v>1</v>
      </c>
    </row>
    <row r="190" spans="73:82" ht="22.9" customHeight="1" thickTop="1" thickBot="1" x14ac:dyDescent="0.3"/>
    <row r="191" spans="73:82" ht="22.9" customHeight="1" thickTop="1" thickBot="1" x14ac:dyDescent="0.3">
      <c r="BW191" s="239">
        <f>BW181+1</f>
        <v>10</v>
      </c>
      <c r="BX191" s="240"/>
      <c r="BY191" s="240"/>
      <c r="BZ191" s="240"/>
      <c r="CA191" s="240"/>
      <c r="CB191" s="240"/>
      <c r="CC191" s="241"/>
    </row>
    <row r="192" spans="73:82" ht="22.9" customHeight="1" thickTop="1" x14ac:dyDescent="0.25">
      <c r="BW192" s="115" t="str">
        <f>BX198</f>
        <v>!!!</v>
      </c>
      <c r="BX192" s="116" t="s">
        <v>106</v>
      </c>
      <c r="BY192" s="117" t="s">
        <v>106</v>
      </c>
      <c r="BZ192" s="118" t="s">
        <v>106</v>
      </c>
      <c r="CA192" s="119" t="str">
        <f>Изопрайса</f>
        <v>R</v>
      </c>
      <c r="CB192" s="120" t="str">
        <f>Изопрайса</f>
        <v>R</v>
      </c>
      <c r="CC192" s="121" t="str">
        <f>Изопрайса</f>
        <v>R</v>
      </c>
    </row>
    <row r="193" spans="73:82" ht="22.9" customHeight="1" thickBot="1" x14ac:dyDescent="0.3">
      <c r="BW193" s="46">
        <f ca="1">CD198</f>
        <v>1</v>
      </c>
      <c r="BX193" s="47" t="s">
        <v>106</v>
      </c>
      <c r="BY193" s="48" t="s">
        <v>106</v>
      </c>
      <c r="BZ193" s="49" t="s">
        <v>106</v>
      </c>
      <c r="CA193" s="50" t="str">
        <f>Изопрайса</f>
        <v>R</v>
      </c>
      <c r="CB193" s="51" t="str">
        <f>Изопрайса</f>
        <v>R</v>
      </c>
      <c r="CC193" s="52" t="str">
        <f>Изопрайса</f>
        <v>R</v>
      </c>
    </row>
    <row r="194" spans="73:82" ht="22.9" customHeight="1" thickBot="1" x14ac:dyDescent="0.3">
      <c r="BW194" s="53">
        <f ca="1">Матрица_Расчёт</f>
        <v>0</v>
      </c>
      <c r="BX194" s="54" t="s">
        <v>106</v>
      </c>
      <c r="BY194" s="55" t="s">
        <v>106</v>
      </c>
      <c r="BZ194" s="56" t="s">
        <v>106</v>
      </c>
      <c r="CA194" s="57" t="str">
        <f>Изопрайса</f>
        <v>R</v>
      </c>
      <c r="CB194" s="58" t="str">
        <f>Изопрайса</f>
        <v>R</v>
      </c>
      <c r="CC194" s="59" t="str">
        <f>Изопрайса</f>
        <v>R</v>
      </c>
    </row>
    <row r="195" spans="73:82" ht="22.9" customHeight="1" thickTop="1" thickBot="1" x14ac:dyDescent="0.3"/>
    <row r="196" spans="73:82" ht="22.9" customHeight="1" thickTop="1" thickBot="1" x14ac:dyDescent="0.3">
      <c r="BU196" s="239">
        <f>BU186+2</f>
        <v>19</v>
      </c>
      <c r="BV196" s="240"/>
      <c r="BW196" s="240"/>
      <c r="BX196" s="241"/>
      <c r="BY196" s="5">
        <v>3</v>
      </c>
      <c r="CA196" s="239">
        <f>CA186+2</f>
        <v>20</v>
      </c>
      <c r="CB196" s="240"/>
      <c r="CC196" s="240"/>
      <c r="CD196" s="241"/>
    </row>
    <row r="197" spans="73:82" ht="22.9" customHeight="1" thickTop="1" x14ac:dyDescent="0.25">
      <c r="BU197" s="242" t="s">
        <v>359</v>
      </c>
      <c r="BV197" s="243"/>
      <c r="BW197" s="244"/>
      <c r="BX197" s="122"/>
      <c r="BY197" s="66"/>
      <c r="CA197" s="242" t="s">
        <v>357</v>
      </c>
      <c r="CB197" s="243"/>
      <c r="CC197" s="244"/>
      <c r="CD197" s="122"/>
    </row>
    <row r="198" spans="73:82" ht="22.9" customHeight="1" x14ac:dyDescent="0.25">
      <c r="BU198" s="214">
        <f ca="1">Min_1</f>
        <v>1</v>
      </c>
      <c r="BV198" s="215">
        <f ca="1">Mid_1</f>
        <v>4</v>
      </c>
      <c r="BW198" s="216">
        <f ca="1">Max_1</f>
        <v>1</v>
      </c>
      <c r="BX198" s="217" t="str">
        <f>Приведение</f>
        <v>!!!</v>
      </c>
      <c r="BY198" s="66"/>
      <c r="CA198" s="81">
        <f ca="1">Min_1</f>
        <v>1</v>
      </c>
      <c r="CB198" s="82">
        <f ca="1">Mid_1</f>
        <v>2.5</v>
      </c>
      <c r="CC198" s="83">
        <f ca="1">Max_1</f>
        <v>4</v>
      </c>
      <c r="CD198" s="76">
        <f ca="1">Приведение</f>
        <v>1</v>
      </c>
    </row>
    <row r="199" spans="73:82" ht="22.9" customHeight="1" thickBot="1" x14ac:dyDescent="0.3">
      <c r="BU199" s="218" t="e">
        <f>VLOOKUP(BW191,#REF!,2,FALSE)</f>
        <v>#REF!</v>
      </c>
      <c r="BV199" s="219" t="e">
        <f>VLOOKUP(BW191,#REF!,3,FALSE)</f>
        <v>#REF!</v>
      </c>
      <c r="BW199" s="220" t="e">
        <f>VLOOKUP(BW191,#REF!,4,FALSE)</f>
        <v>#REF!</v>
      </c>
      <c r="BX199" s="221">
        <v>2</v>
      </c>
      <c r="BY199" s="66"/>
      <c r="CA199" s="77">
        <v>1</v>
      </c>
      <c r="CB199" s="78"/>
      <c r="CC199" s="79">
        <v>4</v>
      </c>
      <c r="CD199" s="80">
        <v>1</v>
      </c>
    </row>
    <row r="200" spans="73:82" ht="22.9" customHeight="1" thickTop="1" thickBot="1" x14ac:dyDescent="0.3"/>
    <row r="201" spans="73:82" ht="22.9" customHeight="1" thickTop="1" thickBot="1" x14ac:dyDescent="0.3">
      <c r="BW201" s="239">
        <f>BW191+1</f>
        <v>11</v>
      </c>
      <c r="BX201" s="240"/>
      <c r="BY201" s="240"/>
      <c r="BZ201" s="240"/>
      <c r="CA201" s="240"/>
      <c r="CB201" s="240"/>
      <c r="CC201" s="241"/>
    </row>
    <row r="202" spans="73:82" ht="22.9" customHeight="1" thickTop="1" x14ac:dyDescent="0.25">
      <c r="BW202" s="115" t="str">
        <f>BX208</f>
        <v>!!!</v>
      </c>
      <c r="BX202" s="116" t="s">
        <v>106</v>
      </c>
      <c r="BY202" s="117" t="s">
        <v>106</v>
      </c>
      <c r="BZ202" s="118" t="s">
        <v>106</v>
      </c>
      <c r="CA202" s="119" t="str">
        <f>Изопрайса</f>
        <v>R</v>
      </c>
      <c r="CB202" s="120" t="str">
        <f>Изопрайса</f>
        <v>R</v>
      </c>
      <c r="CC202" s="121" t="str">
        <f>Изопрайса</f>
        <v>R</v>
      </c>
    </row>
    <row r="203" spans="73:82" ht="22.9" customHeight="1" thickBot="1" x14ac:dyDescent="0.3">
      <c r="BW203" s="46">
        <f ca="1">CD208</f>
        <v>1</v>
      </c>
      <c r="BX203" s="47" t="s">
        <v>106</v>
      </c>
      <c r="BY203" s="48" t="s">
        <v>106</v>
      </c>
      <c r="BZ203" s="49" t="s">
        <v>106</v>
      </c>
      <c r="CA203" s="50" t="str">
        <f>Изопрайса</f>
        <v>R</v>
      </c>
      <c r="CB203" s="51" t="str">
        <f>Изопрайса</f>
        <v>R</v>
      </c>
      <c r="CC203" s="52" t="str">
        <f>Изопрайса</f>
        <v>R</v>
      </c>
    </row>
    <row r="204" spans="73:82" ht="22.9" customHeight="1" thickBot="1" x14ac:dyDescent="0.3">
      <c r="BW204" s="53">
        <f ca="1">Матрица_Расчёт</f>
        <v>0</v>
      </c>
      <c r="BX204" s="54" t="s">
        <v>106</v>
      </c>
      <c r="BY204" s="55" t="s">
        <v>106</v>
      </c>
      <c r="BZ204" s="56" t="s">
        <v>106</v>
      </c>
      <c r="CA204" s="57" t="str">
        <f>Изопрайса</f>
        <v>R</v>
      </c>
      <c r="CB204" s="58" t="str">
        <f>Изопрайса</f>
        <v>R</v>
      </c>
      <c r="CC204" s="59" t="str">
        <f>Изопрайса</f>
        <v>R</v>
      </c>
    </row>
    <row r="205" spans="73:82" ht="22.9" customHeight="1" thickTop="1" thickBot="1" x14ac:dyDescent="0.3"/>
    <row r="206" spans="73:82" ht="22.9" customHeight="1" thickTop="1" thickBot="1" x14ac:dyDescent="0.3">
      <c r="BU206" s="239">
        <f>BU196+2</f>
        <v>21</v>
      </c>
      <c r="BV206" s="240"/>
      <c r="BW206" s="240"/>
      <c r="BX206" s="241"/>
      <c r="BY206" s="5">
        <v>3</v>
      </c>
      <c r="CA206" s="239">
        <f>CA196+2</f>
        <v>22</v>
      </c>
      <c r="CB206" s="240"/>
      <c r="CC206" s="240"/>
      <c r="CD206" s="241"/>
    </row>
    <row r="207" spans="73:82" ht="22.9" customHeight="1" thickTop="1" x14ac:dyDescent="0.25">
      <c r="BU207" s="242" t="s">
        <v>359</v>
      </c>
      <c r="BV207" s="243"/>
      <c r="BW207" s="244"/>
      <c r="BX207" s="122"/>
      <c r="BY207" s="66"/>
      <c r="CA207" s="242" t="s">
        <v>357</v>
      </c>
      <c r="CB207" s="243"/>
      <c r="CC207" s="244"/>
      <c r="CD207" s="122"/>
    </row>
    <row r="208" spans="73:82" ht="22.9" customHeight="1" x14ac:dyDescent="0.25">
      <c r="BU208" s="214">
        <f ca="1">Min_1</f>
        <v>1</v>
      </c>
      <c r="BV208" s="215">
        <f ca="1">Mid_1</f>
        <v>4</v>
      </c>
      <c r="BW208" s="216">
        <f ca="1">Max_1</f>
        <v>1</v>
      </c>
      <c r="BX208" s="217" t="str">
        <f>Приведение</f>
        <v>!!!</v>
      </c>
      <c r="BY208" s="66"/>
      <c r="CA208" s="81">
        <f ca="1">Min_1</f>
        <v>1</v>
      </c>
      <c r="CB208" s="82">
        <f ca="1">Mid_1</f>
        <v>2.5</v>
      </c>
      <c r="CC208" s="83">
        <f ca="1">Max_1</f>
        <v>4</v>
      </c>
      <c r="CD208" s="76">
        <f ca="1">Приведение</f>
        <v>1</v>
      </c>
    </row>
    <row r="209" spans="73:82" ht="22.9" customHeight="1" thickBot="1" x14ac:dyDescent="0.3">
      <c r="BU209" s="218" t="e">
        <f>VLOOKUP(BW201,#REF!,2,FALSE)</f>
        <v>#REF!</v>
      </c>
      <c r="BV209" s="219" t="e">
        <f>VLOOKUP(BW201,#REF!,3,FALSE)</f>
        <v>#REF!</v>
      </c>
      <c r="BW209" s="220" t="e">
        <f>VLOOKUP(BW201,#REF!,4,FALSE)</f>
        <v>#REF!</v>
      </c>
      <c r="BX209" s="221">
        <v>2</v>
      </c>
      <c r="BY209" s="66"/>
      <c r="CA209" s="77">
        <v>1</v>
      </c>
      <c r="CB209" s="78"/>
      <c r="CC209" s="79">
        <v>4</v>
      </c>
      <c r="CD209" s="80">
        <v>1</v>
      </c>
    </row>
    <row r="210" spans="73:82" ht="22.9" customHeight="1" thickTop="1" thickBot="1" x14ac:dyDescent="0.3"/>
    <row r="211" spans="73:82" ht="22.9" customHeight="1" thickTop="1" thickBot="1" x14ac:dyDescent="0.3">
      <c r="BW211" s="239">
        <f>BW201+1</f>
        <v>12</v>
      </c>
      <c r="BX211" s="240"/>
      <c r="BY211" s="240"/>
      <c r="BZ211" s="240"/>
      <c r="CA211" s="240"/>
      <c r="CB211" s="240"/>
      <c r="CC211" s="241"/>
    </row>
    <row r="212" spans="73:82" ht="22.9" customHeight="1" thickTop="1" x14ac:dyDescent="0.25">
      <c r="BW212" s="115" t="str">
        <f>BX218</f>
        <v>!!!</v>
      </c>
      <c r="BX212" s="116" t="s">
        <v>106</v>
      </c>
      <c r="BY212" s="117" t="s">
        <v>106</v>
      </c>
      <c r="BZ212" s="118" t="s">
        <v>106</v>
      </c>
      <c r="CA212" s="119" t="str">
        <f>Изопрайса</f>
        <v>R</v>
      </c>
      <c r="CB212" s="120" t="str">
        <f>Изопрайса</f>
        <v>R</v>
      </c>
      <c r="CC212" s="121" t="str">
        <f>Изопрайса</f>
        <v>R</v>
      </c>
    </row>
    <row r="213" spans="73:82" ht="22.9" customHeight="1" thickBot="1" x14ac:dyDescent="0.3">
      <c r="BW213" s="46">
        <f ca="1">CD218</f>
        <v>1</v>
      </c>
      <c r="BX213" s="47" t="s">
        <v>106</v>
      </c>
      <c r="BY213" s="48" t="s">
        <v>106</v>
      </c>
      <c r="BZ213" s="49" t="s">
        <v>106</v>
      </c>
      <c r="CA213" s="50" t="str">
        <f>Изопрайса</f>
        <v>R</v>
      </c>
      <c r="CB213" s="51" t="str">
        <f>Изопрайса</f>
        <v>R</v>
      </c>
      <c r="CC213" s="52" t="str">
        <f>Изопрайса</f>
        <v>R</v>
      </c>
    </row>
    <row r="214" spans="73:82" ht="22.9" customHeight="1" thickBot="1" x14ac:dyDescent="0.3">
      <c r="BW214" s="53">
        <f ca="1">Матрица_Расчёт</f>
        <v>0</v>
      </c>
      <c r="BX214" s="54" t="s">
        <v>106</v>
      </c>
      <c r="BY214" s="55" t="s">
        <v>106</v>
      </c>
      <c r="BZ214" s="56" t="s">
        <v>106</v>
      </c>
      <c r="CA214" s="57" t="str">
        <f>Изопрайса</f>
        <v>R</v>
      </c>
      <c r="CB214" s="58" t="str">
        <f>Изопрайса</f>
        <v>R</v>
      </c>
      <c r="CC214" s="59" t="str">
        <f>Изопрайса</f>
        <v>R</v>
      </c>
    </row>
    <row r="215" spans="73:82" ht="22.9" customHeight="1" thickTop="1" thickBot="1" x14ac:dyDescent="0.3"/>
    <row r="216" spans="73:82" ht="22.9" customHeight="1" thickTop="1" thickBot="1" x14ac:dyDescent="0.3">
      <c r="BU216" s="239">
        <f>BU206+2</f>
        <v>23</v>
      </c>
      <c r="BV216" s="240"/>
      <c r="BW216" s="240"/>
      <c r="BX216" s="241"/>
      <c r="BY216" s="5">
        <v>3</v>
      </c>
      <c r="CA216" s="239">
        <f>CA206+2</f>
        <v>24</v>
      </c>
      <c r="CB216" s="240"/>
      <c r="CC216" s="240"/>
      <c r="CD216" s="241"/>
    </row>
    <row r="217" spans="73:82" ht="22.9" customHeight="1" thickTop="1" x14ac:dyDescent="0.25">
      <c r="BU217" s="242" t="s">
        <v>359</v>
      </c>
      <c r="BV217" s="243"/>
      <c r="BW217" s="244"/>
      <c r="BX217" s="122"/>
      <c r="BY217" s="66"/>
      <c r="CA217" s="242" t="s">
        <v>357</v>
      </c>
      <c r="CB217" s="243"/>
      <c r="CC217" s="244"/>
      <c r="CD217" s="122"/>
    </row>
    <row r="218" spans="73:82" ht="22.9" customHeight="1" x14ac:dyDescent="0.25">
      <c r="BU218" s="214">
        <f ca="1">Min_1</f>
        <v>1</v>
      </c>
      <c r="BV218" s="215">
        <f ca="1">Mid_1</f>
        <v>4</v>
      </c>
      <c r="BW218" s="216">
        <f ca="1">Max_1</f>
        <v>1</v>
      </c>
      <c r="BX218" s="217" t="str">
        <f>Приведение</f>
        <v>!!!</v>
      </c>
      <c r="BY218" s="66"/>
      <c r="CA218" s="81">
        <f ca="1">Min_1</f>
        <v>1</v>
      </c>
      <c r="CB218" s="82">
        <f ca="1">Mid_1</f>
        <v>2.5</v>
      </c>
      <c r="CC218" s="83">
        <f ca="1">Max_1</f>
        <v>4</v>
      </c>
      <c r="CD218" s="76">
        <f ca="1">Приведение</f>
        <v>1</v>
      </c>
    </row>
    <row r="219" spans="73:82" ht="22.9" customHeight="1" thickBot="1" x14ac:dyDescent="0.3">
      <c r="BU219" s="218" t="e">
        <f>VLOOKUP(BW211,#REF!,2,FALSE)</f>
        <v>#REF!</v>
      </c>
      <c r="BV219" s="219" t="e">
        <f>VLOOKUP(BW211,#REF!,3,FALSE)</f>
        <v>#REF!</v>
      </c>
      <c r="BW219" s="220" t="e">
        <f>VLOOKUP(BW211,#REF!,4,FALSE)</f>
        <v>#REF!</v>
      </c>
      <c r="BX219" s="221">
        <v>4</v>
      </c>
      <c r="BY219" s="66"/>
      <c r="CA219" s="77">
        <v>1</v>
      </c>
      <c r="CB219" s="78"/>
      <c r="CC219" s="79">
        <v>4</v>
      </c>
      <c r="CD219" s="80">
        <v>1</v>
      </c>
    </row>
    <row r="220" spans="73:82" ht="22.9" customHeight="1" thickTop="1" thickBot="1" x14ac:dyDescent="0.3"/>
    <row r="221" spans="73:82" ht="22.9" customHeight="1" thickTop="1" thickBot="1" x14ac:dyDescent="0.3">
      <c r="BW221" s="239">
        <f>BW211+1</f>
        <v>13</v>
      </c>
      <c r="BX221" s="240"/>
      <c r="BY221" s="240"/>
      <c r="BZ221" s="240"/>
      <c r="CA221" s="240"/>
      <c r="CB221" s="240"/>
      <c r="CC221" s="241"/>
    </row>
    <row r="222" spans="73:82" ht="22.9" customHeight="1" thickTop="1" x14ac:dyDescent="0.25">
      <c r="BW222" s="115" t="str">
        <f>BX228</f>
        <v>!!!</v>
      </c>
      <c r="BX222" s="116" t="s">
        <v>106</v>
      </c>
      <c r="BY222" s="117" t="s">
        <v>106</v>
      </c>
      <c r="BZ222" s="118" t="s">
        <v>106</v>
      </c>
      <c r="CA222" s="119" t="str">
        <f>Изопрайса</f>
        <v>R</v>
      </c>
      <c r="CB222" s="120" t="str">
        <f>Изопрайса</f>
        <v>R</v>
      </c>
      <c r="CC222" s="121" t="str">
        <f>Изопрайса</f>
        <v>R</v>
      </c>
    </row>
    <row r="223" spans="73:82" ht="22.9" customHeight="1" thickBot="1" x14ac:dyDescent="0.3">
      <c r="BW223" s="46">
        <f ca="1">CD228</f>
        <v>1</v>
      </c>
      <c r="BX223" s="47" t="s">
        <v>106</v>
      </c>
      <c r="BY223" s="48" t="s">
        <v>106</v>
      </c>
      <c r="BZ223" s="49" t="s">
        <v>106</v>
      </c>
      <c r="CA223" s="50" t="str">
        <f>Изопрайса</f>
        <v>R</v>
      </c>
      <c r="CB223" s="51" t="str">
        <f>Изопрайса</f>
        <v>R</v>
      </c>
      <c r="CC223" s="52" t="str">
        <f>Изопрайса</f>
        <v>R</v>
      </c>
    </row>
    <row r="224" spans="73:82" ht="22.9" customHeight="1" thickBot="1" x14ac:dyDescent="0.3">
      <c r="BW224" s="53">
        <f ca="1">Матрица_Расчёт</f>
        <v>0</v>
      </c>
      <c r="BX224" s="54" t="s">
        <v>106</v>
      </c>
      <c r="BY224" s="55" t="s">
        <v>106</v>
      </c>
      <c r="BZ224" s="56" t="s">
        <v>106</v>
      </c>
      <c r="CA224" s="57" t="str">
        <f>Изопрайса</f>
        <v>R</v>
      </c>
      <c r="CB224" s="58" t="str">
        <f>Изопрайса</f>
        <v>R</v>
      </c>
      <c r="CC224" s="59" t="str">
        <f>Изопрайса</f>
        <v>R</v>
      </c>
    </row>
    <row r="225" spans="73:82" ht="22.9" customHeight="1" thickTop="1" thickBot="1" x14ac:dyDescent="0.3"/>
    <row r="226" spans="73:82" ht="22.9" customHeight="1" thickTop="1" thickBot="1" x14ac:dyDescent="0.3">
      <c r="BU226" s="239">
        <f>BU216+2</f>
        <v>25</v>
      </c>
      <c r="BV226" s="240"/>
      <c r="BW226" s="240"/>
      <c r="BX226" s="241"/>
      <c r="BY226" s="5">
        <v>3</v>
      </c>
      <c r="CA226" s="239">
        <f>CA216+2</f>
        <v>26</v>
      </c>
      <c r="CB226" s="240"/>
      <c r="CC226" s="240"/>
      <c r="CD226" s="241"/>
    </row>
    <row r="227" spans="73:82" ht="22.9" customHeight="1" thickTop="1" x14ac:dyDescent="0.25">
      <c r="BU227" s="242" t="s">
        <v>359</v>
      </c>
      <c r="BV227" s="243"/>
      <c r="BW227" s="244"/>
      <c r="BX227" s="122"/>
      <c r="BY227" s="66"/>
      <c r="CA227" s="242" t="s">
        <v>357</v>
      </c>
      <c r="CB227" s="243"/>
      <c r="CC227" s="244"/>
      <c r="CD227" s="122"/>
    </row>
    <row r="228" spans="73:82" ht="22.9" customHeight="1" x14ac:dyDescent="0.25">
      <c r="BU228" s="214">
        <f ca="1">Min_1</f>
        <v>1</v>
      </c>
      <c r="BV228" s="215">
        <f ca="1">Mid_1</f>
        <v>4</v>
      </c>
      <c r="BW228" s="216">
        <f ca="1">Max_1</f>
        <v>1</v>
      </c>
      <c r="BX228" s="217" t="str">
        <f>Приведение</f>
        <v>!!!</v>
      </c>
      <c r="BY228" s="66"/>
      <c r="CA228" s="81">
        <f ca="1">Min_1</f>
        <v>1</v>
      </c>
      <c r="CB228" s="82">
        <f ca="1">Mid_1</f>
        <v>2.5</v>
      </c>
      <c r="CC228" s="83">
        <f ca="1">Max_1</f>
        <v>4</v>
      </c>
      <c r="CD228" s="76">
        <f ca="1">Приведение</f>
        <v>1</v>
      </c>
    </row>
    <row r="229" spans="73:82" ht="22.9" customHeight="1" thickBot="1" x14ac:dyDescent="0.3">
      <c r="BU229" s="218" t="e">
        <f>VLOOKUP(BW221,#REF!,2,FALSE)</f>
        <v>#REF!</v>
      </c>
      <c r="BV229" s="219" t="e">
        <f>VLOOKUP(BW221,#REF!,3,FALSE)</f>
        <v>#REF!</v>
      </c>
      <c r="BW229" s="220" t="e">
        <f>VLOOKUP(BW221,#REF!,4,FALSE)</f>
        <v>#REF!</v>
      </c>
      <c r="BX229" s="221">
        <v>5</v>
      </c>
      <c r="BY229" s="66"/>
      <c r="CA229" s="77">
        <v>1</v>
      </c>
      <c r="CB229" s="78"/>
      <c r="CC229" s="79">
        <v>4</v>
      </c>
      <c r="CD229" s="80">
        <v>1</v>
      </c>
    </row>
    <row r="230" spans="73:82" ht="22.9" customHeight="1" thickTop="1" thickBot="1" x14ac:dyDescent="0.3"/>
    <row r="231" spans="73:82" ht="22.9" customHeight="1" thickTop="1" thickBot="1" x14ac:dyDescent="0.3">
      <c r="BW231" s="239">
        <f>BW221+1</f>
        <v>14</v>
      </c>
      <c r="BX231" s="240"/>
      <c r="BY231" s="240"/>
      <c r="BZ231" s="240"/>
      <c r="CA231" s="240"/>
      <c r="CB231" s="240"/>
      <c r="CC231" s="241"/>
    </row>
    <row r="232" spans="73:82" ht="22.9" customHeight="1" thickTop="1" x14ac:dyDescent="0.25">
      <c r="BW232" s="115" t="str">
        <f>BX238</f>
        <v>!!!</v>
      </c>
      <c r="BX232" s="116" t="s">
        <v>106</v>
      </c>
      <c r="BY232" s="117" t="s">
        <v>106</v>
      </c>
      <c r="BZ232" s="118" t="s">
        <v>106</v>
      </c>
      <c r="CA232" s="119" t="str">
        <f>Изопрайса</f>
        <v>R</v>
      </c>
      <c r="CB232" s="120" t="str">
        <f>Изопрайса</f>
        <v>R</v>
      </c>
      <c r="CC232" s="121" t="str">
        <f>Изопрайса</f>
        <v>R</v>
      </c>
    </row>
    <row r="233" spans="73:82" ht="22.9" customHeight="1" thickBot="1" x14ac:dyDescent="0.3">
      <c r="BW233" s="46">
        <f ca="1">CD238</f>
        <v>1</v>
      </c>
      <c r="BX233" s="47" t="s">
        <v>106</v>
      </c>
      <c r="BY233" s="48" t="s">
        <v>106</v>
      </c>
      <c r="BZ233" s="49" t="s">
        <v>106</v>
      </c>
      <c r="CA233" s="50" t="str">
        <f>Изопрайса</f>
        <v>R</v>
      </c>
      <c r="CB233" s="51" t="str">
        <f>Изопрайса</f>
        <v>R</v>
      </c>
      <c r="CC233" s="52" t="str">
        <f>Изопрайса</f>
        <v>R</v>
      </c>
    </row>
    <row r="234" spans="73:82" ht="22.9" customHeight="1" thickBot="1" x14ac:dyDescent="0.3">
      <c r="BW234" s="53">
        <f ca="1">Матрица_Расчёт</f>
        <v>0</v>
      </c>
      <c r="BX234" s="54" t="s">
        <v>106</v>
      </c>
      <c r="BY234" s="55" t="s">
        <v>106</v>
      </c>
      <c r="BZ234" s="56" t="s">
        <v>106</v>
      </c>
      <c r="CA234" s="57" t="str">
        <f>Изопрайса</f>
        <v>R</v>
      </c>
      <c r="CB234" s="58" t="str">
        <f>Изопрайса</f>
        <v>R</v>
      </c>
      <c r="CC234" s="59" t="str">
        <f>Изопрайса</f>
        <v>R</v>
      </c>
    </row>
    <row r="235" spans="73:82" ht="22.9" customHeight="1" thickTop="1" thickBot="1" x14ac:dyDescent="0.3"/>
    <row r="236" spans="73:82" ht="22.9" customHeight="1" thickTop="1" thickBot="1" x14ac:dyDescent="0.3">
      <c r="BU236" s="239">
        <f>BU226+2</f>
        <v>27</v>
      </c>
      <c r="BV236" s="240"/>
      <c r="BW236" s="240"/>
      <c r="BX236" s="241"/>
      <c r="BY236" s="5">
        <v>3</v>
      </c>
      <c r="CA236" s="239">
        <f>CA226+2</f>
        <v>28</v>
      </c>
      <c r="CB236" s="240"/>
      <c r="CC236" s="240"/>
      <c r="CD236" s="241"/>
    </row>
    <row r="237" spans="73:82" ht="22.9" customHeight="1" thickTop="1" x14ac:dyDescent="0.25">
      <c r="BU237" s="242" t="s">
        <v>359</v>
      </c>
      <c r="BV237" s="243"/>
      <c r="BW237" s="244"/>
      <c r="BX237" s="122"/>
      <c r="BY237" s="66"/>
      <c r="CA237" s="242" t="s">
        <v>357</v>
      </c>
      <c r="CB237" s="243"/>
      <c r="CC237" s="244"/>
      <c r="CD237" s="122"/>
    </row>
    <row r="238" spans="73:82" ht="22.9" customHeight="1" x14ac:dyDescent="0.25">
      <c r="BU238" s="214">
        <f ca="1">Min_1</f>
        <v>1</v>
      </c>
      <c r="BV238" s="215">
        <f ca="1">Mid_1</f>
        <v>4</v>
      </c>
      <c r="BW238" s="216">
        <f ca="1">Max_1</f>
        <v>1</v>
      </c>
      <c r="BX238" s="217" t="str">
        <f>Приведение</f>
        <v>!!!</v>
      </c>
      <c r="BY238" s="66"/>
      <c r="CA238" s="81">
        <f ca="1">Min_1</f>
        <v>1</v>
      </c>
      <c r="CB238" s="82">
        <f ca="1">Mid_1</f>
        <v>2.5</v>
      </c>
      <c r="CC238" s="83">
        <f ca="1">Max_1</f>
        <v>4</v>
      </c>
      <c r="CD238" s="76">
        <f ca="1">Приведение</f>
        <v>1</v>
      </c>
    </row>
    <row r="239" spans="73:82" ht="22.9" customHeight="1" thickBot="1" x14ac:dyDescent="0.3">
      <c r="BU239" s="218" t="e">
        <f>VLOOKUP(BW231,#REF!,2,FALSE)</f>
        <v>#REF!</v>
      </c>
      <c r="BV239" s="219" t="e">
        <f>VLOOKUP(BW231,#REF!,3,FALSE)</f>
        <v>#REF!</v>
      </c>
      <c r="BW239" s="220" t="e">
        <f>VLOOKUP(BW231,#REF!,4,FALSE)</f>
        <v>#REF!</v>
      </c>
      <c r="BX239" s="221">
        <v>-3</v>
      </c>
      <c r="BY239" s="66"/>
      <c r="CA239" s="77">
        <v>1</v>
      </c>
      <c r="CB239" s="78"/>
      <c r="CC239" s="79">
        <v>4</v>
      </c>
      <c r="CD239" s="80">
        <v>1</v>
      </c>
    </row>
    <row r="240" spans="73:82" ht="22.9" customHeight="1" thickTop="1" thickBot="1" x14ac:dyDescent="0.3"/>
    <row r="241" spans="73:82" ht="22.9" customHeight="1" thickTop="1" thickBot="1" x14ac:dyDescent="0.3">
      <c r="BW241" s="239">
        <f>BW231+1</f>
        <v>15</v>
      </c>
      <c r="BX241" s="240"/>
      <c r="BY241" s="240"/>
      <c r="BZ241" s="240"/>
      <c r="CA241" s="240"/>
      <c r="CB241" s="240"/>
      <c r="CC241" s="241"/>
    </row>
    <row r="242" spans="73:82" ht="22.9" customHeight="1" thickTop="1" x14ac:dyDescent="0.25">
      <c r="BW242" s="115" t="str">
        <f>BX248</f>
        <v>!!!</v>
      </c>
      <c r="BX242" s="116" t="s">
        <v>106</v>
      </c>
      <c r="BY242" s="117" t="s">
        <v>106</v>
      </c>
      <c r="BZ242" s="118" t="s">
        <v>106</v>
      </c>
      <c r="CA242" s="119" t="str">
        <f>Изопрайса</f>
        <v>R</v>
      </c>
      <c r="CB242" s="120" t="str">
        <f>Изопрайса</f>
        <v>R</v>
      </c>
      <c r="CC242" s="121" t="str">
        <f>Изопрайса</f>
        <v>R</v>
      </c>
    </row>
    <row r="243" spans="73:82" ht="22.9" customHeight="1" thickBot="1" x14ac:dyDescent="0.3">
      <c r="BW243" s="46">
        <f ca="1">CD248</f>
        <v>1</v>
      </c>
      <c r="BX243" s="47" t="s">
        <v>106</v>
      </c>
      <c r="BY243" s="48" t="s">
        <v>106</v>
      </c>
      <c r="BZ243" s="49" t="s">
        <v>106</v>
      </c>
      <c r="CA243" s="50" t="str">
        <f>Изопрайса</f>
        <v>R</v>
      </c>
      <c r="CB243" s="51" t="str">
        <f>Изопрайса</f>
        <v>R</v>
      </c>
      <c r="CC243" s="52" t="str">
        <f>Изопрайса</f>
        <v>R</v>
      </c>
    </row>
    <row r="244" spans="73:82" ht="22.9" customHeight="1" thickBot="1" x14ac:dyDescent="0.3">
      <c r="BW244" s="53">
        <f ca="1">Матрица_Расчёт</f>
        <v>0</v>
      </c>
      <c r="BX244" s="54" t="s">
        <v>106</v>
      </c>
      <c r="BY244" s="55" t="s">
        <v>106</v>
      </c>
      <c r="BZ244" s="56" t="s">
        <v>106</v>
      </c>
      <c r="CA244" s="57" t="str">
        <f>Изопрайса</f>
        <v>R</v>
      </c>
      <c r="CB244" s="58" t="str">
        <f>Изопрайса</f>
        <v>R</v>
      </c>
      <c r="CC244" s="59" t="str">
        <f>Изопрайса</f>
        <v>R</v>
      </c>
    </row>
    <row r="245" spans="73:82" ht="22.9" customHeight="1" thickTop="1" thickBot="1" x14ac:dyDescent="0.3"/>
    <row r="246" spans="73:82" ht="22.9" customHeight="1" thickTop="1" thickBot="1" x14ac:dyDescent="0.3">
      <c r="BU246" s="239">
        <f>BU236+2</f>
        <v>29</v>
      </c>
      <c r="BV246" s="240"/>
      <c r="BW246" s="240"/>
      <c r="BX246" s="241"/>
      <c r="BY246" s="5">
        <v>3</v>
      </c>
      <c r="CA246" s="239">
        <f>CA236+2</f>
        <v>30</v>
      </c>
      <c r="CB246" s="240"/>
      <c r="CC246" s="240"/>
      <c r="CD246" s="241"/>
    </row>
    <row r="247" spans="73:82" ht="22.9" customHeight="1" thickTop="1" x14ac:dyDescent="0.25">
      <c r="BU247" s="242" t="s">
        <v>359</v>
      </c>
      <c r="BV247" s="243"/>
      <c r="BW247" s="244"/>
      <c r="BX247" s="122"/>
      <c r="BY247" s="66"/>
      <c r="CA247" s="242" t="s">
        <v>357</v>
      </c>
      <c r="CB247" s="243"/>
      <c r="CC247" s="244"/>
      <c r="CD247" s="122"/>
    </row>
    <row r="248" spans="73:82" ht="22.9" customHeight="1" x14ac:dyDescent="0.25">
      <c r="BU248" s="214">
        <f ca="1">Min_1</f>
        <v>1</v>
      </c>
      <c r="BV248" s="215">
        <f ca="1">Mid_1</f>
        <v>4</v>
      </c>
      <c r="BW248" s="216">
        <f ca="1">Max_1</f>
        <v>1</v>
      </c>
      <c r="BX248" s="217" t="str">
        <f>Приведение</f>
        <v>!!!</v>
      </c>
      <c r="BY248" s="66"/>
      <c r="CA248" s="81">
        <f ca="1">Min_1</f>
        <v>1</v>
      </c>
      <c r="CB248" s="82">
        <f ca="1">Mid_1</f>
        <v>2.5</v>
      </c>
      <c r="CC248" s="83">
        <f ca="1">Max_1</f>
        <v>4</v>
      </c>
      <c r="CD248" s="76">
        <f ca="1">Приведение</f>
        <v>1</v>
      </c>
    </row>
    <row r="249" spans="73:82" ht="22.9" customHeight="1" thickBot="1" x14ac:dyDescent="0.3">
      <c r="BU249" s="218" t="e">
        <f>VLOOKUP(BW241,#REF!,2,FALSE)</f>
        <v>#REF!</v>
      </c>
      <c r="BV249" s="219" t="e">
        <f>VLOOKUP(BW241,#REF!,3,FALSE)</f>
        <v>#REF!</v>
      </c>
      <c r="BW249" s="220" t="e">
        <f>VLOOKUP(BW241,#REF!,4,FALSE)</f>
        <v>#REF!</v>
      </c>
      <c r="BX249" s="221" t="e">
        <f>IF(BY246=1,BU249,IF(BY246=2,(BV249+BU249)/2,IF(BY246=3, BV249,IF(BY246=4,(BW249+BV249)/2,BW249))))</f>
        <v>#REF!</v>
      </c>
      <c r="BY249" s="66"/>
      <c r="CA249" s="77">
        <v>1</v>
      </c>
      <c r="CB249" s="78"/>
      <c r="CC249" s="79">
        <v>4</v>
      </c>
      <c r="CD249" s="80">
        <v>1</v>
      </c>
    </row>
    <row r="250" spans="73:82" ht="22.9" customHeight="1" thickTop="1" thickBot="1" x14ac:dyDescent="0.3"/>
    <row r="251" spans="73:82" ht="22.9" customHeight="1" thickTop="1" thickBot="1" x14ac:dyDescent="0.3">
      <c r="BW251" s="239">
        <f>BW241+1</f>
        <v>16</v>
      </c>
      <c r="BX251" s="240"/>
      <c r="BY251" s="240"/>
      <c r="BZ251" s="240"/>
      <c r="CA251" s="240"/>
      <c r="CB251" s="240"/>
      <c r="CC251" s="241"/>
    </row>
    <row r="252" spans="73:82" ht="22.9" customHeight="1" thickTop="1" x14ac:dyDescent="0.25">
      <c r="BW252" s="115" t="str">
        <f>BX258</f>
        <v>!!!</v>
      </c>
      <c r="BX252" s="116" t="s">
        <v>106</v>
      </c>
      <c r="BY252" s="117" t="s">
        <v>106</v>
      </c>
      <c r="BZ252" s="118" t="s">
        <v>106</v>
      </c>
      <c r="CA252" s="119" t="str">
        <f>Изопрайса</f>
        <v>R</v>
      </c>
      <c r="CB252" s="120" t="str">
        <f>Изопрайса</f>
        <v>R</v>
      </c>
      <c r="CC252" s="121" t="str">
        <f>Изопрайса</f>
        <v>R</v>
      </c>
    </row>
    <row r="253" spans="73:82" ht="22.9" customHeight="1" thickBot="1" x14ac:dyDescent="0.3">
      <c r="BW253" s="46">
        <f ca="1">CD258</f>
        <v>1</v>
      </c>
      <c r="BX253" s="47" t="s">
        <v>106</v>
      </c>
      <c r="BY253" s="48" t="s">
        <v>106</v>
      </c>
      <c r="BZ253" s="49" t="s">
        <v>106</v>
      </c>
      <c r="CA253" s="50" t="str">
        <f>Изопрайса</f>
        <v>R</v>
      </c>
      <c r="CB253" s="51" t="str">
        <f>Изопрайса</f>
        <v>R</v>
      </c>
      <c r="CC253" s="52" t="str">
        <f>Изопрайса</f>
        <v>R</v>
      </c>
    </row>
    <row r="254" spans="73:82" ht="22.9" customHeight="1" thickBot="1" x14ac:dyDescent="0.3">
      <c r="BW254" s="53">
        <f ca="1">Матрица_Расчёт</f>
        <v>0</v>
      </c>
      <c r="BX254" s="54" t="s">
        <v>106</v>
      </c>
      <c r="BY254" s="55" t="s">
        <v>106</v>
      </c>
      <c r="BZ254" s="56" t="s">
        <v>106</v>
      </c>
      <c r="CA254" s="57" t="str">
        <f>Изопрайса</f>
        <v>R</v>
      </c>
      <c r="CB254" s="58" t="str">
        <f>Изопрайса</f>
        <v>R</v>
      </c>
      <c r="CC254" s="59" t="str">
        <f>Изопрайса</f>
        <v>R</v>
      </c>
    </row>
    <row r="255" spans="73:82" ht="22.9" customHeight="1" thickTop="1" thickBot="1" x14ac:dyDescent="0.3"/>
    <row r="256" spans="73:82" ht="22.9" customHeight="1" thickTop="1" thickBot="1" x14ac:dyDescent="0.3">
      <c r="BU256" s="239">
        <f>BU246+2</f>
        <v>31</v>
      </c>
      <c r="BV256" s="240"/>
      <c r="BW256" s="240"/>
      <c r="BX256" s="241"/>
      <c r="BY256" s="5">
        <v>3</v>
      </c>
      <c r="CA256" s="239">
        <f>CA246+2</f>
        <v>32</v>
      </c>
      <c r="CB256" s="240"/>
      <c r="CC256" s="240"/>
      <c r="CD256" s="241"/>
    </row>
    <row r="257" spans="73:82" ht="22.9" customHeight="1" thickTop="1" x14ac:dyDescent="0.25">
      <c r="BU257" s="242" t="s">
        <v>359</v>
      </c>
      <c r="BV257" s="243"/>
      <c r="BW257" s="244"/>
      <c r="BX257" s="122"/>
      <c r="BY257" s="66"/>
      <c r="CA257" s="242" t="s">
        <v>357</v>
      </c>
      <c r="CB257" s="243"/>
      <c r="CC257" s="244"/>
      <c r="CD257" s="122"/>
    </row>
    <row r="258" spans="73:82" ht="22.9" customHeight="1" x14ac:dyDescent="0.25">
      <c r="BU258" s="214">
        <f ca="1">Min_1</f>
        <v>1</v>
      </c>
      <c r="BV258" s="215">
        <f ca="1">Mid_1</f>
        <v>4</v>
      </c>
      <c r="BW258" s="216">
        <f ca="1">Max_1</f>
        <v>1</v>
      </c>
      <c r="BX258" s="217" t="str">
        <f>Приведение</f>
        <v>!!!</v>
      </c>
      <c r="BY258" s="66"/>
      <c r="CA258" s="81">
        <f ca="1">Min_1</f>
        <v>1</v>
      </c>
      <c r="CB258" s="82">
        <f ca="1">Mid_1</f>
        <v>2.5</v>
      </c>
      <c r="CC258" s="83">
        <f ca="1">Max_1</f>
        <v>4</v>
      </c>
      <c r="CD258" s="76">
        <f ca="1">Приведение</f>
        <v>1</v>
      </c>
    </row>
    <row r="259" spans="73:82" ht="22.9" customHeight="1" thickBot="1" x14ac:dyDescent="0.3">
      <c r="BU259" s="218" t="e">
        <f>VLOOKUP(BW251,#REF!,2,FALSE)</f>
        <v>#REF!</v>
      </c>
      <c r="BV259" s="219" t="e">
        <f>VLOOKUP(BW251,#REF!,3,FALSE)</f>
        <v>#REF!</v>
      </c>
      <c r="BW259" s="220" t="e">
        <f>VLOOKUP(BW251,#REF!,4,FALSE)</f>
        <v>#REF!</v>
      </c>
      <c r="BX259" s="221">
        <v>-1</v>
      </c>
      <c r="BY259" s="66"/>
      <c r="CA259" s="77">
        <v>1</v>
      </c>
      <c r="CB259" s="78"/>
      <c r="CC259" s="79">
        <v>4</v>
      </c>
      <c r="CD259" s="80">
        <v>1</v>
      </c>
    </row>
    <row r="260" spans="73:82" ht="22.9" customHeight="1" thickTop="1" thickBot="1" x14ac:dyDescent="0.3"/>
    <row r="261" spans="73:82" ht="22.9" customHeight="1" thickTop="1" thickBot="1" x14ac:dyDescent="0.3">
      <c r="BW261" s="239">
        <f>BW251+1</f>
        <v>17</v>
      </c>
      <c r="BX261" s="240"/>
      <c r="BY261" s="240"/>
      <c r="BZ261" s="240"/>
      <c r="CA261" s="240"/>
      <c r="CB261" s="240"/>
      <c r="CC261" s="241"/>
    </row>
    <row r="262" spans="73:82" ht="22.9" customHeight="1" thickTop="1" x14ac:dyDescent="0.25">
      <c r="BW262" s="115" t="str">
        <f>BX268</f>
        <v>!!!</v>
      </c>
      <c r="BX262" s="116" t="s">
        <v>106</v>
      </c>
      <c r="BY262" s="117" t="s">
        <v>106</v>
      </c>
      <c r="BZ262" s="118" t="s">
        <v>106</v>
      </c>
      <c r="CA262" s="119" t="str">
        <f>Изопрайса</f>
        <v>R</v>
      </c>
      <c r="CB262" s="120" t="str">
        <f>Изопрайса</f>
        <v>R</v>
      </c>
      <c r="CC262" s="121" t="str">
        <f>Изопрайса</f>
        <v>R</v>
      </c>
    </row>
    <row r="263" spans="73:82" ht="22.9" customHeight="1" thickBot="1" x14ac:dyDescent="0.3">
      <c r="BW263" s="46">
        <f ca="1">CD268</f>
        <v>1</v>
      </c>
      <c r="BX263" s="47" t="s">
        <v>106</v>
      </c>
      <c r="BY263" s="48" t="s">
        <v>106</v>
      </c>
      <c r="BZ263" s="49" t="s">
        <v>106</v>
      </c>
      <c r="CA263" s="50" t="str">
        <f>Изопрайса</f>
        <v>R</v>
      </c>
      <c r="CB263" s="51" t="str">
        <f>Изопрайса</f>
        <v>R</v>
      </c>
      <c r="CC263" s="52" t="str">
        <f>Изопрайса</f>
        <v>R</v>
      </c>
    </row>
    <row r="264" spans="73:82" ht="22.9" customHeight="1" thickBot="1" x14ac:dyDescent="0.3">
      <c r="BW264" s="53">
        <f ca="1">Матрица_Расчёт</f>
        <v>0</v>
      </c>
      <c r="BX264" s="54" t="s">
        <v>106</v>
      </c>
      <c r="BY264" s="55" t="s">
        <v>106</v>
      </c>
      <c r="BZ264" s="56" t="s">
        <v>106</v>
      </c>
      <c r="CA264" s="57" t="str">
        <f>Изопрайса</f>
        <v>R</v>
      </c>
      <c r="CB264" s="58" t="str">
        <f>Изопрайса</f>
        <v>R</v>
      </c>
      <c r="CC264" s="59" t="str">
        <f>Изопрайса</f>
        <v>R</v>
      </c>
    </row>
    <row r="265" spans="73:82" ht="22.9" customHeight="1" thickTop="1" thickBot="1" x14ac:dyDescent="0.3"/>
    <row r="266" spans="73:82" ht="22.9" customHeight="1" thickTop="1" thickBot="1" x14ac:dyDescent="0.3">
      <c r="BU266" s="239">
        <f>BU256+2</f>
        <v>33</v>
      </c>
      <c r="BV266" s="240"/>
      <c r="BW266" s="240"/>
      <c r="BX266" s="241"/>
      <c r="BY266" s="5">
        <v>3</v>
      </c>
      <c r="CA266" s="239">
        <f>CA256+2</f>
        <v>34</v>
      </c>
      <c r="CB266" s="240"/>
      <c r="CC266" s="240"/>
      <c r="CD266" s="241"/>
    </row>
    <row r="267" spans="73:82" ht="22.9" customHeight="1" thickTop="1" x14ac:dyDescent="0.25">
      <c r="BU267" s="242" t="s">
        <v>359</v>
      </c>
      <c r="BV267" s="243"/>
      <c r="BW267" s="244"/>
      <c r="BX267" s="122"/>
      <c r="BY267" s="66"/>
      <c r="CA267" s="242" t="s">
        <v>357</v>
      </c>
      <c r="CB267" s="243"/>
      <c r="CC267" s="244"/>
      <c r="CD267" s="122"/>
    </row>
    <row r="268" spans="73:82" ht="22.9" customHeight="1" x14ac:dyDescent="0.25">
      <c r="BU268" s="214">
        <f ca="1">Min_1</f>
        <v>1</v>
      </c>
      <c r="BV268" s="215">
        <f ca="1">Mid_1</f>
        <v>4</v>
      </c>
      <c r="BW268" s="216">
        <f ca="1">Max_1</f>
        <v>1</v>
      </c>
      <c r="BX268" s="217" t="str">
        <f>Приведение</f>
        <v>!!!</v>
      </c>
      <c r="BY268" s="66"/>
      <c r="CA268" s="81">
        <f ca="1">Min_1</f>
        <v>1</v>
      </c>
      <c r="CB268" s="82">
        <f ca="1">Mid_1</f>
        <v>2.5</v>
      </c>
      <c r="CC268" s="83">
        <f ca="1">Max_1</f>
        <v>4</v>
      </c>
      <c r="CD268" s="76">
        <f ca="1">Приведение</f>
        <v>1</v>
      </c>
    </row>
    <row r="269" spans="73:82" ht="22.9" customHeight="1" thickBot="1" x14ac:dyDescent="0.3">
      <c r="BU269" s="218" t="e">
        <f>VLOOKUP(BW261,#REF!,2,FALSE)</f>
        <v>#REF!</v>
      </c>
      <c r="BV269" s="219" t="e">
        <f>VLOOKUP(BW261,#REF!,3,FALSE)</f>
        <v>#REF!</v>
      </c>
      <c r="BW269" s="220" t="e">
        <f>VLOOKUP(BW261,#REF!,4,FALSE)</f>
        <v>#REF!</v>
      </c>
      <c r="BX269" s="221">
        <v>2</v>
      </c>
      <c r="BY269" s="66"/>
      <c r="CA269" s="77">
        <v>1</v>
      </c>
      <c r="CB269" s="78"/>
      <c r="CC269" s="79">
        <v>4</v>
      </c>
      <c r="CD269" s="80">
        <v>1</v>
      </c>
    </row>
    <row r="270" spans="73:82" ht="22.9" customHeight="1" thickTop="1" thickBot="1" x14ac:dyDescent="0.3"/>
    <row r="271" spans="73:82" ht="22.9" customHeight="1" thickTop="1" thickBot="1" x14ac:dyDescent="0.3">
      <c r="BW271" s="239">
        <f>BW261+1</f>
        <v>18</v>
      </c>
      <c r="BX271" s="240"/>
      <c r="BY271" s="240"/>
      <c r="BZ271" s="240"/>
      <c r="CA271" s="240"/>
      <c r="CB271" s="240"/>
      <c r="CC271" s="241"/>
    </row>
    <row r="272" spans="73:82" ht="22.9" customHeight="1" thickTop="1" x14ac:dyDescent="0.25">
      <c r="BW272" s="115" t="str">
        <f>BX278</f>
        <v>!!!</v>
      </c>
      <c r="BX272" s="116" t="s">
        <v>106</v>
      </c>
      <c r="BY272" s="117" t="s">
        <v>106</v>
      </c>
      <c r="BZ272" s="118" t="s">
        <v>106</v>
      </c>
      <c r="CA272" s="119" t="str">
        <f>Изопрайса</f>
        <v>R</v>
      </c>
      <c r="CB272" s="120" t="str">
        <f>Изопрайса</f>
        <v>R</v>
      </c>
      <c r="CC272" s="121" t="str">
        <f>Изопрайса</f>
        <v>R</v>
      </c>
    </row>
    <row r="273" spans="73:82" ht="22.9" customHeight="1" thickBot="1" x14ac:dyDescent="0.3">
      <c r="BW273" s="46">
        <f ca="1">CD278</f>
        <v>1</v>
      </c>
      <c r="BX273" s="47" t="s">
        <v>106</v>
      </c>
      <c r="BY273" s="48" t="s">
        <v>106</v>
      </c>
      <c r="BZ273" s="49" t="s">
        <v>106</v>
      </c>
      <c r="CA273" s="50" t="str">
        <f>Изопрайса</f>
        <v>R</v>
      </c>
      <c r="CB273" s="51" t="str">
        <f>Изопрайса</f>
        <v>R</v>
      </c>
      <c r="CC273" s="52" t="str">
        <f>Изопрайса</f>
        <v>R</v>
      </c>
    </row>
    <row r="274" spans="73:82" ht="22.9" customHeight="1" thickBot="1" x14ac:dyDescent="0.3">
      <c r="BW274" s="53">
        <f ca="1">Матрица_Расчёт</f>
        <v>0</v>
      </c>
      <c r="BX274" s="54" t="s">
        <v>106</v>
      </c>
      <c r="BY274" s="55" t="s">
        <v>106</v>
      </c>
      <c r="BZ274" s="56" t="s">
        <v>106</v>
      </c>
      <c r="CA274" s="57" t="str">
        <f>Изопрайса</f>
        <v>R</v>
      </c>
      <c r="CB274" s="58" t="str">
        <f>Изопрайса</f>
        <v>R</v>
      </c>
      <c r="CC274" s="59" t="str">
        <f>Изопрайса</f>
        <v>R</v>
      </c>
    </row>
    <row r="275" spans="73:82" ht="22.9" customHeight="1" thickTop="1" thickBot="1" x14ac:dyDescent="0.3"/>
    <row r="276" spans="73:82" ht="22.9" customHeight="1" thickTop="1" thickBot="1" x14ac:dyDescent="0.3">
      <c r="BU276" s="239">
        <f>BU266+2</f>
        <v>35</v>
      </c>
      <c r="BV276" s="240"/>
      <c r="BW276" s="240"/>
      <c r="BX276" s="241"/>
      <c r="BY276" s="5">
        <v>3</v>
      </c>
      <c r="CA276" s="239">
        <f>CA266+2</f>
        <v>36</v>
      </c>
      <c r="CB276" s="240"/>
      <c r="CC276" s="240"/>
      <c r="CD276" s="241"/>
    </row>
    <row r="277" spans="73:82" ht="22.9" customHeight="1" thickTop="1" x14ac:dyDescent="0.25">
      <c r="BU277" s="242" t="s">
        <v>359</v>
      </c>
      <c r="BV277" s="243"/>
      <c r="BW277" s="244"/>
      <c r="BX277" s="122"/>
      <c r="BY277" s="66"/>
      <c r="CA277" s="242" t="s">
        <v>357</v>
      </c>
      <c r="CB277" s="243"/>
      <c r="CC277" s="244"/>
      <c r="CD277" s="122"/>
    </row>
    <row r="278" spans="73:82" ht="22.9" customHeight="1" x14ac:dyDescent="0.25">
      <c r="BU278" s="214">
        <f ca="1">Min_1</f>
        <v>1</v>
      </c>
      <c r="BV278" s="215">
        <f ca="1">Mid_1</f>
        <v>4</v>
      </c>
      <c r="BW278" s="216">
        <f ca="1">Max_1</f>
        <v>1</v>
      </c>
      <c r="BX278" s="217" t="str">
        <f>Приведение</f>
        <v>!!!</v>
      </c>
      <c r="BY278" s="66"/>
      <c r="CA278" s="81">
        <f ca="1">Min_1</f>
        <v>1</v>
      </c>
      <c r="CB278" s="82">
        <f ca="1">Mid_1</f>
        <v>2.5</v>
      </c>
      <c r="CC278" s="83">
        <f ca="1">Max_1</f>
        <v>4</v>
      </c>
      <c r="CD278" s="76">
        <f ca="1">Приведение</f>
        <v>1</v>
      </c>
    </row>
    <row r="279" spans="73:82" ht="22.9" customHeight="1" thickBot="1" x14ac:dyDescent="0.3">
      <c r="BU279" s="218" t="e">
        <f>VLOOKUP(BW271,#REF!,2,FALSE)</f>
        <v>#REF!</v>
      </c>
      <c r="BV279" s="219" t="e">
        <f>VLOOKUP(BW271,#REF!,3,FALSE)</f>
        <v>#REF!</v>
      </c>
      <c r="BW279" s="220" t="e">
        <f>VLOOKUP(BW271,#REF!,4,FALSE)</f>
        <v>#REF!</v>
      </c>
      <c r="BX279" s="221">
        <v>2</v>
      </c>
      <c r="BY279" s="66"/>
      <c r="CA279" s="77">
        <v>1</v>
      </c>
      <c r="CB279" s="78"/>
      <c r="CC279" s="79">
        <v>4</v>
      </c>
      <c r="CD279" s="80">
        <v>1</v>
      </c>
    </row>
    <row r="280" spans="73:82" ht="22.9" customHeight="1" thickTop="1" thickBot="1" x14ac:dyDescent="0.3"/>
    <row r="281" spans="73:82" ht="22.9" customHeight="1" thickTop="1" thickBot="1" x14ac:dyDescent="0.3">
      <c r="BW281" s="239">
        <f>BW271+1</f>
        <v>19</v>
      </c>
      <c r="BX281" s="240"/>
      <c r="BY281" s="240"/>
      <c r="BZ281" s="240"/>
      <c r="CA281" s="240"/>
      <c r="CB281" s="240"/>
      <c r="CC281" s="241"/>
    </row>
    <row r="282" spans="73:82" ht="22.9" customHeight="1" thickTop="1" x14ac:dyDescent="0.25">
      <c r="BW282" s="115" t="str">
        <f>BX288</f>
        <v>!!!</v>
      </c>
      <c r="BX282" s="116" t="s">
        <v>106</v>
      </c>
      <c r="BY282" s="117" t="s">
        <v>106</v>
      </c>
      <c r="BZ282" s="118" t="s">
        <v>106</v>
      </c>
      <c r="CA282" s="119" t="str">
        <f>Изопрайса</f>
        <v>R</v>
      </c>
      <c r="CB282" s="120" t="str">
        <f>Изопрайса</f>
        <v>R</v>
      </c>
      <c r="CC282" s="121" t="str">
        <f>Изопрайса</f>
        <v>R</v>
      </c>
    </row>
    <row r="283" spans="73:82" ht="22.9" customHeight="1" thickBot="1" x14ac:dyDescent="0.3">
      <c r="BW283" s="46">
        <f ca="1">CD288</f>
        <v>1</v>
      </c>
      <c r="BX283" s="47" t="s">
        <v>106</v>
      </c>
      <c r="BY283" s="48" t="s">
        <v>106</v>
      </c>
      <c r="BZ283" s="49" t="s">
        <v>106</v>
      </c>
      <c r="CA283" s="50" t="str">
        <f>Изопрайса</f>
        <v>R</v>
      </c>
      <c r="CB283" s="51" t="str">
        <f>Изопрайса</f>
        <v>R</v>
      </c>
      <c r="CC283" s="52" t="str">
        <f>Изопрайса</f>
        <v>R</v>
      </c>
    </row>
    <row r="284" spans="73:82" ht="22.9" customHeight="1" thickBot="1" x14ac:dyDescent="0.3">
      <c r="BW284" s="53">
        <f ca="1">Матрица_Расчёт</f>
        <v>0</v>
      </c>
      <c r="BX284" s="54" t="s">
        <v>106</v>
      </c>
      <c r="BY284" s="55" t="s">
        <v>106</v>
      </c>
      <c r="BZ284" s="56" t="s">
        <v>106</v>
      </c>
      <c r="CA284" s="57" t="str">
        <f>Изопрайса</f>
        <v>R</v>
      </c>
      <c r="CB284" s="58" t="str">
        <f>Изопрайса</f>
        <v>R</v>
      </c>
      <c r="CC284" s="59" t="str">
        <f>Изопрайса</f>
        <v>R</v>
      </c>
    </row>
    <row r="285" spans="73:82" ht="22.9" customHeight="1" thickTop="1" thickBot="1" x14ac:dyDescent="0.3"/>
    <row r="286" spans="73:82" ht="22.9" customHeight="1" thickTop="1" thickBot="1" x14ac:dyDescent="0.3">
      <c r="BU286" s="239">
        <f>BU276+2</f>
        <v>37</v>
      </c>
      <c r="BV286" s="240"/>
      <c r="BW286" s="240"/>
      <c r="BX286" s="241"/>
      <c r="BY286" s="5">
        <v>3</v>
      </c>
      <c r="CA286" s="239">
        <f>CA276+2</f>
        <v>38</v>
      </c>
      <c r="CB286" s="240"/>
      <c r="CC286" s="240"/>
      <c r="CD286" s="241"/>
    </row>
    <row r="287" spans="73:82" ht="22.9" customHeight="1" thickTop="1" x14ac:dyDescent="0.25">
      <c r="BU287" s="242" t="s">
        <v>359</v>
      </c>
      <c r="BV287" s="243"/>
      <c r="BW287" s="244"/>
      <c r="BX287" s="122"/>
      <c r="BY287" s="66"/>
      <c r="CA287" s="242" t="s">
        <v>357</v>
      </c>
      <c r="CB287" s="243"/>
      <c r="CC287" s="244"/>
      <c r="CD287" s="122"/>
    </row>
    <row r="288" spans="73:82" ht="22.9" customHeight="1" x14ac:dyDescent="0.25">
      <c r="BU288" s="214">
        <f ca="1">Min_1</f>
        <v>1</v>
      </c>
      <c r="BV288" s="215">
        <f ca="1">Mid_1</f>
        <v>4</v>
      </c>
      <c r="BW288" s="216">
        <f ca="1">Max_1</f>
        <v>1</v>
      </c>
      <c r="BX288" s="217" t="str">
        <f>Приведение</f>
        <v>!!!</v>
      </c>
      <c r="BY288" s="66"/>
      <c r="CA288" s="81">
        <f ca="1">Min_1</f>
        <v>1</v>
      </c>
      <c r="CB288" s="82">
        <f ca="1">Mid_1</f>
        <v>2.5</v>
      </c>
      <c r="CC288" s="83">
        <f ca="1">Max_1</f>
        <v>4</v>
      </c>
      <c r="CD288" s="76">
        <f ca="1">Приведение</f>
        <v>1</v>
      </c>
    </row>
    <row r="289" spans="73:82" ht="22.9" customHeight="1" thickBot="1" x14ac:dyDescent="0.3">
      <c r="BU289" s="218" t="e">
        <f>VLOOKUP(BW281,#REF!,2,FALSE)</f>
        <v>#REF!</v>
      </c>
      <c r="BV289" s="219" t="e">
        <f>VLOOKUP(BW281,#REF!,3,FALSE)</f>
        <v>#REF!</v>
      </c>
      <c r="BW289" s="220" t="e">
        <f>VLOOKUP(BW281,#REF!,4,FALSE)</f>
        <v>#REF!</v>
      </c>
      <c r="BX289" s="221">
        <v>2</v>
      </c>
      <c r="BY289" s="66"/>
      <c r="CA289" s="77">
        <v>1</v>
      </c>
      <c r="CB289" s="78"/>
      <c r="CC289" s="79">
        <v>4</v>
      </c>
      <c r="CD289" s="80">
        <v>1</v>
      </c>
    </row>
    <row r="290" spans="73:82" ht="22.9" customHeight="1" thickTop="1" thickBot="1" x14ac:dyDescent="0.3"/>
    <row r="291" spans="73:82" ht="22.9" customHeight="1" thickTop="1" thickBot="1" x14ac:dyDescent="0.3">
      <c r="BW291" s="239">
        <f>BW281+1</f>
        <v>20</v>
      </c>
      <c r="BX291" s="240"/>
      <c r="BY291" s="240"/>
      <c r="BZ291" s="240"/>
      <c r="CA291" s="240"/>
      <c r="CB291" s="240"/>
      <c r="CC291" s="241"/>
    </row>
    <row r="292" spans="73:82" ht="22.9" customHeight="1" thickTop="1" x14ac:dyDescent="0.25">
      <c r="BW292" s="115" t="str">
        <f>BX298</f>
        <v>!!!</v>
      </c>
      <c r="BX292" s="116" t="s">
        <v>106</v>
      </c>
      <c r="BY292" s="117" t="s">
        <v>106</v>
      </c>
      <c r="BZ292" s="118" t="s">
        <v>106</v>
      </c>
      <c r="CA292" s="119" t="str">
        <f>Изопрайса</f>
        <v>R</v>
      </c>
      <c r="CB292" s="120" t="str">
        <f>Изопрайса</f>
        <v>R</v>
      </c>
      <c r="CC292" s="121" t="str">
        <f>Изопрайса</f>
        <v>R</v>
      </c>
    </row>
    <row r="293" spans="73:82" ht="22.9" customHeight="1" thickBot="1" x14ac:dyDescent="0.3">
      <c r="BW293" s="46">
        <f ca="1">CD298</f>
        <v>1</v>
      </c>
      <c r="BX293" s="47" t="s">
        <v>106</v>
      </c>
      <c r="BY293" s="48" t="s">
        <v>106</v>
      </c>
      <c r="BZ293" s="49" t="s">
        <v>106</v>
      </c>
      <c r="CA293" s="50" t="str">
        <f>Изопрайса</f>
        <v>R</v>
      </c>
      <c r="CB293" s="51" t="str">
        <f>Изопрайса</f>
        <v>R</v>
      </c>
      <c r="CC293" s="52" t="str">
        <f>Изопрайса</f>
        <v>R</v>
      </c>
    </row>
    <row r="294" spans="73:82" ht="22.9" customHeight="1" thickBot="1" x14ac:dyDescent="0.3">
      <c r="BW294" s="53">
        <f ca="1">Матрица_Расчёт</f>
        <v>0</v>
      </c>
      <c r="BX294" s="54" t="s">
        <v>106</v>
      </c>
      <c r="BY294" s="55" t="s">
        <v>106</v>
      </c>
      <c r="BZ294" s="56" t="s">
        <v>106</v>
      </c>
      <c r="CA294" s="57" t="str">
        <f>Изопрайса</f>
        <v>R</v>
      </c>
      <c r="CB294" s="58" t="str">
        <f>Изопрайса</f>
        <v>R</v>
      </c>
      <c r="CC294" s="59" t="str">
        <f>Изопрайса</f>
        <v>R</v>
      </c>
    </row>
    <row r="295" spans="73:82" ht="22.9" customHeight="1" thickTop="1" thickBot="1" x14ac:dyDescent="0.3"/>
    <row r="296" spans="73:82" ht="22.9" customHeight="1" thickTop="1" thickBot="1" x14ac:dyDescent="0.3">
      <c r="BU296" s="239">
        <f>BU286+2</f>
        <v>39</v>
      </c>
      <c r="BV296" s="240"/>
      <c r="BW296" s="240"/>
      <c r="BX296" s="241"/>
      <c r="BY296" s="5">
        <v>3</v>
      </c>
      <c r="CA296" s="239">
        <f>CA286+2</f>
        <v>40</v>
      </c>
      <c r="CB296" s="240"/>
      <c r="CC296" s="240"/>
      <c r="CD296" s="241"/>
    </row>
    <row r="297" spans="73:82" ht="22.9" customHeight="1" thickTop="1" x14ac:dyDescent="0.25">
      <c r="BU297" s="242" t="s">
        <v>359</v>
      </c>
      <c r="BV297" s="243"/>
      <c r="BW297" s="244"/>
      <c r="BX297" s="122"/>
      <c r="BY297" s="66"/>
      <c r="CA297" s="242" t="s">
        <v>357</v>
      </c>
      <c r="CB297" s="243"/>
      <c r="CC297" s="244"/>
      <c r="CD297" s="122"/>
    </row>
    <row r="298" spans="73:82" ht="22.9" customHeight="1" x14ac:dyDescent="0.25">
      <c r="BU298" s="214">
        <f ca="1">Min_1</f>
        <v>1</v>
      </c>
      <c r="BV298" s="215">
        <f ca="1">Mid_1</f>
        <v>4</v>
      </c>
      <c r="BW298" s="216">
        <f ca="1">Max_1</f>
        <v>1</v>
      </c>
      <c r="BX298" s="217" t="str">
        <f>Приведение</f>
        <v>!!!</v>
      </c>
      <c r="BY298" s="66"/>
      <c r="CA298" s="81">
        <f ca="1">Min_1</f>
        <v>1</v>
      </c>
      <c r="CB298" s="82">
        <f ca="1">Mid_1</f>
        <v>2.5</v>
      </c>
      <c r="CC298" s="83">
        <f ca="1">Max_1</f>
        <v>4</v>
      </c>
      <c r="CD298" s="76">
        <f ca="1">Приведение</f>
        <v>1</v>
      </c>
    </row>
    <row r="299" spans="73:82" ht="22.9" customHeight="1" thickBot="1" x14ac:dyDescent="0.3">
      <c r="BU299" s="218" t="e">
        <f>VLOOKUP(BW291,#REF!,2,FALSE)</f>
        <v>#REF!</v>
      </c>
      <c r="BV299" s="219" t="e">
        <f>VLOOKUP(BW291,#REF!,3,FALSE)</f>
        <v>#REF!</v>
      </c>
      <c r="BW299" s="220" t="e">
        <f>VLOOKUP(BW291,#REF!,4,FALSE)</f>
        <v>#REF!</v>
      </c>
      <c r="BX299" s="221">
        <v>4</v>
      </c>
      <c r="BY299" s="66"/>
      <c r="CA299" s="77">
        <v>1</v>
      </c>
      <c r="CB299" s="78"/>
      <c r="CC299" s="79">
        <v>4</v>
      </c>
      <c r="CD299" s="80">
        <v>1</v>
      </c>
    </row>
    <row r="300" spans="73:82" ht="22.9" customHeight="1" thickTop="1" thickBot="1" x14ac:dyDescent="0.3"/>
    <row r="301" spans="73:82" ht="22.9" customHeight="1" thickTop="1" thickBot="1" x14ac:dyDescent="0.3">
      <c r="BW301" s="239">
        <f>BW291+1</f>
        <v>21</v>
      </c>
      <c r="BX301" s="240"/>
      <c r="BY301" s="240"/>
      <c r="BZ301" s="240"/>
      <c r="CA301" s="240"/>
      <c r="CB301" s="240"/>
      <c r="CC301" s="241"/>
    </row>
    <row r="302" spans="73:82" ht="22.9" customHeight="1" thickTop="1" x14ac:dyDescent="0.25">
      <c r="BW302" s="115" t="str">
        <f>BX308</f>
        <v>!!!</v>
      </c>
      <c r="BX302" s="116" t="s">
        <v>106</v>
      </c>
      <c r="BY302" s="117" t="s">
        <v>106</v>
      </c>
      <c r="BZ302" s="118" t="s">
        <v>106</v>
      </c>
      <c r="CA302" s="119" t="str">
        <f>Изопрайса</f>
        <v>R</v>
      </c>
      <c r="CB302" s="120" t="str">
        <f>Изопрайса</f>
        <v>R</v>
      </c>
      <c r="CC302" s="121" t="str">
        <f>Изопрайса</f>
        <v>R</v>
      </c>
    </row>
    <row r="303" spans="73:82" ht="22.9" customHeight="1" thickBot="1" x14ac:dyDescent="0.3">
      <c r="BW303" s="46">
        <f ca="1">CD308</f>
        <v>1</v>
      </c>
      <c r="BX303" s="47" t="s">
        <v>106</v>
      </c>
      <c r="BY303" s="48" t="s">
        <v>106</v>
      </c>
      <c r="BZ303" s="49" t="s">
        <v>106</v>
      </c>
      <c r="CA303" s="50" t="str">
        <f>Изопрайса</f>
        <v>R</v>
      </c>
      <c r="CB303" s="51" t="str">
        <f>Изопрайса</f>
        <v>R</v>
      </c>
      <c r="CC303" s="52" t="str">
        <f>Изопрайса</f>
        <v>R</v>
      </c>
    </row>
    <row r="304" spans="73:82" ht="22.9" customHeight="1" thickBot="1" x14ac:dyDescent="0.3">
      <c r="BW304" s="53">
        <f ca="1">Матрица_Расчёт</f>
        <v>0</v>
      </c>
      <c r="BX304" s="54" t="s">
        <v>106</v>
      </c>
      <c r="BY304" s="55" t="s">
        <v>106</v>
      </c>
      <c r="BZ304" s="56" t="s">
        <v>106</v>
      </c>
      <c r="CA304" s="57" t="str">
        <f>Изопрайса</f>
        <v>R</v>
      </c>
      <c r="CB304" s="58" t="str">
        <f>Изопрайса</f>
        <v>R</v>
      </c>
      <c r="CC304" s="59" t="str">
        <f>Изопрайса</f>
        <v>R</v>
      </c>
    </row>
    <row r="305" spans="73:82" ht="22.9" customHeight="1" thickTop="1" thickBot="1" x14ac:dyDescent="0.3"/>
    <row r="306" spans="73:82" ht="22.9" customHeight="1" thickTop="1" thickBot="1" x14ac:dyDescent="0.3">
      <c r="BU306" s="239">
        <f>BU296+2</f>
        <v>41</v>
      </c>
      <c r="BV306" s="240"/>
      <c r="BW306" s="240"/>
      <c r="BX306" s="241"/>
      <c r="BY306" s="5">
        <v>3</v>
      </c>
      <c r="CA306" s="239">
        <f>CA296+2</f>
        <v>42</v>
      </c>
      <c r="CB306" s="240"/>
      <c r="CC306" s="240"/>
      <c r="CD306" s="241"/>
    </row>
    <row r="307" spans="73:82" ht="22.9" customHeight="1" thickTop="1" x14ac:dyDescent="0.25">
      <c r="BU307" s="242" t="s">
        <v>359</v>
      </c>
      <c r="BV307" s="243"/>
      <c r="BW307" s="244"/>
      <c r="BX307" s="122"/>
      <c r="BY307" s="66"/>
      <c r="CA307" s="242" t="s">
        <v>357</v>
      </c>
      <c r="CB307" s="243"/>
      <c r="CC307" s="244"/>
      <c r="CD307" s="122"/>
    </row>
    <row r="308" spans="73:82" ht="22.9" customHeight="1" x14ac:dyDescent="0.25">
      <c r="BU308" s="214">
        <f ca="1">Min_1</f>
        <v>1</v>
      </c>
      <c r="BV308" s="215">
        <f ca="1">Mid_1</f>
        <v>4</v>
      </c>
      <c r="BW308" s="216">
        <f ca="1">Max_1</f>
        <v>1</v>
      </c>
      <c r="BX308" s="217" t="str">
        <f>Приведение</f>
        <v>!!!</v>
      </c>
      <c r="BY308" s="66"/>
      <c r="CA308" s="81">
        <f ca="1">Min_1</f>
        <v>1</v>
      </c>
      <c r="CB308" s="82">
        <f ca="1">Mid_1</f>
        <v>2.5</v>
      </c>
      <c r="CC308" s="83">
        <f ca="1">Max_1</f>
        <v>4</v>
      </c>
      <c r="CD308" s="76">
        <f ca="1">Приведение</f>
        <v>1</v>
      </c>
    </row>
    <row r="309" spans="73:82" ht="22.9" customHeight="1" thickBot="1" x14ac:dyDescent="0.3">
      <c r="BU309" s="218" t="e">
        <f>VLOOKUP(BW301,#REF!,2,FALSE)</f>
        <v>#REF!</v>
      </c>
      <c r="BV309" s="219" t="e">
        <f>VLOOKUP(BW301,#REF!,3,FALSE)</f>
        <v>#REF!</v>
      </c>
      <c r="BW309" s="220" t="e">
        <f>VLOOKUP(BW301,#REF!,4,FALSE)</f>
        <v>#REF!</v>
      </c>
      <c r="BX309" s="221">
        <v>5</v>
      </c>
      <c r="BY309" s="66"/>
      <c r="CA309" s="77">
        <v>1</v>
      </c>
      <c r="CB309" s="78"/>
      <c r="CC309" s="79">
        <v>4</v>
      </c>
      <c r="CD309" s="80">
        <v>1</v>
      </c>
    </row>
    <row r="310" spans="73:82" ht="22.9" customHeight="1" thickTop="1" thickBot="1" x14ac:dyDescent="0.3"/>
    <row r="311" spans="73:82" ht="22.9" customHeight="1" thickTop="1" thickBot="1" x14ac:dyDescent="0.3">
      <c r="BW311" s="239">
        <f>BW301+1</f>
        <v>22</v>
      </c>
      <c r="BX311" s="240"/>
      <c r="BY311" s="240"/>
      <c r="BZ311" s="240"/>
      <c r="CA311" s="240"/>
      <c r="CB311" s="240"/>
      <c r="CC311" s="241"/>
    </row>
    <row r="312" spans="73:82" ht="22.9" customHeight="1" thickTop="1" x14ac:dyDescent="0.25">
      <c r="BW312" s="115" t="str">
        <f>BX318</f>
        <v>!!!</v>
      </c>
      <c r="BX312" s="116" t="s">
        <v>106</v>
      </c>
      <c r="BY312" s="117" t="s">
        <v>106</v>
      </c>
      <c r="BZ312" s="118" t="s">
        <v>106</v>
      </c>
      <c r="CA312" s="119" t="str">
        <f>Изопрайса</f>
        <v>R</v>
      </c>
      <c r="CB312" s="120" t="str">
        <f>Изопрайса</f>
        <v>R</v>
      </c>
      <c r="CC312" s="121" t="str">
        <f>Изопрайса</f>
        <v>R</v>
      </c>
    </row>
    <row r="313" spans="73:82" ht="22.9" customHeight="1" thickBot="1" x14ac:dyDescent="0.3">
      <c r="BW313" s="46">
        <f ca="1">CD318</f>
        <v>1</v>
      </c>
      <c r="BX313" s="47" t="s">
        <v>106</v>
      </c>
      <c r="BY313" s="48" t="s">
        <v>106</v>
      </c>
      <c r="BZ313" s="49" t="s">
        <v>106</v>
      </c>
      <c r="CA313" s="50" t="str">
        <f>Изопрайса</f>
        <v>R</v>
      </c>
      <c r="CB313" s="51" t="str">
        <f>Изопрайса</f>
        <v>R</v>
      </c>
      <c r="CC313" s="52" t="str">
        <f>Изопрайса</f>
        <v>R</v>
      </c>
    </row>
    <row r="314" spans="73:82" ht="22.9" customHeight="1" thickBot="1" x14ac:dyDescent="0.3">
      <c r="BW314" s="53">
        <f ca="1">Матрица_Расчёт</f>
        <v>0</v>
      </c>
      <c r="BX314" s="54" t="s">
        <v>106</v>
      </c>
      <c r="BY314" s="55" t="s">
        <v>106</v>
      </c>
      <c r="BZ314" s="56" t="s">
        <v>106</v>
      </c>
      <c r="CA314" s="57" t="str">
        <f>Изопрайса</f>
        <v>R</v>
      </c>
      <c r="CB314" s="58" t="str">
        <f>Изопрайса</f>
        <v>R</v>
      </c>
      <c r="CC314" s="59" t="str">
        <f>Изопрайса</f>
        <v>R</v>
      </c>
    </row>
    <row r="315" spans="73:82" ht="22.9" customHeight="1" thickTop="1" thickBot="1" x14ac:dyDescent="0.3"/>
    <row r="316" spans="73:82" ht="22.9" customHeight="1" thickTop="1" thickBot="1" x14ac:dyDescent="0.3">
      <c r="BU316" s="239">
        <f>BU306+2</f>
        <v>43</v>
      </c>
      <c r="BV316" s="240"/>
      <c r="BW316" s="240"/>
      <c r="BX316" s="241"/>
      <c r="BY316" s="5">
        <v>3</v>
      </c>
      <c r="CA316" s="239">
        <f>CA306+2</f>
        <v>44</v>
      </c>
      <c r="CB316" s="240"/>
      <c r="CC316" s="240"/>
      <c r="CD316" s="241"/>
    </row>
    <row r="317" spans="73:82" ht="22.9" customHeight="1" thickTop="1" x14ac:dyDescent="0.25">
      <c r="BU317" s="242" t="s">
        <v>359</v>
      </c>
      <c r="BV317" s="243"/>
      <c r="BW317" s="244"/>
      <c r="BX317" s="122"/>
      <c r="BY317" s="66"/>
      <c r="CA317" s="242" t="s">
        <v>357</v>
      </c>
      <c r="CB317" s="243"/>
      <c r="CC317" s="244"/>
      <c r="CD317" s="122"/>
    </row>
    <row r="318" spans="73:82" ht="22.9" customHeight="1" x14ac:dyDescent="0.25">
      <c r="BU318" s="214">
        <f ca="1">Min_1</f>
        <v>1</v>
      </c>
      <c r="BV318" s="215">
        <f ca="1">Mid_1</f>
        <v>4</v>
      </c>
      <c r="BW318" s="216">
        <f ca="1">Max_1</f>
        <v>1</v>
      </c>
      <c r="BX318" s="217" t="str">
        <f>Приведение</f>
        <v>!!!</v>
      </c>
      <c r="BY318" s="66"/>
      <c r="CA318" s="81">
        <f ca="1">Min_1</f>
        <v>1</v>
      </c>
      <c r="CB318" s="82">
        <f ca="1">Mid_1</f>
        <v>2.5</v>
      </c>
      <c r="CC318" s="83">
        <f ca="1">Max_1</f>
        <v>4</v>
      </c>
      <c r="CD318" s="76">
        <f ca="1">Приведение</f>
        <v>1</v>
      </c>
    </row>
    <row r="319" spans="73:82" ht="22.9" customHeight="1" thickBot="1" x14ac:dyDescent="0.3">
      <c r="BU319" s="218" t="e">
        <f>VLOOKUP(BW311,#REF!,2,FALSE)</f>
        <v>#REF!</v>
      </c>
      <c r="BV319" s="219" t="e">
        <f>VLOOKUP(BW311,#REF!,3,FALSE)</f>
        <v>#REF!</v>
      </c>
      <c r="BW319" s="220" t="e">
        <f>VLOOKUP(BW311,#REF!,4,FALSE)</f>
        <v>#REF!</v>
      </c>
      <c r="BX319" s="221">
        <v>2</v>
      </c>
      <c r="BY319" s="66"/>
      <c r="CA319" s="77">
        <v>1</v>
      </c>
      <c r="CB319" s="78"/>
      <c r="CC319" s="79">
        <v>4</v>
      </c>
      <c r="CD319" s="80">
        <v>1</v>
      </c>
    </row>
    <row r="320" spans="73:82" ht="22.9" customHeight="1" thickTop="1" thickBot="1" x14ac:dyDescent="0.3"/>
    <row r="321" spans="73:82" ht="22.9" customHeight="1" thickTop="1" thickBot="1" x14ac:dyDescent="0.3">
      <c r="BW321" s="239">
        <f>BW311+1</f>
        <v>23</v>
      </c>
      <c r="BX321" s="240"/>
      <c r="BY321" s="240"/>
      <c r="BZ321" s="240"/>
      <c r="CA321" s="240"/>
      <c r="CB321" s="240"/>
      <c r="CC321" s="241"/>
    </row>
    <row r="322" spans="73:82" ht="22.9" customHeight="1" thickTop="1" x14ac:dyDescent="0.25">
      <c r="BW322" s="115" t="str">
        <f>BX328</f>
        <v>!!!</v>
      </c>
      <c r="BX322" s="116" t="s">
        <v>106</v>
      </c>
      <c r="BY322" s="117" t="s">
        <v>106</v>
      </c>
      <c r="BZ322" s="118" t="s">
        <v>106</v>
      </c>
      <c r="CA322" s="119" t="str">
        <f>Изопрайса</f>
        <v>R</v>
      </c>
      <c r="CB322" s="120" t="str">
        <f>Изопрайса</f>
        <v>R</v>
      </c>
      <c r="CC322" s="121" t="str">
        <f>Изопрайса</f>
        <v>R</v>
      </c>
    </row>
    <row r="323" spans="73:82" ht="22.9" customHeight="1" thickBot="1" x14ac:dyDescent="0.3">
      <c r="BW323" s="46">
        <f ca="1">CD328</f>
        <v>1</v>
      </c>
      <c r="BX323" s="47" t="s">
        <v>106</v>
      </c>
      <c r="BY323" s="48" t="s">
        <v>106</v>
      </c>
      <c r="BZ323" s="49" t="s">
        <v>106</v>
      </c>
      <c r="CA323" s="50" t="str">
        <f>Изопрайса</f>
        <v>R</v>
      </c>
      <c r="CB323" s="51" t="str">
        <f>Изопрайса</f>
        <v>R</v>
      </c>
      <c r="CC323" s="52" t="str">
        <f>Изопрайса</f>
        <v>R</v>
      </c>
    </row>
    <row r="324" spans="73:82" ht="22.9" customHeight="1" thickBot="1" x14ac:dyDescent="0.3">
      <c r="BW324" s="53">
        <f ca="1">Матрица_Расчёт</f>
        <v>0</v>
      </c>
      <c r="BX324" s="54" t="s">
        <v>106</v>
      </c>
      <c r="BY324" s="55" t="s">
        <v>106</v>
      </c>
      <c r="BZ324" s="56" t="s">
        <v>106</v>
      </c>
      <c r="CA324" s="57" t="str">
        <f>Изопрайса</f>
        <v>R</v>
      </c>
      <c r="CB324" s="58" t="str">
        <f>Изопрайса</f>
        <v>R</v>
      </c>
      <c r="CC324" s="59" t="str">
        <f>Изопрайса</f>
        <v>R</v>
      </c>
    </row>
    <row r="325" spans="73:82" ht="22.9" customHeight="1" thickTop="1" thickBot="1" x14ac:dyDescent="0.3"/>
    <row r="326" spans="73:82" ht="22.9" customHeight="1" thickTop="1" thickBot="1" x14ac:dyDescent="0.3">
      <c r="BU326" s="239">
        <f>BU316+2</f>
        <v>45</v>
      </c>
      <c r="BV326" s="240"/>
      <c r="BW326" s="240"/>
      <c r="BX326" s="241"/>
      <c r="BY326" s="5">
        <v>3</v>
      </c>
      <c r="CA326" s="239">
        <f>CA316+2</f>
        <v>46</v>
      </c>
      <c r="CB326" s="240"/>
      <c r="CC326" s="240"/>
      <c r="CD326" s="241"/>
    </row>
    <row r="327" spans="73:82" ht="22.9" customHeight="1" thickTop="1" x14ac:dyDescent="0.25">
      <c r="BU327" s="242" t="s">
        <v>359</v>
      </c>
      <c r="BV327" s="243"/>
      <c r="BW327" s="244"/>
      <c r="BX327" s="122"/>
      <c r="BY327" s="66"/>
      <c r="CA327" s="242" t="s">
        <v>357</v>
      </c>
      <c r="CB327" s="243"/>
      <c r="CC327" s="244"/>
      <c r="CD327" s="122"/>
    </row>
    <row r="328" spans="73:82" ht="22.9" customHeight="1" x14ac:dyDescent="0.25">
      <c r="BU328" s="214">
        <f ca="1">Min_1</f>
        <v>1</v>
      </c>
      <c r="BV328" s="215">
        <f ca="1">Mid_1</f>
        <v>4</v>
      </c>
      <c r="BW328" s="216">
        <f ca="1">Max_1</f>
        <v>1</v>
      </c>
      <c r="BX328" s="217" t="str">
        <f>Приведение</f>
        <v>!!!</v>
      </c>
      <c r="BY328" s="66"/>
      <c r="CA328" s="81">
        <f ca="1">Min_1</f>
        <v>1</v>
      </c>
      <c r="CB328" s="82">
        <f ca="1">Mid_1</f>
        <v>2.5</v>
      </c>
      <c r="CC328" s="83">
        <f ca="1">Max_1</f>
        <v>4</v>
      </c>
      <c r="CD328" s="76">
        <f ca="1">Приведение</f>
        <v>1</v>
      </c>
    </row>
    <row r="329" spans="73:82" ht="22.9" customHeight="1" thickBot="1" x14ac:dyDescent="0.3">
      <c r="BU329" s="218" t="e">
        <f>VLOOKUP(BW321,#REF!,2,FALSE)</f>
        <v>#REF!</v>
      </c>
      <c r="BV329" s="219" t="e">
        <f>VLOOKUP(BW321,#REF!,3,FALSE)</f>
        <v>#REF!</v>
      </c>
      <c r="BW329" s="220" t="e">
        <f>VLOOKUP(BW321,#REF!,4,FALSE)</f>
        <v>#REF!</v>
      </c>
      <c r="BX329" s="221" t="e">
        <f>IF(BY326=1,BU329,IF(BY326=2,(BV329+BU329)/2,IF(BY326=3, BV329,IF(BY326=4,(BW329+BV329)/2,BW329))))</f>
        <v>#REF!</v>
      </c>
      <c r="BY329" s="66"/>
      <c r="CA329" s="77">
        <v>1</v>
      </c>
      <c r="CB329" s="78"/>
      <c r="CC329" s="79">
        <v>4</v>
      </c>
      <c r="CD329" s="80">
        <v>1</v>
      </c>
    </row>
    <row r="330" spans="73:82" ht="22.9" customHeight="1" thickTop="1" thickBot="1" x14ac:dyDescent="0.3"/>
    <row r="331" spans="73:82" ht="22.9" customHeight="1" thickTop="1" thickBot="1" x14ac:dyDescent="0.3">
      <c r="BW331" s="239">
        <f>BW321+1</f>
        <v>24</v>
      </c>
      <c r="BX331" s="240"/>
      <c r="BY331" s="240"/>
      <c r="BZ331" s="240"/>
      <c r="CA331" s="240"/>
      <c r="CB331" s="240"/>
      <c r="CC331" s="241"/>
    </row>
    <row r="332" spans="73:82" ht="22.9" customHeight="1" thickTop="1" x14ac:dyDescent="0.25">
      <c r="BW332" s="115" t="str">
        <f>BX338</f>
        <v>!!!</v>
      </c>
      <c r="BX332" s="116" t="s">
        <v>106</v>
      </c>
      <c r="BY332" s="117" t="s">
        <v>106</v>
      </c>
      <c r="BZ332" s="118" t="s">
        <v>106</v>
      </c>
      <c r="CA332" s="119" t="str">
        <f>Изопрайса</f>
        <v>R</v>
      </c>
      <c r="CB332" s="120" t="str">
        <f>Изопрайса</f>
        <v>R</v>
      </c>
      <c r="CC332" s="121" t="str">
        <f>Изопрайса</f>
        <v>R</v>
      </c>
    </row>
    <row r="333" spans="73:82" ht="22.9" customHeight="1" thickBot="1" x14ac:dyDescent="0.3">
      <c r="BW333" s="46">
        <f ca="1">CD338</f>
        <v>1</v>
      </c>
      <c r="BX333" s="47" t="s">
        <v>106</v>
      </c>
      <c r="BY333" s="48" t="s">
        <v>106</v>
      </c>
      <c r="BZ333" s="49" t="s">
        <v>106</v>
      </c>
      <c r="CA333" s="50" t="str">
        <f>Изопрайса</f>
        <v>R</v>
      </c>
      <c r="CB333" s="51" t="str">
        <f>Изопрайса</f>
        <v>R</v>
      </c>
      <c r="CC333" s="52" t="str">
        <f>Изопрайса</f>
        <v>R</v>
      </c>
    </row>
    <row r="334" spans="73:82" ht="22.9" customHeight="1" thickBot="1" x14ac:dyDescent="0.3">
      <c r="BW334" s="53">
        <f ca="1">Матрица_Расчёт</f>
        <v>0</v>
      </c>
      <c r="BX334" s="54" t="s">
        <v>106</v>
      </c>
      <c r="BY334" s="55" t="s">
        <v>106</v>
      </c>
      <c r="BZ334" s="56" t="s">
        <v>106</v>
      </c>
      <c r="CA334" s="57" t="str">
        <f>Изопрайса</f>
        <v>R</v>
      </c>
      <c r="CB334" s="58" t="str">
        <f>Изопрайса</f>
        <v>R</v>
      </c>
      <c r="CC334" s="59" t="str">
        <f>Изопрайса</f>
        <v>R</v>
      </c>
    </row>
    <row r="335" spans="73:82" ht="22.9" customHeight="1" thickTop="1" thickBot="1" x14ac:dyDescent="0.3"/>
    <row r="336" spans="73:82" ht="22.9" customHeight="1" thickTop="1" thickBot="1" x14ac:dyDescent="0.3">
      <c r="BU336" s="239">
        <f>BU326+2</f>
        <v>47</v>
      </c>
      <c r="BV336" s="240"/>
      <c r="BW336" s="240"/>
      <c r="BX336" s="241"/>
      <c r="BY336" s="5">
        <v>3</v>
      </c>
      <c r="CA336" s="239">
        <f>CA326+2</f>
        <v>48</v>
      </c>
      <c r="CB336" s="240"/>
      <c r="CC336" s="240"/>
      <c r="CD336" s="241"/>
    </row>
    <row r="337" spans="73:82" ht="22.9" customHeight="1" thickTop="1" x14ac:dyDescent="0.25">
      <c r="BU337" s="242" t="s">
        <v>359</v>
      </c>
      <c r="BV337" s="243"/>
      <c r="BW337" s="244"/>
      <c r="BX337" s="122"/>
      <c r="BY337" s="66"/>
      <c r="CA337" s="242" t="s">
        <v>357</v>
      </c>
      <c r="CB337" s="243"/>
      <c r="CC337" s="244"/>
      <c r="CD337" s="122"/>
    </row>
    <row r="338" spans="73:82" ht="22.9" customHeight="1" x14ac:dyDescent="0.25">
      <c r="BU338" s="214">
        <f ca="1">Min_1</f>
        <v>1</v>
      </c>
      <c r="BV338" s="215">
        <f ca="1">Mid_1</f>
        <v>4</v>
      </c>
      <c r="BW338" s="216">
        <f ca="1">Max_1</f>
        <v>1</v>
      </c>
      <c r="BX338" s="217" t="str">
        <f>Приведение</f>
        <v>!!!</v>
      </c>
      <c r="BY338" s="66"/>
      <c r="CA338" s="81">
        <f ca="1">Min_1</f>
        <v>1</v>
      </c>
      <c r="CB338" s="82">
        <f ca="1">Mid_1</f>
        <v>2.5</v>
      </c>
      <c r="CC338" s="83">
        <f ca="1">Max_1</f>
        <v>4</v>
      </c>
      <c r="CD338" s="76">
        <f ca="1">Приведение</f>
        <v>1</v>
      </c>
    </row>
    <row r="339" spans="73:82" ht="22.9" customHeight="1" thickBot="1" x14ac:dyDescent="0.3">
      <c r="BU339" s="218" t="e">
        <f>VLOOKUP(BW331,#REF!,2,FALSE)</f>
        <v>#REF!</v>
      </c>
      <c r="BV339" s="219" t="e">
        <f>VLOOKUP(BW331,#REF!,3,FALSE)</f>
        <v>#REF!</v>
      </c>
      <c r="BW339" s="220" t="e">
        <f>VLOOKUP(BW331,#REF!,4,FALSE)</f>
        <v>#REF!</v>
      </c>
      <c r="BX339" s="221">
        <v>1</v>
      </c>
      <c r="BY339" s="66"/>
      <c r="CA339" s="77">
        <v>1</v>
      </c>
      <c r="CB339" s="78"/>
      <c r="CC339" s="79">
        <v>4</v>
      </c>
      <c r="CD339" s="80">
        <v>1</v>
      </c>
    </row>
    <row r="340" spans="73:82" ht="22.9" customHeight="1" thickTop="1" thickBot="1" x14ac:dyDescent="0.3"/>
    <row r="341" spans="73:82" ht="22.9" customHeight="1" thickTop="1" thickBot="1" x14ac:dyDescent="0.3">
      <c r="BW341" s="239">
        <f>BW331+1</f>
        <v>25</v>
      </c>
      <c r="BX341" s="240"/>
      <c r="BY341" s="240"/>
      <c r="BZ341" s="240"/>
      <c r="CA341" s="240"/>
      <c r="CB341" s="240"/>
      <c r="CC341" s="241"/>
    </row>
    <row r="342" spans="73:82" ht="22.9" customHeight="1" thickTop="1" x14ac:dyDescent="0.25">
      <c r="BW342" s="115" t="str">
        <f>BX348</f>
        <v>!!!</v>
      </c>
      <c r="BX342" s="116" t="s">
        <v>106</v>
      </c>
      <c r="BY342" s="117" t="s">
        <v>106</v>
      </c>
      <c r="BZ342" s="118" t="s">
        <v>106</v>
      </c>
      <c r="CA342" s="119" t="str">
        <f>Изопрайса</f>
        <v>R</v>
      </c>
      <c r="CB342" s="120" t="str">
        <f>Изопрайса</f>
        <v>R</v>
      </c>
      <c r="CC342" s="121" t="str">
        <f>Изопрайса</f>
        <v>R</v>
      </c>
    </row>
    <row r="343" spans="73:82" ht="22.9" customHeight="1" thickBot="1" x14ac:dyDescent="0.3">
      <c r="BW343" s="46">
        <f ca="1">CD348</f>
        <v>1</v>
      </c>
      <c r="BX343" s="47" t="s">
        <v>106</v>
      </c>
      <c r="BY343" s="48" t="s">
        <v>106</v>
      </c>
      <c r="BZ343" s="49" t="s">
        <v>106</v>
      </c>
      <c r="CA343" s="50" t="str">
        <f>Изопрайса</f>
        <v>R</v>
      </c>
      <c r="CB343" s="51" t="str">
        <f>Изопрайса</f>
        <v>R</v>
      </c>
      <c r="CC343" s="52" t="str">
        <f>Изопрайса</f>
        <v>R</v>
      </c>
    </row>
    <row r="344" spans="73:82" ht="22.9" customHeight="1" thickBot="1" x14ac:dyDescent="0.3">
      <c r="BW344" s="53">
        <f ca="1">Матрица_Расчёт</f>
        <v>0</v>
      </c>
      <c r="BX344" s="54" t="s">
        <v>106</v>
      </c>
      <c r="BY344" s="55" t="s">
        <v>106</v>
      </c>
      <c r="BZ344" s="56" t="s">
        <v>106</v>
      </c>
      <c r="CA344" s="57" t="str">
        <f>Изопрайса</f>
        <v>R</v>
      </c>
      <c r="CB344" s="58" t="str">
        <f>Изопрайса</f>
        <v>R</v>
      </c>
      <c r="CC344" s="59" t="str">
        <f>Изопрайса</f>
        <v>R</v>
      </c>
    </row>
    <row r="345" spans="73:82" ht="22.9" customHeight="1" thickTop="1" thickBot="1" x14ac:dyDescent="0.3"/>
    <row r="346" spans="73:82" ht="22.9" customHeight="1" thickTop="1" thickBot="1" x14ac:dyDescent="0.3">
      <c r="BU346" s="239">
        <f>BU336+2</f>
        <v>49</v>
      </c>
      <c r="BV346" s="240"/>
      <c r="BW346" s="240"/>
      <c r="BX346" s="241"/>
      <c r="BY346" s="5">
        <v>3</v>
      </c>
      <c r="CA346" s="239">
        <f>CA336+2</f>
        <v>50</v>
      </c>
      <c r="CB346" s="240"/>
      <c r="CC346" s="240"/>
      <c r="CD346" s="241"/>
    </row>
    <row r="347" spans="73:82" ht="22.9" customHeight="1" thickTop="1" x14ac:dyDescent="0.25">
      <c r="BU347" s="242" t="s">
        <v>359</v>
      </c>
      <c r="BV347" s="243"/>
      <c r="BW347" s="244"/>
      <c r="BX347" s="122"/>
      <c r="BY347" s="66"/>
      <c r="CA347" s="242" t="s">
        <v>357</v>
      </c>
      <c r="CB347" s="243"/>
      <c r="CC347" s="244"/>
      <c r="CD347" s="122"/>
    </row>
    <row r="348" spans="73:82" ht="22.9" customHeight="1" x14ac:dyDescent="0.25">
      <c r="BU348" s="214">
        <f ca="1">Min_1</f>
        <v>1</v>
      </c>
      <c r="BV348" s="215">
        <f ca="1">Mid_1</f>
        <v>4</v>
      </c>
      <c r="BW348" s="216">
        <f ca="1">Max_1</f>
        <v>1</v>
      </c>
      <c r="BX348" s="217" t="str">
        <f>Приведение</f>
        <v>!!!</v>
      </c>
      <c r="BY348" s="66"/>
      <c r="CA348" s="81">
        <f ca="1">Min_1</f>
        <v>1</v>
      </c>
      <c r="CB348" s="82">
        <f ca="1">Mid_1</f>
        <v>2.5</v>
      </c>
      <c r="CC348" s="83">
        <f ca="1">Max_1</f>
        <v>4</v>
      </c>
      <c r="CD348" s="76">
        <f ca="1">Приведение</f>
        <v>1</v>
      </c>
    </row>
    <row r="349" spans="73:82" ht="22.9" customHeight="1" thickBot="1" x14ac:dyDescent="0.3">
      <c r="BU349" s="218" t="e">
        <f>VLOOKUP(BW341,#REF!,2,FALSE)</f>
        <v>#REF!</v>
      </c>
      <c r="BV349" s="219" t="e">
        <f>VLOOKUP(BW341,#REF!,3,FALSE)</f>
        <v>#REF!</v>
      </c>
      <c r="BW349" s="220" t="e">
        <f>VLOOKUP(BW341,#REF!,4,FALSE)</f>
        <v>#REF!</v>
      </c>
      <c r="BX349" s="221">
        <v>2</v>
      </c>
      <c r="BY349" s="66"/>
      <c r="CA349" s="77">
        <v>1</v>
      </c>
      <c r="CB349" s="78"/>
      <c r="CC349" s="79">
        <v>4</v>
      </c>
      <c r="CD349" s="80">
        <v>1</v>
      </c>
    </row>
    <row r="350" spans="73:82" ht="22.9" customHeight="1" thickTop="1" thickBot="1" x14ac:dyDescent="0.3"/>
    <row r="351" spans="73:82" ht="22.9" customHeight="1" thickTop="1" thickBot="1" x14ac:dyDescent="0.3">
      <c r="BW351" s="239">
        <f>BW341+1</f>
        <v>26</v>
      </c>
      <c r="BX351" s="240"/>
      <c r="BY351" s="240"/>
      <c r="BZ351" s="240"/>
      <c r="CA351" s="240"/>
      <c r="CB351" s="240"/>
      <c r="CC351" s="241"/>
    </row>
    <row r="352" spans="73:82" ht="22.9" customHeight="1" thickTop="1" x14ac:dyDescent="0.25">
      <c r="BW352" s="115" t="str">
        <f>BX358</f>
        <v>!!!</v>
      </c>
      <c r="BX352" s="116" t="s">
        <v>106</v>
      </c>
      <c r="BY352" s="117" t="s">
        <v>106</v>
      </c>
      <c r="BZ352" s="118" t="s">
        <v>106</v>
      </c>
      <c r="CA352" s="119" t="str">
        <f>Изопрайса</f>
        <v>R</v>
      </c>
      <c r="CB352" s="120" t="str">
        <f>Изопрайса</f>
        <v>R</v>
      </c>
      <c r="CC352" s="121" t="str">
        <f>Изопрайса</f>
        <v>R</v>
      </c>
    </row>
    <row r="353" spans="73:82" ht="22.9" customHeight="1" thickBot="1" x14ac:dyDescent="0.3">
      <c r="BW353" s="46">
        <f ca="1">CD358</f>
        <v>1</v>
      </c>
      <c r="BX353" s="47" t="s">
        <v>106</v>
      </c>
      <c r="BY353" s="48" t="s">
        <v>106</v>
      </c>
      <c r="BZ353" s="49" t="s">
        <v>106</v>
      </c>
      <c r="CA353" s="50" t="str">
        <f>Изопрайса</f>
        <v>R</v>
      </c>
      <c r="CB353" s="51" t="str">
        <f>Изопрайса</f>
        <v>R</v>
      </c>
      <c r="CC353" s="52" t="str">
        <f>Изопрайса</f>
        <v>R</v>
      </c>
    </row>
    <row r="354" spans="73:82" ht="22.9" customHeight="1" thickBot="1" x14ac:dyDescent="0.3">
      <c r="BW354" s="53">
        <f ca="1">Матрица_Расчёт</f>
        <v>0</v>
      </c>
      <c r="BX354" s="54" t="s">
        <v>106</v>
      </c>
      <c r="BY354" s="55" t="s">
        <v>106</v>
      </c>
      <c r="BZ354" s="56" t="s">
        <v>106</v>
      </c>
      <c r="CA354" s="57" t="str">
        <f>Изопрайса</f>
        <v>R</v>
      </c>
      <c r="CB354" s="58" t="str">
        <f>Изопрайса</f>
        <v>R</v>
      </c>
      <c r="CC354" s="59" t="str">
        <f>Изопрайса</f>
        <v>R</v>
      </c>
    </row>
    <row r="355" spans="73:82" ht="22.9" customHeight="1" thickTop="1" thickBot="1" x14ac:dyDescent="0.3"/>
    <row r="356" spans="73:82" ht="22.9" customHeight="1" thickTop="1" thickBot="1" x14ac:dyDescent="0.3">
      <c r="BU356" s="239">
        <f>BU346+2</f>
        <v>51</v>
      </c>
      <c r="BV356" s="240"/>
      <c r="BW356" s="240"/>
      <c r="BX356" s="241"/>
      <c r="BY356" s="5">
        <v>3</v>
      </c>
      <c r="CA356" s="239">
        <f>CA346+2</f>
        <v>52</v>
      </c>
      <c r="CB356" s="240"/>
      <c r="CC356" s="240"/>
      <c r="CD356" s="241"/>
    </row>
    <row r="357" spans="73:82" ht="22.9" customHeight="1" thickTop="1" x14ac:dyDescent="0.25">
      <c r="BU357" s="242" t="s">
        <v>359</v>
      </c>
      <c r="BV357" s="243"/>
      <c r="BW357" s="244"/>
      <c r="BX357" s="122"/>
      <c r="BY357" s="66"/>
      <c r="CA357" s="242" t="s">
        <v>357</v>
      </c>
      <c r="CB357" s="243"/>
      <c r="CC357" s="244"/>
      <c r="CD357" s="122"/>
    </row>
    <row r="358" spans="73:82" ht="22.9" customHeight="1" x14ac:dyDescent="0.25">
      <c r="BU358" s="214">
        <f ca="1">Min_1</f>
        <v>1</v>
      </c>
      <c r="BV358" s="215">
        <f ca="1">Mid_1</f>
        <v>4</v>
      </c>
      <c r="BW358" s="216">
        <f ca="1">Max_1</f>
        <v>1</v>
      </c>
      <c r="BX358" s="217" t="str">
        <f>Приведение</f>
        <v>!!!</v>
      </c>
      <c r="BY358" s="66"/>
      <c r="CA358" s="81">
        <f ca="1">Min_1</f>
        <v>1</v>
      </c>
      <c r="CB358" s="82">
        <f ca="1">Mid_1</f>
        <v>2.5</v>
      </c>
      <c r="CC358" s="83">
        <f ca="1">Max_1</f>
        <v>4</v>
      </c>
      <c r="CD358" s="76">
        <f ca="1">Приведение</f>
        <v>1</v>
      </c>
    </row>
    <row r="359" spans="73:82" ht="22.9" customHeight="1" thickBot="1" x14ac:dyDescent="0.3">
      <c r="BU359" s="218" t="e">
        <f>VLOOKUP(BW351,#REF!,2,FALSE)</f>
        <v>#REF!</v>
      </c>
      <c r="BV359" s="219" t="e">
        <f>VLOOKUP(BW351,#REF!,3,FALSE)</f>
        <v>#REF!</v>
      </c>
      <c r="BW359" s="220" t="e">
        <f>VLOOKUP(BW351,#REF!,4,FALSE)</f>
        <v>#REF!</v>
      </c>
      <c r="BX359" s="221">
        <v>2.5</v>
      </c>
      <c r="BY359" s="66"/>
      <c r="CA359" s="77">
        <v>1</v>
      </c>
      <c r="CB359" s="78"/>
      <c r="CC359" s="79">
        <v>4</v>
      </c>
      <c r="CD359" s="80">
        <v>1</v>
      </c>
    </row>
    <row r="360" spans="73:82" ht="22.9" customHeight="1" thickTop="1" thickBot="1" x14ac:dyDescent="0.3"/>
    <row r="361" spans="73:82" ht="22.9" customHeight="1" thickTop="1" thickBot="1" x14ac:dyDescent="0.3">
      <c r="BW361" s="239">
        <f>BW351+1</f>
        <v>27</v>
      </c>
      <c r="BX361" s="240"/>
      <c r="BY361" s="240"/>
      <c r="BZ361" s="240"/>
      <c r="CA361" s="240"/>
      <c r="CB361" s="240"/>
      <c r="CC361" s="241"/>
    </row>
    <row r="362" spans="73:82" ht="22.9" customHeight="1" thickTop="1" x14ac:dyDescent="0.25">
      <c r="BW362" s="115" t="str">
        <f>BX368</f>
        <v>!!!</v>
      </c>
      <c r="BX362" s="116" t="s">
        <v>106</v>
      </c>
      <c r="BY362" s="117" t="s">
        <v>106</v>
      </c>
      <c r="BZ362" s="118" t="s">
        <v>106</v>
      </c>
      <c r="CA362" s="119" t="str">
        <f>Изопрайса</f>
        <v>R</v>
      </c>
      <c r="CB362" s="120" t="str">
        <f>Изопрайса</f>
        <v>R</v>
      </c>
      <c r="CC362" s="121" t="str">
        <f>Изопрайса</f>
        <v>R</v>
      </c>
    </row>
    <row r="363" spans="73:82" ht="22.9" customHeight="1" thickBot="1" x14ac:dyDescent="0.3">
      <c r="BW363" s="46">
        <f ca="1">CD368</f>
        <v>1</v>
      </c>
      <c r="BX363" s="47" t="s">
        <v>106</v>
      </c>
      <c r="BY363" s="48" t="s">
        <v>106</v>
      </c>
      <c r="BZ363" s="49" t="s">
        <v>106</v>
      </c>
      <c r="CA363" s="50" t="str">
        <f>Изопрайса</f>
        <v>R</v>
      </c>
      <c r="CB363" s="51" t="str">
        <f>Изопрайса</f>
        <v>R</v>
      </c>
      <c r="CC363" s="52" t="str">
        <f>Изопрайса</f>
        <v>R</v>
      </c>
    </row>
    <row r="364" spans="73:82" ht="22.9" customHeight="1" thickBot="1" x14ac:dyDescent="0.3">
      <c r="BW364" s="53">
        <f ca="1">Матрица_Расчёт</f>
        <v>0</v>
      </c>
      <c r="BX364" s="54" t="s">
        <v>106</v>
      </c>
      <c r="BY364" s="55" t="s">
        <v>106</v>
      </c>
      <c r="BZ364" s="56" t="s">
        <v>106</v>
      </c>
      <c r="CA364" s="57" t="str">
        <f>Изопрайса</f>
        <v>R</v>
      </c>
      <c r="CB364" s="58" t="str">
        <f>Изопрайса</f>
        <v>R</v>
      </c>
      <c r="CC364" s="59" t="str">
        <f>Изопрайса</f>
        <v>R</v>
      </c>
    </row>
    <row r="365" spans="73:82" ht="22.9" customHeight="1" thickTop="1" thickBot="1" x14ac:dyDescent="0.3"/>
    <row r="366" spans="73:82" ht="22.9" customHeight="1" thickTop="1" thickBot="1" x14ac:dyDescent="0.3">
      <c r="BU366" s="239">
        <f>BU356+2</f>
        <v>53</v>
      </c>
      <c r="BV366" s="240"/>
      <c r="BW366" s="240"/>
      <c r="BX366" s="241"/>
      <c r="BY366" s="5">
        <v>3</v>
      </c>
      <c r="CA366" s="239">
        <f>CA356+2</f>
        <v>54</v>
      </c>
      <c r="CB366" s="240"/>
      <c r="CC366" s="240"/>
      <c r="CD366" s="241"/>
    </row>
    <row r="367" spans="73:82" ht="22.9" customHeight="1" thickTop="1" x14ac:dyDescent="0.25">
      <c r="BU367" s="242" t="s">
        <v>359</v>
      </c>
      <c r="BV367" s="243"/>
      <c r="BW367" s="244"/>
      <c r="BX367" s="122"/>
      <c r="BY367" s="66"/>
      <c r="CA367" s="242" t="s">
        <v>357</v>
      </c>
      <c r="CB367" s="243"/>
      <c r="CC367" s="244"/>
      <c r="CD367" s="122"/>
    </row>
    <row r="368" spans="73:82" ht="22.9" customHeight="1" x14ac:dyDescent="0.25">
      <c r="BU368" s="214">
        <f ca="1">Min_1</f>
        <v>1</v>
      </c>
      <c r="BV368" s="215">
        <f ca="1">Mid_1</f>
        <v>4</v>
      </c>
      <c r="BW368" s="216">
        <f ca="1">Max_1</f>
        <v>1</v>
      </c>
      <c r="BX368" s="217" t="str">
        <f>Приведение</f>
        <v>!!!</v>
      </c>
      <c r="BY368" s="66"/>
      <c r="CA368" s="81">
        <f ca="1">Min_1</f>
        <v>1</v>
      </c>
      <c r="CB368" s="82">
        <f ca="1">Mid_1</f>
        <v>2.5</v>
      </c>
      <c r="CC368" s="83">
        <f ca="1">Max_1</f>
        <v>4</v>
      </c>
      <c r="CD368" s="76">
        <f ca="1">Приведение</f>
        <v>1</v>
      </c>
    </row>
    <row r="369" spans="73:82" ht="22.9" customHeight="1" thickBot="1" x14ac:dyDescent="0.3">
      <c r="BU369" s="218" t="e">
        <f>VLOOKUP(BW361,#REF!,2,FALSE)</f>
        <v>#REF!</v>
      </c>
      <c r="BV369" s="219" t="e">
        <f>VLOOKUP(BW361,#REF!,3,FALSE)</f>
        <v>#REF!</v>
      </c>
      <c r="BW369" s="220" t="e">
        <f>VLOOKUP(BW361,#REF!,4,FALSE)</f>
        <v>#REF!</v>
      </c>
      <c r="BX369" s="221">
        <v>3</v>
      </c>
      <c r="BY369" s="66"/>
      <c r="CA369" s="77">
        <v>1</v>
      </c>
      <c r="CB369" s="78"/>
      <c r="CC369" s="79">
        <v>4</v>
      </c>
      <c r="CD369" s="80">
        <v>1</v>
      </c>
    </row>
    <row r="370" spans="73:82" ht="22.9" customHeight="1" thickTop="1" thickBot="1" x14ac:dyDescent="0.3"/>
    <row r="371" spans="73:82" ht="22.9" customHeight="1" thickTop="1" thickBot="1" x14ac:dyDescent="0.3">
      <c r="BW371" s="239">
        <f>BW361+1</f>
        <v>28</v>
      </c>
      <c r="BX371" s="240"/>
      <c r="BY371" s="240"/>
      <c r="BZ371" s="240"/>
      <c r="CA371" s="240"/>
      <c r="CB371" s="240"/>
      <c r="CC371" s="241"/>
    </row>
    <row r="372" spans="73:82" ht="22.9" customHeight="1" thickTop="1" x14ac:dyDescent="0.25">
      <c r="BW372" s="115" t="str">
        <f>BX378</f>
        <v>!!!</v>
      </c>
      <c r="BX372" s="116" t="s">
        <v>106</v>
      </c>
      <c r="BY372" s="117" t="s">
        <v>106</v>
      </c>
      <c r="BZ372" s="118" t="s">
        <v>106</v>
      </c>
      <c r="CA372" s="119" t="str">
        <f>Изопрайса</f>
        <v>R</v>
      </c>
      <c r="CB372" s="120" t="str">
        <f>Изопрайса</f>
        <v>R</v>
      </c>
      <c r="CC372" s="121" t="str">
        <f>Изопрайса</f>
        <v>R</v>
      </c>
    </row>
    <row r="373" spans="73:82" ht="22.9" customHeight="1" thickBot="1" x14ac:dyDescent="0.3">
      <c r="BW373" s="46">
        <f ca="1">CD378</f>
        <v>1</v>
      </c>
      <c r="BX373" s="47" t="s">
        <v>106</v>
      </c>
      <c r="BY373" s="48" t="s">
        <v>106</v>
      </c>
      <c r="BZ373" s="49" t="s">
        <v>106</v>
      </c>
      <c r="CA373" s="50" t="str">
        <f>Изопрайса</f>
        <v>R</v>
      </c>
      <c r="CB373" s="51" t="str">
        <f>Изопрайса</f>
        <v>R</v>
      </c>
      <c r="CC373" s="52" t="str">
        <f>Изопрайса</f>
        <v>R</v>
      </c>
    </row>
    <row r="374" spans="73:82" ht="22.9" customHeight="1" thickBot="1" x14ac:dyDescent="0.3">
      <c r="BW374" s="53">
        <f ca="1">Матрица_Расчёт</f>
        <v>0</v>
      </c>
      <c r="BX374" s="54" t="s">
        <v>106</v>
      </c>
      <c r="BY374" s="55" t="s">
        <v>106</v>
      </c>
      <c r="BZ374" s="56" t="s">
        <v>106</v>
      </c>
      <c r="CA374" s="57" t="str">
        <f>Изопрайса</f>
        <v>R</v>
      </c>
      <c r="CB374" s="58" t="str">
        <f>Изопрайса</f>
        <v>R</v>
      </c>
      <c r="CC374" s="59" t="str">
        <f>Изопрайса</f>
        <v>R</v>
      </c>
    </row>
    <row r="375" spans="73:82" ht="22.9" customHeight="1" thickTop="1" thickBot="1" x14ac:dyDescent="0.3"/>
    <row r="376" spans="73:82" ht="22.9" customHeight="1" thickTop="1" thickBot="1" x14ac:dyDescent="0.3">
      <c r="BU376" s="239">
        <f>BU366+2</f>
        <v>55</v>
      </c>
      <c r="BV376" s="240"/>
      <c r="BW376" s="240"/>
      <c r="BX376" s="241"/>
      <c r="BY376" s="5">
        <v>3</v>
      </c>
      <c r="CA376" s="239">
        <f>CA366+2</f>
        <v>56</v>
      </c>
      <c r="CB376" s="240"/>
      <c r="CC376" s="240"/>
      <c r="CD376" s="241"/>
    </row>
    <row r="377" spans="73:82" ht="22.9" customHeight="1" thickTop="1" x14ac:dyDescent="0.25">
      <c r="BU377" s="242" t="s">
        <v>359</v>
      </c>
      <c r="BV377" s="243"/>
      <c r="BW377" s="244"/>
      <c r="BX377" s="122"/>
      <c r="BY377" s="66"/>
      <c r="CA377" s="242" t="s">
        <v>357</v>
      </c>
      <c r="CB377" s="243"/>
      <c r="CC377" s="244"/>
      <c r="CD377" s="122"/>
    </row>
    <row r="378" spans="73:82" ht="22.9" customHeight="1" x14ac:dyDescent="0.25">
      <c r="BU378" s="214">
        <f ca="1">Min_1</f>
        <v>1</v>
      </c>
      <c r="BV378" s="215">
        <f ca="1">Mid_1</f>
        <v>4</v>
      </c>
      <c r="BW378" s="216">
        <f ca="1">Max_1</f>
        <v>1</v>
      </c>
      <c r="BX378" s="217" t="str">
        <f>Приведение</f>
        <v>!!!</v>
      </c>
      <c r="BY378" s="66"/>
      <c r="CA378" s="81">
        <f ca="1">Min_1</f>
        <v>1</v>
      </c>
      <c r="CB378" s="82">
        <f ca="1">Mid_1</f>
        <v>2.5</v>
      </c>
      <c r="CC378" s="83">
        <f ca="1">Max_1</f>
        <v>4</v>
      </c>
      <c r="CD378" s="76">
        <f ca="1">Приведение</f>
        <v>1</v>
      </c>
    </row>
    <row r="379" spans="73:82" ht="22.9" customHeight="1" thickBot="1" x14ac:dyDescent="0.3">
      <c r="BU379" s="218" t="e">
        <f>VLOOKUP(BW371,#REF!,2,FALSE)</f>
        <v>#REF!</v>
      </c>
      <c r="BV379" s="219" t="e">
        <f>VLOOKUP(BW371,#REF!,3,FALSE)</f>
        <v>#REF!</v>
      </c>
      <c r="BW379" s="220" t="e">
        <f>VLOOKUP(BW371,#REF!,4,FALSE)</f>
        <v>#REF!</v>
      </c>
      <c r="BX379" s="221">
        <v>3</v>
      </c>
      <c r="BY379" s="66"/>
      <c r="CA379" s="77">
        <v>1</v>
      </c>
      <c r="CB379" s="78"/>
      <c r="CC379" s="79">
        <v>4</v>
      </c>
      <c r="CD379" s="80">
        <v>1</v>
      </c>
    </row>
    <row r="380" spans="73:82" ht="22.9" customHeight="1" thickTop="1" thickBot="1" x14ac:dyDescent="0.3"/>
    <row r="381" spans="73:82" ht="22.9" customHeight="1" thickTop="1" thickBot="1" x14ac:dyDescent="0.3">
      <c r="BW381" s="239">
        <f>BW371+1</f>
        <v>29</v>
      </c>
      <c r="BX381" s="240"/>
      <c r="BY381" s="240"/>
      <c r="BZ381" s="240"/>
      <c r="CA381" s="240"/>
      <c r="CB381" s="240"/>
      <c r="CC381" s="241"/>
    </row>
    <row r="382" spans="73:82" ht="22.9" customHeight="1" thickTop="1" x14ac:dyDescent="0.25">
      <c r="BW382" s="115" t="str">
        <f>BX388</f>
        <v>!!!</v>
      </c>
      <c r="BX382" s="116" t="s">
        <v>106</v>
      </c>
      <c r="BY382" s="117" t="s">
        <v>106</v>
      </c>
      <c r="BZ382" s="118" t="s">
        <v>106</v>
      </c>
      <c r="CA382" s="119" t="str">
        <f>Изопрайса</f>
        <v>R</v>
      </c>
      <c r="CB382" s="120" t="str">
        <f>Изопрайса</f>
        <v>R</v>
      </c>
      <c r="CC382" s="121" t="str">
        <f>Изопрайса</f>
        <v>R</v>
      </c>
    </row>
    <row r="383" spans="73:82" ht="22.9" customHeight="1" thickBot="1" x14ac:dyDescent="0.3">
      <c r="BW383" s="46">
        <f ca="1">CD388</f>
        <v>1</v>
      </c>
      <c r="BX383" s="47" t="s">
        <v>106</v>
      </c>
      <c r="BY383" s="48" t="s">
        <v>106</v>
      </c>
      <c r="BZ383" s="49" t="s">
        <v>106</v>
      </c>
      <c r="CA383" s="50" t="str">
        <f>Изопрайса</f>
        <v>R</v>
      </c>
      <c r="CB383" s="51" t="str">
        <f>Изопрайса</f>
        <v>R</v>
      </c>
      <c r="CC383" s="52" t="str">
        <f>Изопрайса</f>
        <v>R</v>
      </c>
    </row>
    <row r="384" spans="73:82" ht="22.9" customHeight="1" thickBot="1" x14ac:dyDescent="0.3">
      <c r="BW384" s="53">
        <f ca="1">Матрица_Расчёт</f>
        <v>0</v>
      </c>
      <c r="BX384" s="54" t="s">
        <v>106</v>
      </c>
      <c r="BY384" s="55" t="s">
        <v>106</v>
      </c>
      <c r="BZ384" s="56" t="s">
        <v>106</v>
      </c>
      <c r="CA384" s="57" t="str">
        <f>Изопрайса</f>
        <v>R</v>
      </c>
      <c r="CB384" s="58" t="str">
        <f>Изопрайса</f>
        <v>R</v>
      </c>
      <c r="CC384" s="59" t="str">
        <f>Изопрайса</f>
        <v>R</v>
      </c>
    </row>
    <row r="385" spans="73:82" ht="22.9" customHeight="1" thickTop="1" thickBot="1" x14ac:dyDescent="0.3"/>
    <row r="386" spans="73:82" ht="22.9" customHeight="1" thickTop="1" thickBot="1" x14ac:dyDescent="0.3">
      <c r="BU386" s="239">
        <f>BU376+2</f>
        <v>57</v>
      </c>
      <c r="BV386" s="240"/>
      <c r="BW386" s="240"/>
      <c r="BX386" s="241"/>
      <c r="BY386" s="5">
        <v>3</v>
      </c>
      <c r="CA386" s="239">
        <f>CA376+2</f>
        <v>58</v>
      </c>
      <c r="CB386" s="240"/>
      <c r="CC386" s="240"/>
      <c r="CD386" s="241"/>
    </row>
    <row r="387" spans="73:82" ht="22.9" customHeight="1" thickTop="1" x14ac:dyDescent="0.25">
      <c r="BU387" s="242" t="s">
        <v>359</v>
      </c>
      <c r="BV387" s="243"/>
      <c r="BW387" s="244"/>
      <c r="BX387" s="122"/>
      <c r="BY387" s="66"/>
      <c r="CA387" s="242" t="s">
        <v>357</v>
      </c>
      <c r="CB387" s="243"/>
      <c r="CC387" s="244"/>
      <c r="CD387" s="122"/>
    </row>
    <row r="388" spans="73:82" ht="22.9" customHeight="1" x14ac:dyDescent="0.25">
      <c r="BU388" s="214">
        <f ca="1">Min_1</f>
        <v>1</v>
      </c>
      <c r="BV388" s="215">
        <f ca="1">Mid_1</f>
        <v>4</v>
      </c>
      <c r="BW388" s="216">
        <f ca="1">Max_1</f>
        <v>1</v>
      </c>
      <c r="BX388" s="217" t="str">
        <f>Приведение</f>
        <v>!!!</v>
      </c>
      <c r="BY388" s="66"/>
      <c r="CA388" s="81">
        <f ca="1">Min_1</f>
        <v>1</v>
      </c>
      <c r="CB388" s="82">
        <f ca="1">Mid_1</f>
        <v>2.5</v>
      </c>
      <c r="CC388" s="83">
        <f ca="1">Max_1</f>
        <v>4</v>
      </c>
      <c r="CD388" s="76">
        <f ca="1">Приведение</f>
        <v>1</v>
      </c>
    </row>
    <row r="389" spans="73:82" ht="22.9" customHeight="1" thickBot="1" x14ac:dyDescent="0.3">
      <c r="BU389" s="218" t="e">
        <f>VLOOKUP(BW381,#REF!,2,FALSE)</f>
        <v>#REF!</v>
      </c>
      <c r="BV389" s="219" t="e">
        <f>VLOOKUP(BW381,#REF!,3,FALSE)</f>
        <v>#REF!</v>
      </c>
      <c r="BW389" s="220" t="e">
        <f>VLOOKUP(BW381,#REF!,4,FALSE)</f>
        <v>#REF!</v>
      </c>
      <c r="BX389" s="221">
        <v>4</v>
      </c>
      <c r="BY389" s="66"/>
      <c r="CA389" s="77">
        <v>1</v>
      </c>
      <c r="CB389" s="78"/>
      <c r="CC389" s="79">
        <v>4</v>
      </c>
      <c r="CD389" s="80">
        <v>1</v>
      </c>
    </row>
    <row r="390" spans="73:82" ht="22.9" customHeight="1" thickTop="1" thickBot="1" x14ac:dyDescent="0.3"/>
    <row r="391" spans="73:82" ht="22.9" customHeight="1" thickTop="1" thickBot="1" x14ac:dyDescent="0.3">
      <c r="BW391" s="239">
        <f>BW381+1</f>
        <v>30</v>
      </c>
      <c r="BX391" s="240"/>
      <c r="BY391" s="240"/>
      <c r="BZ391" s="240"/>
      <c r="CA391" s="240"/>
      <c r="CB391" s="240"/>
      <c r="CC391" s="241"/>
    </row>
    <row r="392" spans="73:82" ht="22.9" customHeight="1" thickTop="1" x14ac:dyDescent="0.25">
      <c r="BW392" s="115" t="str">
        <f>BX398</f>
        <v>!!!</v>
      </c>
      <c r="BX392" s="116" t="s">
        <v>106</v>
      </c>
      <c r="BY392" s="117" t="s">
        <v>106</v>
      </c>
      <c r="BZ392" s="118" t="s">
        <v>106</v>
      </c>
      <c r="CA392" s="119" t="str">
        <f>Изопрайса</f>
        <v>R</v>
      </c>
      <c r="CB392" s="120" t="str">
        <f>Изопрайса</f>
        <v>R</v>
      </c>
      <c r="CC392" s="121" t="str">
        <f>Изопрайса</f>
        <v>R</v>
      </c>
    </row>
    <row r="393" spans="73:82" ht="22.9" customHeight="1" thickBot="1" x14ac:dyDescent="0.3">
      <c r="BW393" s="46">
        <f ca="1">CD398</f>
        <v>1</v>
      </c>
      <c r="BX393" s="47" t="s">
        <v>106</v>
      </c>
      <c r="BY393" s="48" t="s">
        <v>106</v>
      </c>
      <c r="BZ393" s="49" t="s">
        <v>106</v>
      </c>
      <c r="CA393" s="50" t="str">
        <f>Изопрайса</f>
        <v>R</v>
      </c>
      <c r="CB393" s="51" t="str">
        <f>Изопрайса</f>
        <v>R</v>
      </c>
      <c r="CC393" s="52" t="str">
        <f>Изопрайса</f>
        <v>R</v>
      </c>
    </row>
    <row r="394" spans="73:82" ht="22.9" customHeight="1" thickBot="1" x14ac:dyDescent="0.3">
      <c r="BW394" s="53">
        <f ca="1">Матрица_Расчёт</f>
        <v>0</v>
      </c>
      <c r="BX394" s="54" t="s">
        <v>106</v>
      </c>
      <c r="BY394" s="55" t="s">
        <v>106</v>
      </c>
      <c r="BZ394" s="56" t="s">
        <v>106</v>
      </c>
      <c r="CA394" s="57" t="str">
        <f>Изопрайса</f>
        <v>R</v>
      </c>
      <c r="CB394" s="58" t="str">
        <f>Изопрайса</f>
        <v>R</v>
      </c>
      <c r="CC394" s="59" t="str">
        <f>Изопрайса</f>
        <v>R</v>
      </c>
    </row>
    <row r="395" spans="73:82" ht="22.9" customHeight="1" thickTop="1" thickBot="1" x14ac:dyDescent="0.3"/>
    <row r="396" spans="73:82" ht="22.9" customHeight="1" thickTop="1" thickBot="1" x14ac:dyDescent="0.3">
      <c r="BU396" s="239">
        <f>BU386+2</f>
        <v>59</v>
      </c>
      <c r="BV396" s="240"/>
      <c r="BW396" s="240"/>
      <c r="BX396" s="241"/>
      <c r="BY396" s="5">
        <v>3</v>
      </c>
      <c r="CA396" s="239">
        <f>CA386+2</f>
        <v>60</v>
      </c>
      <c r="CB396" s="240"/>
      <c r="CC396" s="240"/>
      <c r="CD396" s="241"/>
    </row>
    <row r="397" spans="73:82" ht="22.9" customHeight="1" thickTop="1" x14ac:dyDescent="0.25">
      <c r="BU397" s="242" t="s">
        <v>359</v>
      </c>
      <c r="BV397" s="243"/>
      <c r="BW397" s="244"/>
      <c r="BX397" s="122"/>
      <c r="BY397" s="66"/>
      <c r="CA397" s="242" t="s">
        <v>357</v>
      </c>
      <c r="CB397" s="243"/>
      <c r="CC397" s="244"/>
      <c r="CD397" s="122"/>
    </row>
    <row r="398" spans="73:82" ht="22.9" customHeight="1" x14ac:dyDescent="0.25">
      <c r="BU398" s="214">
        <f ca="1">Min_1</f>
        <v>1</v>
      </c>
      <c r="BV398" s="215">
        <f ca="1">Mid_1</f>
        <v>4</v>
      </c>
      <c r="BW398" s="216">
        <f ca="1">Max_1</f>
        <v>1</v>
      </c>
      <c r="BX398" s="217" t="str">
        <f>Приведение</f>
        <v>!!!</v>
      </c>
      <c r="BY398" s="66"/>
      <c r="CA398" s="81">
        <f ca="1">Min_1</f>
        <v>1</v>
      </c>
      <c r="CB398" s="82">
        <f ca="1">Mid_1</f>
        <v>2.5</v>
      </c>
      <c r="CC398" s="83">
        <f ca="1">Max_1</f>
        <v>4</v>
      </c>
      <c r="CD398" s="76">
        <f ca="1">Приведение</f>
        <v>1</v>
      </c>
    </row>
    <row r="399" spans="73:82" ht="22.9" customHeight="1" thickBot="1" x14ac:dyDescent="0.3">
      <c r="BU399" s="218" t="e">
        <f>VLOOKUP(BW391,#REF!,2,FALSE)</f>
        <v>#REF!</v>
      </c>
      <c r="BV399" s="219" t="e">
        <f>VLOOKUP(BW391,#REF!,3,FALSE)</f>
        <v>#REF!</v>
      </c>
      <c r="BW399" s="220" t="e">
        <f>VLOOKUP(BW391,#REF!,4,FALSE)</f>
        <v>#REF!</v>
      </c>
      <c r="BX399" s="221">
        <v>5</v>
      </c>
      <c r="BY399" s="66"/>
      <c r="CA399" s="77">
        <v>1</v>
      </c>
      <c r="CB399" s="78"/>
      <c r="CC399" s="79">
        <v>4</v>
      </c>
      <c r="CD399" s="80">
        <v>1</v>
      </c>
    </row>
    <row r="400" spans="73:82" ht="22.9" customHeight="1" thickTop="1" thickBot="1" x14ac:dyDescent="0.3"/>
    <row r="401" spans="73:82" ht="22.9" customHeight="1" thickTop="1" thickBot="1" x14ac:dyDescent="0.3">
      <c r="BW401" s="239">
        <f>BW391+1</f>
        <v>31</v>
      </c>
      <c r="BX401" s="240"/>
      <c r="BY401" s="240"/>
      <c r="BZ401" s="240"/>
      <c r="CA401" s="240"/>
      <c r="CB401" s="240"/>
      <c r="CC401" s="241"/>
    </row>
    <row r="402" spans="73:82" ht="22.9" customHeight="1" thickTop="1" x14ac:dyDescent="0.25">
      <c r="BW402" s="115" t="str">
        <f>BX408</f>
        <v>!!!</v>
      </c>
      <c r="BX402" s="116" t="s">
        <v>106</v>
      </c>
      <c r="BY402" s="117" t="s">
        <v>106</v>
      </c>
      <c r="BZ402" s="118" t="s">
        <v>106</v>
      </c>
      <c r="CA402" s="119" t="str">
        <f>Изопрайса</f>
        <v>R</v>
      </c>
      <c r="CB402" s="120" t="str">
        <f>Изопрайса</f>
        <v>R</v>
      </c>
      <c r="CC402" s="121" t="str">
        <f>Изопрайса</f>
        <v>R</v>
      </c>
    </row>
    <row r="403" spans="73:82" ht="22.9" customHeight="1" thickBot="1" x14ac:dyDescent="0.3">
      <c r="BW403" s="46">
        <f ca="1">CD408</f>
        <v>1</v>
      </c>
      <c r="BX403" s="47" t="s">
        <v>106</v>
      </c>
      <c r="BY403" s="48" t="s">
        <v>106</v>
      </c>
      <c r="BZ403" s="49" t="s">
        <v>106</v>
      </c>
      <c r="CA403" s="50" t="str">
        <f>Изопрайса</f>
        <v>R</v>
      </c>
      <c r="CB403" s="51" t="str">
        <f>Изопрайса</f>
        <v>R</v>
      </c>
      <c r="CC403" s="52" t="str">
        <f>Изопрайса</f>
        <v>R</v>
      </c>
    </row>
    <row r="404" spans="73:82" ht="22.9" customHeight="1" thickBot="1" x14ac:dyDescent="0.3">
      <c r="BW404" s="53">
        <f ca="1">Матрица_Расчёт</f>
        <v>0</v>
      </c>
      <c r="BX404" s="54" t="s">
        <v>106</v>
      </c>
      <c r="BY404" s="55" t="s">
        <v>106</v>
      </c>
      <c r="BZ404" s="56" t="s">
        <v>106</v>
      </c>
      <c r="CA404" s="57" t="str">
        <f>Изопрайса</f>
        <v>R</v>
      </c>
      <c r="CB404" s="58" t="str">
        <f>Изопрайса</f>
        <v>R</v>
      </c>
      <c r="CC404" s="59" t="str">
        <f>Изопрайса</f>
        <v>R</v>
      </c>
    </row>
    <row r="405" spans="73:82" ht="22.9" customHeight="1" thickTop="1" thickBot="1" x14ac:dyDescent="0.3"/>
    <row r="406" spans="73:82" ht="22.9" customHeight="1" thickTop="1" thickBot="1" x14ac:dyDescent="0.3">
      <c r="BU406" s="239">
        <f>BU396+2</f>
        <v>61</v>
      </c>
      <c r="BV406" s="240"/>
      <c r="BW406" s="240"/>
      <c r="BX406" s="241"/>
      <c r="BY406" s="5">
        <v>3</v>
      </c>
      <c r="CA406" s="239">
        <f>CA396+2</f>
        <v>62</v>
      </c>
      <c r="CB406" s="240"/>
      <c r="CC406" s="240"/>
      <c r="CD406" s="241"/>
    </row>
    <row r="407" spans="73:82" ht="22.9" customHeight="1" thickTop="1" x14ac:dyDescent="0.25">
      <c r="BU407" s="242" t="s">
        <v>359</v>
      </c>
      <c r="BV407" s="243"/>
      <c r="BW407" s="244"/>
      <c r="BX407" s="122"/>
      <c r="BY407" s="66"/>
      <c r="CA407" s="242" t="s">
        <v>357</v>
      </c>
      <c r="CB407" s="243"/>
      <c r="CC407" s="244"/>
      <c r="CD407" s="122"/>
    </row>
    <row r="408" spans="73:82" ht="22.9" customHeight="1" x14ac:dyDescent="0.25">
      <c r="BU408" s="214">
        <f ca="1">Min_1</f>
        <v>1</v>
      </c>
      <c r="BV408" s="215">
        <f ca="1">Mid_1</f>
        <v>4</v>
      </c>
      <c r="BW408" s="216">
        <f ca="1">Max_1</f>
        <v>1</v>
      </c>
      <c r="BX408" s="217" t="str">
        <f>Приведение</f>
        <v>!!!</v>
      </c>
      <c r="BY408" s="66"/>
      <c r="CA408" s="81">
        <f ca="1">Min_1</f>
        <v>1</v>
      </c>
      <c r="CB408" s="82">
        <f ca="1">Mid_1</f>
        <v>2.5</v>
      </c>
      <c r="CC408" s="83">
        <f ca="1">Max_1</f>
        <v>4</v>
      </c>
      <c r="CD408" s="76">
        <f ca="1">Приведение</f>
        <v>1</v>
      </c>
    </row>
    <row r="409" spans="73:82" ht="22.9" customHeight="1" thickBot="1" x14ac:dyDescent="0.3">
      <c r="BU409" s="218" t="e">
        <f>VLOOKUP(BW401,#REF!,2,FALSE)</f>
        <v>#REF!</v>
      </c>
      <c r="BV409" s="219" t="e">
        <f>VLOOKUP(BW401,#REF!,3,FALSE)</f>
        <v>#REF!</v>
      </c>
      <c r="BW409" s="220" t="e">
        <f>VLOOKUP(BW401,#REF!,4,FALSE)</f>
        <v>#REF!</v>
      </c>
      <c r="BX409" s="221">
        <v>-1</v>
      </c>
      <c r="BY409" s="66"/>
      <c r="CA409" s="77">
        <v>1</v>
      </c>
      <c r="CB409" s="78"/>
      <c r="CC409" s="79">
        <v>4</v>
      </c>
      <c r="CD409" s="80">
        <v>1</v>
      </c>
    </row>
    <row r="410" spans="73:82" ht="22.9" customHeight="1" thickTop="1" thickBot="1" x14ac:dyDescent="0.3"/>
    <row r="411" spans="73:82" ht="22.9" customHeight="1" thickTop="1" thickBot="1" x14ac:dyDescent="0.3">
      <c r="BW411" s="239">
        <f>BW401+1</f>
        <v>32</v>
      </c>
      <c r="BX411" s="240"/>
      <c r="BY411" s="240"/>
      <c r="BZ411" s="240"/>
      <c r="CA411" s="240"/>
      <c r="CB411" s="240"/>
      <c r="CC411" s="241"/>
    </row>
    <row r="412" spans="73:82" ht="22.9" customHeight="1" thickTop="1" x14ac:dyDescent="0.25">
      <c r="BW412" s="115" t="str">
        <f>BX418</f>
        <v>!!!</v>
      </c>
      <c r="BX412" s="116" t="s">
        <v>106</v>
      </c>
      <c r="BY412" s="117" t="s">
        <v>106</v>
      </c>
      <c r="BZ412" s="118" t="s">
        <v>106</v>
      </c>
      <c r="CA412" s="119" t="str">
        <f>Изопрайса</f>
        <v>R</v>
      </c>
      <c r="CB412" s="120" t="str">
        <f>Изопрайса</f>
        <v>R</v>
      </c>
      <c r="CC412" s="121" t="str">
        <f>Изопрайса</f>
        <v>R</v>
      </c>
    </row>
    <row r="413" spans="73:82" ht="22.9" customHeight="1" thickBot="1" x14ac:dyDescent="0.3">
      <c r="BW413" s="46">
        <f ca="1">CD418</f>
        <v>1</v>
      </c>
      <c r="BX413" s="47" t="s">
        <v>106</v>
      </c>
      <c r="BY413" s="48" t="s">
        <v>106</v>
      </c>
      <c r="BZ413" s="49" t="s">
        <v>106</v>
      </c>
      <c r="CA413" s="50" t="str">
        <f>Изопрайса</f>
        <v>R</v>
      </c>
      <c r="CB413" s="51" t="str">
        <f>Изопрайса</f>
        <v>R</v>
      </c>
      <c r="CC413" s="52" t="str">
        <f>Изопрайса</f>
        <v>R</v>
      </c>
    </row>
    <row r="414" spans="73:82" ht="22.9" customHeight="1" thickBot="1" x14ac:dyDescent="0.3">
      <c r="BW414" s="53">
        <f ca="1">Матрица_Расчёт</f>
        <v>0</v>
      </c>
      <c r="BX414" s="54" t="s">
        <v>106</v>
      </c>
      <c r="BY414" s="55" t="s">
        <v>106</v>
      </c>
      <c r="BZ414" s="56" t="s">
        <v>106</v>
      </c>
      <c r="CA414" s="57" t="str">
        <f>Изопрайса</f>
        <v>R</v>
      </c>
      <c r="CB414" s="58" t="str">
        <f>Изопрайса</f>
        <v>R</v>
      </c>
      <c r="CC414" s="59" t="str">
        <f>Изопрайса</f>
        <v>R</v>
      </c>
    </row>
    <row r="415" spans="73:82" ht="22.9" customHeight="1" thickTop="1" thickBot="1" x14ac:dyDescent="0.3"/>
    <row r="416" spans="73:82" ht="22.9" customHeight="1" thickTop="1" thickBot="1" x14ac:dyDescent="0.3">
      <c r="BU416" s="239">
        <f>BU406+2</f>
        <v>63</v>
      </c>
      <c r="BV416" s="240"/>
      <c r="BW416" s="240"/>
      <c r="BX416" s="241"/>
      <c r="BY416" s="5">
        <v>3</v>
      </c>
      <c r="CA416" s="239">
        <f>CA406+2</f>
        <v>64</v>
      </c>
      <c r="CB416" s="240"/>
      <c r="CC416" s="240"/>
      <c r="CD416" s="241"/>
    </row>
    <row r="417" spans="73:82" ht="22.9" customHeight="1" thickTop="1" x14ac:dyDescent="0.25">
      <c r="BU417" s="242" t="s">
        <v>359</v>
      </c>
      <c r="BV417" s="243"/>
      <c r="BW417" s="244"/>
      <c r="BX417" s="122"/>
      <c r="BY417" s="66"/>
      <c r="CA417" s="242" t="s">
        <v>357</v>
      </c>
      <c r="CB417" s="243"/>
      <c r="CC417" s="244"/>
      <c r="CD417" s="122"/>
    </row>
    <row r="418" spans="73:82" ht="22.9" customHeight="1" x14ac:dyDescent="0.25">
      <c r="BU418" s="214">
        <f ca="1">Min_1</f>
        <v>1</v>
      </c>
      <c r="BV418" s="215">
        <f ca="1">Mid_1</f>
        <v>4</v>
      </c>
      <c r="BW418" s="216">
        <f ca="1">Max_1</f>
        <v>1</v>
      </c>
      <c r="BX418" s="217" t="str">
        <f>Приведение</f>
        <v>!!!</v>
      </c>
      <c r="BY418" s="66"/>
      <c r="CA418" s="81">
        <f ca="1">Min_1</f>
        <v>1</v>
      </c>
      <c r="CB418" s="82">
        <f ca="1">Mid_1</f>
        <v>2.5</v>
      </c>
      <c r="CC418" s="83">
        <f ca="1">Max_1</f>
        <v>4</v>
      </c>
      <c r="CD418" s="76">
        <f ca="1">Приведение</f>
        <v>1</v>
      </c>
    </row>
    <row r="419" spans="73:82" ht="22.9" customHeight="1" thickBot="1" x14ac:dyDescent="0.3">
      <c r="BU419" s="218" t="e">
        <f>VLOOKUP(BW411,#REF!,2,FALSE)</f>
        <v>#REF!</v>
      </c>
      <c r="BV419" s="219" t="e">
        <f>VLOOKUP(BW411,#REF!,3,FALSE)</f>
        <v>#REF!</v>
      </c>
      <c r="BW419" s="220" t="e">
        <f>VLOOKUP(BW411,#REF!,4,FALSE)</f>
        <v>#REF!</v>
      </c>
      <c r="BX419" s="221" t="e">
        <f>IF(BY416=1,BU419,IF(BY416=2,(BV419+BU419)/2,IF(BY416=3, BV419,IF(BY416=4,(BW419+BV419)/2,BW419))))</f>
        <v>#REF!</v>
      </c>
      <c r="BY419" s="66"/>
      <c r="CA419" s="77">
        <v>1</v>
      </c>
      <c r="CB419" s="78"/>
      <c r="CC419" s="79">
        <v>4</v>
      </c>
      <c r="CD419" s="80">
        <v>1</v>
      </c>
    </row>
    <row r="420" spans="73:82" ht="22.9" customHeight="1" thickTop="1" thickBot="1" x14ac:dyDescent="0.3"/>
    <row r="421" spans="73:82" ht="22.9" customHeight="1" thickTop="1" thickBot="1" x14ac:dyDescent="0.3">
      <c r="BW421" s="239">
        <f>BW411+1</f>
        <v>33</v>
      </c>
      <c r="BX421" s="240"/>
      <c r="BY421" s="240"/>
      <c r="BZ421" s="240"/>
      <c r="CA421" s="240"/>
      <c r="CB421" s="240"/>
      <c r="CC421" s="241"/>
    </row>
    <row r="422" spans="73:82" ht="22.9" customHeight="1" thickTop="1" x14ac:dyDescent="0.25">
      <c r="BW422" s="115" t="str">
        <f>BX428</f>
        <v>!!!</v>
      </c>
      <c r="BX422" s="116" t="s">
        <v>106</v>
      </c>
      <c r="BY422" s="117" t="s">
        <v>106</v>
      </c>
      <c r="BZ422" s="118" t="s">
        <v>106</v>
      </c>
      <c r="CA422" s="119" t="str">
        <f>Изопрайса</f>
        <v>R</v>
      </c>
      <c r="CB422" s="120" t="str">
        <f>Изопрайса</f>
        <v>R</v>
      </c>
      <c r="CC422" s="121" t="str">
        <f>Изопрайса</f>
        <v>R</v>
      </c>
    </row>
    <row r="423" spans="73:82" ht="22.9" customHeight="1" thickBot="1" x14ac:dyDescent="0.3">
      <c r="BW423" s="46">
        <f ca="1">CD428</f>
        <v>1</v>
      </c>
      <c r="BX423" s="47" t="s">
        <v>106</v>
      </c>
      <c r="BY423" s="48" t="s">
        <v>106</v>
      </c>
      <c r="BZ423" s="49" t="s">
        <v>106</v>
      </c>
      <c r="CA423" s="50" t="str">
        <f>Изопрайса</f>
        <v>R</v>
      </c>
      <c r="CB423" s="51" t="str">
        <f>Изопрайса</f>
        <v>R</v>
      </c>
      <c r="CC423" s="52" t="str">
        <f>Изопрайса</f>
        <v>R</v>
      </c>
    </row>
    <row r="424" spans="73:82" ht="22.9" customHeight="1" thickBot="1" x14ac:dyDescent="0.3">
      <c r="BW424" s="53">
        <f ca="1">Матрица_Расчёт</f>
        <v>0</v>
      </c>
      <c r="BX424" s="54" t="s">
        <v>106</v>
      </c>
      <c r="BY424" s="55" t="s">
        <v>106</v>
      </c>
      <c r="BZ424" s="56" t="s">
        <v>106</v>
      </c>
      <c r="CA424" s="57" t="str">
        <f>Изопрайса</f>
        <v>R</v>
      </c>
      <c r="CB424" s="58" t="str">
        <f>Изопрайса</f>
        <v>R</v>
      </c>
      <c r="CC424" s="59" t="str">
        <f>Изопрайса</f>
        <v>R</v>
      </c>
    </row>
    <row r="425" spans="73:82" ht="22.9" customHeight="1" thickTop="1" thickBot="1" x14ac:dyDescent="0.3"/>
    <row r="426" spans="73:82" ht="22.9" customHeight="1" thickTop="1" thickBot="1" x14ac:dyDescent="0.3">
      <c r="BU426" s="239">
        <f>BU416+2</f>
        <v>65</v>
      </c>
      <c r="BV426" s="240"/>
      <c r="BW426" s="240"/>
      <c r="BX426" s="241"/>
      <c r="BY426" s="5">
        <v>3</v>
      </c>
      <c r="CA426" s="239">
        <f>CA416+2</f>
        <v>66</v>
      </c>
      <c r="CB426" s="240"/>
      <c r="CC426" s="240"/>
      <c r="CD426" s="241"/>
    </row>
    <row r="427" spans="73:82" ht="22.9" customHeight="1" thickTop="1" x14ac:dyDescent="0.25">
      <c r="BU427" s="242" t="s">
        <v>359</v>
      </c>
      <c r="BV427" s="243"/>
      <c r="BW427" s="244"/>
      <c r="BX427" s="122"/>
      <c r="BY427" s="66"/>
      <c r="CA427" s="242" t="s">
        <v>357</v>
      </c>
      <c r="CB427" s="243"/>
      <c r="CC427" s="244"/>
      <c r="CD427" s="122"/>
    </row>
    <row r="428" spans="73:82" ht="22.9" customHeight="1" x14ac:dyDescent="0.25">
      <c r="BU428" s="214">
        <f ca="1">Min_1</f>
        <v>1</v>
      </c>
      <c r="BV428" s="215">
        <f ca="1">Mid_1</f>
        <v>4</v>
      </c>
      <c r="BW428" s="216">
        <f ca="1">Max_1</f>
        <v>1</v>
      </c>
      <c r="BX428" s="217" t="str">
        <f>Приведение</f>
        <v>!!!</v>
      </c>
      <c r="BY428" s="66"/>
      <c r="CA428" s="81">
        <f ca="1">Min_1</f>
        <v>1</v>
      </c>
      <c r="CB428" s="82">
        <f ca="1">Mid_1</f>
        <v>2.5</v>
      </c>
      <c r="CC428" s="83">
        <f ca="1">Max_1</f>
        <v>4</v>
      </c>
      <c r="CD428" s="76">
        <f ca="1">Приведение</f>
        <v>1</v>
      </c>
    </row>
    <row r="429" spans="73:82" ht="22.9" customHeight="1" thickBot="1" x14ac:dyDescent="0.3">
      <c r="BU429" s="218" t="e">
        <f>VLOOKUP(BW421,#REF!,2,FALSE)</f>
        <v>#REF!</v>
      </c>
      <c r="BV429" s="219" t="e">
        <f>VLOOKUP(BW421,#REF!,3,FALSE)</f>
        <v>#REF!</v>
      </c>
      <c r="BW429" s="220" t="e">
        <f>VLOOKUP(BW421,#REF!,4,FALSE)</f>
        <v>#REF!</v>
      </c>
      <c r="BX429" s="221">
        <v>2</v>
      </c>
      <c r="BY429" s="66"/>
      <c r="CA429" s="77">
        <v>1</v>
      </c>
      <c r="CB429" s="78"/>
      <c r="CC429" s="79">
        <v>4</v>
      </c>
      <c r="CD429" s="80">
        <v>1</v>
      </c>
    </row>
    <row r="430" spans="73:82" ht="22.9" customHeight="1" thickTop="1" thickBot="1" x14ac:dyDescent="0.3"/>
    <row r="431" spans="73:82" ht="22.9" customHeight="1" thickTop="1" thickBot="1" x14ac:dyDescent="0.3">
      <c r="BW431" s="239">
        <f>BW421+1</f>
        <v>34</v>
      </c>
      <c r="BX431" s="240"/>
      <c r="BY431" s="240"/>
      <c r="BZ431" s="240"/>
      <c r="CA431" s="240"/>
      <c r="CB431" s="240"/>
      <c r="CC431" s="241"/>
    </row>
    <row r="432" spans="73:82" ht="22.9" customHeight="1" thickTop="1" x14ac:dyDescent="0.25">
      <c r="BW432" s="115" t="str">
        <f>BX438</f>
        <v>!!!</v>
      </c>
      <c r="BX432" s="116" t="s">
        <v>106</v>
      </c>
      <c r="BY432" s="117" t="s">
        <v>106</v>
      </c>
      <c r="BZ432" s="118" t="s">
        <v>106</v>
      </c>
      <c r="CA432" s="119" t="str">
        <f>Изопрайса</f>
        <v>R</v>
      </c>
      <c r="CB432" s="120" t="str">
        <f>Изопрайса</f>
        <v>R</v>
      </c>
      <c r="CC432" s="121" t="str">
        <f>Изопрайса</f>
        <v>R</v>
      </c>
    </row>
    <row r="433" spans="73:82" ht="22.9" customHeight="1" thickBot="1" x14ac:dyDescent="0.3">
      <c r="BW433" s="46">
        <f ca="1">CD438</f>
        <v>1</v>
      </c>
      <c r="BX433" s="47" t="s">
        <v>106</v>
      </c>
      <c r="BY433" s="48" t="s">
        <v>106</v>
      </c>
      <c r="BZ433" s="49" t="s">
        <v>106</v>
      </c>
      <c r="CA433" s="50" t="str">
        <f>Изопрайса</f>
        <v>R</v>
      </c>
      <c r="CB433" s="51" t="str">
        <f>Изопрайса</f>
        <v>R</v>
      </c>
      <c r="CC433" s="52" t="str">
        <f>Изопрайса</f>
        <v>R</v>
      </c>
    </row>
    <row r="434" spans="73:82" ht="22.9" customHeight="1" thickBot="1" x14ac:dyDescent="0.3">
      <c r="BW434" s="53">
        <f ca="1">Матрица_Расчёт</f>
        <v>0</v>
      </c>
      <c r="BX434" s="54" t="s">
        <v>106</v>
      </c>
      <c r="BY434" s="55" t="s">
        <v>106</v>
      </c>
      <c r="BZ434" s="56" t="s">
        <v>106</v>
      </c>
      <c r="CA434" s="57" t="str">
        <f>Изопрайса</f>
        <v>R</v>
      </c>
      <c r="CB434" s="58" t="str">
        <f>Изопрайса</f>
        <v>R</v>
      </c>
      <c r="CC434" s="59" t="str">
        <f>Изопрайса</f>
        <v>R</v>
      </c>
    </row>
    <row r="435" spans="73:82" ht="22.9" customHeight="1" thickTop="1" thickBot="1" x14ac:dyDescent="0.3"/>
    <row r="436" spans="73:82" ht="22.9" customHeight="1" thickTop="1" thickBot="1" x14ac:dyDescent="0.3">
      <c r="BU436" s="239">
        <f>BU426+2</f>
        <v>67</v>
      </c>
      <c r="BV436" s="240"/>
      <c r="BW436" s="240"/>
      <c r="BX436" s="241"/>
      <c r="BY436" s="5">
        <v>3</v>
      </c>
      <c r="CA436" s="239">
        <f>CA426+2</f>
        <v>68</v>
      </c>
      <c r="CB436" s="240"/>
      <c r="CC436" s="240"/>
      <c r="CD436" s="241"/>
    </row>
    <row r="437" spans="73:82" ht="22.9" customHeight="1" thickTop="1" x14ac:dyDescent="0.25">
      <c r="BU437" s="242" t="s">
        <v>359</v>
      </c>
      <c r="BV437" s="243"/>
      <c r="BW437" s="244"/>
      <c r="BX437" s="122"/>
      <c r="BY437" s="66"/>
      <c r="CA437" s="242" t="s">
        <v>357</v>
      </c>
      <c r="CB437" s="243"/>
      <c r="CC437" s="244"/>
      <c r="CD437" s="122"/>
    </row>
    <row r="438" spans="73:82" ht="22.9" customHeight="1" x14ac:dyDescent="0.25">
      <c r="BU438" s="214">
        <f ca="1">Min_1</f>
        <v>1</v>
      </c>
      <c r="BV438" s="215">
        <f ca="1">Mid_1</f>
        <v>4</v>
      </c>
      <c r="BW438" s="216">
        <f ca="1">Max_1</f>
        <v>1</v>
      </c>
      <c r="BX438" s="217" t="str">
        <f>Приведение</f>
        <v>!!!</v>
      </c>
      <c r="BY438" s="66"/>
      <c r="CA438" s="81">
        <f ca="1">Min_1</f>
        <v>1</v>
      </c>
      <c r="CB438" s="82">
        <f ca="1">Mid_1</f>
        <v>2.5</v>
      </c>
      <c r="CC438" s="83">
        <f ca="1">Max_1</f>
        <v>4</v>
      </c>
      <c r="CD438" s="76">
        <f ca="1">Приведение</f>
        <v>1</v>
      </c>
    </row>
    <row r="439" spans="73:82" ht="22.9" customHeight="1" thickBot="1" x14ac:dyDescent="0.3">
      <c r="BU439" s="218" t="e">
        <f>VLOOKUP(BW431,#REF!,2,FALSE)</f>
        <v>#REF!</v>
      </c>
      <c r="BV439" s="219" t="e">
        <f>VLOOKUP(BW431,#REF!,3,FALSE)</f>
        <v>#REF!</v>
      </c>
      <c r="BW439" s="220" t="e">
        <f>VLOOKUP(BW431,#REF!,4,FALSE)</f>
        <v>#REF!</v>
      </c>
      <c r="BX439" s="221">
        <v>2</v>
      </c>
      <c r="BY439" s="66"/>
      <c r="CA439" s="77">
        <v>1</v>
      </c>
      <c r="CB439" s="78"/>
      <c r="CC439" s="79">
        <v>4</v>
      </c>
      <c r="CD439" s="80">
        <v>1</v>
      </c>
    </row>
    <row r="440" spans="73:82" ht="22.9" customHeight="1" thickTop="1" thickBot="1" x14ac:dyDescent="0.3"/>
    <row r="441" spans="73:82" ht="22.9" customHeight="1" thickTop="1" thickBot="1" x14ac:dyDescent="0.3">
      <c r="BW441" s="239">
        <f>BW431+1</f>
        <v>35</v>
      </c>
      <c r="BX441" s="240"/>
      <c r="BY441" s="240"/>
      <c r="BZ441" s="240"/>
      <c r="CA441" s="240"/>
      <c r="CB441" s="240"/>
      <c r="CC441" s="241"/>
    </row>
    <row r="442" spans="73:82" ht="22.9" customHeight="1" thickTop="1" x14ac:dyDescent="0.25">
      <c r="BW442" s="115" t="str">
        <f>BX448</f>
        <v>!!!</v>
      </c>
      <c r="BX442" s="116" t="s">
        <v>106</v>
      </c>
      <c r="BY442" s="117" t="s">
        <v>106</v>
      </c>
      <c r="BZ442" s="118" t="s">
        <v>106</v>
      </c>
      <c r="CA442" s="119" t="str">
        <f>Изопрайса</f>
        <v>R</v>
      </c>
      <c r="CB442" s="120" t="str">
        <f>Изопрайса</f>
        <v>R</v>
      </c>
      <c r="CC442" s="121" t="str">
        <f>Изопрайса</f>
        <v>R</v>
      </c>
    </row>
    <row r="443" spans="73:82" ht="22.9" customHeight="1" thickBot="1" x14ac:dyDescent="0.3">
      <c r="BW443" s="46">
        <f ca="1">CD448</f>
        <v>1</v>
      </c>
      <c r="BX443" s="47" t="s">
        <v>106</v>
      </c>
      <c r="BY443" s="48" t="s">
        <v>106</v>
      </c>
      <c r="BZ443" s="49" t="s">
        <v>106</v>
      </c>
      <c r="CA443" s="50" t="str">
        <f>Изопрайса</f>
        <v>R</v>
      </c>
      <c r="CB443" s="51" t="str">
        <f>Изопрайса</f>
        <v>R</v>
      </c>
      <c r="CC443" s="52" t="str">
        <f>Изопрайса</f>
        <v>R</v>
      </c>
    </row>
    <row r="444" spans="73:82" ht="22.9" customHeight="1" thickBot="1" x14ac:dyDescent="0.3">
      <c r="BW444" s="53">
        <f ca="1">Матрица_Расчёт</f>
        <v>0</v>
      </c>
      <c r="BX444" s="54" t="s">
        <v>106</v>
      </c>
      <c r="BY444" s="55" t="s">
        <v>106</v>
      </c>
      <c r="BZ444" s="56" t="s">
        <v>106</v>
      </c>
      <c r="CA444" s="57" t="str">
        <f>Изопрайса</f>
        <v>R</v>
      </c>
      <c r="CB444" s="58" t="str">
        <f>Изопрайса</f>
        <v>R</v>
      </c>
      <c r="CC444" s="59" t="str">
        <f>Изопрайса</f>
        <v>R</v>
      </c>
    </row>
    <row r="445" spans="73:82" ht="22.9" customHeight="1" thickTop="1" thickBot="1" x14ac:dyDescent="0.3"/>
    <row r="446" spans="73:82" ht="22.9" customHeight="1" thickTop="1" thickBot="1" x14ac:dyDescent="0.3">
      <c r="BU446" s="239">
        <f>BU436+2</f>
        <v>69</v>
      </c>
      <c r="BV446" s="240"/>
      <c r="BW446" s="240"/>
      <c r="BX446" s="241"/>
      <c r="BY446" s="5">
        <v>3</v>
      </c>
      <c r="CA446" s="239">
        <f>CA436+2</f>
        <v>70</v>
      </c>
      <c r="CB446" s="240"/>
      <c r="CC446" s="240"/>
      <c r="CD446" s="241"/>
    </row>
    <row r="447" spans="73:82" ht="22.9" customHeight="1" thickTop="1" x14ac:dyDescent="0.25">
      <c r="BU447" s="242" t="s">
        <v>359</v>
      </c>
      <c r="BV447" s="243"/>
      <c r="BW447" s="244"/>
      <c r="BX447" s="122"/>
      <c r="BY447" s="66"/>
      <c r="CA447" s="242" t="s">
        <v>357</v>
      </c>
      <c r="CB447" s="243"/>
      <c r="CC447" s="244"/>
      <c r="CD447" s="122"/>
    </row>
    <row r="448" spans="73:82" ht="22.9" customHeight="1" x14ac:dyDescent="0.25">
      <c r="BU448" s="214">
        <f ca="1">Min_1</f>
        <v>1</v>
      </c>
      <c r="BV448" s="215">
        <f ca="1">Mid_1</f>
        <v>4</v>
      </c>
      <c r="BW448" s="216">
        <f ca="1">Max_1</f>
        <v>1</v>
      </c>
      <c r="BX448" s="217" t="str">
        <f>Приведение</f>
        <v>!!!</v>
      </c>
      <c r="BY448" s="66"/>
      <c r="CA448" s="81">
        <f ca="1">Min_1</f>
        <v>1</v>
      </c>
      <c r="CB448" s="82">
        <f ca="1">Mid_1</f>
        <v>2.5</v>
      </c>
      <c r="CC448" s="83">
        <f ca="1">Max_1</f>
        <v>4</v>
      </c>
      <c r="CD448" s="76">
        <f ca="1">Приведение</f>
        <v>1</v>
      </c>
    </row>
    <row r="449" spans="73:82" ht="22.9" customHeight="1" thickBot="1" x14ac:dyDescent="0.3">
      <c r="BU449" s="218" t="e">
        <f>VLOOKUP(BW441,#REF!,2,FALSE)</f>
        <v>#REF!</v>
      </c>
      <c r="BV449" s="219" t="e">
        <f>VLOOKUP(BW441,#REF!,3,FALSE)</f>
        <v>#REF!</v>
      </c>
      <c r="BW449" s="220" t="e">
        <f>VLOOKUP(BW441,#REF!,4,FALSE)</f>
        <v>#REF!</v>
      </c>
      <c r="BX449" s="221">
        <v>2.5</v>
      </c>
      <c r="BY449" s="66"/>
      <c r="CA449" s="77">
        <v>1</v>
      </c>
      <c r="CB449" s="78"/>
      <c r="CC449" s="79">
        <v>4</v>
      </c>
      <c r="CD449" s="80">
        <v>1</v>
      </c>
    </row>
    <row r="450" spans="73:82" ht="22.9" customHeight="1" thickTop="1" thickBot="1" x14ac:dyDescent="0.3"/>
    <row r="451" spans="73:82" ht="22.9" customHeight="1" thickTop="1" thickBot="1" x14ac:dyDescent="0.3">
      <c r="BW451" s="239">
        <f>BW441+1</f>
        <v>36</v>
      </c>
      <c r="BX451" s="240"/>
      <c r="BY451" s="240"/>
      <c r="BZ451" s="240"/>
      <c r="CA451" s="240"/>
      <c r="CB451" s="240"/>
      <c r="CC451" s="241"/>
    </row>
    <row r="452" spans="73:82" ht="22.9" customHeight="1" thickTop="1" x14ac:dyDescent="0.25">
      <c r="BW452" s="115" t="str">
        <f>BX458</f>
        <v>!!!</v>
      </c>
      <c r="BX452" s="116" t="s">
        <v>106</v>
      </c>
      <c r="BY452" s="117" t="s">
        <v>106</v>
      </c>
      <c r="BZ452" s="118" t="s">
        <v>106</v>
      </c>
      <c r="CA452" s="119" t="str">
        <f>Изопрайса</f>
        <v>R</v>
      </c>
      <c r="CB452" s="120" t="str">
        <f>Изопрайса</f>
        <v>R</v>
      </c>
      <c r="CC452" s="121" t="str">
        <f>Изопрайса</f>
        <v>R</v>
      </c>
    </row>
    <row r="453" spans="73:82" ht="22.9" customHeight="1" thickBot="1" x14ac:dyDescent="0.3">
      <c r="BW453" s="46">
        <f ca="1">CD458</f>
        <v>1</v>
      </c>
      <c r="BX453" s="47" t="s">
        <v>106</v>
      </c>
      <c r="BY453" s="48" t="s">
        <v>106</v>
      </c>
      <c r="BZ453" s="49" t="s">
        <v>106</v>
      </c>
      <c r="CA453" s="50" t="str">
        <f>Изопрайса</f>
        <v>R</v>
      </c>
      <c r="CB453" s="51" t="str">
        <f>Изопрайса</f>
        <v>R</v>
      </c>
      <c r="CC453" s="52" t="str">
        <f>Изопрайса</f>
        <v>R</v>
      </c>
    </row>
    <row r="454" spans="73:82" ht="22.9" customHeight="1" thickBot="1" x14ac:dyDescent="0.3">
      <c r="BW454" s="53">
        <f ca="1">Матрица_Расчёт</f>
        <v>0</v>
      </c>
      <c r="BX454" s="54" t="s">
        <v>106</v>
      </c>
      <c r="BY454" s="55" t="s">
        <v>106</v>
      </c>
      <c r="BZ454" s="56" t="s">
        <v>106</v>
      </c>
      <c r="CA454" s="57" t="str">
        <f>Изопрайса</f>
        <v>R</v>
      </c>
      <c r="CB454" s="58" t="str">
        <f>Изопрайса</f>
        <v>R</v>
      </c>
      <c r="CC454" s="59" t="str">
        <f>Изопрайса</f>
        <v>R</v>
      </c>
    </row>
    <row r="455" spans="73:82" ht="22.9" customHeight="1" thickTop="1" thickBot="1" x14ac:dyDescent="0.3"/>
    <row r="456" spans="73:82" ht="22.9" customHeight="1" thickTop="1" thickBot="1" x14ac:dyDescent="0.3">
      <c r="BU456" s="239">
        <f>BU446+2</f>
        <v>71</v>
      </c>
      <c r="BV456" s="240"/>
      <c r="BW456" s="240"/>
      <c r="BX456" s="241"/>
      <c r="BY456" s="5">
        <v>3</v>
      </c>
      <c r="CA456" s="239">
        <f>CA446+2</f>
        <v>72</v>
      </c>
      <c r="CB456" s="240"/>
      <c r="CC456" s="240"/>
      <c r="CD456" s="241"/>
    </row>
    <row r="457" spans="73:82" ht="22.9" customHeight="1" thickTop="1" x14ac:dyDescent="0.25">
      <c r="BU457" s="242" t="s">
        <v>359</v>
      </c>
      <c r="BV457" s="243"/>
      <c r="BW457" s="244"/>
      <c r="BX457" s="122"/>
      <c r="BY457" s="66"/>
      <c r="CA457" s="242" t="s">
        <v>357</v>
      </c>
      <c r="CB457" s="243"/>
      <c r="CC457" s="244"/>
      <c r="CD457" s="122"/>
    </row>
    <row r="458" spans="73:82" ht="22.9" customHeight="1" x14ac:dyDescent="0.25">
      <c r="BU458" s="214">
        <f ca="1">Min_1</f>
        <v>1</v>
      </c>
      <c r="BV458" s="215">
        <f ca="1">Mid_1</f>
        <v>4</v>
      </c>
      <c r="BW458" s="216">
        <f ca="1">Max_1</f>
        <v>1</v>
      </c>
      <c r="BX458" s="217" t="str">
        <f>Приведение</f>
        <v>!!!</v>
      </c>
      <c r="BY458" s="66"/>
      <c r="CA458" s="81">
        <f ca="1">Min_1</f>
        <v>1</v>
      </c>
      <c r="CB458" s="82">
        <f ca="1">Mid_1</f>
        <v>2.5</v>
      </c>
      <c r="CC458" s="83">
        <f ca="1">Max_1</f>
        <v>4</v>
      </c>
      <c r="CD458" s="76">
        <f ca="1">Приведение</f>
        <v>1</v>
      </c>
    </row>
    <row r="459" spans="73:82" ht="22.9" customHeight="1" thickBot="1" x14ac:dyDescent="0.3">
      <c r="BU459" s="218" t="e">
        <f>VLOOKUP(BW451,#REF!,2,FALSE)</f>
        <v>#REF!</v>
      </c>
      <c r="BV459" s="219" t="e">
        <f>VLOOKUP(BW451,#REF!,3,FALSE)</f>
        <v>#REF!</v>
      </c>
      <c r="BW459" s="220" t="e">
        <f>VLOOKUP(BW451,#REF!,4,FALSE)</f>
        <v>#REF!</v>
      </c>
      <c r="BX459" s="221">
        <v>-1</v>
      </c>
      <c r="BY459" s="66"/>
      <c r="CA459" s="77">
        <v>1</v>
      </c>
      <c r="CB459" s="78"/>
      <c r="CC459" s="79">
        <v>4</v>
      </c>
      <c r="CD459" s="80">
        <v>1</v>
      </c>
    </row>
    <row r="460" spans="73:82" ht="22.9" customHeight="1" thickTop="1" thickBot="1" x14ac:dyDescent="0.3"/>
    <row r="461" spans="73:82" ht="22.9" customHeight="1" thickTop="1" thickBot="1" x14ac:dyDescent="0.3">
      <c r="BW461" s="239">
        <f>BW451+1</f>
        <v>37</v>
      </c>
      <c r="BX461" s="240"/>
      <c r="BY461" s="240"/>
      <c r="BZ461" s="240"/>
      <c r="CA461" s="240"/>
      <c r="CB461" s="240"/>
      <c r="CC461" s="241"/>
    </row>
    <row r="462" spans="73:82" ht="22.9" customHeight="1" thickTop="1" x14ac:dyDescent="0.25">
      <c r="BW462" s="115" t="str">
        <f>BX468</f>
        <v>!!!</v>
      </c>
      <c r="BX462" s="116" t="s">
        <v>106</v>
      </c>
      <c r="BY462" s="117" t="s">
        <v>106</v>
      </c>
      <c r="BZ462" s="118" t="s">
        <v>106</v>
      </c>
      <c r="CA462" s="119" t="str">
        <f>Изопрайса</f>
        <v>R</v>
      </c>
      <c r="CB462" s="120" t="str">
        <f>Изопрайса</f>
        <v>R</v>
      </c>
      <c r="CC462" s="121" t="str">
        <f>Изопрайса</f>
        <v>R</v>
      </c>
    </row>
    <row r="463" spans="73:82" ht="22.9" customHeight="1" thickBot="1" x14ac:dyDescent="0.3">
      <c r="BW463" s="46">
        <f ca="1">CD468</f>
        <v>1</v>
      </c>
      <c r="BX463" s="47" t="s">
        <v>106</v>
      </c>
      <c r="BY463" s="48" t="s">
        <v>106</v>
      </c>
      <c r="BZ463" s="49" t="s">
        <v>106</v>
      </c>
      <c r="CA463" s="50" t="str">
        <f>Изопрайса</f>
        <v>R</v>
      </c>
      <c r="CB463" s="51" t="str">
        <f>Изопрайса</f>
        <v>R</v>
      </c>
      <c r="CC463" s="52" t="str">
        <f>Изопрайса</f>
        <v>R</v>
      </c>
    </row>
    <row r="464" spans="73:82" ht="22.9" customHeight="1" thickBot="1" x14ac:dyDescent="0.3">
      <c r="BW464" s="53">
        <f ca="1">Матрица_Расчёт</f>
        <v>0</v>
      </c>
      <c r="BX464" s="54" t="s">
        <v>106</v>
      </c>
      <c r="BY464" s="55" t="s">
        <v>106</v>
      </c>
      <c r="BZ464" s="56" t="s">
        <v>106</v>
      </c>
      <c r="CA464" s="57" t="str">
        <f>Изопрайса</f>
        <v>R</v>
      </c>
      <c r="CB464" s="58" t="str">
        <f>Изопрайса</f>
        <v>R</v>
      </c>
      <c r="CC464" s="59" t="str">
        <f>Изопрайса</f>
        <v>R</v>
      </c>
    </row>
    <row r="465" spans="73:82" ht="22.9" customHeight="1" thickTop="1" thickBot="1" x14ac:dyDescent="0.3"/>
    <row r="466" spans="73:82" ht="22.9" customHeight="1" thickTop="1" thickBot="1" x14ac:dyDescent="0.3">
      <c r="BU466" s="239">
        <f>BU456+2</f>
        <v>73</v>
      </c>
      <c r="BV466" s="240"/>
      <c r="BW466" s="240"/>
      <c r="BX466" s="241"/>
      <c r="BY466" s="5">
        <v>3</v>
      </c>
      <c r="CA466" s="239">
        <f>CA456+2</f>
        <v>74</v>
      </c>
      <c r="CB466" s="240"/>
      <c r="CC466" s="240"/>
      <c r="CD466" s="241"/>
    </row>
    <row r="467" spans="73:82" ht="22.9" customHeight="1" thickTop="1" x14ac:dyDescent="0.25">
      <c r="BU467" s="242" t="s">
        <v>359</v>
      </c>
      <c r="BV467" s="243"/>
      <c r="BW467" s="244"/>
      <c r="BX467" s="122"/>
      <c r="BY467" s="66"/>
      <c r="CA467" s="242" t="s">
        <v>357</v>
      </c>
      <c r="CB467" s="243"/>
      <c r="CC467" s="244"/>
      <c r="CD467" s="122"/>
    </row>
    <row r="468" spans="73:82" ht="22.9" customHeight="1" x14ac:dyDescent="0.25">
      <c r="BU468" s="214">
        <f ca="1">Min_1</f>
        <v>1</v>
      </c>
      <c r="BV468" s="215">
        <f ca="1">Mid_1</f>
        <v>4</v>
      </c>
      <c r="BW468" s="216">
        <f ca="1">Max_1</f>
        <v>1</v>
      </c>
      <c r="BX468" s="217" t="str">
        <f>Приведение</f>
        <v>!!!</v>
      </c>
      <c r="BY468" s="66"/>
      <c r="CA468" s="81">
        <f ca="1">Min_1</f>
        <v>1</v>
      </c>
      <c r="CB468" s="82">
        <f ca="1">Mid_1</f>
        <v>2.5</v>
      </c>
      <c r="CC468" s="83">
        <f ca="1">Max_1</f>
        <v>4</v>
      </c>
      <c r="CD468" s="76">
        <f ca="1">Приведение</f>
        <v>1</v>
      </c>
    </row>
    <row r="469" spans="73:82" ht="22.9" customHeight="1" thickBot="1" x14ac:dyDescent="0.3">
      <c r="BU469" s="218" t="e">
        <f>VLOOKUP(BW461,#REF!,2,FALSE)</f>
        <v>#REF!</v>
      </c>
      <c r="BV469" s="219" t="e">
        <f>VLOOKUP(BW461,#REF!,3,FALSE)</f>
        <v>#REF!</v>
      </c>
      <c r="BW469" s="220" t="e">
        <f>VLOOKUP(BW461,#REF!,4,FALSE)</f>
        <v>#REF!</v>
      </c>
      <c r="BX469" s="221">
        <v>1</v>
      </c>
      <c r="BY469" s="66"/>
      <c r="CA469" s="77">
        <v>1</v>
      </c>
      <c r="CB469" s="78"/>
      <c r="CC469" s="79">
        <v>4</v>
      </c>
      <c r="CD469" s="80">
        <v>1</v>
      </c>
    </row>
    <row r="470" spans="73:82" ht="22.9" customHeight="1" thickTop="1" thickBot="1" x14ac:dyDescent="0.3"/>
    <row r="471" spans="73:82" ht="22.9" customHeight="1" thickTop="1" thickBot="1" x14ac:dyDescent="0.3">
      <c r="BW471" s="239">
        <f>BW461+1</f>
        <v>38</v>
      </c>
      <c r="BX471" s="240"/>
      <c r="BY471" s="240"/>
      <c r="BZ471" s="240"/>
      <c r="CA471" s="240"/>
      <c r="CB471" s="240"/>
      <c r="CC471" s="241"/>
    </row>
    <row r="472" spans="73:82" ht="22.9" customHeight="1" thickTop="1" x14ac:dyDescent="0.25">
      <c r="BW472" s="115" t="str">
        <f>BX478</f>
        <v>!!!</v>
      </c>
      <c r="BX472" s="116" t="s">
        <v>106</v>
      </c>
      <c r="BY472" s="117" t="s">
        <v>106</v>
      </c>
      <c r="BZ472" s="118" t="s">
        <v>106</v>
      </c>
      <c r="CA472" s="119" t="str">
        <f>Изопрайса</f>
        <v>R</v>
      </c>
      <c r="CB472" s="120" t="str">
        <f>Изопрайса</f>
        <v>R</v>
      </c>
      <c r="CC472" s="121" t="str">
        <f>Изопрайса</f>
        <v>R</v>
      </c>
    </row>
    <row r="473" spans="73:82" ht="22.9" customHeight="1" thickBot="1" x14ac:dyDescent="0.3">
      <c r="BW473" s="46">
        <f ca="1">CD478</f>
        <v>1</v>
      </c>
      <c r="BX473" s="47" t="s">
        <v>106</v>
      </c>
      <c r="BY473" s="48" t="s">
        <v>106</v>
      </c>
      <c r="BZ473" s="49" t="s">
        <v>106</v>
      </c>
      <c r="CA473" s="50" t="str">
        <f>Изопрайса</f>
        <v>R</v>
      </c>
      <c r="CB473" s="51" t="str">
        <f>Изопрайса</f>
        <v>R</v>
      </c>
      <c r="CC473" s="52" t="str">
        <f>Изопрайса</f>
        <v>R</v>
      </c>
    </row>
    <row r="474" spans="73:82" ht="22.9" customHeight="1" thickBot="1" x14ac:dyDescent="0.3">
      <c r="BW474" s="53">
        <f ca="1">Матрица_Расчёт</f>
        <v>0</v>
      </c>
      <c r="BX474" s="54" t="s">
        <v>106</v>
      </c>
      <c r="BY474" s="55" t="s">
        <v>106</v>
      </c>
      <c r="BZ474" s="56" t="s">
        <v>106</v>
      </c>
      <c r="CA474" s="57" t="str">
        <f>Изопрайса</f>
        <v>R</v>
      </c>
      <c r="CB474" s="58" t="str">
        <f>Изопрайса</f>
        <v>R</v>
      </c>
      <c r="CC474" s="59" t="str">
        <f>Изопрайса</f>
        <v>R</v>
      </c>
    </row>
    <row r="475" spans="73:82" ht="22.9" customHeight="1" thickTop="1" thickBot="1" x14ac:dyDescent="0.3"/>
    <row r="476" spans="73:82" ht="22.9" customHeight="1" thickTop="1" thickBot="1" x14ac:dyDescent="0.3">
      <c r="BU476" s="239">
        <f>BU466+2</f>
        <v>75</v>
      </c>
      <c r="BV476" s="240"/>
      <c r="BW476" s="240"/>
      <c r="BX476" s="241"/>
      <c r="BY476" s="5">
        <v>3</v>
      </c>
      <c r="CA476" s="239">
        <f>CA466+2</f>
        <v>76</v>
      </c>
      <c r="CB476" s="240"/>
      <c r="CC476" s="240"/>
      <c r="CD476" s="241"/>
    </row>
    <row r="477" spans="73:82" ht="22.9" customHeight="1" thickTop="1" x14ac:dyDescent="0.25">
      <c r="BU477" s="242" t="s">
        <v>359</v>
      </c>
      <c r="BV477" s="243"/>
      <c r="BW477" s="244"/>
      <c r="BX477" s="122"/>
      <c r="BY477" s="66"/>
      <c r="CA477" s="242" t="s">
        <v>357</v>
      </c>
      <c r="CB477" s="243"/>
      <c r="CC477" s="244"/>
      <c r="CD477" s="122"/>
    </row>
    <row r="478" spans="73:82" ht="22.9" customHeight="1" x14ac:dyDescent="0.25">
      <c r="BU478" s="214">
        <f ca="1">Min_1</f>
        <v>1</v>
      </c>
      <c r="BV478" s="215">
        <f ca="1">Mid_1</f>
        <v>4</v>
      </c>
      <c r="BW478" s="216">
        <f ca="1">Max_1</f>
        <v>1</v>
      </c>
      <c r="BX478" s="217" t="str">
        <f>Приведение</f>
        <v>!!!</v>
      </c>
      <c r="BY478" s="66"/>
      <c r="CA478" s="81">
        <f ca="1">Min_1</f>
        <v>1</v>
      </c>
      <c r="CB478" s="82">
        <f ca="1">Mid_1</f>
        <v>2.5</v>
      </c>
      <c r="CC478" s="83">
        <f ca="1">Max_1</f>
        <v>4</v>
      </c>
      <c r="CD478" s="76">
        <f ca="1">Приведение</f>
        <v>1</v>
      </c>
    </row>
    <row r="479" spans="73:82" ht="22.9" customHeight="1" thickBot="1" x14ac:dyDescent="0.3">
      <c r="BU479" s="218" t="e">
        <f>VLOOKUP(BW471,#REF!,2,FALSE)</f>
        <v>#REF!</v>
      </c>
      <c r="BV479" s="219" t="e">
        <f>VLOOKUP(BW471,#REF!,3,FALSE)</f>
        <v>#REF!</v>
      </c>
      <c r="BW479" s="220" t="e">
        <f>VLOOKUP(BW471,#REF!,4,FALSE)</f>
        <v>#REF!</v>
      </c>
      <c r="BX479" s="221">
        <v>2</v>
      </c>
      <c r="BY479" s="66"/>
      <c r="CA479" s="77">
        <v>1</v>
      </c>
      <c r="CB479" s="78"/>
      <c r="CC479" s="79">
        <v>4</v>
      </c>
      <c r="CD479" s="80">
        <v>1</v>
      </c>
    </row>
    <row r="480" spans="73:82" ht="22.9" customHeight="1" thickTop="1" thickBot="1" x14ac:dyDescent="0.3"/>
    <row r="481" spans="73:82" ht="22.9" customHeight="1" thickTop="1" thickBot="1" x14ac:dyDescent="0.3">
      <c r="BW481" s="239">
        <f>BW471+1</f>
        <v>39</v>
      </c>
      <c r="BX481" s="240"/>
      <c r="BY481" s="240"/>
      <c r="BZ481" s="240"/>
      <c r="CA481" s="240"/>
      <c r="CB481" s="240"/>
      <c r="CC481" s="241"/>
    </row>
    <row r="482" spans="73:82" ht="22.9" customHeight="1" thickTop="1" x14ac:dyDescent="0.25">
      <c r="BW482" s="115" t="str">
        <f>BX488</f>
        <v>!!!</v>
      </c>
      <c r="BX482" s="116" t="s">
        <v>106</v>
      </c>
      <c r="BY482" s="117" t="s">
        <v>106</v>
      </c>
      <c r="BZ482" s="118" t="s">
        <v>106</v>
      </c>
      <c r="CA482" s="119" t="str">
        <f>Изопрайса</f>
        <v>R</v>
      </c>
      <c r="CB482" s="120" t="str">
        <f>Изопрайса</f>
        <v>R</v>
      </c>
      <c r="CC482" s="121" t="str">
        <f>Изопрайса</f>
        <v>R</v>
      </c>
    </row>
    <row r="483" spans="73:82" ht="22.9" customHeight="1" thickBot="1" x14ac:dyDescent="0.3">
      <c r="BW483" s="46">
        <f ca="1">CD488</f>
        <v>1</v>
      </c>
      <c r="BX483" s="47" t="s">
        <v>106</v>
      </c>
      <c r="BY483" s="48" t="s">
        <v>106</v>
      </c>
      <c r="BZ483" s="49" t="s">
        <v>106</v>
      </c>
      <c r="CA483" s="50" t="str">
        <f>Изопрайса</f>
        <v>R</v>
      </c>
      <c r="CB483" s="51" t="str">
        <f>Изопрайса</f>
        <v>R</v>
      </c>
      <c r="CC483" s="52" t="str">
        <f>Изопрайса</f>
        <v>R</v>
      </c>
    </row>
    <row r="484" spans="73:82" ht="22.9" customHeight="1" thickBot="1" x14ac:dyDescent="0.3">
      <c r="BW484" s="53">
        <f ca="1">Матрица_Расчёт</f>
        <v>0</v>
      </c>
      <c r="BX484" s="54" t="s">
        <v>106</v>
      </c>
      <c r="BY484" s="55" t="s">
        <v>106</v>
      </c>
      <c r="BZ484" s="56" t="s">
        <v>106</v>
      </c>
      <c r="CA484" s="57" t="str">
        <f>Изопрайса</f>
        <v>R</v>
      </c>
      <c r="CB484" s="58" t="str">
        <f>Изопрайса</f>
        <v>R</v>
      </c>
      <c r="CC484" s="59" t="str">
        <f>Изопрайса</f>
        <v>R</v>
      </c>
    </row>
    <row r="485" spans="73:82" ht="22.9" customHeight="1" thickTop="1" thickBot="1" x14ac:dyDescent="0.3"/>
    <row r="486" spans="73:82" ht="22.9" customHeight="1" thickTop="1" thickBot="1" x14ac:dyDescent="0.3">
      <c r="BU486" s="239">
        <f>BU476+2</f>
        <v>77</v>
      </c>
      <c r="BV486" s="240"/>
      <c r="BW486" s="240"/>
      <c r="BX486" s="241"/>
      <c r="BY486" s="5">
        <v>3</v>
      </c>
      <c r="CA486" s="239">
        <f>CA476+2</f>
        <v>78</v>
      </c>
      <c r="CB486" s="240"/>
      <c r="CC486" s="240"/>
      <c r="CD486" s="241"/>
    </row>
    <row r="487" spans="73:82" ht="22.9" customHeight="1" thickTop="1" x14ac:dyDescent="0.25">
      <c r="BU487" s="242" t="s">
        <v>359</v>
      </c>
      <c r="BV487" s="243"/>
      <c r="BW487" s="244"/>
      <c r="BX487" s="122"/>
      <c r="BY487" s="66"/>
      <c r="CA487" s="242" t="s">
        <v>357</v>
      </c>
      <c r="CB487" s="243"/>
      <c r="CC487" s="244"/>
      <c r="CD487" s="122"/>
    </row>
    <row r="488" spans="73:82" ht="22.9" customHeight="1" x14ac:dyDescent="0.25">
      <c r="BU488" s="214">
        <f ca="1">Min_1</f>
        <v>1</v>
      </c>
      <c r="BV488" s="215">
        <f ca="1">Mid_1</f>
        <v>4</v>
      </c>
      <c r="BW488" s="216">
        <f ca="1">Max_1</f>
        <v>1</v>
      </c>
      <c r="BX488" s="217" t="str">
        <f>Приведение</f>
        <v>!!!</v>
      </c>
      <c r="BY488" s="66"/>
      <c r="CA488" s="81">
        <f ca="1">Min_1</f>
        <v>1</v>
      </c>
      <c r="CB488" s="82">
        <f ca="1">Mid_1</f>
        <v>2.5</v>
      </c>
      <c r="CC488" s="83">
        <f ca="1">Max_1</f>
        <v>4</v>
      </c>
      <c r="CD488" s="76">
        <f ca="1">Приведение</f>
        <v>1</v>
      </c>
    </row>
    <row r="489" spans="73:82" ht="22.9" customHeight="1" thickBot="1" x14ac:dyDescent="0.3">
      <c r="BU489" s="218" t="e">
        <f>VLOOKUP(BW481,#REF!,2,FALSE)</f>
        <v>#REF!</v>
      </c>
      <c r="BV489" s="219" t="e">
        <f>VLOOKUP(BW481,#REF!,3,FALSE)</f>
        <v>#REF!</v>
      </c>
      <c r="BW489" s="220" t="e">
        <f>VLOOKUP(BW481,#REF!,4,FALSE)</f>
        <v>#REF!</v>
      </c>
      <c r="BX489" s="221">
        <v>2</v>
      </c>
      <c r="BY489" s="66"/>
      <c r="CA489" s="77">
        <v>1</v>
      </c>
      <c r="CB489" s="78"/>
      <c r="CC489" s="79">
        <v>4</v>
      </c>
      <c r="CD489" s="80">
        <v>1</v>
      </c>
    </row>
    <row r="490" spans="73:82" ht="22.9" customHeight="1" thickTop="1" thickBot="1" x14ac:dyDescent="0.3"/>
    <row r="491" spans="73:82" ht="22.9" customHeight="1" thickTop="1" thickBot="1" x14ac:dyDescent="0.3">
      <c r="BW491" s="239">
        <f>BW481+1</f>
        <v>40</v>
      </c>
      <c r="BX491" s="240"/>
      <c r="BY491" s="240"/>
      <c r="BZ491" s="240"/>
      <c r="CA491" s="240"/>
      <c r="CB491" s="240"/>
      <c r="CC491" s="241"/>
    </row>
    <row r="492" spans="73:82" ht="22.9" customHeight="1" thickTop="1" x14ac:dyDescent="0.25">
      <c r="BW492" s="115" t="str">
        <f>BX498</f>
        <v>!!!</v>
      </c>
      <c r="BX492" s="116" t="s">
        <v>106</v>
      </c>
      <c r="BY492" s="117" t="s">
        <v>106</v>
      </c>
      <c r="BZ492" s="118" t="s">
        <v>106</v>
      </c>
      <c r="CA492" s="119" t="str">
        <f>Изопрайса</f>
        <v>R</v>
      </c>
      <c r="CB492" s="120" t="str">
        <f>Изопрайса</f>
        <v>R</v>
      </c>
      <c r="CC492" s="121" t="str">
        <f>Изопрайса</f>
        <v>R</v>
      </c>
    </row>
    <row r="493" spans="73:82" ht="22.9" customHeight="1" thickBot="1" x14ac:dyDescent="0.3">
      <c r="BW493" s="46">
        <f ca="1">CD498</f>
        <v>1</v>
      </c>
      <c r="BX493" s="47" t="s">
        <v>106</v>
      </c>
      <c r="BY493" s="48" t="s">
        <v>106</v>
      </c>
      <c r="BZ493" s="49" t="s">
        <v>106</v>
      </c>
      <c r="CA493" s="50" t="str">
        <f>Изопрайса</f>
        <v>R</v>
      </c>
      <c r="CB493" s="51" t="str">
        <f>Изопрайса</f>
        <v>R</v>
      </c>
      <c r="CC493" s="52" t="str">
        <f>Изопрайса</f>
        <v>R</v>
      </c>
    </row>
    <row r="494" spans="73:82" ht="22.9" customHeight="1" thickBot="1" x14ac:dyDescent="0.3">
      <c r="BW494" s="53">
        <f ca="1">Матрица_Расчёт</f>
        <v>0</v>
      </c>
      <c r="BX494" s="54" t="s">
        <v>106</v>
      </c>
      <c r="BY494" s="55" t="s">
        <v>106</v>
      </c>
      <c r="BZ494" s="56" t="s">
        <v>106</v>
      </c>
      <c r="CA494" s="57" t="str">
        <f>Изопрайса</f>
        <v>R</v>
      </c>
      <c r="CB494" s="58" t="str">
        <f>Изопрайса</f>
        <v>R</v>
      </c>
      <c r="CC494" s="59" t="str">
        <f>Изопрайса</f>
        <v>R</v>
      </c>
    </row>
    <row r="495" spans="73:82" ht="22.9" customHeight="1" thickTop="1" thickBot="1" x14ac:dyDescent="0.3"/>
    <row r="496" spans="73:82" ht="22.9" customHeight="1" thickTop="1" thickBot="1" x14ac:dyDescent="0.3">
      <c r="BU496" s="239">
        <f>BU486+2</f>
        <v>79</v>
      </c>
      <c r="BV496" s="240"/>
      <c r="BW496" s="240"/>
      <c r="BX496" s="241"/>
      <c r="BY496" s="5">
        <v>3</v>
      </c>
      <c r="CA496" s="239">
        <f>CA486+2</f>
        <v>80</v>
      </c>
      <c r="CB496" s="240"/>
      <c r="CC496" s="240"/>
      <c r="CD496" s="241"/>
    </row>
    <row r="497" spans="73:82" ht="22.9" customHeight="1" thickTop="1" x14ac:dyDescent="0.25">
      <c r="BU497" s="242" t="s">
        <v>359</v>
      </c>
      <c r="BV497" s="243"/>
      <c r="BW497" s="244"/>
      <c r="BX497" s="122"/>
      <c r="BY497" s="66"/>
      <c r="CA497" s="242" t="s">
        <v>357</v>
      </c>
      <c r="CB497" s="243"/>
      <c r="CC497" s="244"/>
      <c r="CD497" s="122"/>
    </row>
    <row r="498" spans="73:82" ht="22.9" customHeight="1" x14ac:dyDescent="0.25">
      <c r="BU498" s="214">
        <f ca="1">Min_1</f>
        <v>1</v>
      </c>
      <c r="BV498" s="215">
        <f ca="1">Mid_1</f>
        <v>4</v>
      </c>
      <c r="BW498" s="216">
        <f ca="1">Max_1</f>
        <v>1</v>
      </c>
      <c r="BX498" s="217" t="str">
        <f>Приведение</f>
        <v>!!!</v>
      </c>
      <c r="BY498" s="66"/>
      <c r="CA498" s="81">
        <f ca="1">Min_1</f>
        <v>1</v>
      </c>
      <c r="CB498" s="82">
        <f ca="1">Mid_1</f>
        <v>2.5</v>
      </c>
      <c r="CC498" s="83">
        <f ca="1">Max_1</f>
        <v>4</v>
      </c>
      <c r="CD498" s="76">
        <f ca="1">Приведение</f>
        <v>1</v>
      </c>
    </row>
    <row r="499" spans="73:82" ht="22.9" customHeight="1" thickBot="1" x14ac:dyDescent="0.3">
      <c r="BU499" s="218" t="e">
        <f>VLOOKUP(BW491,#REF!,2,FALSE)</f>
        <v>#REF!</v>
      </c>
      <c r="BV499" s="219" t="e">
        <f>VLOOKUP(BW491,#REF!,3,FALSE)</f>
        <v>#REF!</v>
      </c>
      <c r="BW499" s="220" t="e">
        <f>VLOOKUP(BW491,#REF!,4,FALSE)</f>
        <v>#REF!</v>
      </c>
      <c r="BX499" s="221" t="e">
        <f>IF(BY496=1,BU499,IF(BY496=2,(BV499+BU499)/2,IF(BY496=3, BV499,IF(BY496=4,(BW499+BV499)/2,BW499))))</f>
        <v>#REF!</v>
      </c>
      <c r="BY499" s="66"/>
      <c r="CA499" s="77">
        <v>1</v>
      </c>
      <c r="CB499" s="78"/>
      <c r="CC499" s="79">
        <v>4</v>
      </c>
      <c r="CD499" s="80">
        <v>1</v>
      </c>
    </row>
    <row r="500" spans="73:82" ht="22.9" customHeight="1" thickTop="1" thickBot="1" x14ac:dyDescent="0.3"/>
    <row r="501" spans="73:82" ht="22.9" customHeight="1" thickTop="1" thickBot="1" x14ac:dyDescent="0.3">
      <c r="BW501" s="239">
        <f>BW491+1</f>
        <v>41</v>
      </c>
      <c r="BX501" s="240"/>
      <c r="BY501" s="240"/>
      <c r="BZ501" s="240"/>
      <c r="CA501" s="240"/>
      <c r="CB501" s="240"/>
      <c r="CC501" s="241"/>
    </row>
    <row r="502" spans="73:82" ht="22.9" customHeight="1" thickTop="1" x14ac:dyDescent="0.25">
      <c r="BW502" s="115" t="str">
        <f>BX508</f>
        <v>!!!</v>
      </c>
      <c r="BX502" s="116" t="s">
        <v>106</v>
      </c>
      <c r="BY502" s="117" t="s">
        <v>106</v>
      </c>
      <c r="BZ502" s="118" t="s">
        <v>106</v>
      </c>
      <c r="CA502" s="119" t="str">
        <f>Изопрайса</f>
        <v>R</v>
      </c>
      <c r="CB502" s="120" t="str">
        <f>Изопрайса</f>
        <v>R</v>
      </c>
      <c r="CC502" s="121" t="str">
        <f>Изопрайса</f>
        <v>R</v>
      </c>
    </row>
    <row r="503" spans="73:82" ht="22.9" customHeight="1" thickBot="1" x14ac:dyDescent="0.3">
      <c r="BW503" s="46">
        <f ca="1">CD508</f>
        <v>1</v>
      </c>
      <c r="BX503" s="47" t="s">
        <v>106</v>
      </c>
      <c r="BY503" s="48" t="s">
        <v>106</v>
      </c>
      <c r="BZ503" s="49" t="s">
        <v>106</v>
      </c>
      <c r="CA503" s="50" t="str">
        <f>Изопрайса</f>
        <v>R</v>
      </c>
      <c r="CB503" s="51" t="str">
        <f>Изопрайса</f>
        <v>R</v>
      </c>
      <c r="CC503" s="52" t="str">
        <f>Изопрайса</f>
        <v>R</v>
      </c>
    </row>
    <row r="504" spans="73:82" ht="22.9" customHeight="1" thickBot="1" x14ac:dyDescent="0.3">
      <c r="BW504" s="53">
        <f ca="1">Матрица_Расчёт</f>
        <v>0</v>
      </c>
      <c r="BX504" s="54" t="s">
        <v>106</v>
      </c>
      <c r="BY504" s="55" t="s">
        <v>106</v>
      </c>
      <c r="BZ504" s="56" t="s">
        <v>106</v>
      </c>
      <c r="CA504" s="57" t="str">
        <f>Изопрайса</f>
        <v>R</v>
      </c>
      <c r="CB504" s="58" t="str">
        <f>Изопрайса</f>
        <v>R</v>
      </c>
      <c r="CC504" s="59" t="str">
        <f>Изопрайса</f>
        <v>R</v>
      </c>
    </row>
    <row r="505" spans="73:82" ht="22.9" customHeight="1" thickTop="1" thickBot="1" x14ac:dyDescent="0.3"/>
    <row r="506" spans="73:82" ht="22.9" customHeight="1" thickTop="1" thickBot="1" x14ac:dyDescent="0.3">
      <c r="BU506" s="239">
        <f>BU496+2</f>
        <v>81</v>
      </c>
      <c r="BV506" s="240"/>
      <c r="BW506" s="240"/>
      <c r="BX506" s="241"/>
      <c r="BY506" s="5">
        <v>3</v>
      </c>
      <c r="CA506" s="239">
        <f>CA496+2</f>
        <v>82</v>
      </c>
      <c r="CB506" s="240"/>
      <c r="CC506" s="240"/>
      <c r="CD506" s="241"/>
    </row>
    <row r="507" spans="73:82" ht="22.9" customHeight="1" thickTop="1" x14ac:dyDescent="0.25">
      <c r="BU507" s="242" t="s">
        <v>359</v>
      </c>
      <c r="BV507" s="243"/>
      <c r="BW507" s="244"/>
      <c r="BX507" s="122"/>
      <c r="BY507" s="66"/>
      <c r="CA507" s="242" t="s">
        <v>357</v>
      </c>
      <c r="CB507" s="243"/>
      <c r="CC507" s="244"/>
      <c r="CD507" s="122"/>
    </row>
    <row r="508" spans="73:82" ht="22.9" customHeight="1" x14ac:dyDescent="0.25">
      <c r="BU508" s="214">
        <f ca="1">Min_1</f>
        <v>1</v>
      </c>
      <c r="BV508" s="215">
        <f ca="1">Mid_1</f>
        <v>4</v>
      </c>
      <c r="BW508" s="216">
        <f ca="1">Max_1</f>
        <v>1</v>
      </c>
      <c r="BX508" s="217" t="str">
        <f>Приведение</f>
        <v>!!!</v>
      </c>
      <c r="BY508" s="66"/>
      <c r="CA508" s="81">
        <f ca="1">Min_1</f>
        <v>1</v>
      </c>
      <c r="CB508" s="82">
        <f ca="1">Mid_1</f>
        <v>2.5</v>
      </c>
      <c r="CC508" s="83">
        <f ca="1">Max_1</f>
        <v>4</v>
      </c>
      <c r="CD508" s="76">
        <f ca="1">Приведение</f>
        <v>1</v>
      </c>
    </row>
    <row r="509" spans="73:82" ht="22.9" customHeight="1" thickBot="1" x14ac:dyDescent="0.3">
      <c r="BU509" s="218" t="e">
        <f>VLOOKUP(BW501,#REF!,2,FALSE)</f>
        <v>#REF!</v>
      </c>
      <c r="BV509" s="219" t="e">
        <f>VLOOKUP(BW501,#REF!,3,FALSE)</f>
        <v>#REF!</v>
      </c>
      <c r="BW509" s="220" t="e">
        <f>VLOOKUP(BW501,#REF!,4,FALSE)</f>
        <v>#REF!</v>
      </c>
      <c r="BX509" s="221">
        <v>5</v>
      </c>
      <c r="BY509" s="66"/>
      <c r="CA509" s="77">
        <v>1</v>
      </c>
      <c r="CB509" s="78"/>
      <c r="CC509" s="79">
        <v>4</v>
      </c>
      <c r="CD509" s="80">
        <v>1</v>
      </c>
    </row>
    <row r="510" spans="73:82" ht="22.9" customHeight="1" thickTop="1" thickBot="1" x14ac:dyDescent="0.3"/>
    <row r="511" spans="73:82" ht="22.9" customHeight="1" thickTop="1" thickBot="1" x14ac:dyDescent="0.3">
      <c r="BW511" s="239">
        <f>BW501+1</f>
        <v>42</v>
      </c>
      <c r="BX511" s="240"/>
      <c r="BY511" s="240"/>
      <c r="BZ511" s="240"/>
      <c r="CA511" s="240"/>
      <c r="CB511" s="240"/>
      <c r="CC511" s="241"/>
    </row>
    <row r="512" spans="73:82" ht="22.9" customHeight="1" thickTop="1" x14ac:dyDescent="0.25">
      <c r="BW512" s="115" t="str">
        <f>BX518</f>
        <v>!!!</v>
      </c>
      <c r="BX512" s="116" t="s">
        <v>106</v>
      </c>
      <c r="BY512" s="117" t="s">
        <v>106</v>
      </c>
      <c r="BZ512" s="118" t="s">
        <v>106</v>
      </c>
      <c r="CA512" s="119" t="str">
        <f>Изопрайса</f>
        <v>R</v>
      </c>
      <c r="CB512" s="120" t="str">
        <f>Изопрайса</f>
        <v>R</v>
      </c>
      <c r="CC512" s="121" t="str">
        <f>Изопрайса</f>
        <v>R</v>
      </c>
    </row>
    <row r="513" spans="73:82" ht="22.9" customHeight="1" thickBot="1" x14ac:dyDescent="0.3">
      <c r="BW513" s="46">
        <f ca="1">CD518</f>
        <v>1</v>
      </c>
      <c r="BX513" s="47" t="s">
        <v>106</v>
      </c>
      <c r="BY513" s="48" t="s">
        <v>106</v>
      </c>
      <c r="BZ513" s="49" t="s">
        <v>106</v>
      </c>
      <c r="CA513" s="50" t="str">
        <f>Изопрайса</f>
        <v>R</v>
      </c>
      <c r="CB513" s="51" t="str">
        <f>Изопрайса</f>
        <v>R</v>
      </c>
      <c r="CC513" s="52" t="str">
        <f>Изопрайса</f>
        <v>R</v>
      </c>
    </row>
    <row r="514" spans="73:82" ht="22.9" customHeight="1" thickBot="1" x14ac:dyDescent="0.3">
      <c r="BW514" s="53">
        <f ca="1">Матрица_Расчёт</f>
        <v>0</v>
      </c>
      <c r="BX514" s="54" t="s">
        <v>106</v>
      </c>
      <c r="BY514" s="55" t="s">
        <v>106</v>
      </c>
      <c r="BZ514" s="56" t="s">
        <v>106</v>
      </c>
      <c r="CA514" s="57" t="str">
        <f>Изопрайса</f>
        <v>R</v>
      </c>
      <c r="CB514" s="58" t="str">
        <f>Изопрайса</f>
        <v>R</v>
      </c>
      <c r="CC514" s="59" t="str">
        <f>Изопрайса</f>
        <v>R</v>
      </c>
    </row>
    <row r="515" spans="73:82" ht="22.9" customHeight="1" thickTop="1" thickBot="1" x14ac:dyDescent="0.3"/>
    <row r="516" spans="73:82" ht="22.9" customHeight="1" thickTop="1" thickBot="1" x14ac:dyDescent="0.3">
      <c r="BU516" s="239">
        <f>BU506+2</f>
        <v>83</v>
      </c>
      <c r="BV516" s="240"/>
      <c r="BW516" s="240"/>
      <c r="BX516" s="241"/>
      <c r="BY516" s="5">
        <v>3</v>
      </c>
      <c r="CA516" s="239">
        <f>CA506+2</f>
        <v>84</v>
      </c>
      <c r="CB516" s="240"/>
      <c r="CC516" s="240"/>
      <c r="CD516" s="241"/>
    </row>
    <row r="517" spans="73:82" ht="22.9" customHeight="1" thickTop="1" x14ac:dyDescent="0.25">
      <c r="BU517" s="242" t="s">
        <v>359</v>
      </c>
      <c r="BV517" s="243"/>
      <c r="BW517" s="244"/>
      <c r="BX517" s="122"/>
      <c r="BY517" s="66"/>
      <c r="CA517" s="242" t="s">
        <v>357</v>
      </c>
      <c r="CB517" s="243"/>
      <c r="CC517" s="244"/>
      <c r="CD517" s="122"/>
    </row>
    <row r="518" spans="73:82" ht="22.9" customHeight="1" x14ac:dyDescent="0.25">
      <c r="BU518" s="214">
        <f ca="1">Min_1</f>
        <v>1</v>
      </c>
      <c r="BV518" s="215">
        <f ca="1">Mid_1</f>
        <v>4</v>
      </c>
      <c r="BW518" s="216">
        <f ca="1">Max_1</f>
        <v>1</v>
      </c>
      <c r="BX518" s="217" t="str">
        <f>Приведение</f>
        <v>!!!</v>
      </c>
      <c r="BY518" s="66"/>
      <c r="CA518" s="81">
        <f ca="1">Min_1</f>
        <v>1</v>
      </c>
      <c r="CB518" s="82">
        <f ca="1">Mid_1</f>
        <v>2.5</v>
      </c>
      <c r="CC518" s="83">
        <f ca="1">Max_1</f>
        <v>4</v>
      </c>
      <c r="CD518" s="76">
        <f ca="1">Приведение</f>
        <v>1</v>
      </c>
    </row>
    <row r="519" spans="73:82" ht="22.9" customHeight="1" thickBot="1" x14ac:dyDescent="0.3">
      <c r="BU519" s="218" t="e">
        <f>VLOOKUP(BW511,#REF!,2,FALSE)</f>
        <v>#REF!</v>
      </c>
      <c r="BV519" s="219" t="e">
        <f>VLOOKUP(BW511,#REF!,3,FALSE)</f>
        <v>#REF!</v>
      </c>
      <c r="BW519" s="220" t="e">
        <f>VLOOKUP(BW511,#REF!,4,FALSE)</f>
        <v>#REF!</v>
      </c>
      <c r="BX519" s="221">
        <v>3</v>
      </c>
      <c r="BY519" s="66"/>
      <c r="CA519" s="77">
        <v>1</v>
      </c>
      <c r="CB519" s="78"/>
      <c r="CC519" s="79">
        <v>4</v>
      </c>
      <c r="CD519" s="80">
        <v>1</v>
      </c>
    </row>
    <row r="520" spans="73:82" ht="22.9" customHeight="1" thickTop="1" thickBot="1" x14ac:dyDescent="0.3"/>
    <row r="521" spans="73:82" ht="22.9" customHeight="1" thickTop="1" thickBot="1" x14ac:dyDescent="0.3">
      <c r="BW521" s="239">
        <f>BW511+1</f>
        <v>43</v>
      </c>
      <c r="BX521" s="240"/>
      <c r="BY521" s="240"/>
      <c r="BZ521" s="240"/>
      <c r="CA521" s="240"/>
      <c r="CB521" s="240"/>
      <c r="CC521" s="241"/>
    </row>
    <row r="522" spans="73:82" ht="22.9" customHeight="1" thickTop="1" x14ac:dyDescent="0.25">
      <c r="BW522" s="115" t="str">
        <f>BX528</f>
        <v>!!!</v>
      </c>
      <c r="BX522" s="116" t="s">
        <v>106</v>
      </c>
      <c r="BY522" s="117" t="s">
        <v>106</v>
      </c>
      <c r="BZ522" s="118" t="s">
        <v>106</v>
      </c>
      <c r="CA522" s="119" t="str">
        <f>Изопрайса</f>
        <v>R</v>
      </c>
      <c r="CB522" s="120" t="str">
        <f>Изопрайса</f>
        <v>R</v>
      </c>
      <c r="CC522" s="121" t="str">
        <f>Изопрайса</f>
        <v>R</v>
      </c>
    </row>
    <row r="523" spans="73:82" ht="22.9" customHeight="1" thickBot="1" x14ac:dyDescent="0.3">
      <c r="BW523" s="46">
        <f ca="1">CD528</f>
        <v>1</v>
      </c>
      <c r="BX523" s="47" t="s">
        <v>106</v>
      </c>
      <c r="BY523" s="48" t="s">
        <v>106</v>
      </c>
      <c r="BZ523" s="49" t="s">
        <v>106</v>
      </c>
      <c r="CA523" s="50" t="str">
        <f>Изопрайса</f>
        <v>R</v>
      </c>
      <c r="CB523" s="51" t="str">
        <f>Изопрайса</f>
        <v>R</v>
      </c>
      <c r="CC523" s="52" t="str">
        <f>Изопрайса</f>
        <v>R</v>
      </c>
    </row>
    <row r="524" spans="73:82" ht="22.9" customHeight="1" thickBot="1" x14ac:dyDescent="0.3">
      <c r="BW524" s="53">
        <f ca="1">Матрица_Расчёт</f>
        <v>0</v>
      </c>
      <c r="BX524" s="54" t="s">
        <v>106</v>
      </c>
      <c r="BY524" s="55" t="s">
        <v>106</v>
      </c>
      <c r="BZ524" s="56" t="s">
        <v>106</v>
      </c>
      <c r="CA524" s="57" t="str">
        <f>Изопрайса</f>
        <v>R</v>
      </c>
      <c r="CB524" s="58" t="str">
        <f>Изопрайса</f>
        <v>R</v>
      </c>
      <c r="CC524" s="59" t="str">
        <f>Изопрайса</f>
        <v>R</v>
      </c>
    </row>
    <row r="525" spans="73:82" ht="22.9" customHeight="1" thickTop="1" thickBot="1" x14ac:dyDescent="0.3"/>
    <row r="526" spans="73:82" ht="22.9" customHeight="1" thickTop="1" thickBot="1" x14ac:dyDescent="0.3">
      <c r="BU526" s="239">
        <f>BU516+2</f>
        <v>85</v>
      </c>
      <c r="BV526" s="240"/>
      <c r="BW526" s="240"/>
      <c r="BX526" s="241"/>
      <c r="BY526" s="5">
        <v>3</v>
      </c>
      <c r="CA526" s="239">
        <f>CA516+2</f>
        <v>86</v>
      </c>
      <c r="CB526" s="240"/>
      <c r="CC526" s="240"/>
      <c r="CD526" s="241"/>
    </row>
    <row r="527" spans="73:82" ht="22.9" customHeight="1" thickTop="1" x14ac:dyDescent="0.25">
      <c r="BU527" s="242" t="s">
        <v>359</v>
      </c>
      <c r="BV527" s="243"/>
      <c r="BW527" s="244"/>
      <c r="BX527" s="122"/>
      <c r="BY527" s="66"/>
      <c r="CA527" s="242" t="s">
        <v>357</v>
      </c>
      <c r="CB527" s="243"/>
      <c r="CC527" s="244"/>
      <c r="CD527" s="122"/>
    </row>
    <row r="528" spans="73:82" ht="22.9" customHeight="1" x14ac:dyDescent="0.25">
      <c r="BU528" s="214">
        <f ca="1">Min_1</f>
        <v>1</v>
      </c>
      <c r="BV528" s="215">
        <f ca="1">Mid_1</f>
        <v>4</v>
      </c>
      <c r="BW528" s="216">
        <f ca="1">Max_1</f>
        <v>1</v>
      </c>
      <c r="BX528" s="217" t="str">
        <f>Приведение</f>
        <v>!!!</v>
      </c>
      <c r="BY528" s="66"/>
      <c r="CA528" s="81">
        <f ca="1">Min_1</f>
        <v>1</v>
      </c>
      <c r="CB528" s="82">
        <f ca="1">Mid_1</f>
        <v>2.5</v>
      </c>
      <c r="CC528" s="83">
        <f ca="1">Max_1</f>
        <v>4</v>
      </c>
      <c r="CD528" s="76">
        <f ca="1">Приведение</f>
        <v>1</v>
      </c>
    </row>
    <row r="529" spans="73:82" ht="22.9" customHeight="1" thickBot="1" x14ac:dyDescent="0.3">
      <c r="BU529" s="218" t="e">
        <f>VLOOKUP(BW521,#REF!,2,FALSE)</f>
        <v>#REF!</v>
      </c>
      <c r="BV529" s="219" t="e">
        <f>VLOOKUP(BW521,#REF!,3,FALSE)</f>
        <v>#REF!</v>
      </c>
      <c r="BW529" s="220" t="e">
        <f>VLOOKUP(BW521,#REF!,4,FALSE)</f>
        <v>#REF!</v>
      </c>
      <c r="BX529" s="221">
        <v>-1</v>
      </c>
      <c r="BY529" s="66"/>
      <c r="CA529" s="77">
        <v>1</v>
      </c>
      <c r="CB529" s="78"/>
      <c r="CC529" s="79">
        <v>4</v>
      </c>
      <c r="CD529" s="80">
        <v>1</v>
      </c>
    </row>
    <row r="530" spans="73:82" ht="22.9" customHeight="1" thickTop="1" thickBot="1" x14ac:dyDescent="0.3"/>
    <row r="531" spans="73:82" ht="22.9" customHeight="1" thickTop="1" thickBot="1" x14ac:dyDescent="0.3">
      <c r="BW531" s="239">
        <f>BW521+1</f>
        <v>44</v>
      </c>
      <c r="BX531" s="240"/>
      <c r="BY531" s="240"/>
      <c r="BZ531" s="240"/>
      <c r="CA531" s="240"/>
      <c r="CB531" s="240"/>
      <c r="CC531" s="241"/>
    </row>
    <row r="532" spans="73:82" ht="22.9" customHeight="1" thickTop="1" x14ac:dyDescent="0.25">
      <c r="BW532" s="115" t="str">
        <f>BX538</f>
        <v>!!!</v>
      </c>
      <c r="BX532" s="116" t="s">
        <v>106</v>
      </c>
      <c r="BY532" s="117" t="s">
        <v>106</v>
      </c>
      <c r="BZ532" s="118" t="s">
        <v>106</v>
      </c>
      <c r="CA532" s="119" t="str">
        <f>Изопрайса</f>
        <v>R</v>
      </c>
      <c r="CB532" s="120" t="str">
        <f>Изопрайса</f>
        <v>R</v>
      </c>
      <c r="CC532" s="121" t="str">
        <f>Изопрайса</f>
        <v>R</v>
      </c>
    </row>
    <row r="533" spans="73:82" ht="22.9" customHeight="1" thickBot="1" x14ac:dyDescent="0.3">
      <c r="BW533" s="46">
        <f ca="1">CD538</f>
        <v>1</v>
      </c>
      <c r="BX533" s="47" t="s">
        <v>106</v>
      </c>
      <c r="BY533" s="48" t="s">
        <v>106</v>
      </c>
      <c r="BZ533" s="49" t="s">
        <v>106</v>
      </c>
      <c r="CA533" s="50" t="str">
        <f>Изопрайса</f>
        <v>R</v>
      </c>
      <c r="CB533" s="51" t="str">
        <f>Изопрайса</f>
        <v>R</v>
      </c>
      <c r="CC533" s="52" t="str">
        <f>Изопрайса</f>
        <v>R</v>
      </c>
    </row>
    <row r="534" spans="73:82" ht="22.9" customHeight="1" thickBot="1" x14ac:dyDescent="0.3">
      <c r="BW534" s="53">
        <f ca="1">Матрица_Расчёт</f>
        <v>0</v>
      </c>
      <c r="BX534" s="54" t="s">
        <v>106</v>
      </c>
      <c r="BY534" s="55" t="s">
        <v>106</v>
      </c>
      <c r="BZ534" s="56" t="s">
        <v>106</v>
      </c>
      <c r="CA534" s="57" t="str">
        <f>Изопрайса</f>
        <v>R</v>
      </c>
      <c r="CB534" s="58" t="str">
        <f>Изопрайса</f>
        <v>R</v>
      </c>
      <c r="CC534" s="59" t="str">
        <f>Изопрайса</f>
        <v>R</v>
      </c>
    </row>
    <row r="535" spans="73:82" ht="22.9" customHeight="1" thickTop="1" thickBot="1" x14ac:dyDescent="0.3"/>
    <row r="536" spans="73:82" ht="22.9" customHeight="1" thickTop="1" thickBot="1" x14ac:dyDescent="0.3">
      <c r="BU536" s="239">
        <f>BU526+2</f>
        <v>87</v>
      </c>
      <c r="BV536" s="240"/>
      <c r="BW536" s="240"/>
      <c r="BX536" s="241"/>
      <c r="BY536" s="5">
        <v>3</v>
      </c>
      <c r="CA536" s="239">
        <f>CA526+2</f>
        <v>88</v>
      </c>
      <c r="CB536" s="240"/>
      <c r="CC536" s="240"/>
      <c r="CD536" s="241"/>
    </row>
    <row r="537" spans="73:82" ht="22.9" customHeight="1" thickTop="1" x14ac:dyDescent="0.25">
      <c r="BU537" s="242" t="s">
        <v>359</v>
      </c>
      <c r="BV537" s="243"/>
      <c r="BW537" s="244"/>
      <c r="BX537" s="122"/>
      <c r="BY537" s="66"/>
      <c r="CA537" s="242" t="s">
        <v>357</v>
      </c>
      <c r="CB537" s="243"/>
      <c r="CC537" s="244"/>
      <c r="CD537" s="122"/>
    </row>
    <row r="538" spans="73:82" ht="22.9" customHeight="1" x14ac:dyDescent="0.25">
      <c r="BU538" s="214">
        <f ca="1">Min_1</f>
        <v>1</v>
      </c>
      <c r="BV538" s="215">
        <f ca="1">Mid_1</f>
        <v>4</v>
      </c>
      <c r="BW538" s="216">
        <f ca="1">Max_1</f>
        <v>1</v>
      </c>
      <c r="BX538" s="217" t="str">
        <f>Приведение</f>
        <v>!!!</v>
      </c>
      <c r="BY538" s="66"/>
      <c r="CA538" s="81">
        <f ca="1">Min_1</f>
        <v>1</v>
      </c>
      <c r="CB538" s="82">
        <f ca="1">Mid_1</f>
        <v>2.5</v>
      </c>
      <c r="CC538" s="83">
        <f ca="1">Max_1</f>
        <v>4</v>
      </c>
      <c r="CD538" s="76">
        <f ca="1">Приведение</f>
        <v>1</v>
      </c>
    </row>
    <row r="539" spans="73:82" ht="22.9" customHeight="1" thickBot="1" x14ac:dyDescent="0.3">
      <c r="BU539" s="218" t="e">
        <f>VLOOKUP(BW531,#REF!,2,FALSE)</f>
        <v>#REF!</v>
      </c>
      <c r="BV539" s="219" t="e">
        <f>VLOOKUP(BW531,#REF!,3,FALSE)</f>
        <v>#REF!</v>
      </c>
      <c r="BW539" s="220" t="e">
        <f>VLOOKUP(BW531,#REF!,4,FALSE)</f>
        <v>#REF!</v>
      </c>
      <c r="BX539" s="221">
        <v>1</v>
      </c>
      <c r="BY539" s="66"/>
      <c r="CA539" s="77">
        <v>1</v>
      </c>
      <c r="CB539" s="78"/>
      <c r="CC539" s="79">
        <v>4</v>
      </c>
      <c r="CD539" s="80">
        <v>1</v>
      </c>
    </row>
    <row r="540" spans="73:82" ht="22.9" customHeight="1" thickTop="1" thickBot="1" x14ac:dyDescent="0.3"/>
    <row r="541" spans="73:82" ht="22.9" customHeight="1" thickTop="1" thickBot="1" x14ac:dyDescent="0.3">
      <c r="BW541" s="239">
        <f>BW531+1</f>
        <v>45</v>
      </c>
      <c r="BX541" s="240"/>
      <c r="BY541" s="240"/>
      <c r="BZ541" s="240"/>
      <c r="CA541" s="240"/>
      <c r="CB541" s="240"/>
      <c r="CC541" s="241"/>
    </row>
    <row r="542" spans="73:82" ht="22.9" customHeight="1" thickTop="1" x14ac:dyDescent="0.25">
      <c r="BW542" s="115" t="str">
        <f>BX548</f>
        <v>!!!</v>
      </c>
      <c r="BX542" s="116" t="s">
        <v>106</v>
      </c>
      <c r="BY542" s="117" t="s">
        <v>106</v>
      </c>
      <c r="BZ542" s="118" t="s">
        <v>106</v>
      </c>
      <c r="CA542" s="119" t="str">
        <f>Изопрайса</f>
        <v>R</v>
      </c>
      <c r="CB542" s="120" t="str">
        <f>Изопрайса</f>
        <v>R</v>
      </c>
      <c r="CC542" s="121" t="str">
        <f>Изопрайса</f>
        <v>R</v>
      </c>
    </row>
    <row r="543" spans="73:82" ht="22.9" customHeight="1" thickBot="1" x14ac:dyDescent="0.3">
      <c r="BW543" s="46">
        <f ca="1">CD548</f>
        <v>1</v>
      </c>
      <c r="BX543" s="47" t="s">
        <v>106</v>
      </c>
      <c r="BY543" s="48" t="s">
        <v>106</v>
      </c>
      <c r="BZ543" s="49" t="s">
        <v>106</v>
      </c>
      <c r="CA543" s="50" t="str">
        <f>Изопрайса</f>
        <v>R</v>
      </c>
      <c r="CB543" s="51" t="str">
        <f>Изопрайса</f>
        <v>R</v>
      </c>
      <c r="CC543" s="52" t="str">
        <f>Изопрайса</f>
        <v>R</v>
      </c>
    </row>
    <row r="544" spans="73:82" ht="22.9" customHeight="1" thickBot="1" x14ac:dyDescent="0.3">
      <c r="BW544" s="53">
        <f ca="1">Матрица_Расчёт</f>
        <v>0</v>
      </c>
      <c r="BX544" s="54" t="s">
        <v>106</v>
      </c>
      <c r="BY544" s="55" t="s">
        <v>106</v>
      </c>
      <c r="BZ544" s="56" t="s">
        <v>106</v>
      </c>
      <c r="CA544" s="57" t="str">
        <f>Изопрайса</f>
        <v>R</v>
      </c>
      <c r="CB544" s="58" t="str">
        <f>Изопрайса</f>
        <v>R</v>
      </c>
      <c r="CC544" s="59" t="str">
        <f>Изопрайса</f>
        <v>R</v>
      </c>
    </row>
    <row r="545" spans="73:82" ht="22.9" customHeight="1" thickTop="1" thickBot="1" x14ac:dyDescent="0.3"/>
    <row r="546" spans="73:82" ht="22.9" customHeight="1" thickTop="1" thickBot="1" x14ac:dyDescent="0.3">
      <c r="BU546" s="239">
        <f>BU536+2</f>
        <v>89</v>
      </c>
      <c r="BV546" s="240"/>
      <c r="BW546" s="240"/>
      <c r="BX546" s="241"/>
      <c r="BY546" s="5">
        <v>3</v>
      </c>
      <c r="CA546" s="239">
        <f>CA536+2</f>
        <v>90</v>
      </c>
      <c r="CB546" s="240"/>
      <c r="CC546" s="240"/>
      <c r="CD546" s="241"/>
    </row>
    <row r="547" spans="73:82" ht="22.9" customHeight="1" thickTop="1" x14ac:dyDescent="0.25">
      <c r="BU547" s="242" t="s">
        <v>359</v>
      </c>
      <c r="BV547" s="243"/>
      <c r="BW547" s="244"/>
      <c r="BX547" s="122"/>
      <c r="BY547" s="66"/>
      <c r="CA547" s="242" t="s">
        <v>357</v>
      </c>
      <c r="CB547" s="243"/>
      <c r="CC547" s="244"/>
      <c r="CD547" s="122"/>
    </row>
    <row r="548" spans="73:82" ht="22.9" customHeight="1" x14ac:dyDescent="0.25">
      <c r="BU548" s="214">
        <f ca="1">Min_1</f>
        <v>1</v>
      </c>
      <c r="BV548" s="215">
        <f ca="1">Mid_1</f>
        <v>4</v>
      </c>
      <c r="BW548" s="216">
        <f ca="1">Max_1</f>
        <v>1</v>
      </c>
      <c r="BX548" s="217" t="str">
        <f>Приведение</f>
        <v>!!!</v>
      </c>
      <c r="BY548" s="66"/>
      <c r="CA548" s="81">
        <f ca="1">Min_1</f>
        <v>1</v>
      </c>
      <c r="CB548" s="82">
        <f ca="1">Mid_1</f>
        <v>2.5</v>
      </c>
      <c r="CC548" s="83">
        <f ca="1">Max_1</f>
        <v>4</v>
      </c>
      <c r="CD548" s="76">
        <f ca="1">Приведение</f>
        <v>1</v>
      </c>
    </row>
    <row r="549" spans="73:82" ht="22.9" customHeight="1" thickBot="1" x14ac:dyDescent="0.3">
      <c r="BU549" s="218" t="e">
        <f>VLOOKUP(BW541,#REF!,2,FALSE)</f>
        <v>#REF!</v>
      </c>
      <c r="BV549" s="219" t="e">
        <f>VLOOKUP(BW541,#REF!,3,FALSE)</f>
        <v>#REF!</v>
      </c>
      <c r="BW549" s="220" t="e">
        <f>VLOOKUP(BW541,#REF!,4,FALSE)</f>
        <v>#REF!</v>
      </c>
      <c r="BX549" s="221">
        <v>2</v>
      </c>
      <c r="BY549" s="66"/>
      <c r="CA549" s="77">
        <v>1</v>
      </c>
      <c r="CB549" s="78"/>
      <c r="CC549" s="79">
        <v>4</v>
      </c>
      <c r="CD549" s="80">
        <v>1</v>
      </c>
    </row>
    <row r="550" spans="73:82" ht="22.9" customHeight="1" thickTop="1" thickBot="1" x14ac:dyDescent="0.3"/>
    <row r="551" spans="73:82" ht="22.9" customHeight="1" thickTop="1" thickBot="1" x14ac:dyDescent="0.3">
      <c r="BW551" s="239">
        <f>BW541+1</f>
        <v>46</v>
      </c>
      <c r="BX551" s="240"/>
      <c r="BY551" s="240"/>
      <c r="BZ551" s="240"/>
      <c r="CA551" s="240"/>
      <c r="CB551" s="240"/>
      <c r="CC551" s="241"/>
    </row>
    <row r="552" spans="73:82" ht="22.9" customHeight="1" thickTop="1" x14ac:dyDescent="0.25">
      <c r="BW552" s="115" t="str">
        <f>BX558</f>
        <v>!!!</v>
      </c>
      <c r="BX552" s="116" t="s">
        <v>106</v>
      </c>
      <c r="BY552" s="117" t="s">
        <v>106</v>
      </c>
      <c r="BZ552" s="118" t="s">
        <v>106</v>
      </c>
      <c r="CA552" s="119" t="str">
        <f>Изопрайса</f>
        <v>R</v>
      </c>
      <c r="CB552" s="120" t="str">
        <f>Изопрайса</f>
        <v>R</v>
      </c>
      <c r="CC552" s="121" t="str">
        <f>Изопрайса</f>
        <v>R</v>
      </c>
    </row>
    <row r="553" spans="73:82" ht="22.9" customHeight="1" thickBot="1" x14ac:dyDescent="0.3">
      <c r="BW553" s="46">
        <f ca="1">CD558</f>
        <v>1</v>
      </c>
      <c r="BX553" s="47" t="s">
        <v>106</v>
      </c>
      <c r="BY553" s="48" t="s">
        <v>106</v>
      </c>
      <c r="BZ553" s="49" t="s">
        <v>106</v>
      </c>
      <c r="CA553" s="50" t="str">
        <f>Изопрайса</f>
        <v>R</v>
      </c>
      <c r="CB553" s="51" t="str">
        <f>Изопрайса</f>
        <v>R</v>
      </c>
      <c r="CC553" s="52" t="str">
        <f>Изопрайса</f>
        <v>R</v>
      </c>
    </row>
    <row r="554" spans="73:82" ht="22.9" customHeight="1" thickBot="1" x14ac:dyDescent="0.3">
      <c r="BW554" s="53">
        <f ca="1">Матрица_Расчёт</f>
        <v>0</v>
      </c>
      <c r="BX554" s="54" t="s">
        <v>106</v>
      </c>
      <c r="BY554" s="55" t="s">
        <v>106</v>
      </c>
      <c r="BZ554" s="56" t="s">
        <v>106</v>
      </c>
      <c r="CA554" s="57" t="str">
        <f>Изопрайса</f>
        <v>R</v>
      </c>
      <c r="CB554" s="58" t="str">
        <f>Изопрайса</f>
        <v>R</v>
      </c>
      <c r="CC554" s="59" t="str">
        <f>Изопрайса</f>
        <v>R</v>
      </c>
    </row>
    <row r="555" spans="73:82" ht="22.9" customHeight="1" thickTop="1" thickBot="1" x14ac:dyDescent="0.3"/>
    <row r="556" spans="73:82" ht="22.9" customHeight="1" thickTop="1" thickBot="1" x14ac:dyDescent="0.3">
      <c r="BU556" s="239">
        <f>BU546+2</f>
        <v>91</v>
      </c>
      <c r="BV556" s="240"/>
      <c r="BW556" s="240"/>
      <c r="BX556" s="241"/>
      <c r="BY556" s="5">
        <v>3</v>
      </c>
      <c r="CA556" s="239">
        <f>CA546+2</f>
        <v>92</v>
      </c>
      <c r="CB556" s="240"/>
      <c r="CC556" s="240"/>
      <c r="CD556" s="241"/>
    </row>
    <row r="557" spans="73:82" ht="22.9" customHeight="1" thickTop="1" x14ac:dyDescent="0.25">
      <c r="BU557" s="242" t="s">
        <v>359</v>
      </c>
      <c r="BV557" s="243"/>
      <c r="BW557" s="244"/>
      <c r="BX557" s="122"/>
      <c r="BY557" s="66"/>
      <c r="CA557" s="242" t="s">
        <v>357</v>
      </c>
      <c r="CB557" s="243"/>
      <c r="CC557" s="244"/>
      <c r="CD557" s="122"/>
    </row>
    <row r="558" spans="73:82" ht="22.9" customHeight="1" x14ac:dyDescent="0.25">
      <c r="BU558" s="214">
        <f ca="1">Min_1</f>
        <v>1</v>
      </c>
      <c r="BV558" s="215">
        <f ca="1">Mid_1</f>
        <v>4</v>
      </c>
      <c r="BW558" s="216">
        <f ca="1">Max_1</f>
        <v>1</v>
      </c>
      <c r="BX558" s="217" t="str">
        <f>Приведение</f>
        <v>!!!</v>
      </c>
      <c r="BY558" s="66"/>
      <c r="CA558" s="81">
        <f ca="1">Min_1</f>
        <v>1</v>
      </c>
      <c r="CB558" s="82">
        <f ca="1">Mid_1</f>
        <v>2.5</v>
      </c>
      <c r="CC558" s="83">
        <f ca="1">Max_1</f>
        <v>4</v>
      </c>
      <c r="CD558" s="76">
        <f ca="1">Приведение</f>
        <v>1</v>
      </c>
    </row>
    <row r="559" spans="73:82" ht="22.9" customHeight="1" thickBot="1" x14ac:dyDescent="0.3">
      <c r="BU559" s="218" t="e">
        <f>VLOOKUP(BW551,#REF!,2,FALSE)</f>
        <v>#REF!</v>
      </c>
      <c r="BV559" s="219" t="e">
        <f>VLOOKUP(BW551,#REF!,3,FALSE)</f>
        <v>#REF!</v>
      </c>
      <c r="BW559" s="220" t="e">
        <f>VLOOKUP(BW551,#REF!,4,FALSE)</f>
        <v>#REF!</v>
      </c>
      <c r="BX559" s="221">
        <v>2</v>
      </c>
      <c r="BY559" s="66"/>
      <c r="CA559" s="77">
        <v>1</v>
      </c>
      <c r="CB559" s="78"/>
      <c r="CC559" s="79">
        <v>4</v>
      </c>
      <c r="CD559" s="80">
        <v>1</v>
      </c>
    </row>
    <row r="560" spans="73:82" ht="22.9" customHeight="1" thickTop="1" thickBot="1" x14ac:dyDescent="0.3"/>
    <row r="561" spans="73:82" ht="22.9" customHeight="1" thickTop="1" thickBot="1" x14ac:dyDescent="0.3">
      <c r="BW561" s="239">
        <f>BW551+1</f>
        <v>47</v>
      </c>
      <c r="BX561" s="240"/>
      <c r="BY561" s="240"/>
      <c r="BZ561" s="240"/>
      <c r="CA561" s="240"/>
      <c r="CB561" s="240"/>
      <c r="CC561" s="241"/>
    </row>
    <row r="562" spans="73:82" ht="22.9" customHeight="1" thickTop="1" x14ac:dyDescent="0.25">
      <c r="BW562" s="115" t="str">
        <f>BX568</f>
        <v>!!!</v>
      </c>
      <c r="BX562" s="116" t="s">
        <v>106</v>
      </c>
      <c r="BY562" s="117" t="s">
        <v>106</v>
      </c>
      <c r="BZ562" s="118" t="s">
        <v>106</v>
      </c>
      <c r="CA562" s="119" t="str">
        <f>Изопрайса</f>
        <v>R</v>
      </c>
      <c r="CB562" s="120" t="str">
        <f>Изопрайса</f>
        <v>R</v>
      </c>
      <c r="CC562" s="121" t="str">
        <f>Изопрайса</f>
        <v>R</v>
      </c>
    </row>
    <row r="563" spans="73:82" ht="22.9" customHeight="1" thickBot="1" x14ac:dyDescent="0.3">
      <c r="BW563" s="46">
        <f ca="1">CD568</f>
        <v>1</v>
      </c>
      <c r="BX563" s="47" t="s">
        <v>106</v>
      </c>
      <c r="BY563" s="48" t="s">
        <v>106</v>
      </c>
      <c r="BZ563" s="49" t="s">
        <v>106</v>
      </c>
      <c r="CA563" s="50" t="str">
        <f>Изопрайса</f>
        <v>R</v>
      </c>
      <c r="CB563" s="51" t="str">
        <f>Изопрайса</f>
        <v>R</v>
      </c>
      <c r="CC563" s="52" t="str">
        <f>Изопрайса</f>
        <v>R</v>
      </c>
    </row>
    <row r="564" spans="73:82" ht="22.9" customHeight="1" thickBot="1" x14ac:dyDescent="0.3">
      <c r="BW564" s="53">
        <f ca="1">Матрица_Расчёт</f>
        <v>0</v>
      </c>
      <c r="BX564" s="54" t="s">
        <v>106</v>
      </c>
      <c r="BY564" s="55" t="s">
        <v>106</v>
      </c>
      <c r="BZ564" s="56" t="s">
        <v>106</v>
      </c>
      <c r="CA564" s="57" t="str">
        <f>Изопрайса</f>
        <v>R</v>
      </c>
      <c r="CB564" s="58" t="str">
        <f>Изопрайса</f>
        <v>R</v>
      </c>
      <c r="CC564" s="59" t="str">
        <f>Изопрайса</f>
        <v>R</v>
      </c>
    </row>
    <row r="565" spans="73:82" ht="22.9" customHeight="1" thickTop="1" thickBot="1" x14ac:dyDescent="0.3"/>
    <row r="566" spans="73:82" ht="22.9" customHeight="1" thickTop="1" thickBot="1" x14ac:dyDescent="0.3">
      <c r="BU566" s="239">
        <f>BU556+2</f>
        <v>93</v>
      </c>
      <c r="BV566" s="240"/>
      <c r="BW566" s="240"/>
      <c r="BX566" s="241"/>
      <c r="BY566" s="5">
        <v>3</v>
      </c>
      <c r="CA566" s="239">
        <f>CA556+2</f>
        <v>94</v>
      </c>
      <c r="CB566" s="240"/>
      <c r="CC566" s="240"/>
      <c r="CD566" s="241"/>
    </row>
    <row r="567" spans="73:82" ht="22.9" customHeight="1" thickTop="1" x14ac:dyDescent="0.25">
      <c r="BU567" s="242" t="s">
        <v>359</v>
      </c>
      <c r="BV567" s="243"/>
      <c r="BW567" s="244"/>
      <c r="BX567" s="122"/>
      <c r="BY567" s="66"/>
      <c r="CA567" s="242" t="s">
        <v>357</v>
      </c>
      <c r="CB567" s="243"/>
      <c r="CC567" s="244"/>
      <c r="CD567" s="122"/>
    </row>
    <row r="568" spans="73:82" ht="22.9" customHeight="1" x14ac:dyDescent="0.25">
      <c r="BU568" s="214">
        <f ca="1">Min_1</f>
        <v>1</v>
      </c>
      <c r="BV568" s="215">
        <f ca="1">Mid_1</f>
        <v>4</v>
      </c>
      <c r="BW568" s="216">
        <f ca="1">Max_1</f>
        <v>1</v>
      </c>
      <c r="BX568" s="217" t="str">
        <f>Приведение</f>
        <v>!!!</v>
      </c>
      <c r="BY568" s="66"/>
      <c r="CA568" s="81">
        <f ca="1">Min_1</f>
        <v>1</v>
      </c>
      <c r="CB568" s="82">
        <f ca="1">Mid_1</f>
        <v>2.5</v>
      </c>
      <c r="CC568" s="83">
        <f ca="1">Max_1</f>
        <v>4</v>
      </c>
      <c r="CD568" s="76">
        <f ca="1">Приведение</f>
        <v>1</v>
      </c>
    </row>
    <row r="569" spans="73:82" ht="22.9" customHeight="1" thickBot="1" x14ac:dyDescent="0.3">
      <c r="BU569" s="218" t="e">
        <f>VLOOKUP(BW561,#REF!,2,FALSE)</f>
        <v>#REF!</v>
      </c>
      <c r="BV569" s="219" t="e">
        <f>VLOOKUP(BW561,#REF!,3,FALSE)</f>
        <v>#REF!</v>
      </c>
      <c r="BW569" s="220" t="e">
        <f>VLOOKUP(BW561,#REF!,4,FALSE)</f>
        <v>#REF!</v>
      </c>
      <c r="BX569" s="221">
        <v>3</v>
      </c>
      <c r="BY569" s="66"/>
      <c r="CA569" s="77">
        <v>1</v>
      </c>
      <c r="CB569" s="78"/>
      <c r="CC569" s="79">
        <v>4</v>
      </c>
      <c r="CD569" s="80">
        <v>1</v>
      </c>
    </row>
    <row r="570" spans="73:82" ht="22.9" customHeight="1" thickTop="1" thickBot="1" x14ac:dyDescent="0.3"/>
    <row r="571" spans="73:82" ht="22.9" customHeight="1" thickTop="1" thickBot="1" x14ac:dyDescent="0.3">
      <c r="BW571" s="239">
        <f>BW561+1</f>
        <v>48</v>
      </c>
      <c r="BX571" s="240"/>
      <c r="BY571" s="240"/>
      <c r="BZ571" s="240"/>
      <c r="CA571" s="240"/>
      <c r="CB571" s="240"/>
      <c r="CC571" s="241"/>
    </row>
    <row r="572" spans="73:82" ht="22.9" customHeight="1" thickTop="1" x14ac:dyDescent="0.25">
      <c r="BW572" s="115" t="str">
        <f>BX578</f>
        <v>!!!</v>
      </c>
      <c r="BX572" s="116" t="s">
        <v>106</v>
      </c>
      <c r="BY572" s="117" t="s">
        <v>106</v>
      </c>
      <c r="BZ572" s="118" t="s">
        <v>106</v>
      </c>
      <c r="CA572" s="119" t="str">
        <f>Изопрайса</f>
        <v>R</v>
      </c>
      <c r="CB572" s="120" t="str">
        <f>Изопрайса</f>
        <v>R</v>
      </c>
      <c r="CC572" s="121" t="str">
        <f>Изопрайса</f>
        <v>R</v>
      </c>
    </row>
    <row r="573" spans="73:82" ht="22.9" customHeight="1" thickBot="1" x14ac:dyDescent="0.3">
      <c r="BW573" s="46">
        <f ca="1">CD578</f>
        <v>1</v>
      </c>
      <c r="BX573" s="47" t="s">
        <v>106</v>
      </c>
      <c r="BY573" s="48" t="s">
        <v>106</v>
      </c>
      <c r="BZ573" s="49" t="s">
        <v>106</v>
      </c>
      <c r="CA573" s="50" t="str">
        <f>Изопрайса</f>
        <v>R</v>
      </c>
      <c r="CB573" s="51" t="str">
        <f>Изопрайса</f>
        <v>R</v>
      </c>
      <c r="CC573" s="52" t="str">
        <f>Изопрайса</f>
        <v>R</v>
      </c>
    </row>
    <row r="574" spans="73:82" ht="22.9" customHeight="1" thickBot="1" x14ac:dyDescent="0.3">
      <c r="BW574" s="53">
        <f ca="1">Матрица_Расчёт</f>
        <v>0</v>
      </c>
      <c r="BX574" s="54" t="s">
        <v>106</v>
      </c>
      <c r="BY574" s="55" t="s">
        <v>106</v>
      </c>
      <c r="BZ574" s="56" t="s">
        <v>106</v>
      </c>
      <c r="CA574" s="57" t="str">
        <f>Изопрайса</f>
        <v>R</v>
      </c>
      <c r="CB574" s="58" t="str">
        <f>Изопрайса</f>
        <v>R</v>
      </c>
      <c r="CC574" s="59" t="str">
        <f>Изопрайса</f>
        <v>R</v>
      </c>
    </row>
    <row r="575" spans="73:82" ht="22.9" customHeight="1" thickTop="1" thickBot="1" x14ac:dyDescent="0.3"/>
    <row r="576" spans="73:82" ht="22.9" customHeight="1" thickTop="1" thickBot="1" x14ac:dyDescent="0.3">
      <c r="BU576" s="239">
        <f>BU566+2</f>
        <v>95</v>
      </c>
      <c r="BV576" s="240"/>
      <c r="BW576" s="240"/>
      <c r="BX576" s="241"/>
      <c r="BY576" s="5">
        <v>3</v>
      </c>
      <c r="CA576" s="239">
        <f>CA566+2</f>
        <v>96</v>
      </c>
      <c r="CB576" s="240"/>
      <c r="CC576" s="240"/>
      <c r="CD576" s="241"/>
    </row>
    <row r="577" spans="73:82" ht="22.9" customHeight="1" thickTop="1" x14ac:dyDescent="0.25">
      <c r="BU577" s="242" t="s">
        <v>359</v>
      </c>
      <c r="BV577" s="243"/>
      <c r="BW577" s="244"/>
      <c r="BX577" s="122"/>
      <c r="BY577" s="66"/>
      <c r="CA577" s="242" t="s">
        <v>357</v>
      </c>
      <c r="CB577" s="243"/>
      <c r="CC577" s="244"/>
      <c r="CD577" s="122"/>
    </row>
    <row r="578" spans="73:82" ht="22.9" customHeight="1" x14ac:dyDescent="0.25">
      <c r="BU578" s="214">
        <f ca="1">Min_1</f>
        <v>1</v>
      </c>
      <c r="BV578" s="215">
        <f ca="1">Mid_1</f>
        <v>4</v>
      </c>
      <c r="BW578" s="216">
        <f ca="1">Max_1</f>
        <v>1</v>
      </c>
      <c r="BX578" s="217" t="str">
        <f>Приведение</f>
        <v>!!!</v>
      </c>
      <c r="BY578" s="66"/>
      <c r="CA578" s="81">
        <f ca="1">Min_1</f>
        <v>1</v>
      </c>
      <c r="CB578" s="82">
        <f ca="1">Mid_1</f>
        <v>2.5</v>
      </c>
      <c r="CC578" s="83">
        <f ca="1">Max_1</f>
        <v>4</v>
      </c>
      <c r="CD578" s="76">
        <f ca="1">Приведение</f>
        <v>1</v>
      </c>
    </row>
    <row r="579" spans="73:82" ht="22.9" customHeight="1" thickBot="1" x14ac:dyDescent="0.3">
      <c r="BU579" s="218" t="e">
        <f>VLOOKUP(BW571,#REF!,2,FALSE)</f>
        <v>#REF!</v>
      </c>
      <c r="BV579" s="219" t="e">
        <f>VLOOKUP(BW571,#REF!,3,FALSE)</f>
        <v>#REF!</v>
      </c>
      <c r="BW579" s="220" t="e">
        <f>VLOOKUP(BW571,#REF!,4,FALSE)</f>
        <v>#REF!</v>
      </c>
      <c r="BX579" s="221">
        <v>4</v>
      </c>
      <c r="BY579" s="66"/>
      <c r="CA579" s="77">
        <v>1</v>
      </c>
      <c r="CB579" s="78"/>
      <c r="CC579" s="79">
        <v>4</v>
      </c>
      <c r="CD579" s="80">
        <v>1</v>
      </c>
    </row>
    <row r="580" spans="73:82" ht="22.9" customHeight="1" thickTop="1" thickBot="1" x14ac:dyDescent="0.3"/>
    <row r="581" spans="73:82" ht="22.9" customHeight="1" thickTop="1" thickBot="1" x14ac:dyDescent="0.3">
      <c r="BW581" s="239">
        <f>BW571+1</f>
        <v>49</v>
      </c>
      <c r="BX581" s="240"/>
      <c r="BY581" s="240"/>
      <c r="BZ581" s="240"/>
      <c r="CA581" s="240"/>
      <c r="CB581" s="240"/>
      <c r="CC581" s="241"/>
    </row>
    <row r="582" spans="73:82" ht="22.9" customHeight="1" thickTop="1" x14ac:dyDescent="0.25">
      <c r="BW582" s="115" t="str">
        <f>BX588</f>
        <v>!!!</v>
      </c>
      <c r="BX582" s="116" t="s">
        <v>106</v>
      </c>
      <c r="BY582" s="117" t="s">
        <v>106</v>
      </c>
      <c r="BZ582" s="118" t="s">
        <v>106</v>
      </c>
      <c r="CA582" s="119" t="str">
        <f>Изопрайса</f>
        <v>R</v>
      </c>
      <c r="CB582" s="120" t="str">
        <f>Изопрайса</f>
        <v>R</v>
      </c>
      <c r="CC582" s="121" t="str">
        <f>Изопрайса</f>
        <v>R</v>
      </c>
    </row>
    <row r="583" spans="73:82" ht="22.9" customHeight="1" thickBot="1" x14ac:dyDescent="0.3">
      <c r="BW583" s="46">
        <f ca="1">CD588</f>
        <v>1</v>
      </c>
      <c r="BX583" s="47" t="s">
        <v>106</v>
      </c>
      <c r="BY583" s="48" t="s">
        <v>106</v>
      </c>
      <c r="BZ583" s="49" t="s">
        <v>106</v>
      </c>
      <c r="CA583" s="50" t="str">
        <f>Изопрайса</f>
        <v>R</v>
      </c>
      <c r="CB583" s="51" t="str">
        <f>Изопрайса</f>
        <v>R</v>
      </c>
      <c r="CC583" s="52" t="str">
        <f>Изопрайса</f>
        <v>R</v>
      </c>
    </row>
    <row r="584" spans="73:82" ht="22.9" customHeight="1" thickBot="1" x14ac:dyDescent="0.3">
      <c r="BW584" s="53">
        <f ca="1">Матрица_Расчёт</f>
        <v>0</v>
      </c>
      <c r="BX584" s="54" t="s">
        <v>106</v>
      </c>
      <c r="BY584" s="55" t="s">
        <v>106</v>
      </c>
      <c r="BZ584" s="56" t="s">
        <v>106</v>
      </c>
      <c r="CA584" s="57" t="str">
        <f>Изопрайса</f>
        <v>R</v>
      </c>
      <c r="CB584" s="58" t="str">
        <f>Изопрайса</f>
        <v>R</v>
      </c>
      <c r="CC584" s="59" t="str">
        <f>Изопрайса</f>
        <v>R</v>
      </c>
    </row>
    <row r="585" spans="73:82" ht="22.9" customHeight="1" thickTop="1" thickBot="1" x14ac:dyDescent="0.3"/>
    <row r="586" spans="73:82" ht="22.9" customHeight="1" thickTop="1" thickBot="1" x14ac:dyDescent="0.3">
      <c r="BU586" s="239">
        <f>BU576+2</f>
        <v>97</v>
      </c>
      <c r="BV586" s="240"/>
      <c r="BW586" s="240"/>
      <c r="BX586" s="241"/>
      <c r="BY586" s="5">
        <v>3</v>
      </c>
      <c r="CA586" s="239">
        <f>CA576+2</f>
        <v>98</v>
      </c>
      <c r="CB586" s="240"/>
      <c r="CC586" s="240"/>
      <c r="CD586" s="241"/>
    </row>
    <row r="587" spans="73:82" ht="22.9" customHeight="1" thickTop="1" x14ac:dyDescent="0.25">
      <c r="BU587" s="242" t="s">
        <v>359</v>
      </c>
      <c r="BV587" s="243"/>
      <c r="BW587" s="244"/>
      <c r="BX587" s="122"/>
      <c r="BY587" s="66"/>
      <c r="CA587" s="242" t="s">
        <v>357</v>
      </c>
      <c r="CB587" s="243"/>
      <c r="CC587" s="244"/>
      <c r="CD587" s="122"/>
    </row>
    <row r="588" spans="73:82" ht="22.9" customHeight="1" x14ac:dyDescent="0.25">
      <c r="BU588" s="214">
        <f ca="1">Min_1</f>
        <v>1</v>
      </c>
      <c r="BV588" s="215">
        <f ca="1">Mid_1</f>
        <v>4</v>
      </c>
      <c r="BW588" s="216">
        <f ca="1">Max_1</f>
        <v>1</v>
      </c>
      <c r="BX588" s="217" t="str">
        <f>Приведение</f>
        <v>!!!</v>
      </c>
      <c r="BY588" s="66"/>
      <c r="CA588" s="81">
        <f ca="1">Min_1</f>
        <v>1</v>
      </c>
      <c r="CB588" s="82">
        <f ca="1">Mid_1</f>
        <v>2.5</v>
      </c>
      <c r="CC588" s="83">
        <f ca="1">Max_1</f>
        <v>4</v>
      </c>
      <c r="CD588" s="76">
        <f ca="1">Приведение</f>
        <v>1</v>
      </c>
    </row>
    <row r="589" spans="73:82" ht="22.9" customHeight="1" thickBot="1" x14ac:dyDescent="0.3">
      <c r="BU589" s="218" t="e">
        <f>VLOOKUP(BW581,#REF!,2,FALSE)</f>
        <v>#REF!</v>
      </c>
      <c r="BV589" s="219" t="e">
        <f>VLOOKUP(BW581,#REF!,3,FALSE)</f>
        <v>#REF!</v>
      </c>
      <c r="BW589" s="220" t="e">
        <f>VLOOKUP(BW581,#REF!,4,FALSE)</f>
        <v>#REF!</v>
      </c>
      <c r="BX589" s="221">
        <v>4</v>
      </c>
      <c r="BY589" s="66"/>
      <c r="CA589" s="77">
        <v>1</v>
      </c>
      <c r="CB589" s="78"/>
      <c r="CC589" s="79">
        <v>4</v>
      </c>
      <c r="CD589" s="80">
        <v>1</v>
      </c>
    </row>
    <row r="590" spans="73:82" ht="22.9" customHeight="1" thickTop="1" thickBot="1" x14ac:dyDescent="0.3"/>
    <row r="591" spans="73:82" ht="22.9" customHeight="1" thickTop="1" thickBot="1" x14ac:dyDescent="0.3">
      <c r="BW591" s="239">
        <f>BW581+1</f>
        <v>50</v>
      </c>
      <c r="BX591" s="240"/>
      <c r="BY591" s="240"/>
      <c r="BZ591" s="240"/>
      <c r="CA591" s="240"/>
      <c r="CB591" s="240"/>
      <c r="CC591" s="241"/>
    </row>
    <row r="592" spans="73:82" ht="22.9" customHeight="1" thickTop="1" x14ac:dyDescent="0.25">
      <c r="BW592" s="115" t="str">
        <f>BX598</f>
        <v>!!!</v>
      </c>
      <c r="BX592" s="116" t="s">
        <v>106</v>
      </c>
      <c r="BY592" s="117" t="s">
        <v>106</v>
      </c>
      <c r="BZ592" s="118" t="s">
        <v>106</v>
      </c>
      <c r="CA592" s="119" t="str">
        <f>Изопрайса</f>
        <v>R</v>
      </c>
      <c r="CB592" s="120" t="str">
        <f>Изопрайса</f>
        <v>R</v>
      </c>
      <c r="CC592" s="121" t="str">
        <f>Изопрайса</f>
        <v>R</v>
      </c>
    </row>
    <row r="593" spans="73:82" ht="22.9" customHeight="1" thickBot="1" x14ac:dyDescent="0.3">
      <c r="BW593" s="46">
        <f ca="1">CD598</f>
        <v>1</v>
      </c>
      <c r="BX593" s="47" t="s">
        <v>106</v>
      </c>
      <c r="BY593" s="48" t="s">
        <v>106</v>
      </c>
      <c r="BZ593" s="49" t="s">
        <v>106</v>
      </c>
      <c r="CA593" s="50" t="str">
        <f>Изопрайса</f>
        <v>R</v>
      </c>
      <c r="CB593" s="51" t="str">
        <f>Изопрайса</f>
        <v>R</v>
      </c>
      <c r="CC593" s="52" t="str">
        <f>Изопрайса</f>
        <v>R</v>
      </c>
    </row>
    <row r="594" spans="73:82" ht="22.9" customHeight="1" thickBot="1" x14ac:dyDescent="0.3">
      <c r="BW594" s="53">
        <f ca="1">Матрица_Расчёт</f>
        <v>0</v>
      </c>
      <c r="BX594" s="54" t="s">
        <v>106</v>
      </c>
      <c r="BY594" s="55" t="s">
        <v>106</v>
      </c>
      <c r="BZ594" s="56" t="s">
        <v>106</v>
      </c>
      <c r="CA594" s="57" t="str">
        <f>Изопрайса</f>
        <v>R</v>
      </c>
      <c r="CB594" s="58" t="str">
        <f>Изопрайса</f>
        <v>R</v>
      </c>
      <c r="CC594" s="59" t="str">
        <f>Изопрайса</f>
        <v>R</v>
      </c>
    </row>
    <row r="595" spans="73:82" ht="22.9" customHeight="1" thickTop="1" thickBot="1" x14ac:dyDescent="0.3"/>
    <row r="596" spans="73:82" ht="22.9" customHeight="1" thickTop="1" thickBot="1" x14ac:dyDescent="0.3">
      <c r="BU596" s="239">
        <f>BU586+2</f>
        <v>99</v>
      </c>
      <c r="BV596" s="240"/>
      <c r="BW596" s="240"/>
      <c r="BX596" s="241"/>
      <c r="BY596" s="5">
        <v>3</v>
      </c>
      <c r="CA596" s="239">
        <f>CA586+2</f>
        <v>100</v>
      </c>
      <c r="CB596" s="240"/>
      <c r="CC596" s="240"/>
      <c r="CD596" s="241"/>
    </row>
    <row r="597" spans="73:82" ht="22.9" customHeight="1" thickTop="1" x14ac:dyDescent="0.25">
      <c r="BU597" s="242" t="s">
        <v>359</v>
      </c>
      <c r="BV597" s="243"/>
      <c r="BW597" s="244"/>
      <c r="BX597" s="122"/>
      <c r="BY597" s="66"/>
      <c r="CA597" s="242" t="s">
        <v>357</v>
      </c>
      <c r="CB597" s="243"/>
      <c r="CC597" s="244"/>
      <c r="CD597" s="122"/>
    </row>
    <row r="598" spans="73:82" ht="22.9" customHeight="1" x14ac:dyDescent="0.25">
      <c r="BU598" s="214">
        <f ca="1">Min_1</f>
        <v>1</v>
      </c>
      <c r="BV598" s="215">
        <f ca="1">Mid_1</f>
        <v>4</v>
      </c>
      <c r="BW598" s="216">
        <f ca="1">Max_1</f>
        <v>1</v>
      </c>
      <c r="BX598" s="217" t="str">
        <f>Приведение</f>
        <v>!!!</v>
      </c>
      <c r="BY598" s="66"/>
      <c r="CA598" s="81">
        <f ca="1">Min_1</f>
        <v>1</v>
      </c>
      <c r="CB598" s="82">
        <f ca="1">Mid_1</f>
        <v>2.5</v>
      </c>
      <c r="CC598" s="83">
        <f ca="1">Max_1</f>
        <v>4</v>
      </c>
      <c r="CD598" s="76">
        <f ca="1">Приведение</f>
        <v>1</v>
      </c>
    </row>
    <row r="599" spans="73:82" ht="22.9" customHeight="1" thickBot="1" x14ac:dyDescent="0.3">
      <c r="BU599" s="218" t="e">
        <f>VLOOKUP(BW591,#REF!,2,FALSE)</f>
        <v>#REF!</v>
      </c>
      <c r="BV599" s="219" t="e">
        <f>VLOOKUP(BW591,#REF!,3,FALSE)</f>
        <v>#REF!</v>
      </c>
      <c r="BW599" s="220" t="e">
        <f>VLOOKUP(BW591,#REF!,4,FALSE)</f>
        <v>#REF!</v>
      </c>
      <c r="BX599" s="221">
        <v>4</v>
      </c>
      <c r="BY599" s="66"/>
      <c r="CA599" s="77">
        <v>1</v>
      </c>
      <c r="CB599" s="78"/>
      <c r="CC599" s="79">
        <v>4</v>
      </c>
      <c r="CD599" s="80">
        <v>1</v>
      </c>
    </row>
    <row r="600" spans="73:82" ht="22.9" customHeight="1" thickTop="1" thickBot="1" x14ac:dyDescent="0.3"/>
    <row r="601" spans="73:82" ht="22.9" customHeight="1" thickTop="1" thickBot="1" x14ac:dyDescent="0.3">
      <c r="BW601" s="239">
        <f>BW591+1</f>
        <v>51</v>
      </c>
      <c r="BX601" s="240"/>
      <c r="BY601" s="240"/>
      <c r="BZ601" s="240"/>
      <c r="CA601" s="240"/>
      <c r="CB601" s="240"/>
      <c r="CC601" s="241"/>
    </row>
    <row r="602" spans="73:82" ht="22.9" customHeight="1" thickTop="1" x14ac:dyDescent="0.25">
      <c r="BW602" s="115" t="str">
        <f>BX608</f>
        <v>!!!</v>
      </c>
      <c r="BX602" s="116" t="s">
        <v>106</v>
      </c>
      <c r="BY602" s="117" t="s">
        <v>106</v>
      </c>
      <c r="BZ602" s="118" t="s">
        <v>106</v>
      </c>
      <c r="CA602" s="119" t="str">
        <f>Изопрайса</f>
        <v>R</v>
      </c>
      <c r="CB602" s="120" t="str">
        <f>Изопрайса</f>
        <v>R</v>
      </c>
      <c r="CC602" s="121" t="str">
        <f>Изопрайса</f>
        <v>R</v>
      </c>
    </row>
    <row r="603" spans="73:82" ht="22.9" customHeight="1" thickBot="1" x14ac:dyDescent="0.3">
      <c r="BW603" s="46">
        <f ca="1">CD608</f>
        <v>1</v>
      </c>
      <c r="BX603" s="47" t="s">
        <v>106</v>
      </c>
      <c r="BY603" s="48" t="s">
        <v>106</v>
      </c>
      <c r="BZ603" s="49" t="s">
        <v>106</v>
      </c>
      <c r="CA603" s="50" t="str">
        <f>Изопрайса</f>
        <v>R</v>
      </c>
      <c r="CB603" s="51" t="str">
        <f>Изопрайса</f>
        <v>R</v>
      </c>
      <c r="CC603" s="52" t="str">
        <f>Изопрайса</f>
        <v>R</v>
      </c>
    </row>
    <row r="604" spans="73:82" ht="22.9" customHeight="1" thickBot="1" x14ac:dyDescent="0.3">
      <c r="BW604" s="53">
        <f ca="1">Матрица_Расчёт</f>
        <v>0</v>
      </c>
      <c r="BX604" s="54" t="s">
        <v>106</v>
      </c>
      <c r="BY604" s="55" t="s">
        <v>106</v>
      </c>
      <c r="BZ604" s="56" t="s">
        <v>106</v>
      </c>
      <c r="CA604" s="57" t="str">
        <f>Изопрайса</f>
        <v>R</v>
      </c>
      <c r="CB604" s="58" t="str">
        <f>Изопрайса</f>
        <v>R</v>
      </c>
      <c r="CC604" s="59" t="str">
        <f>Изопрайса</f>
        <v>R</v>
      </c>
    </row>
    <row r="605" spans="73:82" ht="22.9" customHeight="1" thickTop="1" thickBot="1" x14ac:dyDescent="0.3"/>
    <row r="606" spans="73:82" ht="22.9" customHeight="1" thickTop="1" thickBot="1" x14ac:dyDescent="0.3">
      <c r="BU606" s="239">
        <f>BU596+2</f>
        <v>101</v>
      </c>
      <c r="BV606" s="240"/>
      <c r="BW606" s="240"/>
      <c r="BX606" s="241"/>
      <c r="BY606" s="5">
        <v>3</v>
      </c>
      <c r="CA606" s="239">
        <f>CA596+2</f>
        <v>102</v>
      </c>
      <c r="CB606" s="240"/>
      <c r="CC606" s="240"/>
      <c r="CD606" s="241"/>
    </row>
    <row r="607" spans="73:82" ht="22.9" customHeight="1" thickTop="1" x14ac:dyDescent="0.25">
      <c r="BU607" s="242" t="s">
        <v>359</v>
      </c>
      <c r="BV607" s="243"/>
      <c r="BW607" s="244"/>
      <c r="BX607" s="122"/>
      <c r="BY607" s="66"/>
      <c r="CA607" s="242" t="s">
        <v>357</v>
      </c>
      <c r="CB607" s="243"/>
      <c r="CC607" s="244"/>
      <c r="CD607" s="122"/>
    </row>
    <row r="608" spans="73:82" ht="22.9" customHeight="1" x14ac:dyDescent="0.25">
      <c r="BU608" s="214">
        <f ca="1">Min_1</f>
        <v>1</v>
      </c>
      <c r="BV608" s="215">
        <f ca="1">Mid_1</f>
        <v>4</v>
      </c>
      <c r="BW608" s="216">
        <f ca="1">Max_1</f>
        <v>1</v>
      </c>
      <c r="BX608" s="217" t="str">
        <f>Приведение</f>
        <v>!!!</v>
      </c>
      <c r="BY608" s="66"/>
      <c r="CA608" s="81">
        <f ca="1">Min_1</f>
        <v>1</v>
      </c>
      <c r="CB608" s="82">
        <f ca="1">Mid_1</f>
        <v>2.5</v>
      </c>
      <c r="CC608" s="83">
        <f ca="1">Max_1</f>
        <v>4</v>
      </c>
      <c r="CD608" s="76">
        <f ca="1">Приведение</f>
        <v>1</v>
      </c>
    </row>
    <row r="609" spans="73:82" ht="22.9" customHeight="1" thickBot="1" x14ac:dyDescent="0.3">
      <c r="BU609" s="218" t="e">
        <f>VLOOKUP(BW601,#REF!,2,FALSE)</f>
        <v>#REF!</v>
      </c>
      <c r="BV609" s="219" t="e">
        <f>VLOOKUP(BW601,#REF!,3,FALSE)</f>
        <v>#REF!</v>
      </c>
      <c r="BW609" s="220" t="e">
        <f>VLOOKUP(BW601,#REF!,4,FALSE)</f>
        <v>#REF!</v>
      </c>
      <c r="BX609" s="221">
        <v>6</v>
      </c>
      <c r="BY609" s="66"/>
      <c r="CA609" s="77">
        <v>1</v>
      </c>
      <c r="CB609" s="78"/>
      <c r="CC609" s="79">
        <v>4</v>
      </c>
      <c r="CD609" s="80">
        <v>1</v>
      </c>
    </row>
    <row r="610" spans="73:82" ht="22.9" customHeight="1" thickTop="1" thickBot="1" x14ac:dyDescent="0.3"/>
    <row r="611" spans="73:82" ht="22.9" customHeight="1" thickTop="1" thickBot="1" x14ac:dyDescent="0.3">
      <c r="BW611" s="239">
        <f>BW601+1</f>
        <v>52</v>
      </c>
      <c r="BX611" s="240"/>
      <c r="BY611" s="240"/>
      <c r="BZ611" s="240"/>
      <c r="CA611" s="240"/>
      <c r="CB611" s="240"/>
      <c r="CC611" s="241"/>
    </row>
    <row r="612" spans="73:82" ht="22.9" customHeight="1" thickTop="1" x14ac:dyDescent="0.25">
      <c r="BW612" s="115" t="str">
        <f>BX618</f>
        <v>!!!</v>
      </c>
      <c r="BX612" s="116" t="s">
        <v>106</v>
      </c>
      <c r="BY612" s="117" t="s">
        <v>106</v>
      </c>
      <c r="BZ612" s="118" t="s">
        <v>106</v>
      </c>
      <c r="CA612" s="119" t="str">
        <f>Изопрайса</f>
        <v>R</v>
      </c>
      <c r="CB612" s="120" t="str">
        <f>Изопрайса</f>
        <v>R</v>
      </c>
      <c r="CC612" s="121" t="str">
        <f>Изопрайса</f>
        <v>R</v>
      </c>
    </row>
    <row r="613" spans="73:82" ht="22.9" customHeight="1" thickBot="1" x14ac:dyDescent="0.3">
      <c r="BW613" s="46">
        <f ca="1">CD618</f>
        <v>1</v>
      </c>
      <c r="BX613" s="47" t="s">
        <v>106</v>
      </c>
      <c r="BY613" s="48" t="s">
        <v>106</v>
      </c>
      <c r="BZ613" s="49" t="s">
        <v>106</v>
      </c>
      <c r="CA613" s="50" t="str">
        <f>Изопрайса</f>
        <v>R</v>
      </c>
      <c r="CB613" s="51" t="str">
        <f>Изопрайса</f>
        <v>R</v>
      </c>
      <c r="CC613" s="52" t="str">
        <f>Изопрайса</f>
        <v>R</v>
      </c>
    </row>
    <row r="614" spans="73:82" ht="22.9" customHeight="1" thickBot="1" x14ac:dyDescent="0.3">
      <c r="BW614" s="53">
        <f ca="1">Матрица_Расчёт</f>
        <v>0</v>
      </c>
      <c r="BX614" s="54" t="s">
        <v>106</v>
      </c>
      <c r="BY614" s="55" t="s">
        <v>106</v>
      </c>
      <c r="BZ614" s="56" t="s">
        <v>106</v>
      </c>
      <c r="CA614" s="57" t="str">
        <f>Изопрайса</f>
        <v>R</v>
      </c>
      <c r="CB614" s="58" t="str">
        <f>Изопрайса</f>
        <v>R</v>
      </c>
      <c r="CC614" s="59" t="str">
        <f>Изопрайса</f>
        <v>R</v>
      </c>
    </row>
    <row r="615" spans="73:82" ht="22.9" customHeight="1" thickTop="1" thickBot="1" x14ac:dyDescent="0.3"/>
    <row r="616" spans="73:82" ht="22.9" customHeight="1" thickTop="1" thickBot="1" x14ac:dyDescent="0.3">
      <c r="BU616" s="239">
        <f>BU606+2</f>
        <v>103</v>
      </c>
      <c r="BV616" s="240"/>
      <c r="BW616" s="240"/>
      <c r="BX616" s="241"/>
      <c r="BY616" s="5">
        <v>3</v>
      </c>
      <c r="CA616" s="239">
        <f>CA606+2</f>
        <v>104</v>
      </c>
      <c r="CB616" s="240"/>
      <c r="CC616" s="240"/>
      <c r="CD616" s="241"/>
    </row>
    <row r="617" spans="73:82" ht="22.9" customHeight="1" thickTop="1" x14ac:dyDescent="0.25">
      <c r="BU617" s="242" t="s">
        <v>359</v>
      </c>
      <c r="BV617" s="243"/>
      <c r="BW617" s="244"/>
      <c r="BX617" s="122"/>
      <c r="BY617" s="66"/>
      <c r="CA617" s="242" t="s">
        <v>357</v>
      </c>
      <c r="CB617" s="243"/>
      <c r="CC617" s="244"/>
      <c r="CD617" s="122"/>
    </row>
    <row r="618" spans="73:82" ht="22.9" customHeight="1" x14ac:dyDescent="0.25">
      <c r="BU618" s="214">
        <f ca="1">Min_1</f>
        <v>1</v>
      </c>
      <c r="BV618" s="215">
        <f ca="1">Mid_1</f>
        <v>4</v>
      </c>
      <c r="BW618" s="216">
        <f ca="1">Max_1</f>
        <v>1</v>
      </c>
      <c r="BX618" s="217" t="str">
        <f>Приведение</f>
        <v>!!!</v>
      </c>
      <c r="BY618" s="66"/>
      <c r="CA618" s="81">
        <f ca="1">Min_1</f>
        <v>1</v>
      </c>
      <c r="CB618" s="82">
        <f ca="1">Mid_1</f>
        <v>2.5</v>
      </c>
      <c r="CC618" s="83">
        <f ca="1">Max_1</f>
        <v>4</v>
      </c>
      <c r="CD618" s="76">
        <f ca="1">Приведение</f>
        <v>1</v>
      </c>
    </row>
    <row r="619" spans="73:82" ht="22.9" customHeight="1" thickBot="1" x14ac:dyDescent="0.3">
      <c r="BU619" s="218" t="e">
        <f>VLOOKUP(BW611,#REF!,2,FALSE)</f>
        <v>#REF!</v>
      </c>
      <c r="BV619" s="219" t="e">
        <f>VLOOKUP(BW611,#REF!,3,FALSE)</f>
        <v>#REF!</v>
      </c>
      <c r="BW619" s="220" t="e">
        <f>VLOOKUP(BW611,#REF!,4,FALSE)</f>
        <v>#REF!</v>
      </c>
      <c r="BX619" s="221">
        <v>5</v>
      </c>
      <c r="BY619" s="66"/>
      <c r="CA619" s="77">
        <v>1</v>
      </c>
      <c r="CB619" s="78"/>
      <c r="CC619" s="79">
        <v>4</v>
      </c>
      <c r="CD619" s="80">
        <v>1</v>
      </c>
    </row>
    <row r="620" spans="73:82" ht="22.9" customHeight="1" thickTop="1" thickBot="1" x14ac:dyDescent="0.3"/>
    <row r="621" spans="73:82" ht="22.9" customHeight="1" thickTop="1" thickBot="1" x14ac:dyDescent="0.3">
      <c r="BW621" s="239">
        <f>BW611+1</f>
        <v>53</v>
      </c>
      <c r="BX621" s="240"/>
      <c r="BY621" s="240"/>
      <c r="BZ621" s="240"/>
      <c r="CA621" s="240"/>
      <c r="CB621" s="240"/>
      <c r="CC621" s="241"/>
    </row>
    <row r="622" spans="73:82" ht="22.9" customHeight="1" thickTop="1" x14ac:dyDescent="0.25">
      <c r="BW622" s="115" t="str">
        <f>BX628</f>
        <v>!!!</v>
      </c>
      <c r="BX622" s="116" t="s">
        <v>106</v>
      </c>
      <c r="BY622" s="117" t="s">
        <v>106</v>
      </c>
      <c r="BZ622" s="118" t="s">
        <v>106</v>
      </c>
      <c r="CA622" s="119" t="str">
        <f>Изопрайса</f>
        <v>R</v>
      </c>
      <c r="CB622" s="120" t="str">
        <f>Изопрайса</f>
        <v>R</v>
      </c>
      <c r="CC622" s="121" t="str">
        <f>Изопрайса</f>
        <v>R</v>
      </c>
    </row>
    <row r="623" spans="73:82" ht="22.9" customHeight="1" thickBot="1" x14ac:dyDescent="0.3">
      <c r="BW623" s="46">
        <f ca="1">CD628</f>
        <v>1</v>
      </c>
      <c r="BX623" s="47" t="s">
        <v>106</v>
      </c>
      <c r="BY623" s="48" t="s">
        <v>106</v>
      </c>
      <c r="BZ623" s="49" t="s">
        <v>106</v>
      </c>
      <c r="CA623" s="50" t="str">
        <f>Изопрайса</f>
        <v>R</v>
      </c>
      <c r="CB623" s="51" t="str">
        <f>Изопрайса</f>
        <v>R</v>
      </c>
      <c r="CC623" s="52" t="str">
        <f>Изопрайса</f>
        <v>R</v>
      </c>
    </row>
    <row r="624" spans="73:82" ht="22.9" customHeight="1" thickBot="1" x14ac:dyDescent="0.3">
      <c r="BW624" s="53">
        <f ca="1">Матрица_Расчёт</f>
        <v>0</v>
      </c>
      <c r="BX624" s="54" t="s">
        <v>106</v>
      </c>
      <c r="BY624" s="55" t="s">
        <v>106</v>
      </c>
      <c r="BZ624" s="56" t="s">
        <v>106</v>
      </c>
      <c r="CA624" s="57" t="str">
        <f>Изопрайса</f>
        <v>R</v>
      </c>
      <c r="CB624" s="58" t="str">
        <f>Изопрайса</f>
        <v>R</v>
      </c>
      <c r="CC624" s="59" t="str">
        <f>Изопрайса</f>
        <v>R</v>
      </c>
    </row>
    <row r="625" spans="73:82" ht="22.9" customHeight="1" thickTop="1" thickBot="1" x14ac:dyDescent="0.3"/>
    <row r="626" spans="73:82" ht="22.9" customHeight="1" thickTop="1" thickBot="1" x14ac:dyDescent="0.3">
      <c r="BU626" s="239">
        <f>BU616+2</f>
        <v>105</v>
      </c>
      <c r="BV626" s="240"/>
      <c r="BW626" s="240"/>
      <c r="BX626" s="241"/>
      <c r="BY626" s="5">
        <v>3</v>
      </c>
      <c r="CA626" s="239">
        <f>CA616+2</f>
        <v>106</v>
      </c>
      <c r="CB626" s="240"/>
      <c r="CC626" s="240"/>
      <c r="CD626" s="241"/>
    </row>
    <row r="627" spans="73:82" ht="22.9" customHeight="1" thickTop="1" x14ac:dyDescent="0.25">
      <c r="BU627" s="242" t="s">
        <v>359</v>
      </c>
      <c r="BV627" s="243"/>
      <c r="BW627" s="244"/>
      <c r="BX627" s="122"/>
      <c r="BY627" s="66"/>
      <c r="CA627" s="242" t="s">
        <v>357</v>
      </c>
      <c r="CB627" s="243"/>
      <c r="CC627" s="244"/>
      <c r="CD627" s="122"/>
    </row>
    <row r="628" spans="73:82" ht="22.9" customHeight="1" x14ac:dyDescent="0.25">
      <c r="BU628" s="214">
        <f ca="1">Min_1</f>
        <v>1</v>
      </c>
      <c r="BV628" s="215">
        <f ca="1">Mid_1</f>
        <v>4</v>
      </c>
      <c r="BW628" s="216">
        <f ca="1">Max_1</f>
        <v>1</v>
      </c>
      <c r="BX628" s="217" t="str">
        <f>Приведение</f>
        <v>!!!</v>
      </c>
      <c r="BY628" s="66"/>
      <c r="CA628" s="81">
        <f ca="1">Min_1</f>
        <v>1</v>
      </c>
      <c r="CB628" s="82">
        <f ca="1">Mid_1</f>
        <v>2.5</v>
      </c>
      <c r="CC628" s="83">
        <f ca="1">Max_1</f>
        <v>4</v>
      </c>
      <c r="CD628" s="76">
        <f ca="1">Приведение</f>
        <v>1</v>
      </c>
    </row>
    <row r="629" spans="73:82" ht="22.9" customHeight="1" thickBot="1" x14ac:dyDescent="0.3">
      <c r="BU629" s="218" t="e">
        <f>VLOOKUP(BW621,#REF!,2,FALSE)</f>
        <v>#REF!</v>
      </c>
      <c r="BV629" s="219" t="e">
        <f>VLOOKUP(BW621,#REF!,3,FALSE)</f>
        <v>#REF!</v>
      </c>
      <c r="BW629" s="220" t="e">
        <f>VLOOKUP(BW621,#REF!,4,FALSE)</f>
        <v>#REF!</v>
      </c>
      <c r="BX629" s="221">
        <v>5</v>
      </c>
      <c r="BY629" s="66"/>
      <c r="CA629" s="77">
        <v>1</v>
      </c>
      <c r="CB629" s="78"/>
      <c r="CC629" s="79">
        <v>4</v>
      </c>
      <c r="CD629" s="80">
        <v>1</v>
      </c>
    </row>
    <row r="630" spans="73:82" ht="22.9" customHeight="1" thickTop="1" thickBot="1" x14ac:dyDescent="0.3"/>
    <row r="631" spans="73:82" ht="22.9" customHeight="1" thickTop="1" thickBot="1" x14ac:dyDescent="0.3">
      <c r="BW631" s="239">
        <f>BW621+1</f>
        <v>54</v>
      </c>
      <c r="BX631" s="240"/>
      <c r="BY631" s="240"/>
      <c r="BZ631" s="240"/>
      <c r="CA631" s="240"/>
      <c r="CB631" s="240"/>
      <c r="CC631" s="241"/>
    </row>
    <row r="632" spans="73:82" ht="22.9" customHeight="1" thickTop="1" x14ac:dyDescent="0.25">
      <c r="BW632" s="115" t="str">
        <f>BX638</f>
        <v>!!!</v>
      </c>
      <c r="BX632" s="116" t="s">
        <v>106</v>
      </c>
      <c r="BY632" s="117" t="s">
        <v>106</v>
      </c>
      <c r="BZ632" s="118" t="s">
        <v>106</v>
      </c>
      <c r="CA632" s="119" t="str">
        <f>Изопрайса</f>
        <v>R</v>
      </c>
      <c r="CB632" s="120" t="str">
        <f>Изопрайса</f>
        <v>R</v>
      </c>
      <c r="CC632" s="121" t="str">
        <f>Изопрайса</f>
        <v>R</v>
      </c>
    </row>
    <row r="633" spans="73:82" ht="22.9" customHeight="1" thickBot="1" x14ac:dyDescent="0.3">
      <c r="BW633" s="46">
        <f ca="1">CD638</f>
        <v>1</v>
      </c>
      <c r="BX633" s="47" t="s">
        <v>106</v>
      </c>
      <c r="BY633" s="48" t="s">
        <v>106</v>
      </c>
      <c r="BZ633" s="49" t="s">
        <v>106</v>
      </c>
      <c r="CA633" s="50" t="str">
        <f>Изопрайса</f>
        <v>R</v>
      </c>
      <c r="CB633" s="51" t="str">
        <f>Изопрайса</f>
        <v>R</v>
      </c>
      <c r="CC633" s="52" t="str">
        <f>Изопрайса</f>
        <v>R</v>
      </c>
    </row>
    <row r="634" spans="73:82" ht="22.9" customHeight="1" thickBot="1" x14ac:dyDescent="0.3">
      <c r="BW634" s="53">
        <f ca="1">Матрица_Расчёт</f>
        <v>0</v>
      </c>
      <c r="BX634" s="54" t="s">
        <v>106</v>
      </c>
      <c r="BY634" s="55" t="s">
        <v>106</v>
      </c>
      <c r="BZ634" s="56" t="s">
        <v>106</v>
      </c>
      <c r="CA634" s="57" t="str">
        <f>Изопрайса</f>
        <v>R</v>
      </c>
      <c r="CB634" s="58" t="str">
        <f>Изопрайса</f>
        <v>R</v>
      </c>
      <c r="CC634" s="59" t="str">
        <f>Изопрайса</f>
        <v>R</v>
      </c>
    </row>
    <row r="635" spans="73:82" ht="22.9" customHeight="1" thickTop="1" thickBot="1" x14ac:dyDescent="0.3"/>
    <row r="636" spans="73:82" ht="22.9" customHeight="1" thickTop="1" thickBot="1" x14ac:dyDescent="0.3">
      <c r="BU636" s="239">
        <f>BU626+2</f>
        <v>107</v>
      </c>
      <c r="BV636" s="240"/>
      <c r="BW636" s="240"/>
      <c r="BX636" s="241"/>
      <c r="BY636" s="5">
        <v>3</v>
      </c>
      <c r="CA636" s="239">
        <f>CA626+2</f>
        <v>108</v>
      </c>
      <c r="CB636" s="240"/>
      <c r="CC636" s="240"/>
      <c r="CD636" s="241"/>
    </row>
    <row r="637" spans="73:82" ht="22.9" customHeight="1" thickTop="1" x14ac:dyDescent="0.25">
      <c r="BU637" s="242" t="s">
        <v>359</v>
      </c>
      <c r="BV637" s="243"/>
      <c r="BW637" s="244"/>
      <c r="BX637" s="122"/>
      <c r="BY637" s="66"/>
      <c r="CA637" s="242" t="s">
        <v>357</v>
      </c>
      <c r="CB637" s="243"/>
      <c r="CC637" s="244"/>
      <c r="CD637" s="122"/>
    </row>
    <row r="638" spans="73:82" ht="22.9" customHeight="1" x14ac:dyDescent="0.25">
      <c r="BU638" s="214">
        <f ca="1">Min_1</f>
        <v>1</v>
      </c>
      <c r="BV638" s="215">
        <f ca="1">Mid_1</f>
        <v>4</v>
      </c>
      <c r="BW638" s="216">
        <f ca="1">Max_1</f>
        <v>1</v>
      </c>
      <c r="BX638" s="217" t="str">
        <f>Приведение</f>
        <v>!!!</v>
      </c>
      <c r="BY638" s="66"/>
      <c r="CA638" s="81">
        <f ca="1">Min_1</f>
        <v>1</v>
      </c>
      <c r="CB638" s="82">
        <f ca="1">Mid_1</f>
        <v>2.5</v>
      </c>
      <c r="CC638" s="83">
        <f ca="1">Max_1</f>
        <v>4</v>
      </c>
      <c r="CD638" s="76">
        <f ca="1">Приведение</f>
        <v>1</v>
      </c>
    </row>
    <row r="639" spans="73:82" ht="22.9" customHeight="1" thickBot="1" x14ac:dyDescent="0.3">
      <c r="BU639" s="218" t="e">
        <f>VLOOKUP(BW631,#REF!,2,FALSE)</f>
        <v>#REF!</v>
      </c>
      <c r="BV639" s="219" t="e">
        <f>VLOOKUP(BW631,#REF!,3,FALSE)</f>
        <v>#REF!</v>
      </c>
      <c r="BW639" s="220" t="e">
        <f>VLOOKUP(BW631,#REF!,4,FALSE)</f>
        <v>#REF!</v>
      </c>
      <c r="BX639" s="221">
        <v>5</v>
      </c>
      <c r="BY639" s="66"/>
      <c r="CA639" s="77">
        <v>1</v>
      </c>
      <c r="CB639" s="78"/>
      <c r="CC639" s="79">
        <v>4</v>
      </c>
      <c r="CD639" s="80">
        <v>1</v>
      </c>
    </row>
    <row r="640" spans="73:82" ht="22.9" customHeight="1" thickTop="1" thickBot="1" x14ac:dyDescent="0.3"/>
    <row r="641" spans="73:82" ht="22.9" customHeight="1" thickTop="1" thickBot="1" x14ac:dyDescent="0.3">
      <c r="BW641" s="239">
        <f>BW631+1</f>
        <v>55</v>
      </c>
      <c r="BX641" s="240"/>
      <c r="BY641" s="240"/>
      <c r="BZ641" s="240"/>
      <c r="CA641" s="240"/>
      <c r="CB641" s="240"/>
      <c r="CC641" s="241"/>
    </row>
    <row r="642" spans="73:82" ht="22.9" customHeight="1" thickTop="1" x14ac:dyDescent="0.25">
      <c r="BW642" s="115" t="str">
        <f>BX648</f>
        <v>!!!</v>
      </c>
      <c r="BX642" s="116" t="s">
        <v>106</v>
      </c>
      <c r="BY642" s="117" t="s">
        <v>106</v>
      </c>
      <c r="BZ642" s="118" t="s">
        <v>106</v>
      </c>
      <c r="CA642" s="119" t="str">
        <f>Изопрайса</f>
        <v>R</v>
      </c>
      <c r="CB642" s="120" t="str">
        <f>Изопрайса</f>
        <v>R</v>
      </c>
      <c r="CC642" s="121" t="str">
        <f>Изопрайса</f>
        <v>R</v>
      </c>
    </row>
    <row r="643" spans="73:82" ht="22.9" customHeight="1" thickBot="1" x14ac:dyDescent="0.3">
      <c r="BW643" s="46">
        <f ca="1">CD648</f>
        <v>1</v>
      </c>
      <c r="BX643" s="47" t="s">
        <v>106</v>
      </c>
      <c r="BY643" s="48" t="s">
        <v>106</v>
      </c>
      <c r="BZ643" s="49" t="s">
        <v>106</v>
      </c>
      <c r="CA643" s="50" t="str">
        <f>Изопрайса</f>
        <v>R</v>
      </c>
      <c r="CB643" s="51" t="str">
        <f>Изопрайса</f>
        <v>R</v>
      </c>
      <c r="CC643" s="52" t="str">
        <f>Изопрайса</f>
        <v>R</v>
      </c>
    </row>
    <row r="644" spans="73:82" ht="22.9" customHeight="1" thickBot="1" x14ac:dyDescent="0.3">
      <c r="BW644" s="53">
        <f ca="1">Матрица_Расчёт</f>
        <v>0</v>
      </c>
      <c r="BX644" s="54" t="s">
        <v>106</v>
      </c>
      <c r="BY644" s="55" t="s">
        <v>106</v>
      </c>
      <c r="BZ644" s="56" t="s">
        <v>106</v>
      </c>
      <c r="CA644" s="57" t="str">
        <f>Изопрайса</f>
        <v>R</v>
      </c>
      <c r="CB644" s="58" t="str">
        <f>Изопрайса</f>
        <v>R</v>
      </c>
      <c r="CC644" s="59" t="str">
        <f>Изопрайса</f>
        <v>R</v>
      </c>
    </row>
    <row r="645" spans="73:82" ht="22.9" customHeight="1" thickTop="1" thickBot="1" x14ac:dyDescent="0.3"/>
    <row r="646" spans="73:82" ht="22.9" customHeight="1" thickTop="1" thickBot="1" x14ac:dyDescent="0.3">
      <c r="BU646" s="239">
        <f>BU636+2</f>
        <v>109</v>
      </c>
      <c r="BV646" s="240"/>
      <c r="BW646" s="240"/>
      <c r="BX646" s="241"/>
      <c r="BY646" s="5">
        <v>3</v>
      </c>
      <c r="CA646" s="239">
        <f>CA636+2</f>
        <v>110</v>
      </c>
      <c r="CB646" s="240"/>
      <c r="CC646" s="240"/>
      <c r="CD646" s="241"/>
    </row>
    <row r="647" spans="73:82" ht="22.9" customHeight="1" thickTop="1" x14ac:dyDescent="0.25">
      <c r="BU647" s="242" t="s">
        <v>359</v>
      </c>
      <c r="BV647" s="243"/>
      <c r="BW647" s="244"/>
      <c r="BX647" s="122"/>
      <c r="BY647" s="66"/>
      <c r="CA647" s="242" t="s">
        <v>357</v>
      </c>
      <c r="CB647" s="243"/>
      <c r="CC647" s="244"/>
      <c r="CD647" s="122"/>
    </row>
    <row r="648" spans="73:82" ht="22.9" customHeight="1" x14ac:dyDescent="0.25">
      <c r="BU648" s="214">
        <f ca="1">Min_1</f>
        <v>1</v>
      </c>
      <c r="BV648" s="215">
        <f ca="1">Mid_1</f>
        <v>4</v>
      </c>
      <c r="BW648" s="216">
        <f ca="1">Max_1</f>
        <v>1</v>
      </c>
      <c r="BX648" s="217" t="str">
        <f>Приведение</f>
        <v>!!!</v>
      </c>
      <c r="BY648" s="66"/>
      <c r="CA648" s="81">
        <f ca="1">Min_1</f>
        <v>1</v>
      </c>
      <c r="CB648" s="82">
        <f ca="1">Mid_1</f>
        <v>2.5</v>
      </c>
      <c r="CC648" s="83">
        <f ca="1">Max_1</f>
        <v>4</v>
      </c>
      <c r="CD648" s="76">
        <f ca="1">Приведение</f>
        <v>1</v>
      </c>
    </row>
    <row r="649" spans="73:82" ht="22.9" customHeight="1" thickBot="1" x14ac:dyDescent="0.3">
      <c r="BU649" s="218" t="e">
        <f>VLOOKUP(BW641,#REF!,2,FALSE)</f>
        <v>#REF!</v>
      </c>
      <c r="BV649" s="219" t="e">
        <f>VLOOKUP(BW641,#REF!,3,FALSE)</f>
        <v>#REF!</v>
      </c>
      <c r="BW649" s="220" t="e">
        <f>VLOOKUP(BW641,#REF!,4,FALSE)</f>
        <v>#REF!</v>
      </c>
      <c r="BX649" s="221">
        <v>5</v>
      </c>
      <c r="BY649" s="66"/>
      <c r="CA649" s="77">
        <v>1</v>
      </c>
      <c r="CB649" s="78"/>
      <c r="CC649" s="79">
        <v>4</v>
      </c>
      <c r="CD649" s="80">
        <v>1</v>
      </c>
    </row>
    <row r="650" spans="73:82" ht="22.9" customHeight="1" thickTop="1" thickBot="1" x14ac:dyDescent="0.3"/>
    <row r="651" spans="73:82" ht="22.9" customHeight="1" thickTop="1" thickBot="1" x14ac:dyDescent="0.3">
      <c r="BW651" s="239">
        <f>BW641+1</f>
        <v>56</v>
      </c>
      <c r="BX651" s="240"/>
      <c r="BY651" s="240"/>
      <c r="BZ651" s="240"/>
      <c r="CA651" s="240"/>
      <c r="CB651" s="240"/>
      <c r="CC651" s="241"/>
    </row>
    <row r="652" spans="73:82" ht="22.9" customHeight="1" thickTop="1" x14ac:dyDescent="0.25">
      <c r="BW652" s="115" t="str">
        <f>BX658</f>
        <v>!!!</v>
      </c>
      <c r="BX652" s="116" t="s">
        <v>106</v>
      </c>
      <c r="BY652" s="117" t="s">
        <v>106</v>
      </c>
      <c r="BZ652" s="118" t="s">
        <v>106</v>
      </c>
      <c r="CA652" s="119" t="str">
        <f>Изопрайса</f>
        <v>R</v>
      </c>
      <c r="CB652" s="120" t="str">
        <f>Изопрайса</f>
        <v>R</v>
      </c>
      <c r="CC652" s="121" t="str">
        <f>Изопрайса</f>
        <v>R</v>
      </c>
    </row>
    <row r="653" spans="73:82" ht="22.9" customHeight="1" thickBot="1" x14ac:dyDescent="0.3">
      <c r="BW653" s="46">
        <f ca="1">CD658</f>
        <v>1</v>
      </c>
      <c r="BX653" s="47" t="s">
        <v>106</v>
      </c>
      <c r="BY653" s="48" t="s">
        <v>106</v>
      </c>
      <c r="BZ653" s="49" t="s">
        <v>106</v>
      </c>
      <c r="CA653" s="50" t="str">
        <f>Изопрайса</f>
        <v>R</v>
      </c>
      <c r="CB653" s="51" t="str">
        <f>Изопрайса</f>
        <v>R</v>
      </c>
      <c r="CC653" s="52" t="str">
        <f>Изопрайса</f>
        <v>R</v>
      </c>
    </row>
    <row r="654" spans="73:82" ht="22.9" customHeight="1" thickBot="1" x14ac:dyDescent="0.3">
      <c r="BW654" s="53">
        <f ca="1">Матрица_Расчёт</f>
        <v>0</v>
      </c>
      <c r="BX654" s="54" t="s">
        <v>106</v>
      </c>
      <c r="BY654" s="55" t="s">
        <v>106</v>
      </c>
      <c r="BZ654" s="56" t="s">
        <v>106</v>
      </c>
      <c r="CA654" s="57" t="str">
        <f>Изопрайса</f>
        <v>R</v>
      </c>
      <c r="CB654" s="58" t="str">
        <f>Изопрайса</f>
        <v>R</v>
      </c>
      <c r="CC654" s="59" t="str">
        <f>Изопрайса</f>
        <v>R</v>
      </c>
    </row>
    <row r="655" spans="73:82" ht="22.9" customHeight="1" thickTop="1" thickBot="1" x14ac:dyDescent="0.3"/>
    <row r="656" spans="73:82" ht="22.9" customHeight="1" thickTop="1" thickBot="1" x14ac:dyDescent="0.3">
      <c r="BU656" s="239">
        <f>BU646+2</f>
        <v>111</v>
      </c>
      <c r="BV656" s="240"/>
      <c r="BW656" s="240"/>
      <c r="BX656" s="241"/>
      <c r="BY656" s="5">
        <v>3</v>
      </c>
      <c r="CA656" s="239">
        <f>CA646+2</f>
        <v>112</v>
      </c>
      <c r="CB656" s="240"/>
      <c r="CC656" s="240"/>
      <c r="CD656" s="241"/>
    </row>
    <row r="657" spans="73:82" ht="22.9" customHeight="1" thickTop="1" x14ac:dyDescent="0.25">
      <c r="BU657" s="242" t="s">
        <v>359</v>
      </c>
      <c r="BV657" s="243"/>
      <c r="BW657" s="244"/>
      <c r="BX657" s="122"/>
      <c r="BY657" s="66"/>
      <c r="CA657" s="242" t="s">
        <v>357</v>
      </c>
      <c r="CB657" s="243"/>
      <c r="CC657" s="244"/>
      <c r="CD657" s="122"/>
    </row>
    <row r="658" spans="73:82" ht="22.9" customHeight="1" x14ac:dyDescent="0.25">
      <c r="BU658" s="214">
        <f ca="1">Min_1</f>
        <v>1</v>
      </c>
      <c r="BV658" s="215">
        <f ca="1">Mid_1</f>
        <v>4</v>
      </c>
      <c r="BW658" s="216">
        <f ca="1">Max_1</f>
        <v>1</v>
      </c>
      <c r="BX658" s="217" t="str">
        <f>Приведение</f>
        <v>!!!</v>
      </c>
      <c r="BY658" s="66"/>
      <c r="CA658" s="81">
        <f ca="1">Min_1</f>
        <v>1</v>
      </c>
      <c r="CB658" s="82">
        <f ca="1">Mid_1</f>
        <v>2.5</v>
      </c>
      <c r="CC658" s="83">
        <f ca="1">Max_1</f>
        <v>4</v>
      </c>
      <c r="CD658" s="76">
        <f ca="1">Приведение</f>
        <v>1</v>
      </c>
    </row>
    <row r="659" spans="73:82" ht="22.9" customHeight="1" thickBot="1" x14ac:dyDescent="0.3">
      <c r="BU659" s="218" t="e">
        <f>VLOOKUP(BW651,#REF!,2,FALSE)</f>
        <v>#REF!</v>
      </c>
      <c r="BV659" s="219" t="e">
        <f>VLOOKUP(BW651,#REF!,3,FALSE)</f>
        <v>#REF!</v>
      </c>
      <c r="BW659" s="220" t="e">
        <f>VLOOKUP(BW651,#REF!,4,FALSE)</f>
        <v>#REF!</v>
      </c>
      <c r="BX659" s="221">
        <v>6</v>
      </c>
      <c r="BY659" s="66"/>
      <c r="CA659" s="77">
        <v>1</v>
      </c>
      <c r="CB659" s="78"/>
      <c r="CC659" s="79">
        <v>4</v>
      </c>
      <c r="CD659" s="80">
        <v>1</v>
      </c>
    </row>
    <row r="660" spans="73:82" ht="22.9" customHeight="1" thickTop="1" x14ac:dyDescent="0.25"/>
  </sheetData>
  <mergeCells count="430">
    <mergeCell ref="CQ17:CT17"/>
    <mergeCell ref="CQ18:CS18"/>
    <mergeCell ref="CC18:CE18"/>
    <mergeCell ref="BW641:CC641"/>
    <mergeCell ref="BU646:BX646"/>
    <mergeCell ref="CA646:CD646"/>
    <mergeCell ref="BW581:CC581"/>
    <mergeCell ref="BU586:BX586"/>
    <mergeCell ref="CA586:CD586"/>
    <mergeCell ref="BU587:BW587"/>
    <mergeCell ref="CA587:CC587"/>
    <mergeCell ref="BW591:CC591"/>
    <mergeCell ref="BU596:BX596"/>
    <mergeCell ref="CA596:CD596"/>
    <mergeCell ref="BU597:BW597"/>
    <mergeCell ref="CA597:CC597"/>
    <mergeCell ref="BW561:CC561"/>
    <mergeCell ref="BU566:BX566"/>
    <mergeCell ref="CA566:CD566"/>
    <mergeCell ref="BU567:BW567"/>
    <mergeCell ref="BW601:CC601"/>
    <mergeCell ref="BU606:BX606"/>
    <mergeCell ref="CA606:CD606"/>
    <mergeCell ref="BU607:BW607"/>
    <mergeCell ref="CA607:CC607"/>
    <mergeCell ref="BW611:CC611"/>
    <mergeCell ref="BU616:BX616"/>
    <mergeCell ref="CA616:CD616"/>
    <mergeCell ref="BU617:BW617"/>
    <mergeCell ref="CA617:CC617"/>
    <mergeCell ref="BW651:CC651"/>
    <mergeCell ref="BU656:BX656"/>
    <mergeCell ref="CA656:CD656"/>
    <mergeCell ref="BU657:BW657"/>
    <mergeCell ref="CA657:CC657"/>
    <mergeCell ref="BW621:CC621"/>
    <mergeCell ref="BU626:BX626"/>
    <mergeCell ref="CA626:CD626"/>
    <mergeCell ref="BU627:BW627"/>
    <mergeCell ref="CA627:CC627"/>
    <mergeCell ref="BW631:CC631"/>
    <mergeCell ref="BU636:BX636"/>
    <mergeCell ref="CA636:CD636"/>
    <mergeCell ref="BU637:BW637"/>
    <mergeCell ref="CA637:CC637"/>
    <mergeCell ref="BU647:BW647"/>
    <mergeCell ref="CA647:CC647"/>
    <mergeCell ref="BU576:BX576"/>
    <mergeCell ref="CA576:CD576"/>
    <mergeCell ref="BU577:BW577"/>
    <mergeCell ref="CA577:CC577"/>
    <mergeCell ref="BW541:CC541"/>
    <mergeCell ref="BU546:BX546"/>
    <mergeCell ref="CA546:CD546"/>
    <mergeCell ref="BU547:BW547"/>
    <mergeCell ref="CA547:CC547"/>
    <mergeCell ref="BW551:CC551"/>
    <mergeCell ref="BU556:BX556"/>
    <mergeCell ref="CA556:CD556"/>
    <mergeCell ref="BU557:BW557"/>
    <mergeCell ref="CA557:CC557"/>
    <mergeCell ref="BU527:BW527"/>
    <mergeCell ref="CA527:CC527"/>
    <mergeCell ref="BW531:CC531"/>
    <mergeCell ref="BU536:BX536"/>
    <mergeCell ref="CA536:CD536"/>
    <mergeCell ref="BU537:BW537"/>
    <mergeCell ref="CA537:CC537"/>
    <mergeCell ref="CA567:CC567"/>
    <mergeCell ref="BW571:CC571"/>
    <mergeCell ref="BU507:BW507"/>
    <mergeCell ref="CA507:CC507"/>
    <mergeCell ref="BW511:CC511"/>
    <mergeCell ref="BU516:BX516"/>
    <mergeCell ref="CA516:CD516"/>
    <mergeCell ref="BU517:BW517"/>
    <mergeCell ref="CA517:CC517"/>
    <mergeCell ref="BW521:CC521"/>
    <mergeCell ref="BU526:BX526"/>
    <mergeCell ref="CA526:CD526"/>
    <mergeCell ref="BU487:BW487"/>
    <mergeCell ref="CA487:CC487"/>
    <mergeCell ref="BW491:CC491"/>
    <mergeCell ref="BU496:BX496"/>
    <mergeCell ref="CA496:CD496"/>
    <mergeCell ref="BU497:BW497"/>
    <mergeCell ref="CA497:CC497"/>
    <mergeCell ref="BW501:CC501"/>
    <mergeCell ref="BU506:BX506"/>
    <mergeCell ref="CA506:CD506"/>
    <mergeCell ref="BU467:BW467"/>
    <mergeCell ref="CA467:CC467"/>
    <mergeCell ref="BW471:CC471"/>
    <mergeCell ref="BU476:BX476"/>
    <mergeCell ref="CA476:CD476"/>
    <mergeCell ref="BU477:BW477"/>
    <mergeCell ref="CA477:CC477"/>
    <mergeCell ref="BW481:CC481"/>
    <mergeCell ref="BU486:BX486"/>
    <mergeCell ref="CA486:CD486"/>
    <mergeCell ref="BU447:BW447"/>
    <mergeCell ref="CA447:CC447"/>
    <mergeCell ref="BW451:CC451"/>
    <mergeCell ref="BU456:BX456"/>
    <mergeCell ref="CA456:CD456"/>
    <mergeCell ref="BU457:BW457"/>
    <mergeCell ref="CA457:CC457"/>
    <mergeCell ref="BW461:CC461"/>
    <mergeCell ref="BU466:BX466"/>
    <mergeCell ref="CA466:CD466"/>
    <mergeCell ref="BU427:BW427"/>
    <mergeCell ref="CA427:CC427"/>
    <mergeCell ref="BW431:CC431"/>
    <mergeCell ref="BU436:BX436"/>
    <mergeCell ref="CA436:CD436"/>
    <mergeCell ref="BU437:BW437"/>
    <mergeCell ref="CA437:CC437"/>
    <mergeCell ref="BW441:CC441"/>
    <mergeCell ref="BU446:BX446"/>
    <mergeCell ref="CA446:CD446"/>
    <mergeCell ref="BU407:BW407"/>
    <mergeCell ref="CA407:CC407"/>
    <mergeCell ref="BW411:CC411"/>
    <mergeCell ref="BU416:BX416"/>
    <mergeCell ref="CA416:CD416"/>
    <mergeCell ref="BU417:BW417"/>
    <mergeCell ref="CA417:CC417"/>
    <mergeCell ref="BW421:CC421"/>
    <mergeCell ref="BU426:BX426"/>
    <mergeCell ref="CA426:CD426"/>
    <mergeCell ref="BU387:BW387"/>
    <mergeCell ref="CA387:CC387"/>
    <mergeCell ref="BW391:CC391"/>
    <mergeCell ref="BU396:BX396"/>
    <mergeCell ref="CA396:CD396"/>
    <mergeCell ref="BU397:BW397"/>
    <mergeCell ref="CA397:CC397"/>
    <mergeCell ref="BW401:CC401"/>
    <mergeCell ref="BU406:BX406"/>
    <mergeCell ref="CA406:CD406"/>
    <mergeCell ref="BU367:BW367"/>
    <mergeCell ref="CA367:CC367"/>
    <mergeCell ref="BW371:CC371"/>
    <mergeCell ref="BU376:BX376"/>
    <mergeCell ref="CA376:CD376"/>
    <mergeCell ref="BU377:BW377"/>
    <mergeCell ref="CA377:CC377"/>
    <mergeCell ref="BW381:CC381"/>
    <mergeCell ref="BU386:BX386"/>
    <mergeCell ref="CA386:CD386"/>
    <mergeCell ref="BU347:BW347"/>
    <mergeCell ref="CA347:CC347"/>
    <mergeCell ref="BW351:CC351"/>
    <mergeCell ref="BU356:BX356"/>
    <mergeCell ref="CA356:CD356"/>
    <mergeCell ref="BU357:BW357"/>
    <mergeCell ref="CA357:CC357"/>
    <mergeCell ref="BW361:CC361"/>
    <mergeCell ref="BU366:BX366"/>
    <mergeCell ref="CA366:CD366"/>
    <mergeCell ref="BU327:BW327"/>
    <mergeCell ref="CA327:CC327"/>
    <mergeCell ref="BW331:CC331"/>
    <mergeCell ref="BU336:BX336"/>
    <mergeCell ref="CA336:CD336"/>
    <mergeCell ref="BU337:BW337"/>
    <mergeCell ref="CA337:CC337"/>
    <mergeCell ref="BW341:CC341"/>
    <mergeCell ref="BU346:BX346"/>
    <mergeCell ref="CA346:CD346"/>
    <mergeCell ref="BU307:BW307"/>
    <mergeCell ref="CA307:CC307"/>
    <mergeCell ref="BW311:CC311"/>
    <mergeCell ref="BU316:BX316"/>
    <mergeCell ref="CA316:CD316"/>
    <mergeCell ref="BU317:BW317"/>
    <mergeCell ref="CA317:CC317"/>
    <mergeCell ref="BW321:CC321"/>
    <mergeCell ref="BU326:BX326"/>
    <mergeCell ref="CA326:CD326"/>
    <mergeCell ref="BU287:BW287"/>
    <mergeCell ref="CA287:CC287"/>
    <mergeCell ref="BW291:CC291"/>
    <mergeCell ref="BU296:BX296"/>
    <mergeCell ref="CA296:CD296"/>
    <mergeCell ref="BU297:BW297"/>
    <mergeCell ref="CA297:CC297"/>
    <mergeCell ref="BW301:CC301"/>
    <mergeCell ref="BU306:BX306"/>
    <mergeCell ref="CA306:CD306"/>
    <mergeCell ref="BU267:BW267"/>
    <mergeCell ref="CA267:CC267"/>
    <mergeCell ref="BW271:CC271"/>
    <mergeCell ref="BU276:BX276"/>
    <mergeCell ref="CA276:CD276"/>
    <mergeCell ref="BU277:BW277"/>
    <mergeCell ref="CA277:CC277"/>
    <mergeCell ref="BW281:CC281"/>
    <mergeCell ref="BU286:BX286"/>
    <mergeCell ref="CA286:CD286"/>
    <mergeCell ref="BU247:BW247"/>
    <mergeCell ref="CA247:CC247"/>
    <mergeCell ref="BW251:CC251"/>
    <mergeCell ref="BU256:BX256"/>
    <mergeCell ref="CA256:CD256"/>
    <mergeCell ref="BU257:BW257"/>
    <mergeCell ref="CA257:CC257"/>
    <mergeCell ref="BW261:CC261"/>
    <mergeCell ref="BU266:BX266"/>
    <mergeCell ref="CA266:CD266"/>
    <mergeCell ref="BU227:BW227"/>
    <mergeCell ref="CA227:CC227"/>
    <mergeCell ref="BW231:CC231"/>
    <mergeCell ref="BU236:BX236"/>
    <mergeCell ref="CA236:CD236"/>
    <mergeCell ref="BU237:BW237"/>
    <mergeCell ref="CA237:CC237"/>
    <mergeCell ref="BW241:CC241"/>
    <mergeCell ref="BU246:BX246"/>
    <mergeCell ref="CA246:CD246"/>
    <mergeCell ref="BU207:BW207"/>
    <mergeCell ref="CA207:CC207"/>
    <mergeCell ref="BW211:CC211"/>
    <mergeCell ref="BU216:BX216"/>
    <mergeCell ref="CA216:CD216"/>
    <mergeCell ref="BU217:BW217"/>
    <mergeCell ref="CA217:CC217"/>
    <mergeCell ref="BW221:CC221"/>
    <mergeCell ref="BU226:BX226"/>
    <mergeCell ref="CA226:CD226"/>
    <mergeCell ref="BU187:BW187"/>
    <mergeCell ref="CA187:CC187"/>
    <mergeCell ref="BW191:CC191"/>
    <mergeCell ref="BU196:BX196"/>
    <mergeCell ref="CA196:CD196"/>
    <mergeCell ref="BU197:BW197"/>
    <mergeCell ref="CA197:CC197"/>
    <mergeCell ref="BW201:CC201"/>
    <mergeCell ref="BU206:BX206"/>
    <mergeCell ref="CA206:CD206"/>
    <mergeCell ref="BU167:BW167"/>
    <mergeCell ref="CA167:CC167"/>
    <mergeCell ref="BW171:CC171"/>
    <mergeCell ref="BU176:BX176"/>
    <mergeCell ref="CA176:CD176"/>
    <mergeCell ref="BU177:BW177"/>
    <mergeCell ref="CA177:CC177"/>
    <mergeCell ref="BW181:CC181"/>
    <mergeCell ref="BU186:BX186"/>
    <mergeCell ref="CA186:CD186"/>
    <mergeCell ref="BU147:BW147"/>
    <mergeCell ref="CA147:CC147"/>
    <mergeCell ref="BW151:CC151"/>
    <mergeCell ref="BU156:BX156"/>
    <mergeCell ref="CA156:CD156"/>
    <mergeCell ref="BU157:BW157"/>
    <mergeCell ref="CA157:CC157"/>
    <mergeCell ref="BW161:CC161"/>
    <mergeCell ref="BU166:BX166"/>
    <mergeCell ref="CA166:CD166"/>
    <mergeCell ref="BU127:BW127"/>
    <mergeCell ref="CA127:CC127"/>
    <mergeCell ref="BW131:CC131"/>
    <mergeCell ref="BU136:BX136"/>
    <mergeCell ref="CA136:CD136"/>
    <mergeCell ref="BU137:BW137"/>
    <mergeCell ref="CA137:CC137"/>
    <mergeCell ref="BW141:CC141"/>
    <mergeCell ref="BU146:BX146"/>
    <mergeCell ref="CA146:CD146"/>
    <mergeCell ref="BW121:CC121"/>
    <mergeCell ref="BO60:BR60"/>
    <mergeCell ref="BT60:BW60"/>
    <mergeCell ref="BO61:BQ61"/>
    <mergeCell ref="BT61:BV61"/>
    <mergeCell ref="BI51:BK51"/>
    <mergeCell ref="BN51:BP51"/>
    <mergeCell ref="BU126:BX126"/>
    <mergeCell ref="CA126:CD126"/>
    <mergeCell ref="DY13:EE13"/>
    <mergeCell ref="DU24:EA24"/>
    <mergeCell ref="AK58:AQ58"/>
    <mergeCell ref="DJ51:DL51"/>
    <mergeCell ref="BQ55:BW55"/>
    <mergeCell ref="DO51:DQ51"/>
    <mergeCell ref="BK45:BQ45"/>
    <mergeCell ref="BI50:BL50"/>
    <mergeCell ref="BN50:BQ50"/>
    <mergeCell ref="AQ18:AT18"/>
    <mergeCell ref="AV18:AY18"/>
    <mergeCell ref="AW29:AZ29"/>
    <mergeCell ref="BC29:BF29"/>
    <mergeCell ref="BC30:BE30"/>
    <mergeCell ref="AY24:BE24"/>
    <mergeCell ref="AQ19:AS19"/>
    <mergeCell ref="AV19:AX19"/>
    <mergeCell ref="AO29:AR29"/>
    <mergeCell ref="EC24:EI24"/>
    <mergeCell ref="EC29:EF29"/>
    <mergeCell ref="EH29:EK29"/>
    <mergeCell ref="DX18:EA18"/>
    <mergeCell ref="DX19:DZ19"/>
    <mergeCell ref="EE18:EH18"/>
    <mergeCell ref="EE19:EG19"/>
    <mergeCell ref="DR29:DU29"/>
    <mergeCell ref="BD41:BF41"/>
    <mergeCell ref="BI41:BK41"/>
    <mergeCell ref="BU106:BX106"/>
    <mergeCell ref="BU107:BW107"/>
    <mergeCell ref="BW101:CC101"/>
    <mergeCell ref="CA106:CD106"/>
    <mergeCell ref="CA107:CC107"/>
    <mergeCell ref="DG55:DM55"/>
    <mergeCell ref="DG60:DJ60"/>
    <mergeCell ref="DL60:DO60"/>
    <mergeCell ref="DG61:DI61"/>
    <mergeCell ref="DL61:DN61"/>
    <mergeCell ref="DJ45:DP45"/>
    <mergeCell ref="DJ50:DM50"/>
    <mergeCell ref="DO50:DR50"/>
    <mergeCell ref="DB81:DD81"/>
    <mergeCell ref="DG81:DI81"/>
    <mergeCell ref="BZ75:CF75"/>
    <mergeCell ref="BX80:CA80"/>
    <mergeCell ref="CC80:CF80"/>
    <mergeCell ref="BX81:BZ81"/>
    <mergeCell ref="CC81:CE81"/>
    <mergeCell ref="EH30:EJ30"/>
    <mergeCell ref="DX29:EA29"/>
    <mergeCell ref="DX30:DZ30"/>
    <mergeCell ref="EC30:EE30"/>
    <mergeCell ref="DR30:DT30"/>
    <mergeCell ref="DN35:DT35"/>
    <mergeCell ref="DN40:DQ40"/>
    <mergeCell ref="DS40:DV40"/>
    <mergeCell ref="DN41:DP41"/>
    <mergeCell ref="DS41:DU41"/>
    <mergeCell ref="K7:Q7"/>
    <mergeCell ref="S7:V7"/>
    <mergeCell ref="AR13:AX13"/>
    <mergeCell ref="DU7:DX7"/>
    <mergeCell ref="O2:U2"/>
    <mergeCell ref="J12:M12"/>
    <mergeCell ref="O12:R12"/>
    <mergeCell ref="S8:U8"/>
    <mergeCell ref="J13:L13"/>
    <mergeCell ref="O13:Q13"/>
    <mergeCell ref="BA7:BD7"/>
    <mergeCell ref="BA8:BC8"/>
    <mergeCell ref="CF2:CL2"/>
    <mergeCell ref="DU8:DW8"/>
    <mergeCell ref="CD7:CG7"/>
    <mergeCell ref="CD8:CF8"/>
    <mergeCell ref="CK7:CN7"/>
    <mergeCell ref="CK8:CM8"/>
    <mergeCell ref="BZ12:CF12"/>
    <mergeCell ref="CN12:CT12"/>
    <mergeCell ref="O42:P42"/>
    <mergeCell ref="R25:U25"/>
    <mergeCell ref="R26:T26"/>
    <mergeCell ref="H31:N31"/>
    <mergeCell ref="O38:P38"/>
    <mergeCell ref="O39:P39"/>
    <mergeCell ref="O40:P40"/>
    <mergeCell ref="O41:P41"/>
    <mergeCell ref="D20:G20"/>
    <mergeCell ref="N20:Q20"/>
    <mergeCell ref="D21:F21"/>
    <mergeCell ref="N21:P21"/>
    <mergeCell ref="H25:N25"/>
    <mergeCell ref="M51:S51"/>
    <mergeCell ref="J57:M57"/>
    <mergeCell ref="J58:L58"/>
    <mergeCell ref="Q57:T57"/>
    <mergeCell ref="Q58:S58"/>
    <mergeCell ref="T65:U65"/>
    <mergeCell ref="Q71:R71"/>
    <mergeCell ref="J64:M64"/>
    <mergeCell ref="J65:L65"/>
    <mergeCell ref="H70:N70"/>
    <mergeCell ref="G77:J77"/>
    <mergeCell ref="G78:I78"/>
    <mergeCell ref="N77:Q77"/>
    <mergeCell ref="N78:P78"/>
    <mergeCell ref="DD65:DJ65"/>
    <mergeCell ref="DD70:DG70"/>
    <mergeCell ref="DI70:DL70"/>
    <mergeCell ref="DI71:DK71"/>
    <mergeCell ref="BX71:BZ71"/>
    <mergeCell ref="DD71:DF71"/>
    <mergeCell ref="DB75:DH75"/>
    <mergeCell ref="AX70:BA70"/>
    <mergeCell ref="AX71:AZ71"/>
    <mergeCell ref="BU65:CA65"/>
    <mergeCell ref="BS70:BV70"/>
    <mergeCell ref="BX70:CA70"/>
    <mergeCell ref="BS71:BU71"/>
    <mergeCell ref="DB80:DE80"/>
    <mergeCell ref="DG80:DJ80"/>
    <mergeCell ref="BW111:CC111"/>
    <mergeCell ref="BU116:BX116"/>
    <mergeCell ref="CA116:CD116"/>
    <mergeCell ref="BU117:BW117"/>
    <mergeCell ref="CA117:CC117"/>
    <mergeCell ref="AC83:AF83"/>
    <mergeCell ref="AC84:AE84"/>
    <mergeCell ref="CJ17:CM17"/>
    <mergeCell ref="CJ18:CL18"/>
    <mergeCell ref="AC64:AF64"/>
    <mergeCell ref="AC65:AE65"/>
    <mergeCell ref="AC70:AF70"/>
    <mergeCell ref="AC71:AE71"/>
    <mergeCell ref="AC77:AF77"/>
    <mergeCell ref="AC78:AE78"/>
    <mergeCell ref="AO76:AR76"/>
    <mergeCell ref="AO77:AQ77"/>
    <mergeCell ref="AQ71:AS71"/>
    <mergeCell ref="AQ64:AW64"/>
    <mergeCell ref="AQ70:AT70"/>
    <mergeCell ref="AO30:AQ30"/>
    <mergeCell ref="AW30:AY30"/>
    <mergeCell ref="AL24:AR24"/>
    <mergeCell ref="AJ29:AM29"/>
    <mergeCell ref="AJ30:AL30"/>
    <mergeCell ref="BF35:BL35"/>
    <mergeCell ref="BD40:BG40"/>
    <mergeCell ref="BI40:BL40"/>
    <mergeCell ref="BV17:BY17"/>
    <mergeCell ref="BV18:BX18"/>
    <mergeCell ref="CC17:CF17"/>
  </mergeCells>
  <conditionalFormatting sqref="S3:U5 O8:Q10 CJ3:CL5 AV14:AX16 L26:N28 L32:N34">
    <cfRule type="cellIs" dxfId="1511" priority="1143" operator="equal">
      <formula>"Q"</formula>
    </cfRule>
  </conditionalFormatting>
  <conditionalFormatting sqref="L10:M10">
    <cfRule type="expression" dxfId="1510" priority="1142">
      <formula>M10=""</formula>
    </cfRule>
  </conditionalFormatting>
  <conditionalFormatting sqref="N8:N9">
    <cfRule type="expression" dxfId="1509" priority="1141">
      <formula>N9=""</formula>
    </cfRule>
  </conditionalFormatting>
  <conditionalFormatting sqref="L8:M9">
    <cfRule type="expression" dxfId="1508" priority="1140">
      <formula>OR(M8="",L9="")</formula>
    </cfRule>
  </conditionalFormatting>
  <conditionalFormatting sqref="T10">
    <cfRule type="expression" dxfId="1507" priority="1137">
      <formula>OR(T9=1,T9=4)</formula>
    </cfRule>
    <cfRule type="expression" dxfId="1506" priority="1138">
      <formula>OR(T9&lt;&gt;1,T9&lt;&gt;4)</formula>
    </cfRule>
  </conditionalFormatting>
  <conditionalFormatting sqref="T9">
    <cfRule type="expression" dxfId="1505" priority="1136">
      <formula>OR(AND(S9=1,U9=4),AND(S9=4,U9=1))</formula>
    </cfRule>
  </conditionalFormatting>
  <conditionalFormatting sqref="P15">
    <cfRule type="expression" dxfId="1504" priority="1134">
      <formula>OR(P14=1,P14=4)</formula>
    </cfRule>
    <cfRule type="expression" dxfId="1503" priority="1135">
      <formula>OR(P14&lt;&gt;1,P14&lt;&gt;4)</formula>
    </cfRule>
  </conditionalFormatting>
  <conditionalFormatting sqref="P14">
    <cfRule type="expression" dxfId="1502" priority="1133">
      <formula>OR(AND(O14=1,Q14=4),AND(O14=4,Q14=1))</formula>
    </cfRule>
  </conditionalFormatting>
  <conditionalFormatting sqref="K15">
    <cfRule type="expression" dxfId="1501" priority="1131">
      <formula>OR(K14=1,K14=4)</formula>
    </cfRule>
    <cfRule type="expression" dxfId="1500" priority="1132">
      <formula>OR(K14&lt;&gt;1,K14&lt;&gt;4)</formula>
    </cfRule>
  </conditionalFormatting>
  <conditionalFormatting sqref="K14">
    <cfRule type="expression" dxfId="1499" priority="1130">
      <formula>OR(AND(J14=1,L14=4),AND(J14=4,L14=1))</formula>
    </cfRule>
  </conditionalFormatting>
  <conditionalFormatting sqref="AS16:AT16">
    <cfRule type="expression" dxfId="1498" priority="1128">
      <formula>AT16=""</formula>
    </cfRule>
  </conditionalFormatting>
  <conditionalFormatting sqref="AU14:AU15">
    <cfRule type="expression" dxfId="1497" priority="1127">
      <formula>AU15=""</formula>
    </cfRule>
  </conditionalFormatting>
  <conditionalFormatting sqref="AS14:AT15">
    <cfRule type="expression" dxfId="1496" priority="1126">
      <formula>OR(AT14="",AS15="")</formula>
    </cfRule>
  </conditionalFormatting>
  <conditionalFormatting sqref="DV10">
    <cfRule type="expression" dxfId="1495" priority="1123">
      <formula>OR(DV9=1,DV9=4)</formula>
    </cfRule>
    <cfRule type="expression" dxfId="1494" priority="1124">
      <formula>OR(DV9&lt;&gt;1,DV9&lt;&gt;4)</formula>
    </cfRule>
  </conditionalFormatting>
  <conditionalFormatting sqref="DV9">
    <cfRule type="expression" dxfId="1493" priority="1122">
      <formula>OR(AND(DU9=1,DW9=4),AND(DU9=4,DW9=1))</formula>
    </cfRule>
  </conditionalFormatting>
  <conditionalFormatting sqref="AW21">
    <cfRule type="expression" dxfId="1492" priority="1120">
      <formula>OR(AW20=1,AW20=4)</formula>
    </cfRule>
    <cfRule type="expression" dxfId="1491" priority="1121">
      <formula>OR(AW20&lt;&gt;1,AW20&lt;&gt;4)</formula>
    </cfRule>
  </conditionalFormatting>
  <conditionalFormatting sqref="AW20">
    <cfRule type="expression" dxfId="1490" priority="1119">
      <formula>OR(AND(AV20=1,AX20=4),AND(AV20=4,AX20=1))</formula>
    </cfRule>
  </conditionalFormatting>
  <conditionalFormatting sqref="AR21">
    <cfRule type="expression" dxfId="1489" priority="1117">
      <formula>OR(AR20=1,AR20=4)</formula>
    </cfRule>
    <cfRule type="expression" dxfId="1488" priority="1118">
      <formula>OR(AR20&lt;&gt;1,AR20&lt;&gt;4)</formula>
    </cfRule>
  </conditionalFormatting>
  <conditionalFormatting sqref="AR20">
    <cfRule type="expression" dxfId="1487" priority="1116">
      <formula>OR(AND(AQ20=1,AS20=4),AND(AQ20=4,AS20=1))</formula>
    </cfRule>
  </conditionalFormatting>
  <conditionalFormatting sqref="P5:Q5">
    <cfRule type="expression" dxfId="1486" priority="1115">
      <formula>Q5=""</formula>
    </cfRule>
  </conditionalFormatting>
  <conditionalFormatting sqref="R3:R4">
    <cfRule type="expression" dxfId="1485" priority="1114">
      <formula>R4=""</formula>
    </cfRule>
  </conditionalFormatting>
  <conditionalFormatting sqref="P3:Q4">
    <cfRule type="expression" dxfId="1484" priority="1113">
      <formula>OR(Q3="",P4="")</formula>
    </cfRule>
  </conditionalFormatting>
  <conditionalFormatting sqref="E23">
    <cfRule type="expression" dxfId="1483" priority="1108">
      <formula>OR(E22=1,E22=4)</formula>
    </cfRule>
    <cfRule type="expression" dxfId="1482" priority="1109">
      <formula>OR(E22&lt;&gt;1,E22&lt;&gt;4)</formula>
    </cfRule>
  </conditionalFormatting>
  <conditionalFormatting sqref="E22">
    <cfRule type="expression" dxfId="1481" priority="1107">
      <formula>OR(AND(D22=1,F22=4),AND(D22=4,F22=1))</formula>
    </cfRule>
  </conditionalFormatting>
  <conditionalFormatting sqref="O23">
    <cfRule type="expression" dxfId="1480" priority="1105">
      <formula>OR(O22=1,O22=4)</formula>
    </cfRule>
    <cfRule type="expression" dxfId="1479" priority="1106">
      <formula>OR(O22&lt;&gt;1,O22&lt;&gt;4)</formula>
    </cfRule>
  </conditionalFormatting>
  <conditionalFormatting sqref="O22">
    <cfRule type="expression" dxfId="1478" priority="1104">
      <formula>OR(AND(N22=1,P22=4),AND(N22=4,P22=1))</formula>
    </cfRule>
  </conditionalFormatting>
  <conditionalFormatting sqref="I28:J28">
    <cfRule type="expression" dxfId="1477" priority="1103">
      <formula>J28=""</formula>
    </cfRule>
  </conditionalFormatting>
  <conditionalFormatting sqref="K26:K27">
    <cfRule type="expression" dxfId="1476" priority="1102">
      <formula>K27=""</formula>
    </cfRule>
  </conditionalFormatting>
  <conditionalFormatting sqref="I26:J27">
    <cfRule type="expression" dxfId="1475" priority="1101">
      <formula>OR(J26="",I27="")</formula>
    </cfRule>
  </conditionalFormatting>
  <conditionalFormatting sqref="S28">
    <cfRule type="expression" dxfId="1474" priority="1098">
      <formula>OR(S27=1,S27=4)</formula>
    </cfRule>
    <cfRule type="expression" dxfId="1473" priority="1099">
      <formula>OR(S27&lt;&gt;1,S27&lt;&gt;4)</formula>
    </cfRule>
  </conditionalFormatting>
  <conditionalFormatting sqref="S27">
    <cfRule type="expression" dxfId="1472" priority="1097">
      <formula>OR(AND(R27=1,T27=4),AND(R27=4,T27=1))</formula>
    </cfRule>
  </conditionalFormatting>
  <conditionalFormatting sqref="I34:J34">
    <cfRule type="expression" dxfId="1471" priority="1096">
      <formula>J34=""</formula>
    </cfRule>
  </conditionalFormatting>
  <conditionalFormatting sqref="K32:K33">
    <cfRule type="expression" dxfId="1470" priority="1095">
      <formula>K33=""</formula>
    </cfRule>
  </conditionalFormatting>
  <conditionalFormatting sqref="I32:J33">
    <cfRule type="expression" dxfId="1469" priority="1094">
      <formula>OR(J32="",I33="")</formula>
    </cfRule>
  </conditionalFormatting>
  <conditionalFormatting sqref="DZ16:EA16">
    <cfRule type="expression" dxfId="1468" priority="1092">
      <formula>EA16=""</formula>
    </cfRule>
  </conditionalFormatting>
  <conditionalFormatting sqref="EB14:EB15">
    <cfRule type="expression" dxfId="1467" priority="1091">
      <formula>EB15=""</formula>
    </cfRule>
  </conditionalFormatting>
  <conditionalFormatting sqref="DZ14:EA15">
    <cfRule type="expression" dxfId="1466" priority="1090">
      <formula>OR(EA14="",DZ15="")</formula>
    </cfRule>
  </conditionalFormatting>
  <conditionalFormatting sqref="DV27:DW27">
    <cfRule type="expression" dxfId="1465" priority="1088">
      <formula>DW27=""</formula>
    </cfRule>
  </conditionalFormatting>
  <conditionalFormatting sqref="DX25:DX26">
    <cfRule type="expression" dxfId="1464" priority="1087">
      <formula>DX26=""</formula>
    </cfRule>
  </conditionalFormatting>
  <conditionalFormatting sqref="DV25:DW26">
    <cfRule type="expression" dxfId="1463" priority="1086">
      <formula>OR(DW25="",DV26="")</formula>
    </cfRule>
  </conditionalFormatting>
  <conditionalFormatting sqref="DY32">
    <cfRule type="expression" dxfId="1462" priority="1068">
      <formula>OR(DY31=1,DY31=4)</formula>
    </cfRule>
    <cfRule type="expression" dxfId="1461" priority="1069">
      <formula>OR(DY31&lt;&gt;1,DY31&lt;&gt;4)</formula>
    </cfRule>
  </conditionalFormatting>
  <conditionalFormatting sqref="DY31">
    <cfRule type="expression" dxfId="1460" priority="1067">
      <formula>OR(AND(DX31=1,DZ31=4),AND(DX31=4,DZ31=1))</formula>
    </cfRule>
  </conditionalFormatting>
  <conditionalFormatting sqref="EI32">
    <cfRule type="expression" dxfId="1459" priority="1045">
      <formula>OR(EI31=1,EI31=4)</formula>
    </cfRule>
    <cfRule type="expression" dxfId="1458" priority="1046">
      <formula>OR(EI31&lt;&gt;1,EI31&lt;&gt;4)</formula>
    </cfRule>
  </conditionalFormatting>
  <conditionalFormatting sqref="EI31">
    <cfRule type="expression" dxfId="1457" priority="1044">
      <formula>OR(AND(EH31=1,EJ31=4),AND(EH31=4,EJ31=1))</formula>
    </cfRule>
  </conditionalFormatting>
  <conditionalFormatting sqref="ED27:EE27">
    <cfRule type="expression" dxfId="1456" priority="1052">
      <formula>EE27=""</formula>
    </cfRule>
  </conditionalFormatting>
  <conditionalFormatting sqref="EF25:EF26">
    <cfRule type="expression" dxfId="1455" priority="1051">
      <formula>EF26=""</formula>
    </cfRule>
  </conditionalFormatting>
  <conditionalFormatting sqref="ED25:EE26">
    <cfRule type="expression" dxfId="1454" priority="1050">
      <formula>OR(EE25="",ED26="")</formula>
    </cfRule>
  </conditionalFormatting>
  <conditionalFormatting sqref="ED32">
    <cfRule type="expression" dxfId="1453" priority="1048">
      <formula>OR(ED31=1,ED31=4)</formula>
    </cfRule>
    <cfRule type="expression" dxfId="1452" priority="1049">
      <formula>OR(ED31&lt;&gt;1,ED31&lt;&gt;4)</formula>
    </cfRule>
  </conditionalFormatting>
  <conditionalFormatting sqref="ED31">
    <cfRule type="expression" dxfId="1451" priority="1047">
      <formula>OR(AND(EC31=1,EE31=4),AND(EC31=4,EE31=1))</formula>
    </cfRule>
  </conditionalFormatting>
  <conditionalFormatting sqref="AZ27:BA27">
    <cfRule type="expression" dxfId="1450" priority="1043">
      <formula>BA27=""</formula>
    </cfRule>
  </conditionalFormatting>
  <conditionalFormatting sqref="BB25:BB26">
    <cfRule type="expression" dxfId="1449" priority="1042">
      <formula>BB26=""</formula>
    </cfRule>
  </conditionalFormatting>
  <conditionalFormatting sqref="AZ25:BA26">
    <cfRule type="expression" dxfId="1448" priority="1041">
      <formula>OR(BA25="",AZ26="")</formula>
    </cfRule>
  </conditionalFormatting>
  <conditionalFormatting sqref="AX32">
    <cfRule type="expression" dxfId="1447" priority="1038">
      <formula>OR(AX31=1,AX31=4)</formula>
    </cfRule>
    <cfRule type="expression" dxfId="1446" priority="1039">
      <formula>OR(AX31&lt;&gt;1,AX31&lt;&gt;4)</formula>
    </cfRule>
  </conditionalFormatting>
  <conditionalFormatting sqref="AX31">
    <cfRule type="expression" dxfId="1445" priority="1037">
      <formula>OR(AND(AW31=1,AY31=4),AND(AW31=4,AY31=1))</formula>
    </cfRule>
  </conditionalFormatting>
  <conditionalFormatting sqref="BD32">
    <cfRule type="expression" dxfId="1444" priority="1025">
      <formula>OR(BD31=1,BD31=4)</formula>
    </cfRule>
    <cfRule type="expression" dxfId="1443" priority="1026">
      <formula>OR(BD31&lt;&gt;1,BD31&lt;&gt;4)</formula>
    </cfRule>
  </conditionalFormatting>
  <conditionalFormatting sqref="BD31">
    <cfRule type="expression" dxfId="1442" priority="1024">
      <formula>OR(AND(BC31=1,BE31=4),AND(BC31=4,BE31=1))</formula>
    </cfRule>
  </conditionalFormatting>
  <conditionalFormatting sqref="N54:O54">
    <cfRule type="expression" dxfId="1441" priority="1023">
      <formula>O54=""</formula>
    </cfRule>
  </conditionalFormatting>
  <conditionalFormatting sqref="P52:P53">
    <cfRule type="expression" dxfId="1440" priority="1022">
      <formula>P53=""</formula>
    </cfRule>
  </conditionalFormatting>
  <conditionalFormatting sqref="N52:O53">
    <cfRule type="expression" dxfId="1439" priority="1021">
      <formula>OR(O52="",N53="")</formula>
    </cfRule>
  </conditionalFormatting>
  <conditionalFormatting sqref="K60">
    <cfRule type="expression" dxfId="1438" priority="1018">
      <formula>OR(K59=1,K59=4)</formula>
    </cfRule>
    <cfRule type="expression" dxfId="1437" priority="1019">
      <formula>OR(K59&lt;&gt;1,K59&lt;&gt;4)</formula>
    </cfRule>
  </conditionalFormatting>
  <conditionalFormatting sqref="K59">
    <cfRule type="expression" dxfId="1436" priority="1017">
      <formula>OR(AND(J59=1,L59=4),AND(J59=4,L59=1))</formula>
    </cfRule>
  </conditionalFormatting>
  <conditionalFormatting sqref="R60">
    <cfRule type="expression" dxfId="1435" priority="1015">
      <formula>OR(R59=1,R59=4)</formula>
    </cfRule>
    <cfRule type="expression" dxfId="1434" priority="1016">
      <formula>OR(R59&lt;&gt;1,R59&lt;&gt;4)</formula>
    </cfRule>
  </conditionalFormatting>
  <conditionalFormatting sqref="R59">
    <cfRule type="expression" dxfId="1433" priority="1014">
      <formula>OR(AND(Q59=1,S59=4),AND(Q59=4,S59=1))</formula>
    </cfRule>
  </conditionalFormatting>
  <conditionalFormatting sqref="K67">
    <cfRule type="expression" dxfId="1432" priority="1012">
      <formula>OR(K66=1,K66=4)</formula>
    </cfRule>
    <cfRule type="expression" dxfId="1431" priority="1013">
      <formula>OR(K66&lt;&gt;1,K66&lt;&gt;4)</formula>
    </cfRule>
  </conditionalFormatting>
  <conditionalFormatting sqref="K66">
    <cfRule type="expression" dxfId="1430" priority="1011">
      <formula>OR(AND(J66=1,L66=4),AND(J66=4,L66=1))</formula>
    </cfRule>
  </conditionalFormatting>
  <conditionalFormatting sqref="I73:J73">
    <cfRule type="expression" dxfId="1429" priority="1010">
      <formula>J73=""</formula>
    </cfRule>
  </conditionalFormatting>
  <conditionalFormatting sqref="K71:K72">
    <cfRule type="expression" dxfId="1428" priority="1009">
      <formula>K72=""</formula>
    </cfRule>
  </conditionalFormatting>
  <conditionalFormatting sqref="I71:J72">
    <cfRule type="expression" dxfId="1427" priority="1008">
      <formula>OR(J71="",I72="")</formula>
    </cfRule>
  </conditionalFormatting>
  <conditionalFormatting sqref="H80">
    <cfRule type="expression" dxfId="1426" priority="1005">
      <formula>OR(H79=1,H79=4)</formula>
    </cfRule>
    <cfRule type="expression" dxfId="1425" priority="1006">
      <formula>OR(H79&lt;&gt;1,H79&lt;&gt;4)</formula>
    </cfRule>
  </conditionalFormatting>
  <conditionalFormatting sqref="H79">
    <cfRule type="expression" dxfId="1424" priority="1004">
      <formula>OR(AND(G79=1,I79=4),AND(G79=4,I79=1))</formula>
    </cfRule>
  </conditionalFormatting>
  <conditionalFormatting sqref="O80">
    <cfRule type="expression" dxfId="1423" priority="1002">
      <formula>OR(O79=1,O79=4)</formula>
    </cfRule>
    <cfRule type="expression" dxfId="1422" priority="1003">
      <formula>OR(O79&lt;&gt;1,O79&lt;&gt;4)</formula>
    </cfRule>
  </conditionalFormatting>
  <conditionalFormatting sqref="O79">
    <cfRule type="expression" dxfId="1421" priority="1001">
      <formula>OR(AND(N79=1,P79=4),AND(N79=4,P79=1))</formula>
    </cfRule>
  </conditionalFormatting>
  <conditionalFormatting sqref="DO38:DP38">
    <cfRule type="expression" dxfId="1420" priority="987">
      <formula>DP38=""</formula>
    </cfRule>
  </conditionalFormatting>
  <conditionalFormatting sqref="DQ36:DQ37">
    <cfRule type="expression" dxfId="1419" priority="986">
      <formula>DQ37=""</formula>
    </cfRule>
  </conditionalFormatting>
  <conditionalFormatting sqref="DO36:DP37">
    <cfRule type="expression" dxfId="1418" priority="985">
      <formula>OR(DP36="",DO37="")</formula>
    </cfRule>
  </conditionalFormatting>
  <conditionalFormatting sqref="DO43">
    <cfRule type="expression" dxfId="1417" priority="983">
      <formula>OR(DO42=1,DO42=4)</formula>
    </cfRule>
    <cfRule type="expression" dxfId="1416" priority="984">
      <formula>OR(DO42&lt;&gt;1,DO42&lt;&gt;4)</formula>
    </cfRule>
  </conditionalFormatting>
  <conditionalFormatting sqref="DO42">
    <cfRule type="expression" dxfId="1415" priority="982">
      <formula>OR(AND(DN42=1,DP42=4),AND(DN42=4,DP42=1))</formula>
    </cfRule>
  </conditionalFormatting>
  <conditionalFormatting sqref="DT43">
    <cfRule type="expression" dxfId="1414" priority="980">
      <formula>OR(DT42=1,DT42=4)</formula>
    </cfRule>
    <cfRule type="expression" dxfId="1413" priority="981">
      <formula>OR(DT42&lt;&gt;1,DT42&lt;&gt;4)</formula>
    </cfRule>
  </conditionalFormatting>
  <conditionalFormatting sqref="DT42">
    <cfRule type="expression" dxfId="1412" priority="979">
      <formula>OR(AND(DS42=1,DU42=4),AND(DS42=4,DU42=1))</formula>
    </cfRule>
  </conditionalFormatting>
  <conditionalFormatting sqref="BG38:BH38">
    <cfRule type="expression" dxfId="1411" priority="978">
      <formula>BH38=""</formula>
    </cfRule>
  </conditionalFormatting>
  <conditionalFormatting sqref="BI36:BI37">
    <cfRule type="expression" dxfId="1410" priority="977">
      <formula>BI37=""</formula>
    </cfRule>
  </conditionalFormatting>
  <conditionalFormatting sqref="BG36:BH37">
    <cfRule type="expression" dxfId="1409" priority="976">
      <formula>OR(BH36="",BG37="")</formula>
    </cfRule>
  </conditionalFormatting>
  <conditionalFormatting sqref="BE43">
    <cfRule type="expression" dxfId="1408" priority="973">
      <formula>OR(BE42=1,BE42=4)</formula>
    </cfRule>
    <cfRule type="expression" dxfId="1407" priority="974">
      <formula>OR(BE42&lt;&gt;1,BE42&lt;&gt;4)</formula>
    </cfRule>
  </conditionalFormatting>
  <conditionalFormatting sqref="BE42">
    <cfRule type="expression" dxfId="1406" priority="972">
      <formula>OR(AND(BD42=1,BF42=4),AND(BD42=4,BF42=1))</formula>
    </cfRule>
  </conditionalFormatting>
  <conditionalFormatting sqref="BJ43">
    <cfRule type="expression" dxfId="1405" priority="970">
      <formula>OR(BJ42=1,BJ42=4)</formula>
    </cfRule>
    <cfRule type="expression" dxfId="1404" priority="971">
      <formula>OR(BJ42&lt;&gt;1,BJ42&lt;&gt;4)</formula>
    </cfRule>
  </conditionalFormatting>
  <conditionalFormatting sqref="BJ42">
    <cfRule type="expression" dxfId="1403" priority="969">
      <formula>OR(AND(BI42=1,BK42=4),AND(BI42=4,BK42=1))</formula>
    </cfRule>
  </conditionalFormatting>
  <conditionalFormatting sqref="DK48:DL48">
    <cfRule type="expression" dxfId="1402" priority="967">
      <formula>DL48=""</formula>
    </cfRule>
  </conditionalFormatting>
  <conditionalFormatting sqref="DM46:DM47">
    <cfRule type="expression" dxfId="1401" priority="966">
      <formula>DM47=""</formula>
    </cfRule>
  </conditionalFormatting>
  <conditionalFormatting sqref="DK46:DL47">
    <cfRule type="expression" dxfId="1400" priority="965">
      <formula>OR(DL46="",DK47="")</formula>
    </cfRule>
  </conditionalFormatting>
  <conditionalFormatting sqref="DK53">
    <cfRule type="expression" dxfId="1399" priority="963">
      <formula>OR(DK52=1,DK52=4)</formula>
    </cfRule>
    <cfRule type="expression" dxfId="1398" priority="964">
      <formula>OR(DK52&lt;&gt;1,DK52&lt;&gt;4)</formula>
    </cfRule>
  </conditionalFormatting>
  <conditionalFormatting sqref="DK52">
    <cfRule type="expression" dxfId="1397" priority="962">
      <formula>OR(AND(DJ52=1,DL52=4),AND(DJ52=4,DL52=1))</formula>
    </cfRule>
  </conditionalFormatting>
  <conditionalFormatting sqref="DP53">
    <cfRule type="expression" dxfId="1396" priority="960">
      <formula>OR(DP52=1,DP52=4)</formula>
    </cfRule>
    <cfRule type="expression" dxfId="1395" priority="961">
      <formula>OR(DP52&lt;&gt;1,DP52&lt;&gt;4)</formula>
    </cfRule>
  </conditionalFormatting>
  <conditionalFormatting sqref="DP52">
    <cfRule type="expression" dxfId="1394" priority="959">
      <formula>OR(AND(DO52=1,DQ52=4),AND(DO52=4,DQ52=1))</formula>
    </cfRule>
  </conditionalFormatting>
  <conditionalFormatting sqref="BL48:BM48">
    <cfRule type="expression" dxfId="1393" priority="958">
      <formula>BM48=""</formula>
    </cfRule>
  </conditionalFormatting>
  <conditionalFormatting sqref="BN46:BN47">
    <cfRule type="expression" dxfId="1392" priority="957">
      <formula>BN47=""</formula>
    </cfRule>
  </conditionalFormatting>
  <conditionalFormatting sqref="BL46:BM47">
    <cfRule type="expression" dxfId="1391" priority="956">
      <formula>OR(BM46="",BL47="")</formula>
    </cfRule>
  </conditionalFormatting>
  <conditionalFormatting sqref="BJ53">
    <cfRule type="expression" dxfId="1390" priority="953">
      <formula>OR(BJ52=1,BJ52=4)</formula>
    </cfRule>
    <cfRule type="expression" dxfId="1389" priority="954">
      <formula>OR(BJ52&lt;&gt;1,BJ52&lt;&gt;4)</formula>
    </cfRule>
  </conditionalFormatting>
  <conditionalFormatting sqref="BJ52">
    <cfRule type="expression" dxfId="1388" priority="952">
      <formula>OR(AND(BI52=1,BK52=4),AND(BI52=4,BK52=1))</formula>
    </cfRule>
  </conditionalFormatting>
  <conditionalFormatting sqref="BO53">
    <cfRule type="expression" dxfId="1387" priority="950">
      <formula>OR(BO52=1,BO52=4)</formula>
    </cfRule>
    <cfRule type="expression" dxfId="1386" priority="951">
      <formula>OR(BO52&lt;&gt;1,BO52&lt;&gt;4)</formula>
    </cfRule>
  </conditionalFormatting>
  <conditionalFormatting sqref="BO52">
    <cfRule type="expression" dxfId="1385" priority="949">
      <formula>OR(AND(BN52=1,BP52=4),AND(BN52=4,BP52=1))</formula>
    </cfRule>
  </conditionalFormatting>
  <conditionalFormatting sqref="DH58:DI58">
    <cfRule type="expression" dxfId="1384" priority="947">
      <formula>DI58=""</formula>
    </cfRule>
  </conditionalFormatting>
  <conditionalFormatting sqref="DJ56:DJ57">
    <cfRule type="expression" dxfId="1383" priority="946">
      <formula>DJ57=""</formula>
    </cfRule>
  </conditionalFormatting>
  <conditionalFormatting sqref="DH56:DI57">
    <cfRule type="expression" dxfId="1382" priority="945">
      <formula>OR(DI56="",DH57="")</formula>
    </cfRule>
  </conditionalFormatting>
  <conditionalFormatting sqref="DH63">
    <cfRule type="expression" dxfId="1381" priority="943">
      <formula>OR(DH62=1,DH62=4)</formula>
    </cfRule>
    <cfRule type="expression" dxfId="1380" priority="944">
      <formula>OR(DH62&lt;&gt;1,DH62&lt;&gt;4)</formula>
    </cfRule>
  </conditionalFormatting>
  <conditionalFormatting sqref="DH62">
    <cfRule type="expression" dxfId="1379" priority="942">
      <formula>OR(AND(DG62=1,DI62=4),AND(DG62=4,DI62=1))</formula>
    </cfRule>
  </conditionalFormatting>
  <conditionalFormatting sqref="DM63">
    <cfRule type="expression" dxfId="1378" priority="940">
      <formula>OR(DM62=1,DM62=4)</formula>
    </cfRule>
    <cfRule type="expression" dxfId="1377" priority="941">
      <formula>OR(DM62&lt;&gt;1,DM62&lt;&gt;4)</formula>
    </cfRule>
  </conditionalFormatting>
  <conditionalFormatting sqref="DM62">
    <cfRule type="expression" dxfId="1376" priority="939">
      <formula>OR(AND(DL62=1,DN62=4),AND(DL62=4,DN62=1))</formula>
    </cfRule>
  </conditionalFormatting>
  <conditionalFormatting sqref="BR58:BS58">
    <cfRule type="expression" dxfId="1375" priority="938">
      <formula>BS58=""</formula>
    </cfRule>
  </conditionalFormatting>
  <conditionalFormatting sqref="BT56:BT57">
    <cfRule type="expression" dxfId="1374" priority="937">
      <formula>BT57=""</formula>
    </cfRule>
  </conditionalFormatting>
  <conditionalFormatting sqref="BR56:BS57">
    <cfRule type="expression" dxfId="1373" priority="936">
      <formula>OR(BS56="",BR57="")</formula>
    </cfRule>
  </conditionalFormatting>
  <conditionalFormatting sqref="BP63">
    <cfRule type="expression" dxfId="1372" priority="933">
      <formula>OR(BP62=1,BP62=4)</formula>
    </cfRule>
    <cfRule type="expression" dxfId="1371" priority="934">
      <formula>OR(BP62&lt;&gt;1,BP62&lt;&gt;4)</formula>
    </cfRule>
  </conditionalFormatting>
  <conditionalFormatting sqref="BP62">
    <cfRule type="expression" dxfId="1370" priority="932">
      <formula>OR(AND(BO62=1,BQ62=4),AND(BO62=4,BQ62=1))</formula>
    </cfRule>
  </conditionalFormatting>
  <conditionalFormatting sqref="BU63">
    <cfRule type="expression" dxfId="1369" priority="930">
      <formula>OR(BU62=1,BU62=4)</formula>
    </cfRule>
    <cfRule type="expression" dxfId="1368" priority="931">
      <formula>OR(BU62&lt;&gt;1,BU62&lt;&gt;4)</formula>
    </cfRule>
  </conditionalFormatting>
  <conditionalFormatting sqref="BU62">
    <cfRule type="expression" dxfId="1367" priority="929">
      <formula>OR(AND(BT62=1,BV62=4),AND(BT62=4,BV62=1))</formula>
    </cfRule>
  </conditionalFormatting>
  <conditionalFormatting sqref="DE68:DF68">
    <cfRule type="expression" dxfId="1366" priority="927">
      <formula>DF68=""</formula>
    </cfRule>
  </conditionalFormatting>
  <conditionalFormatting sqref="DG66:DG67">
    <cfRule type="expression" dxfId="1365" priority="926">
      <formula>DG67=""</formula>
    </cfRule>
  </conditionalFormatting>
  <conditionalFormatting sqref="DE66:DF67">
    <cfRule type="expression" dxfId="1364" priority="925">
      <formula>OR(DF66="",DE67="")</formula>
    </cfRule>
  </conditionalFormatting>
  <conditionalFormatting sqref="DE73">
    <cfRule type="expression" dxfId="1363" priority="923">
      <formula>OR(DE72=1,DE72=4)</formula>
    </cfRule>
    <cfRule type="expression" dxfId="1362" priority="924">
      <formula>OR(DE72&lt;&gt;1,DE72&lt;&gt;4)</formula>
    </cfRule>
  </conditionalFormatting>
  <conditionalFormatting sqref="DE72">
    <cfRule type="expression" dxfId="1361" priority="922">
      <formula>OR(AND(DD72=1,DF72=4),AND(DD72=4,DF72=1))</formula>
    </cfRule>
  </conditionalFormatting>
  <conditionalFormatting sqref="DJ73">
    <cfRule type="expression" dxfId="1360" priority="920">
      <formula>OR(DJ72=1,DJ72=4)</formula>
    </cfRule>
    <cfRule type="expression" dxfId="1359" priority="921">
      <formula>OR(DJ72&lt;&gt;1,DJ72&lt;&gt;4)</formula>
    </cfRule>
  </conditionalFormatting>
  <conditionalFormatting sqref="DJ72">
    <cfRule type="expression" dxfId="1358" priority="919">
      <formula>OR(AND(DI72=1,DK72=4),AND(DI72=4,DK72=1))</formula>
    </cfRule>
  </conditionalFormatting>
  <conditionalFormatting sqref="BV68:BW68">
    <cfRule type="expression" dxfId="1357" priority="918">
      <formula>BW68=""</formula>
    </cfRule>
  </conditionalFormatting>
  <conditionalFormatting sqref="BX66:BX67">
    <cfRule type="expression" dxfId="1356" priority="917">
      <formula>BX67=""</formula>
    </cfRule>
  </conditionalFormatting>
  <conditionalFormatting sqref="BV66:BW67">
    <cfRule type="expression" dxfId="1355" priority="916">
      <formula>OR(BW66="",BV67="")</formula>
    </cfRule>
  </conditionalFormatting>
  <conditionalFormatting sqref="BT73">
    <cfRule type="expression" dxfId="1354" priority="913">
      <formula>OR(BT72=1,BT72=4)</formula>
    </cfRule>
    <cfRule type="expression" dxfId="1353" priority="914">
      <formula>OR(BT72&lt;&gt;1,BT72&lt;&gt;4)</formula>
    </cfRule>
  </conditionalFormatting>
  <conditionalFormatting sqref="BT72">
    <cfRule type="expression" dxfId="1352" priority="912">
      <formula>OR(AND(BS72=1,BU72=4),AND(BS72=4,BU72=1))</formula>
    </cfRule>
  </conditionalFormatting>
  <conditionalFormatting sqref="BY73">
    <cfRule type="expression" dxfId="1351" priority="910">
      <formula>OR(BY72=1,BY72=4)</formula>
    </cfRule>
    <cfRule type="expression" dxfId="1350" priority="911">
      <formula>OR(BY72&lt;&gt;1,BY72&lt;&gt;4)</formula>
    </cfRule>
  </conditionalFormatting>
  <conditionalFormatting sqref="BY72">
    <cfRule type="expression" dxfId="1349" priority="909">
      <formula>OR(AND(BX72=1,BZ72=4),AND(BX72=4,BZ72=1))</formula>
    </cfRule>
  </conditionalFormatting>
  <conditionalFormatting sqref="CA78:CB78">
    <cfRule type="expression" dxfId="1348" priority="908">
      <formula>CB78=""</formula>
    </cfRule>
  </conditionalFormatting>
  <conditionalFormatting sqref="CC76:CC77">
    <cfRule type="expression" dxfId="1347" priority="907">
      <formula>CC77=""</formula>
    </cfRule>
  </conditionalFormatting>
  <conditionalFormatting sqref="CA76:CB77">
    <cfRule type="expression" dxfId="1346" priority="906">
      <formula>OR(CB76="",CA77="")</formula>
    </cfRule>
  </conditionalFormatting>
  <conditionalFormatting sqref="BY83">
    <cfRule type="expression" dxfId="1345" priority="903">
      <formula>OR(BY82=1,BY82=4)</formula>
    </cfRule>
    <cfRule type="expression" dxfId="1344" priority="904">
      <formula>OR(BY82&lt;&gt;1,BY82&lt;&gt;4)</formula>
    </cfRule>
  </conditionalFormatting>
  <conditionalFormatting sqref="BY82">
    <cfRule type="expression" dxfId="1343" priority="902">
      <formula>OR(AND(BX82=1,BZ82=4),AND(BX82=4,BZ82=1))</formula>
    </cfRule>
  </conditionalFormatting>
  <conditionalFormatting sqref="CD83">
    <cfRule type="expression" dxfId="1342" priority="900">
      <formula>OR(CD82=1,CD82=4)</formula>
    </cfRule>
    <cfRule type="expression" dxfId="1341" priority="901">
      <formula>OR(CD82&lt;&gt;1,CD82&lt;&gt;4)</formula>
    </cfRule>
  </conditionalFormatting>
  <conditionalFormatting sqref="CD82">
    <cfRule type="expression" dxfId="1340" priority="899">
      <formula>OR(AND(CC82=1,CE82=4),AND(CC82=4,CE82=1))</formula>
    </cfRule>
  </conditionalFormatting>
  <conditionalFormatting sqref="DC78:DD78">
    <cfRule type="expression" dxfId="1339" priority="897">
      <formula>DD78=""</formula>
    </cfRule>
  </conditionalFormatting>
  <conditionalFormatting sqref="DE76:DE77">
    <cfRule type="expression" dxfId="1338" priority="896">
      <formula>DE77=""</formula>
    </cfRule>
  </conditionalFormatting>
  <conditionalFormatting sqref="DC76:DD77">
    <cfRule type="expression" dxfId="1337" priority="895">
      <formula>OR(DD76="",DC77="")</formula>
    </cfRule>
  </conditionalFormatting>
  <conditionalFormatting sqref="DC83">
    <cfRule type="expression" dxfId="1336" priority="893">
      <formula>OR(DC82=1,DC82=4)</formula>
    </cfRule>
    <cfRule type="expression" dxfId="1335" priority="894">
      <formula>OR(DC82&lt;&gt;1,DC82&lt;&gt;4)</formula>
    </cfRule>
  </conditionalFormatting>
  <conditionalFormatting sqref="DC82">
    <cfRule type="expression" dxfId="1334" priority="892">
      <formula>OR(AND(DB82=1,DD82=4),AND(DB82=4,DD82=1))</formula>
    </cfRule>
  </conditionalFormatting>
  <conditionalFormatting sqref="DH83">
    <cfRule type="expression" dxfId="1333" priority="890">
      <formula>OR(DH82=1,DH82=4)</formula>
    </cfRule>
    <cfRule type="expression" dxfId="1332" priority="891">
      <formula>OR(DH82&lt;&gt;1,DH82&lt;&gt;4)</formula>
    </cfRule>
  </conditionalFormatting>
  <conditionalFormatting sqref="DH82">
    <cfRule type="expression" dxfId="1331" priority="889">
      <formula>OR(AND(DG82=1,DI82=4),AND(DG82=4,DI82=1))</formula>
    </cfRule>
  </conditionalFormatting>
  <conditionalFormatting sqref="AD67">
    <cfRule type="expression" dxfId="1330" priority="851">
      <formula>OR(AD66=1,AD66=4)</formula>
    </cfRule>
    <cfRule type="expression" dxfId="1329" priority="852">
      <formula>OR(AD66&lt;&gt;1,AD66&lt;&gt;4)</formula>
    </cfRule>
  </conditionalFormatting>
  <conditionalFormatting sqref="AD66">
    <cfRule type="expression" dxfId="1328" priority="850">
      <formula>OR(AND(AC66=1,AE66=4),AND(AC66=4,AE66=1))</formula>
    </cfRule>
  </conditionalFormatting>
  <conditionalFormatting sqref="AD73">
    <cfRule type="expression" dxfId="1327" priority="844">
      <formula>OR(AD72=1,AD72=4)</formula>
    </cfRule>
    <cfRule type="expression" dxfId="1326" priority="845">
      <formula>OR(AD72&lt;&gt;1,AD72&lt;&gt;4)</formula>
    </cfRule>
  </conditionalFormatting>
  <conditionalFormatting sqref="AD72">
    <cfRule type="expression" dxfId="1325" priority="843">
      <formula>OR(AND(AC72=1,AE72=4),AND(AC72=4,AE72=1))</formula>
    </cfRule>
  </conditionalFormatting>
  <conditionalFormatting sqref="AY73">
    <cfRule type="expression" dxfId="1324" priority="831">
      <formula>OR(AY72=1,AY72=4)</formula>
    </cfRule>
    <cfRule type="expression" dxfId="1323" priority="832">
      <formula>OR(AY72&lt;&gt;1,AY72&lt;&gt;4)</formula>
    </cfRule>
  </conditionalFormatting>
  <conditionalFormatting sqref="AY72">
    <cfRule type="expression" dxfId="1322" priority="830">
      <formula>OR(AND(AX72=1,AZ72=4),AND(AX72=4,AZ72=1))</formula>
    </cfRule>
  </conditionalFormatting>
  <conditionalFormatting sqref="AR72">
    <cfRule type="expression" dxfId="1321" priority="827">
      <formula>OR(AND(AQ72=1,AS72=4),AND(AQ72=4,AS72=1))</formula>
    </cfRule>
  </conditionalFormatting>
  <conditionalFormatting sqref="AR73">
    <cfRule type="expression" dxfId="1320" priority="828">
      <formula>OR(AR72=1,AR72=4)</formula>
    </cfRule>
    <cfRule type="expression" dxfId="1319" priority="829">
      <formula>OR(AR72&lt;&gt;1,AR72&lt;&gt;4)</formula>
    </cfRule>
  </conditionalFormatting>
  <conditionalFormatting sqref="AL61:AM61">
    <cfRule type="expression" dxfId="1318" priority="856">
      <formula>AM61=""</formula>
    </cfRule>
  </conditionalFormatting>
  <conditionalFormatting sqref="AN59:AN60">
    <cfRule type="expression" dxfId="1317" priority="855">
      <formula>AN60=""</formula>
    </cfRule>
  </conditionalFormatting>
  <conditionalFormatting sqref="AL59:AM60">
    <cfRule type="expression" dxfId="1316" priority="854">
      <formula>OR(AM59="",AL60="")</formula>
    </cfRule>
  </conditionalFormatting>
  <conditionalFormatting sqref="AD80">
    <cfRule type="expression" dxfId="1315" priority="841">
      <formula>OR(AD79=1,AD79=4)</formula>
    </cfRule>
    <cfRule type="expression" dxfId="1314" priority="842">
      <formula>OR(AD79&lt;&gt;1,AD79&lt;&gt;4)</formula>
    </cfRule>
  </conditionalFormatting>
  <conditionalFormatting sqref="AD79">
    <cfRule type="expression" dxfId="1313" priority="840">
      <formula>OR(AND(AC79=1,AE79=4),AND(AC79=4,AE79=1))</formula>
    </cfRule>
  </conditionalFormatting>
  <conditionalFormatting sqref="AP79">
    <cfRule type="expression" dxfId="1312" priority="838">
      <formula>OR(AP78=1,AP78=4)</formula>
    </cfRule>
    <cfRule type="expression" dxfId="1311" priority="839">
      <formula>OR(AP78&lt;&gt;1,AP78&lt;&gt;4)</formula>
    </cfRule>
  </conditionalFormatting>
  <conditionalFormatting sqref="AP78">
    <cfRule type="expression" dxfId="1310" priority="837">
      <formula>OR(AND(AO78=1,AQ78=4),AND(AO78=4,AQ78=1))</formula>
    </cfRule>
  </conditionalFormatting>
  <conditionalFormatting sqref="AR67:AS67">
    <cfRule type="expression" dxfId="1309" priority="836">
      <formula>AS67=""</formula>
    </cfRule>
  </conditionalFormatting>
  <conditionalFormatting sqref="AT65:AT66">
    <cfRule type="expression" dxfId="1308" priority="835">
      <formula>AT66=""</formula>
    </cfRule>
  </conditionalFormatting>
  <conditionalFormatting sqref="AR65:AS66">
    <cfRule type="expression" dxfId="1307" priority="834">
      <formula>OR(AS65="",AR66="")</formula>
    </cfRule>
  </conditionalFormatting>
  <conditionalFormatting sqref="AD86">
    <cfRule type="expression" dxfId="1306" priority="825">
      <formula>OR(AD85=1,AD85=4)</formula>
    </cfRule>
    <cfRule type="expression" dxfId="1305" priority="826">
      <formula>OR(AD85&lt;&gt;1,AD85&lt;&gt;4)</formula>
    </cfRule>
  </conditionalFormatting>
  <conditionalFormatting sqref="AD85">
    <cfRule type="expression" dxfId="1304" priority="824">
      <formula>OR(AND(AC85=1,AE85=4),AND(AC85=4,AE85=1))</formula>
    </cfRule>
  </conditionalFormatting>
  <conditionalFormatting sqref="BB10">
    <cfRule type="expression" dxfId="1303" priority="819">
      <formula>OR(BB9=1,BB9=4)</formula>
    </cfRule>
    <cfRule type="expression" dxfId="1302" priority="820">
      <formula>OR(BB9&lt;&gt;1,BB9&lt;&gt;4)</formula>
    </cfRule>
  </conditionalFormatting>
  <conditionalFormatting sqref="BB9">
    <cfRule type="expression" dxfId="1301" priority="818">
      <formula>OR(AND(BA9=1,BC9=4),AND(BA9=4,BC9=1))</formula>
    </cfRule>
  </conditionalFormatting>
  <conditionalFormatting sqref="CG5:CH5">
    <cfRule type="expression" dxfId="1300" priority="807">
      <formula>CH5=""</formula>
    </cfRule>
  </conditionalFormatting>
  <conditionalFormatting sqref="CI3:CI4">
    <cfRule type="expression" dxfId="1299" priority="806">
      <formula>CI4=""</formula>
    </cfRule>
  </conditionalFormatting>
  <conditionalFormatting sqref="CG3:CH4">
    <cfRule type="expression" dxfId="1298" priority="805">
      <formula>OR(CH3="",CG4="")</formula>
    </cfRule>
  </conditionalFormatting>
  <conditionalFormatting sqref="DY21">
    <cfRule type="expression" dxfId="1297" priority="799">
      <formula>OR(DY20=1,DY20=4)</formula>
    </cfRule>
    <cfRule type="expression" dxfId="1296" priority="800">
      <formula>OR(DY20&lt;&gt;1,DY20&lt;&gt;4)</formula>
    </cfRule>
  </conditionalFormatting>
  <conditionalFormatting sqref="DY20">
    <cfRule type="expression" dxfId="1295" priority="798">
      <formula>OR(AND(DX20=1,DZ20=4),AND(DX20=4,DZ20=1))</formula>
    </cfRule>
  </conditionalFormatting>
  <conditionalFormatting sqref="EF21">
    <cfRule type="expression" dxfId="1294" priority="796">
      <formula>OR(EF20=1,EF20=4)</formula>
    </cfRule>
    <cfRule type="expression" dxfId="1293" priority="797">
      <formula>OR(EF20&lt;&gt;1,EF20&lt;&gt;4)</formula>
    </cfRule>
  </conditionalFormatting>
  <conditionalFormatting sqref="EF20">
    <cfRule type="expression" dxfId="1292" priority="795">
      <formula>OR(AND(EE20=1,EG20=4),AND(EE20=4,EG20=1))</formula>
    </cfRule>
  </conditionalFormatting>
  <conditionalFormatting sqref="AM27:AN27">
    <cfRule type="expression" dxfId="1291" priority="790">
      <formula>AN27=""</formula>
    </cfRule>
  </conditionalFormatting>
  <conditionalFormatting sqref="AO25:AO26">
    <cfRule type="expression" dxfId="1290" priority="789">
      <formula>AO26=""</formula>
    </cfRule>
  </conditionalFormatting>
  <conditionalFormatting sqref="AM25:AN26">
    <cfRule type="expression" dxfId="1289" priority="788">
      <formula>OR(AN25="",AM26="")</formula>
    </cfRule>
  </conditionalFormatting>
  <conditionalFormatting sqref="AK32">
    <cfRule type="expression" dxfId="1288" priority="785">
      <formula>OR(AK31=1,AK31=4)</formula>
    </cfRule>
    <cfRule type="expression" dxfId="1287" priority="786">
      <formula>OR(AK31&lt;&gt;1,AK31&lt;&gt;4)</formula>
    </cfRule>
  </conditionalFormatting>
  <conditionalFormatting sqref="AK31">
    <cfRule type="expression" dxfId="1286" priority="784">
      <formula>OR(AND(AJ31=1,AL31=4),AND(AJ31=4,AL31=1))</formula>
    </cfRule>
  </conditionalFormatting>
  <conditionalFormatting sqref="AP32">
    <cfRule type="expression" dxfId="1285" priority="782">
      <formula>OR(AP31=1,AP31=4)</formula>
    </cfRule>
    <cfRule type="expression" dxfId="1284" priority="783">
      <formula>OR(AP31&lt;&gt;1,AP31&lt;&gt;4)</formula>
    </cfRule>
  </conditionalFormatting>
  <conditionalFormatting sqref="AP31">
    <cfRule type="expression" dxfId="1283" priority="781">
      <formula>OR(AND(AO31=1,AQ31=4),AND(AO31=4,AQ31=1))</formula>
    </cfRule>
  </conditionalFormatting>
  <conditionalFormatting sqref="DS32">
    <cfRule type="expression" dxfId="1282" priority="770">
      <formula>OR(DS31=1,DS31=4)</formula>
    </cfRule>
    <cfRule type="expression" dxfId="1281" priority="771">
      <formula>OR(DS31&lt;&gt;1,DS31&lt;&gt;4)</formula>
    </cfRule>
  </conditionalFormatting>
  <conditionalFormatting sqref="DS31">
    <cfRule type="expression" dxfId="1280" priority="769">
      <formula>OR(AND(DR31=1,DT31=4),AND(DR31=4,DT31=1))</formula>
    </cfRule>
  </conditionalFormatting>
  <conditionalFormatting sqref="BV109">
    <cfRule type="expression" dxfId="1279" priority="738">
      <formula>OR(BV108=1,BV108=4)</formula>
    </cfRule>
    <cfRule type="expression" dxfId="1278" priority="739">
      <formula>OR(BV108&lt;&gt;1,BV108&lt;&gt;4)</formula>
    </cfRule>
  </conditionalFormatting>
  <conditionalFormatting sqref="BV108">
    <cfRule type="expression" dxfId="1277" priority="737">
      <formula>OR(AND(BU108=1,BW108=4),AND(BU108=4,BW108=1))</formula>
    </cfRule>
  </conditionalFormatting>
  <conditionalFormatting sqref="BX104:BY104">
    <cfRule type="expression" dxfId="1276" priority="733">
      <formula>BY104=""</formula>
    </cfRule>
  </conditionalFormatting>
  <conditionalFormatting sqref="BZ102:BZ103">
    <cfRule type="expression" dxfId="1275" priority="732">
      <formula>BZ103=""</formula>
    </cfRule>
  </conditionalFormatting>
  <conditionalFormatting sqref="BX102:BY103">
    <cfRule type="expression" dxfId="1274" priority="731">
      <formula>OR(BY102="",BX103="")</formula>
    </cfRule>
  </conditionalFormatting>
  <conditionalFormatting sqref="CB109">
    <cfRule type="expression" dxfId="1273" priority="728">
      <formula>OR(CB108=1,CB108=4)</formula>
    </cfRule>
    <cfRule type="expression" dxfId="1272" priority="729">
      <formula>OR(CB108&lt;&gt;1,CB108&lt;&gt;4)</formula>
    </cfRule>
  </conditionalFormatting>
  <conditionalFormatting sqref="CB108">
    <cfRule type="expression" dxfId="1271" priority="727">
      <formula>OR(AND(CA108=1,CC108=4),AND(CA108=4,CC108=1))</formula>
    </cfRule>
  </conditionalFormatting>
  <conditionalFormatting sqref="BX114:BY114">
    <cfRule type="expression" dxfId="1270" priority="723">
      <formula>BY114=""</formula>
    </cfRule>
  </conditionalFormatting>
  <conditionalFormatting sqref="BZ112:BZ113">
    <cfRule type="expression" dxfId="1269" priority="722">
      <formula>BZ113=""</formula>
    </cfRule>
  </conditionalFormatting>
  <conditionalFormatting sqref="BX112:BY113">
    <cfRule type="expression" dxfId="1268" priority="721">
      <formula>OR(BY112="",BX113="")</formula>
    </cfRule>
  </conditionalFormatting>
  <conditionalFormatting sqref="CB119">
    <cfRule type="expression" dxfId="1267" priority="718">
      <formula>OR(CB118=1,CB118=4)</formula>
    </cfRule>
    <cfRule type="expression" dxfId="1266" priority="719">
      <formula>OR(CB118&lt;&gt;1,CB118&lt;&gt;4)</formula>
    </cfRule>
  </conditionalFormatting>
  <conditionalFormatting sqref="CB118">
    <cfRule type="expression" dxfId="1265" priority="717">
      <formula>OR(AND(CA118=1,CC118=4),AND(CA118=4,CC118=1))</formula>
    </cfRule>
  </conditionalFormatting>
  <conditionalFormatting sqref="BX124:BY124">
    <cfRule type="expression" dxfId="1264" priority="713">
      <formula>BY124=""</formula>
    </cfRule>
  </conditionalFormatting>
  <conditionalFormatting sqref="BZ122:BZ123">
    <cfRule type="expression" dxfId="1263" priority="712">
      <formula>BZ123=""</formula>
    </cfRule>
  </conditionalFormatting>
  <conditionalFormatting sqref="BX122:BY123">
    <cfRule type="expression" dxfId="1262" priority="711">
      <formula>OR(BY122="",BX123="")</formula>
    </cfRule>
  </conditionalFormatting>
  <conditionalFormatting sqref="CB129">
    <cfRule type="expression" dxfId="1261" priority="708">
      <formula>OR(CB128=1,CB128=4)</formula>
    </cfRule>
    <cfRule type="expression" dxfId="1260" priority="709">
      <formula>OR(CB128&lt;&gt;1,CB128&lt;&gt;4)</formula>
    </cfRule>
  </conditionalFormatting>
  <conditionalFormatting sqref="CB128">
    <cfRule type="expression" dxfId="1259" priority="707">
      <formula>OR(AND(CA128=1,CC128=4),AND(CA128=4,CC128=1))</formula>
    </cfRule>
  </conditionalFormatting>
  <conditionalFormatting sqref="BV119">
    <cfRule type="expression" dxfId="1258" priority="705">
      <formula>OR(BV118=1,BV118=4)</formula>
    </cfRule>
    <cfRule type="expression" dxfId="1257" priority="706">
      <formula>OR(BV118&lt;&gt;1,BV118&lt;&gt;4)</formula>
    </cfRule>
  </conditionalFormatting>
  <conditionalFormatting sqref="BV118">
    <cfRule type="expression" dxfId="1256" priority="704">
      <formula>OR(AND(BU118=1,BW118=4),AND(BU118=4,BW118=1))</formula>
    </cfRule>
  </conditionalFormatting>
  <conditionalFormatting sqref="BV129">
    <cfRule type="expression" dxfId="1255" priority="702">
      <formula>OR(BV128=1,BV128=4)</formula>
    </cfRule>
    <cfRule type="expression" dxfId="1254" priority="703">
      <formula>OR(BV128&lt;&gt;1,BV128&lt;&gt;4)</formula>
    </cfRule>
  </conditionalFormatting>
  <conditionalFormatting sqref="BV128">
    <cfRule type="expression" dxfId="1253" priority="701">
      <formula>OR(AND(BU128=1,BW128=4),AND(BU128=4,BW128=1))</formula>
    </cfRule>
  </conditionalFormatting>
  <conditionalFormatting sqref="BX134:BY134">
    <cfRule type="expression" dxfId="1252" priority="700">
      <formula>BY134=""</formula>
    </cfRule>
  </conditionalFormatting>
  <conditionalFormatting sqref="BZ132:BZ133">
    <cfRule type="expression" dxfId="1251" priority="699">
      <formula>BZ133=""</formula>
    </cfRule>
  </conditionalFormatting>
  <conditionalFormatting sqref="BX132:BY133">
    <cfRule type="expression" dxfId="1250" priority="698">
      <formula>OR(BY132="",BX133="")</formula>
    </cfRule>
  </conditionalFormatting>
  <conditionalFormatting sqref="CB139">
    <cfRule type="expression" dxfId="1249" priority="695">
      <formula>OR(CB138=1,CB138=4)</formula>
    </cfRule>
    <cfRule type="expression" dxfId="1248" priority="696">
      <formula>OR(CB138&lt;&gt;1,CB138&lt;&gt;4)</formula>
    </cfRule>
  </conditionalFormatting>
  <conditionalFormatting sqref="CB138">
    <cfRule type="expression" dxfId="1247" priority="694">
      <formula>OR(AND(CA138=1,CC138=4),AND(CA138=4,CC138=1))</formula>
    </cfRule>
  </conditionalFormatting>
  <conditionalFormatting sqref="BX144:BY144">
    <cfRule type="expression" dxfId="1246" priority="693">
      <formula>BY144=""</formula>
    </cfRule>
  </conditionalFormatting>
  <conditionalFormatting sqref="BZ142:BZ143">
    <cfRule type="expression" dxfId="1245" priority="692">
      <formula>BZ143=""</formula>
    </cfRule>
  </conditionalFormatting>
  <conditionalFormatting sqref="BX142:BY143">
    <cfRule type="expression" dxfId="1244" priority="691">
      <formula>OR(BY142="",BX143="")</formula>
    </cfRule>
  </conditionalFormatting>
  <conditionalFormatting sqref="CB149">
    <cfRule type="expression" dxfId="1243" priority="688">
      <formula>OR(CB148=1,CB148=4)</formula>
    </cfRule>
    <cfRule type="expression" dxfId="1242" priority="689">
      <formula>OR(CB148&lt;&gt;1,CB148&lt;&gt;4)</formula>
    </cfRule>
  </conditionalFormatting>
  <conditionalFormatting sqref="CB148">
    <cfRule type="expression" dxfId="1241" priority="687">
      <formula>OR(AND(CA148=1,CC148=4),AND(CA148=4,CC148=1))</formula>
    </cfRule>
  </conditionalFormatting>
  <conditionalFormatting sqref="BV139">
    <cfRule type="expression" dxfId="1240" priority="685">
      <formula>OR(BV138=1,BV138=4)</formula>
    </cfRule>
    <cfRule type="expression" dxfId="1239" priority="686">
      <formula>OR(BV138&lt;&gt;1,BV138&lt;&gt;4)</formula>
    </cfRule>
  </conditionalFormatting>
  <conditionalFormatting sqref="BV138">
    <cfRule type="expression" dxfId="1238" priority="684">
      <formula>OR(AND(BU138=1,BW138=4),AND(BU138=4,BW138=1))</formula>
    </cfRule>
  </conditionalFormatting>
  <conditionalFormatting sqref="BV149">
    <cfRule type="expression" dxfId="1237" priority="682">
      <formula>OR(BV148=1,BV148=4)</formula>
    </cfRule>
    <cfRule type="expression" dxfId="1236" priority="683">
      <formula>OR(BV148&lt;&gt;1,BV148&lt;&gt;4)</formula>
    </cfRule>
  </conditionalFormatting>
  <conditionalFormatting sqref="BV148">
    <cfRule type="expression" dxfId="1235" priority="681">
      <formula>OR(AND(BU148=1,BW148=4),AND(BU148=4,BW148=1))</formula>
    </cfRule>
  </conditionalFormatting>
  <conditionalFormatting sqref="BX154:BY154">
    <cfRule type="expression" dxfId="1234" priority="680">
      <formula>BY154=""</formula>
    </cfRule>
  </conditionalFormatting>
  <conditionalFormatting sqref="BZ152:BZ153">
    <cfRule type="expression" dxfId="1233" priority="679">
      <formula>BZ153=""</formula>
    </cfRule>
  </conditionalFormatting>
  <conditionalFormatting sqref="BX152:BY153">
    <cfRule type="expression" dxfId="1232" priority="678">
      <formula>OR(BY152="",BX153="")</formula>
    </cfRule>
  </conditionalFormatting>
  <conditionalFormatting sqref="CB159">
    <cfRule type="expression" dxfId="1231" priority="675">
      <formula>OR(CB158=1,CB158=4)</formula>
    </cfRule>
    <cfRule type="expression" dxfId="1230" priority="676">
      <formula>OR(CB158&lt;&gt;1,CB158&lt;&gt;4)</formula>
    </cfRule>
  </conditionalFormatting>
  <conditionalFormatting sqref="CB158">
    <cfRule type="expression" dxfId="1229" priority="674">
      <formula>OR(AND(CA158=1,CC158=4),AND(CA158=4,CC158=1))</formula>
    </cfRule>
  </conditionalFormatting>
  <conditionalFormatting sqref="BX164:BY164">
    <cfRule type="expression" dxfId="1228" priority="673">
      <formula>BY164=""</formula>
    </cfRule>
  </conditionalFormatting>
  <conditionalFormatting sqref="BZ162:BZ163">
    <cfRule type="expression" dxfId="1227" priority="672">
      <formula>BZ163=""</formula>
    </cfRule>
  </conditionalFormatting>
  <conditionalFormatting sqref="BX162:BY163">
    <cfRule type="expression" dxfId="1226" priority="671">
      <formula>OR(BY162="",BX163="")</formula>
    </cfRule>
  </conditionalFormatting>
  <conditionalFormatting sqref="CB169">
    <cfRule type="expression" dxfId="1225" priority="668">
      <formula>OR(CB168=1,CB168=4)</formula>
    </cfRule>
    <cfRule type="expression" dxfId="1224" priority="669">
      <formula>OR(CB168&lt;&gt;1,CB168&lt;&gt;4)</formula>
    </cfRule>
  </conditionalFormatting>
  <conditionalFormatting sqref="CB168">
    <cfRule type="expression" dxfId="1223" priority="667">
      <formula>OR(AND(CA168=1,CC168=4),AND(CA168=4,CC168=1))</formula>
    </cfRule>
  </conditionalFormatting>
  <conditionalFormatting sqref="BV159">
    <cfRule type="expression" dxfId="1222" priority="665">
      <formula>OR(BV158=1,BV158=4)</formula>
    </cfRule>
    <cfRule type="expression" dxfId="1221" priority="666">
      <formula>OR(BV158&lt;&gt;1,BV158&lt;&gt;4)</formula>
    </cfRule>
  </conditionalFormatting>
  <conditionalFormatting sqref="BV158">
    <cfRule type="expression" dxfId="1220" priority="664">
      <formula>OR(AND(BU158=1,BW158=4),AND(BU158=4,BW158=1))</formula>
    </cfRule>
  </conditionalFormatting>
  <conditionalFormatting sqref="BV169">
    <cfRule type="expression" dxfId="1219" priority="662">
      <formula>OR(BV168=1,BV168=4)</formula>
    </cfRule>
    <cfRule type="expression" dxfId="1218" priority="663">
      <formula>OR(BV168&lt;&gt;1,BV168&lt;&gt;4)</formula>
    </cfRule>
  </conditionalFormatting>
  <conditionalFormatting sqref="BV168">
    <cfRule type="expression" dxfId="1217" priority="661">
      <formula>OR(AND(BU168=1,BW168=4),AND(BU168=4,BW168=1))</formula>
    </cfRule>
  </conditionalFormatting>
  <conditionalFormatting sqref="BX174:BY174">
    <cfRule type="expression" dxfId="1216" priority="660">
      <formula>BY174=""</formula>
    </cfRule>
  </conditionalFormatting>
  <conditionalFormatting sqref="BZ172:BZ173">
    <cfRule type="expression" dxfId="1215" priority="659">
      <formula>BZ173=""</formula>
    </cfRule>
  </conditionalFormatting>
  <conditionalFormatting sqref="BX172:BY173">
    <cfRule type="expression" dxfId="1214" priority="658">
      <formula>OR(BY172="",BX173="")</formula>
    </cfRule>
  </conditionalFormatting>
  <conditionalFormatting sqref="CB179">
    <cfRule type="expression" dxfId="1213" priority="655">
      <formula>OR(CB178=1,CB178=4)</formula>
    </cfRule>
    <cfRule type="expression" dxfId="1212" priority="656">
      <formula>OR(CB178&lt;&gt;1,CB178&lt;&gt;4)</formula>
    </cfRule>
  </conditionalFormatting>
  <conditionalFormatting sqref="CB178">
    <cfRule type="expression" dxfId="1211" priority="654">
      <formula>OR(AND(CA178=1,CC178=4),AND(CA178=4,CC178=1))</formula>
    </cfRule>
  </conditionalFormatting>
  <conditionalFormatting sqref="BX184:BY184">
    <cfRule type="expression" dxfId="1210" priority="653">
      <formula>BY184=""</formula>
    </cfRule>
  </conditionalFormatting>
  <conditionalFormatting sqref="BZ182:BZ183">
    <cfRule type="expression" dxfId="1209" priority="652">
      <formula>BZ183=""</formula>
    </cfRule>
  </conditionalFormatting>
  <conditionalFormatting sqref="BX182:BY183">
    <cfRule type="expression" dxfId="1208" priority="651">
      <formula>OR(BY182="",BX183="")</formula>
    </cfRule>
  </conditionalFormatting>
  <conditionalFormatting sqref="CB189">
    <cfRule type="expression" dxfId="1207" priority="648">
      <formula>OR(CB188=1,CB188=4)</formula>
    </cfRule>
    <cfRule type="expression" dxfId="1206" priority="649">
      <formula>OR(CB188&lt;&gt;1,CB188&lt;&gt;4)</formula>
    </cfRule>
  </conditionalFormatting>
  <conditionalFormatting sqref="CB188">
    <cfRule type="expression" dxfId="1205" priority="647">
      <formula>OR(AND(CA188=1,CC188=4),AND(CA188=4,CC188=1))</formula>
    </cfRule>
  </conditionalFormatting>
  <conditionalFormatting sqref="BV179">
    <cfRule type="expression" dxfId="1204" priority="645">
      <formula>OR(BV178=1,BV178=4)</formula>
    </cfRule>
    <cfRule type="expression" dxfId="1203" priority="646">
      <formula>OR(BV178&lt;&gt;1,BV178&lt;&gt;4)</formula>
    </cfRule>
  </conditionalFormatting>
  <conditionalFormatting sqref="BV178">
    <cfRule type="expression" dxfId="1202" priority="644">
      <formula>OR(AND(BU178=1,BW178=4),AND(BU178=4,BW178=1))</formula>
    </cfRule>
  </conditionalFormatting>
  <conditionalFormatting sqref="BV189">
    <cfRule type="expression" dxfId="1201" priority="642">
      <formula>OR(BV188=1,BV188=4)</formula>
    </cfRule>
    <cfRule type="expression" dxfId="1200" priority="643">
      <formula>OR(BV188&lt;&gt;1,BV188&lt;&gt;4)</formula>
    </cfRule>
  </conditionalFormatting>
  <conditionalFormatting sqref="BV188">
    <cfRule type="expression" dxfId="1199" priority="641">
      <formula>OR(AND(BU188=1,BW188=4),AND(BU188=4,BW188=1))</formula>
    </cfRule>
  </conditionalFormatting>
  <conditionalFormatting sqref="BX194:BY194">
    <cfRule type="expression" dxfId="1198" priority="640">
      <formula>BY194=""</formula>
    </cfRule>
  </conditionalFormatting>
  <conditionalFormatting sqref="BZ192:BZ193">
    <cfRule type="expression" dxfId="1197" priority="639">
      <formula>BZ193=""</formula>
    </cfRule>
  </conditionalFormatting>
  <conditionalFormatting sqref="BX192:BY193">
    <cfRule type="expression" dxfId="1196" priority="638">
      <formula>OR(BY192="",BX193="")</formula>
    </cfRule>
  </conditionalFormatting>
  <conditionalFormatting sqref="CB199">
    <cfRule type="expression" dxfId="1195" priority="635">
      <formula>OR(CB198=1,CB198=4)</formula>
    </cfRule>
    <cfRule type="expression" dxfId="1194" priority="636">
      <formula>OR(CB198&lt;&gt;1,CB198&lt;&gt;4)</formula>
    </cfRule>
  </conditionalFormatting>
  <conditionalFormatting sqref="CB198">
    <cfRule type="expression" dxfId="1193" priority="634">
      <formula>OR(AND(CA198=1,CC198=4),AND(CA198=4,CC198=1))</formula>
    </cfRule>
  </conditionalFormatting>
  <conditionalFormatting sqref="BX204:BY204">
    <cfRule type="expression" dxfId="1192" priority="633">
      <formula>BY204=""</formula>
    </cfRule>
  </conditionalFormatting>
  <conditionalFormatting sqref="BZ202:BZ203">
    <cfRule type="expression" dxfId="1191" priority="632">
      <formula>BZ203=""</formula>
    </cfRule>
  </conditionalFormatting>
  <conditionalFormatting sqref="BX202:BY203">
    <cfRule type="expression" dxfId="1190" priority="631">
      <formula>OR(BY202="",BX203="")</formula>
    </cfRule>
  </conditionalFormatting>
  <conditionalFormatting sqref="CB209">
    <cfRule type="expression" dxfId="1189" priority="628">
      <formula>OR(CB208=1,CB208=4)</formula>
    </cfRule>
    <cfRule type="expression" dxfId="1188" priority="629">
      <formula>OR(CB208&lt;&gt;1,CB208&lt;&gt;4)</formula>
    </cfRule>
  </conditionalFormatting>
  <conditionalFormatting sqref="CB208">
    <cfRule type="expression" dxfId="1187" priority="627">
      <formula>OR(AND(CA208=1,CC208=4),AND(CA208=4,CC208=1))</formula>
    </cfRule>
  </conditionalFormatting>
  <conditionalFormatting sqref="BV199">
    <cfRule type="expression" dxfId="1186" priority="625">
      <formula>OR(BV198=1,BV198=4)</formula>
    </cfRule>
    <cfRule type="expression" dxfId="1185" priority="626">
      <formula>OR(BV198&lt;&gt;1,BV198&lt;&gt;4)</formula>
    </cfRule>
  </conditionalFormatting>
  <conditionalFormatting sqref="BV198">
    <cfRule type="expression" dxfId="1184" priority="624">
      <formula>OR(AND(BU198=1,BW198=4),AND(BU198=4,BW198=1))</formula>
    </cfRule>
  </conditionalFormatting>
  <conditionalFormatting sqref="BV209">
    <cfRule type="expression" dxfId="1183" priority="622">
      <formula>OR(BV208=1,BV208=4)</formula>
    </cfRule>
    <cfRule type="expression" dxfId="1182" priority="623">
      <formula>OR(BV208&lt;&gt;1,BV208&lt;&gt;4)</formula>
    </cfRule>
  </conditionalFormatting>
  <conditionalFormatting sqref="BV208">
    <cfRule type="expression" dxfId="1181" priority="621">
      <formula>OR(AND(BU208=1,BW208=4),AND(BU208=4,BW208=1))</formula>
    </cfRule>
  </conditionalFormatting>
  <conditionalFormatting sqref="BX214:BY214">
    <cfRule type="expression" dxfId="1180" priority="620">
      <formula>BY214=""</formula>
    </cfRule>
  </conditionalFormatting>
  <conditionalFormatting sqref="BZ212:BZ213">
    <cfRule type="expression" dxfId="1179" priority="619">
      <formula>BZ213=""</formula>
    </cfRule>
  </conditionalFormatting>
  <conditionalFormatting sqref="BX212:BY213">
    <cfRule type="expression" dxfId="1178" priority="618">
      <formula>OR(BY212="",BX213="")</formula>
    </cfRule>
  </conditionalFormatting>
  <conditionalFormatting sqref="CB219">
    <cfRule type="expression" dxfId="1177" priority="615">
      <formula>OR(CB218=1,CB218=4)</formula>
    </cfRule>
    <cfRule type="expression" dxfId="1176" priority="616">
      <formula>OR(CB218&lt;&gt;1,CB218&lt;&gt;4)</formula>
    </cfRule>
  </conditionalFormatting>
  <conditionalFormatting sqref="CB218">
    <cfRule type="expression" dxfId="1175" priority="614">
      <formula>OR(AND(CA218=1,CC218=4),AND(CA218=4,CC218=1))</formula>
    </cfRule>
  </conditionalFormatting>
  <conditionalFormatting sqref="BX224:BY224">
    <cfRule type="expression" dxfId="1174" priority="613">
      <formula>BY224=""</formula>
    </cfRule>
  </conditionalFormatting>
  <conditionalFormatting sqref="BZ222:BZ223">
    <cfRule type="expression" dxfId="1173" priority="612">
      <formula>BZ223=""</formula>
    </cfRule>
  </conditionalFormatting>
  <conditionalFormatting sqref="BX222:BY223">
    <cfRule type="expression" dxfId="1172" priority="611">
      <formula>OR(BY222="",BX223="")</formula>
    </cfRule>
  </conditionalFormatting>
  <conditionalFormatting sqref="CB229">
    <cfRule type="expression" dxfId="1171" priority="608">
      <formula>OR(CB228=1,CB228=4)</formula>
    </cfRule>
    <cfRule type="expression" dxfId="1170" priority="609">
      <formula>OR(CB228&lt;&gt;1,CB228&lt;&gt;4)</formula>
    </cfRule>
  </conditionalFormatting>
  <conditionalFormatting sqref="CB228">
    <cfRule type="expression" dxfId="1169" priority="607">
      <formula>OR(AND(CA228=1,CC228=4),AND(CA228=4,CC228=1))</formula>
    </cfRule>
  </conditionalFormatting>
  <conditionalFormatting sqref="BV219">
    <cfRule type="expression" dxfId="1168" priority="605">
      <formula>OR(BV218=1,BV218=4)</formula>
    </cfRule>
    <cfRule type="expression" dxfId="1167" priority="606">
      <formula>OR(BV218&lt;&gt;1,BV218&lt;&gt;4)</formula>
    </cfRule>
  </conditionalFormatting>
  <conditionalFormatting sqref="BV218">
    <cfRule type="expression" dxfId="1166" priority="604">
      <formula>OR(AND(BU218=1,BW218=4),AND(BU218=4,BW218=1))</formula>
    </cfRule>
  </conditionalFormatting>
  <conditionalFormatting sqref="BV229">
    <cfRule type="expression" dxfId="1165" priority="602">
      <formula>OR(BV228=1,BV228=4)</formula>
    </cfRule>
    <cfRule type="expression" dxfId="1164" priority="603">
      <formula>OR(BV228&lt;&gt;1,BV228&lt;&gt;4)</formula>
    </cfRule>
  </conditionalFormatting>
  <conditionalFormatting sqref="BV228">
    <cfRule type="expression" dxfId="1163" priority="601">
      <formula>OR(AND(BU228=1,BW228=4),AND(BU228=4,BW228=1))</formula>
    </cfRule>
  </conditionalFormatting>
  <conditionalFormatting sqref="BX234:BY234">
    <cfRule type="expression" dxfId="1162" priority="600">
      <formula>BY234=""</formula>
    </cfRule>
  </conditionalFormatting>
  <conditionalFormatting sqref="BZ232:BZ233">
    <cfRule type="expression" dxfId="1161" priority="599">
      <formula>BZ233=""</formula>
    </cfRule>
  </conditionalFormatting>
  <conditionalFormatting sqref="BX232:BY233">
    <cfRule type="expression" dxfId="1160" priority="598">
      <formula>OR(BY232="",BX233="")</formula>
    </cfRule>
  </conditionalFormatting>
  <conditionalFormatting sqref="CB239">
    <cfRule type="expression" dxfId="1159" priority="595">
      <formula>OR(CB238=1,CB238=4)</formula>
    </cfRule>
    <cfRule type="expression" dxfId="1158" priority="596">
      <formula>OR(CB238&lt;&gt;1,CB238&lt;&gt;4)</formula>
    </cfRule>
  </conditionalFormatting>
  <conditionalFormatting sqref="CB238">
    <cfRule type="expression" dxfId="1157" priority="594">
      <formula>OR(AND(CA238=1,CC238=4),AND(CA238=4,CC238=1))</formula>
    </cfRule>
  </conditionalFormatting>
  <conditionalFormatting sqref="BX244:BY244">
    <cfRule type="expression" dxfId="1156" priority="593">
      <formula>BY244=""</formula>
    </cfRule>
  </conditionalFormatting>
  <conditionalFormatting sqref="BZ242:BZ243">
    <cfRule type="expression" dxfId="1155" priority="592">
      <formula>BZ243=""</formula>
    </cfRule>
  </conditionalFormatting>
  <conditionalFormatting sqref="BX242:BY243">
    <cfRule type="expression" dxfId="1154" priority="591">
      <formula>OR(BY242="",BX243="")</formula>
    </cfRule>
  </conditionalFormatting>
  <conditionalFormatting sqref="CB249">
    <cfRule type="expression" dxfId="1153" priority="588">
      <formula>OR(CB248=1,CB248=4)</formula>
    </cfRule>
    <cfRule type="expression" dxfId="1152" priority="589">
      <formula>OR(CB248&lt;&gt;1,CB248&lt;&gt;4)</formula>
    </cfRule>
  </conditionalFormatting>
  <conditionalFormatting sqref="CB248">
    <cfRule type="expression" dxfId="1151" priority="587">
      <formula>OR(AND(CA248=1,CC248=4),AND(CA248=4,CC248=1))</formula>
    </cfRule>
  </conditionalFormatting>
  <conditionalFormatting sqref="BV239">
    <cfRule type="expression" dxfId="1150" priority="585">
      <formula>OR(BV238=1,BV238=4)</formula>
    </cfRule>
    <cfRule type="expression" dxfId="1149" priority="586">
      <formula>OR(BV238&lt;&gt;1,BV238&lt;&gt;4)</formula>
    </cfRule>
  </conditionalFormatting>
  <conditionalFormatting sqref="BV238">
    <cfRule type="expression" dxfId="1148" priority="584">
      <formula>OR(AND(BU238=1,BW238=4),AND(BU238=4,BW238=1))</formula>
    </cfRule>
  </conditionalFormatting>
  <conditionalFormatting sqref="BV249">
    <cfRule type="expression" dxfId="1147" priority="582">
      <formula>OR(BV248=1,BV248=4)</formula>
    </cfRule>
    <cfRule type="expression" dxfId="1146" priority="583">
      <formula>OR(BV248&lt;&gt;1,BV248&lt;&gt;4)</formula>
    </cfRule>
  </conditionalFormatting>
  <conditionalFormatting sqref="BV248">
    <cfRule type="expression" dxfId="1145" priority="581">
      <formula>OR(AND(BU248=1,BW248=4),AND(BU248=4,BW248=1))</formula>
    </cfRule>
  </conditionalFormatting>
  <conditionalFormatting sqref="BX254:BY254">
    <cfRule type="expression" dxfId="1144" priority="580">
      <formula>BY254=""</formula>
    </cfRule>
  </conditionalFormatting>
  <conditionalFormatting sqref="BZ252:BZ253">
    <cfRule type="expression" dxfId="1143" priority="579">
      <formula>BZ253=""</formula>
    </cfRule>
  </conditionalFormatting>
  <conditionalFormatting sqref="BX252:BY253">
    <cfRule type="expression" dxfId="1142" priority="578">
      <formula>OR(BY252="",BX253="")</formula>
    </cfRule>
  </conditionalFormatting>
  <conditionalFormatting sqref="CB259">
    <cfRule type="expression" dxfId="1141" priority="575">
      <formula>OR(CB258=1,CB258=4)</formula>
    </cfRule>
    <cfRule type="expression" dxfId="1140" priority="576">
      <formula>OR(CB258&lt;&gt;1,CB258&lt;&gt;4)</formula>
    </cfRule>
  </conditionalFormatting>
  <conditionalFormatting sqref="CB258">
    <cfRule type="expression" dxfId="1139" priority="574">
      <formula>OR(AND(CA258=1,CC258=4),AND(CA258=4,CC258=1))</formula>
    </cfRule>
  </conditionalFormatting>
  <conditionalFormatting sqref="BX264:BY264">
    <cfRule type="expression" dxfId="1138" priority="573">
      <formula>BY264=""</formula>
    </cfRule>
  </conditionalFormatting>
  <conditionalFormatting sqref="BZ262:BZ263">
    <cfRule type="expression" dxfId="1137" priority="572">
      <formula>BZ263=""</formula>
    </cfRule>
  </conditionalFormatting>
  <conditionalFormatting sqref="BX262:BY263">
    <cfRule type="expression" dxfId="1136" priority="571">
      <formula>OR(BY262="",BX263="")</formula>
    </cfRule>
  </conditionalFormatting>
  <conditionalFormatting sqref="CB269">
    <cfRule type="expression" dxfId="1135" priority="568">
      <formula>OR(CB268=1,CB268=4)</formula>
    </cfRule>
    <cfRule type="expression" dxfId="1134" priority="569">
      <formula>OR(CB268&lt;&gt;1,CB268&lt;&gt;4)</formula>
    </cfRule>
  </conditionalFormatting>
  <conditionalFormatting sqref="CB268">
    <cfRule type="expression" dxfId="1133" priority="567">
      <formula>OR(AND(CA268=1,CC268=4),AND(CA268=4,CC268=1))</formula>
    </cfRule>
  </conditionalFormatting>
  <conditionalFormatting sqref="BV259">
    <cfRule type="expression" dxfId="1132" priority="565">
      <formula>OR(BV258=1,BV258=4)</formula>
    </cfRule>
    <cfRule type="expression" dxfId="1131" priority="566">
      <formula>OR(BV258&lt;&gt;1,BV258&lt;&gt;4)</formula>
    </cfRule>
  </conditionalFormatting>
  <conditionalFormatting sqref="BV258">
    <cfRule type="expression" dxfId="1130" priority="564">
      <formula>OR(AND(BU258=1,BW258=4),AND(BU258=4,BW258=1))</formula>
    </cfRule>
  </conditionalFormatting>
  <conditionalFormatting sqref="BV269">
    <cfRule type="expression" dxfId="1129" priority="562">
      <formula>OR(BV268=1,BV268=4)</formula>
    </cfRule>
    <cfRule type="expression" dxfId="1128" priority="563">
      <formula>OR(BV268&lt;&gt;1,BV268&lt;&gt;4)</formula>
    </cfRule>
  </conditionalFormatting>
  <conditionalFormatting sqref="BV268">
    <cfRule type="expression" dxfId="1127" priority="561">
      <formula>OR(AND(BU268=1,BW268=4),AND(BU268=4,BW268=1))</formula>
    </cfRule>
  </conditionalFormatting>
  <conditionalFormatting sqref="BX274:BY274">
    <cfRule type="expression" dxfId="1126" priority="560">
      <formula>BY274=""</formula>
    </cfRule>
  </conditionalFormatting>
  <conditionalFormatting sqref="BZ272:BZ273">
    <cfRule type="expression" dxfId="1125" priority="559">
      <formula>BZ273=""</formula>
    </cfRule>
  </conditionalFormatting>
  <conditionalFormatting sqref="BX272:BY273">
    <cfRule type="expression" dxfId="1124" priority="558">
      <formula>OR(BY272="",BX273="")</formula>
    </cfRule>
  </conditionalFormatting>
  <conditionalFormatting sqref="CB279">
    <cfRule type="expression" dxfId="1123" priority="555">
      <formula>OR(CB278=1,CB278=4)</formula>
    </cfRule>
    <cfRule type="expression" dxfId="1122" priority="556">
      <formula>OR(CB278&lt;&gt;1,CB278&lt;&gt;4)</formula>
    </cfRule>
  </conditionalFormatting>
  <conditionalFormatting sqref="CB278">
    <cfRule type="expression" dxfId="1121" priority="554">
      <formula>OR(AND(CA278=1,CC278=4),AND(CA278=4,CC278=1))</formula>
    </cfRule>
  </conditionalFormatting>
  <conditionalFormatting sqref="BX284:BY284">
    <cfRule type="expression" dxfId="1120" priority="553">
      <formula>BY284=""</formula>
    </cfRule>
  </conditionalFormatting>
  <conditionalFormatting sqref="BZ282:BZ283">
    <cfRule type="expression" dxfId="1119" priority="552">
      <formula>BZ283=""</formula>
    </cfRule>
  </conditionalFormatting>
  <conditionalFormatting sqref="BX282:BY283">
    <cfRule type="expression" dxfId="1118" priority="551">
      <formula>OR(BY282="",BX283="")</formula>
    </cfRule>
  </conditionalFormatting>
  <conditionalFormatting sqref="CB289">
    <cfRule type="expression" dxfId="1117" priority="548">
      <formula>OR(CB288=1,CB288=4)</formula>
    </cfRule>
    <cfRule type="expression" dxfId="1116" priority="549">
      <formula>OR(CB288&lt;&gt;1,CB288&lt;&gt;4)</formula>
    </cfRule>
  </conditionalFormatting>
  <conditionalFormatting sqref="CB288">
    <cfRule type="expression" dxfId="1115" priority="547">
      <formula>OR(AND(CA288=1,CC288=4),AND(CA288=4,CC288=1))</formula>
    </cfRule>
  </conditionalFormatting>
  <conditionalFormatting sqref="BV279">
    <cfRule type="expression" dxfId="1114" priority="545">
      <formula>OR(BV278=1,BV278=4)</formula>
    </cfRule>
    <cfRule type="expression" dxfId="1113" priority="546">
      <formula>OR(BV278&lt;&gt;1,BV278&lt;&gt;4)</formula>
    </cfRule>
  </conditionalFormatting>
  <conditionalFormatting sqref="BV278">
    <cfRule type="expression" dxfId="1112" priority="544">
      <formula>OR(AND(BU278=1,BW278=4),AND(BU278=4,BW278=1))</formula>
    </cfRule>
  </conditionalFormatting>
  <conditionalFormatting sqref="BV289">
    <cfRule type="expression" dxfId="1111" priority="542">
      <formula>OR(BV288=1,BV288=4)</formula>
    </cfRule>
    <cfRule type="expression" dxfId="1110" priority="543">
      <formula>OR(BV288&lt;&gt;1,BV288&lt;&gt;4)</formula>
    </cfRule>
  </conditionalFormatting>
  <conditionalFormatting sqref="BV288">
    <cfRule type="expression" dxfId="1109" priority="541">
      <formula>OR(AND(BU288=1,BW288=4),AND(BU288=4,BW288=1))</formula>
    </cfRule>
  </conditionalFormatting>
  <conditionalFormatting sqref="BX294:BY294">
    <cfRule type="expression" dxfId="1108" priority="540">
      <formula>BY294=""</formula>
    </cfRule>
  </conditionalFormatting>
  <conditionalFormatting sqref="BZ292:BZ293">
    <cfRule type="expression" dxfId="1107" priority="539">
      <formula>BZ293=""</formula>
    </cfRule>
  </conditionalFormatting>
  <conditionalFormatting sqref="BX292:BY293">
    <cfRule type="expression" dxfId="1106" priority="538">
      <formula>OR(BY292="",BX293="")</formula>
    </cfRule>
  </conditionalFormatting>
  <conditionalFormatting sqref="CB299">
    <cfRule type="expression" dxfId="1105" priority="535">
      <formula>OR(CB298=1,CB298=4)</formula>
    </cfRule>
    <cfRule type="expression" dxfId="1104" priority="536">
      <formula>OR(CB298&lt;&gt;1,CB298&lt;&gt;4)</formula>
    </cfRule>
  </conditionalFormatting>
  <conditionalFormatting sqref="CB298">
    <cfRule type="expression" dxfId="1103" priority="534">
      <formula>OR(AND(CA298=1,CC298=4),AND(CA298=4,CC298=1))</formula>
    </cfRule>
  </conditionalFormatting>
  <conditionalFormatting sqref="BX304:BY304">
    <cfRule type="expression" dxfId="1102" priority="533">
      <formula>BY304=""</formula>
    </cfRule>
  </conditionalFormatting>
  <conditionalFormatting sqref="BZ302:BZ303">
    <cfRule type="expression" dxfId="1101" priority="532">
      <formula>BZ303=""</formula>
    </cfRule>
  </conditionalFormatting>
  <conditionalFormatting sqref="BX302:BY303">
    <cfRule type="expression" dxfId="1100" priority="531">
      <formula>OR(BY302="",BX303="")</formula>
    </cfRule>
  </conditionalFormatting>
  <conditionalFormatting sqref="CB309">
    <cfRule type="expression" dxfId="1099" priority="528">
      <formula>OR(CB308=1,CB308=4)</formula>
    </cfRule>
    <cfRule type="expression" dxfId="1098" priority="529">
      <formula>OR(CB308&lt;&gt;1,CB308&lt;&gt;4)</formula>
    </cfRule>
  </conditionalFormatting>
  <conditionalFormatting sqref="CB308">
    <cfRule type="expression" dxfId="1097" priority="527">
      <formula>OR(AND(CA308=1,CC308=4),AND(CA308=4,CC308=1))</formula>
    </cfRule>
  </conditionalFormatting>
  <conditionalFormatting sqref="BV299">
    <cfRule type="expression" dxfId="1096" priority="525">
      <formula>OR(BV298=1,BV298=4)</formula>
    </cfRule>
    <cfRule type="expression" dxfId="1095" priority="526">
      <formula>OR(BV298&lt;&gt;1,BV298&lt;&gt;4)</formula>
    </cfRule>
  </conditionalFormatting>
  <conditionalFormatting sqref="BV298">
    <cfRule type="expression" dxfId="1094" priority="524">
      <formula>OR(AND(BU298=1,BW298=4),AND(BU298=4,BW298=1))</formula>
    </cfRule>
  </conditionalFormatting>
  <conditionalFormatting sqref="BV309">
    <cfRule type="expression" dxfId="1093" priority="522">
      <formula>OR(BV308=1,BV308=4)</formula>
    </cfRule>
    <cfRule type="expression" dxfId="1092" priority="523">
      <formula>OR(BV308&lt;&gt;1,BV308&lt;&gt;4)</formula>
    </cfRule>
  </conditionalFormatting>
  <conditionalFormatting sqref="BV308">
    <cfRule type="expression" dxfId="1091" priority="521">
      <formula>OR(AND(BU308=1,BW308=4),AND(BU308=4,BW308=1))</formula>
    </cfRule>
  </conditionalFormatting>
  <conditionalFormatting sqref="BX314:BY314">
    <cfRule type="expression" dxfId="1090" priority="520">
      <formula>BY314=""</formula>
    </cfRule>
  </conditionalFormatting>
  <conditionalFormatting sqref="BZ312:BZ313">
    <cfRule type="expression" dxfId="1089" priority="519">
      <formula>BZ313=""</formula>
    </cfRule>
  </conditionalFormatting>
  <conditionalFormatting sqref="BX312:BY313">
    <cfRule type="expression" dxfId="1088" priority="518">
      <formula>OR(BY312="",BX313="")</formula>
    </cfRule>
  </conditionalFormatting>
  <conditionalFormatting sqref="CB319">
    <cfRule type="expression" dxfId="1087" priority="515">
      <formula>OR(CB318=1,CB318=4)</formula>
    </cfRule>
    <cfRule type="expression" dxfId="1086" priority="516">
      <formula>OR(CB318&lt;&gt;1,CB318&lt;&gt;4)</formula>
    </cfRule>
  </conditionalFormatting>
  <conditionalFormatting sqref="CB318">
    <cfRule type="expression" dxfId="1085" priority="514">
      <formula>OR(AND(CA318=1,CC318=4),AND(CA318=4,CC318=1))</formula>
    </cfRule>
  </conditionalFormatting>
  <conditionalFormatting sqref="BX324:BY324">
    <cfRule type="expression" dxfId="1084" priority="513">
      <formula>BY324=""</formula>
    </cfRule>
  </conditionalFormatting>
  <conditionalFormatting sqref="BZ322:BZ323">
    <cfRule type="expression" dxfId="1083" priority="512">
      <formula>BZ323=""</formula>
    </cfRule>
  </conditionalFormatting>
  <conditionalFormatting sqref="BX322:BY323">
    <cfRule type="expression" dxfId="1082" priority="511">
      <formula>OR(BY322="",BX323="")</formula>
    </cfRule>
  </conditionalFormatting>
  <conditionalFormatting sqref="CB329">
    <cfRule type="expression" dxfId="1081" priority="508">
      <formula>OR(CB328=1,CB328=4)</formula>
    </cfRule>
    <cfRule type="expression" dxfId="1080" priority="509">
      <formula>OR(CB328&lt;&gt;1,CB328&lt;&gt;4)</formula>
    </cfRule>
  </conditionalFormatting>
  <conditionalFormatting sqref="CB328">
    <cfRule type="expression" dxfId="1079" priority="507">
      <formula>OR(AND(CA328=1,CC328=4),AND(CA328=4,CC328=1))</formula>
    </cfRule>
  </conditionalFormatting>
  <conditionalFormatting sqref="BV319">
    <cfRule type="expression" dxfId="1078" priority="505">
      <formula>OR(BV318=1,BV318=4)</formula>
    </cfRule>
    <cfRule type="expression" dxfId="1077" priority="506">
      <formula>OR(BV318&lt;&gt;1,BV318&lt;&gt;4)</formula>
    </cfRule>
  </conditionalFormatting>
  <conditionalFormatting sqref="BV318">
    <cfRule type="expression" dxfId="1076" priority="504">
      <formula>OR(AND(BU318=1,BW318=4),AND(BU318=4,BW318=1))</formula>
    </cfRule>
  </conditionalFormatting>
  <conditionalFormatting sqref="BV329">
    <cfRule type="expression" dxfId="1075" priority="502">
      <formula>OR(BV328=1,BV328=4)</formula>
    </cfRule>
    <cfRule type="expression" dxfId="1074" priority="503">
      <formula>OR(BV328&lt;&gt;1,BV328&lt;&gt;4)</formula>
    </cfRule>
  </conditionalFormatting>
  <conditionalFormatting sqref="BV328">
    <cfRule type="expression" dxfId="1073" priority="501">
      <formula>OR(AND(BU328=1,BW328=4),AND(BU328=4,BW328=1))</formula>
    </cfRule>
  </conditionalFormatting>
  <conditionalFormatting sqref="BX334:BY334">
    <cfRule type="expression" dxfId="1072" priority="500">
      <formula>BY334=""</formula>
    </cfRule>
  </conditionalFormatting>
  <conditionalFormatting sqref="BZ332:BZ333">
    <cfRule type="expression" dxfId="1071" priority="499">
      <formula>BZ333=""</formula>
    </cfRule>
  </conditionalFormatting>
  <conditionalFormatting sqref="BX332:BY333">
    <cfRule type="expression" dxfId="1070" priority="498">
      <formula>OR(BY332="",BX333="")</formula>
    </cfRule>
  </conditionalFormatting>
  <conditionalFormatting sqref="CB339">
    <cfRule type="expression" dxfId="1069" priority="495">
      <formula>OR(CB338=1,CB338=4)</formula>
    </cfRule>
    <cfRule type="expression" dxfId="1068" priority="496">
      <formula>OR(CB338&lt;&gt;1,CB338&lt;&gt;4)</formula>
    </cfRule>
  </conditionalFormatting>
  <conditionalFormatting sqref="CB338">
    <cfRule type="expression" dxfId="1067" priority="494">
      <formula>OR(AND(CA338=1,CC338=4),AND(CA338=4,CC338=1))</formula>
    </cfRule>
  </conditionalFormatting>
  <conditionalFormatting sqref="BX344:BY344">
    <cfRule type="expression" dxfId="1066" priority="493">
      <formula>BY344=""</formula>
    </cfRule>
  </conditionalFormatting>
  <conditionalFormatting sqref="BZ342:BZ343">
    <cfRule type="expression" dxfId="1065" priority="492">
      <formula>BZ343=""</formula>
    </cfRule>
  </conditionalFormatting>
  <conditionalFormatting sqref="BX342:BY343">
    <cfRule type="expression" dxfId="1064" priority="491">
      <formula>OR(BY342="",BX343="")</formula>
    </cfRule>
  </conditionalFormatting>
  <conditionalFormatting sqref="CB349">
    <cfRule type="expression" dxfId="1063" priority="488">
      <formula>OR(CB348=1,CB348=4)</formula>
    </cfRule>
    <cfRule type="expression" dxfId="1062" priority="489">
      <formula>OR(CB348&lt;&gt;1,CB348&lt;&gt;4)</formula>
    </cfRule>
  </conditionalFormatting>
  <conditionalFormatting sqref="CB348">
    <cfRule type="expression" dxfId="1061" priority="487">
      <formula>OR(AND(CA348=1,CC348=4),AND(CA348=4,CC348=1))</formula>
    </cfRule>
  </conditionalFormatting>
  <conditionalFormatting sqref="BV339">
    <cfRule type="expression" dxfId="1060" priority="485">
      <formula>OR(BV338=1,BV338=4)</formula>
    </cfRule>
    <cfRule type="expression" dxfId="1059" priority="486">
      <formula>OR(BV338&lt;&gt;1,BV338&lt;&gt;4)</formula>
    </cfRule>
  </conditionalFormatting>
  <conditionalFormatting sqref="BV338">
    <cfRule type="expression" dxfId="1058" priority="484">
      <formula>OR(AND(BU338=1,BW338=4),AND(BU338=4,BW338=1))</formula>
    </cfRule>
  </conditionalFormatting>
  <conditionalFormatting sqref="BV349">
    <cfRule type="expression" dxfId="1057" priority="482">
      <formula>OR(BV348=1,BV348=4)</formula>
    </cfRule>
    <cfRule type="expression" dxfId="1056" priority="483">
      <formula>OR(BV348&lt;&gt;1,BV348&lt;&gt;4)</formula>
    </cfRule>
  </conditionalFormatting>
  <conditionalFormatting sqref="BV348">
    <cfRule type="expression" dxfId="1055" priority="481">
      <formula>OR(AND(BU348=1,BW348=4),AND(BU348=4,BW348=1))</formula>
    </cfRule>
  </conditionalFormatting>
  <conditionalFormatting sqref="BX354:BY354">
    <cfRule type="expression" dxfId="1054" priority="480">
      <formula>BY354=""</formula>
    </cfRule>
  </conditionalFormatting>
  <conditionalFormatting sqref="BZ352:BZ353">
    <cfRule type="expression" dxfId="1053" priority="479">
      <formula>BZ353=""</formula>
    </cfRule>
  </conditionalFormatting>
  <conditionalFormatting sqref="BX352:BY353">
    <cfRule type="expression" dxfId="1052" priority="478">
      <formula>OR(BY352="",BX353="")</formula>
    </cfRule>
  </conditionalFormatting>
  <conditionalFormatting sqref="CB359">
    <cfRule type="expression" dxfId="1051" priority="475">
      <formula>OR(CB358=1,CB358=4)</formula>
    </cfRule>
    <cfRule type="expression" dxfId="1050" priority="476">
      <formula>OR(CB358&lt;&gt;1,CB358&lt;&gt;4)</formula>
    </cfRule>
  </conditionalFormatting>
  <conditionalFormatting sqref="CB358">
    <cfRule type="expression" dxfId="1049" priority="474">
      <formula>OR(AND(CA358=1,CC358=4),AND(CA358=4,CC358=1))</formula>
    </cfRule>
  </conditionalFormatting>
  <conditionalFormatting sqref="BX364:BY364">
    <cfRule type="expression" dxfId="1048" priority="473">
      <formula>BY364=""</formula>
    </cfRule>
  </conditionalFormatting>
  <conditionalFormatting sqref="BZ362:BZ363">
    <cfRule type="expression" dxfId="1047" priority="472">
      <formula>BZ363=""</formula>
    </cfRule>
  </conditionalFormatting>
  <conditionalFormatting sqref="BX362:BY363">
    <cfRule type="expression" dxfId="1046" priority="471">
      <formula>OR(BY362="",BX363="")</formula>
    </cfRule>
  </conditionalFormatting>
  <conditionalFormatting sqref="CB369">
    <cfRule type="expression" dxfId="1045" priority="468">
      <formula>OR(CB368=1,CB368=4)</formula>
    </cfRule>
    <cfRule type="expression" dxfId="1044" priority="469">
      <formula>OR(CB368&lt;&gt;1,CB368&lt;&gt;4)</formula>
    </cfRule>
  </conditionalFormatting>
  <conditionalFormatting sqref="CB368">
    <cfRule type="expression" dxfId="1043" priority="467">
      <formula>OR(AND(CA368=1,CC368=4),AND(CA368=4,CC368=1))</formula>
    </cfRule>
  </conditionalFormatting>
  <conditionalFormatting sqref="BV359">
    <cfRule type="expression" dxfId="1042" priority="465">
      <formula>OR(BV358=1,BV358=4)</formula>
    </cfRule>
    <cfRule type="expression" dxfId="1041" priority="466">
      <formula>OR(BV358&lt;&gt;1,BV358&lt;&gt;4)</formula>
    </cfRule>
  </conditionalFormatting>
  <conditionalFormatting sqref="BV358">
    <cfRule type="expression" dxfId="1040" priority="464">
      <formula>OR(AND(BU358=1,BW358=4),AND(BU358=4,BW358=1))</formula>
    </cfRule>
  </conditionalFormatting>
  <conditionalFormatting sqref="BV369">
    <cfRule type="expression" dxfId="1039" priority="462">
      <formula>OR(BV368=1,BV368=4)</formula>
    </cfRule>
    <cfRule type="expression" dxfId="1038" priority="463">
      <formula>OR(BV368&lt;&gt;1,BV368&lt;&gt;4)</formula>
    </cfRule>
  </conditionalFormatting>
  <conditionalFormatting sqref="BV368">
    <cfRule type="expression" dxfId="1037" priority="461">
      <formula>OR(AND(BU368=1,BW368=4),AND(BU368=4,BW368=1))</formula>
    </cfRule>
  </conditionalFormatting>
  <conditionalFormatting sqref="BX374:BY374">
    <cfRule type="expression" dxfId="1036" priority="460">
      <formula>BY374=""</formula>
    </cfRule>
  </conditionalFormatting>
  <conditionalFormatting sqref="BZ372:BZ373">
    <cfRule type="expression" dxfId="1035" priority="459">
      <formula>BZ373=""</formula>
    </cfRule>
  </conditionalFormatting>
  <conditionalFormatting sqref="BX372:BY373">
    <cfRule type="expression" dxfId="1034" priority="458">
      <formula>OR(BY372="",BX373="")</formula>
    </cfRule>
  </conditionalFormatting>
  <conditionalFormatting sqref="CB379">
    <cfRule type="expression" dxfId="1033" priority="455">
      <formula>OR(CB378=1,CB378=4)</formula>
    </cfRule>
    <cfRule type="expression" dxfId="1032" priority="456">
      <formula>OR(CB378&lt;&gt;1,CB378&lt;&gt;4)</formula>
    </cfRule>
  </conditionalFormatting>
  <conditionalFormatting sqref="CB378">
    <cfRule type="expression" dxfId="1031" priority="454">
      <formula>OR(AND(CA378=1,CC378=4),AND(CA378=4,CC378=1))</formula>
    </cfRule>
  </conditionalFormatting>
  <conditionalFormatting sqref="BX384:BY384">
    <cfRule type="expression" dxfId="1030" priority="453">
      <formula>BY384=""</formula>
    </cfRule>
  </conditionalFormatting>
  <conditionalFormatting sqref="BZ382:BZ383">
    <cfRule type="expression" dxfId="1029" priority="452">
      <formula>BZ383=""</formula>
    </cfRule>
  </conditionalFormatting>
  <conditionalFormatting sqref="BX382:BY383">
    <cfRule type="expression" dxfId="1028" priority="451">
      <formula>OR(BY382="",BX383="")</formula>
    </cfRule>
  </conditionalFormatting>
  <conditionalFormatting sqref="CB389">
    <cfRule type="expression" dxfId="1027" priority="448">
      <formula>OR(CB388=1,CB388=4)</formula>
    </cfRule>
    <cfRule type="expression" dxfId="1026" priority="449">
      <formula>OR(CB388&lt;&gt;1,CB388&lt;&gt;4)</formula>
    </cfRule>
  </conditionalFormatting>
  <conditionalFormatting sqref="CB388">
    <cfRule type="expression" dxfId="1025" priority="447">
      <formula>OR(AND(CA388=1,CC388=4),AND(CA388=4,CC388=1))</formula>
    </cfRule>
  </conditionalFormatting>
  <conditionalFormatting sqref="BV379">
    <cfRule type="expression" dxfId="1024" priority="445">
      <formula>OR(BV378=1,BV378=4)</formula>
    </cfRule>
    <cfRule type="expression" dxfId="1023" priority="446">
      <formula>OR(BV378&lt;&gt;1,BV378&lt;&gt;4)</formula>
    </cfRule>
  </conditionalFormatting>
  <conditionalFormatting sqref="BV378">
    <cfRule type="expression" dxfId="1022" priority="444">
      <formula>OR(AND(BU378=1,BW378=4),AND(BU378=4,BW378=1))</formula>
    </cfRule>
  </conditionalFormatting>
  <conditionalFormatting sqref="BV389">
    <cfRule type="expression" dxfId="1021" priority="442">
      <formula>OR(BV388=1,BV388=4)</formula>
    </cfRule>
    <cfRule type="expression" dxfId="1020" priority="443">
      <formula>OR(BV388&lt;&gt;1,BV388&lt;&gt;4)</formula>
    </cfRule>
  </conditionalFormatting>
  <conditionalFormatting sqref="BV388">
    <cfRule type="expression" dxfId="1019" priority="441">
      <formula>OR(AND(BU388=1,BW388=4),AND(BU388=4,BW388=1))</formula>
    </cfRule>
  </conditionalFormatting>
  <conditionalFormatting sqref="BX394:BY394">
    <cfRule type="expression" dxfId="1018" priority="440">
      <formula>BY394=""</formula>
    </cfRule>
  </conditionalFormatting>
  <conditionalFormatting sqref="BZ392:BZ393">
    <cfRule type="expression" dxfId="1017" priority="439">
      <formula>BZ393=""</formula>
    </cfRule>
  </conditionalFormatting>
  <conditionalFormatting sqref="BX392:BY393">
    <cfRule type="expression" dxfId="1016" priority="438">
      <formula>OR(BY392="",BX393="")</formula>
    </cfRule>
  </conditionalFormatting>
  <conditionalFormatting sqref="CB399">
    <cfRule type="expression" dxfId="1015" priority="435">
      <formula>OR(CB398=1,CB398=4)</formula>
    </cfRule>
    <cfRule type="expression" dxfId="1014" priority="436">
      <formula>OR(CB398&lt;&gt;1,CB398&lt;&gt;4)</formula>
    </cfRule>
  </conditionalFormatting>
  <conditionalFormatting sqref="CB398">
    <cfRule type="expression" dxfId="1013" priority="434">
      <formula>OR(AND(CA398=1,CC398=4),AND(CA398=4,CC398=1))</formula>
    </cfRule>
  </conditionalFormatting>
  <conditionalFormatting sqref="BX404:BY404">
    <cfRule type="expression" dxfId="1012" priority="433">
      <formula>BY404=""</formula>
    </cfRule>
  </conditionalFormatting>
  <conditionalFormatting sqref="BZ402:BZ403">
    <cfRule type="expression" dxfId="1011" priority="432">
      <formula>BZ403=""</formula>
    </cfRule>
  </conditionalFormatting>
  <conditionalFormatting sqref="BX402:BY403">
    <cfRule type="expression" dxfId="1010" priority="431">
      <formula>OR(BY402="",BX403="")</formula>
    </cfRule>
  </conditionalFormatting>
  <conditionalFormatting sqref="CB409">
    <cfRule type="expression" dxfId="1009" priority="428">
      <formula>OR(CB408=1,CB408=4)</formula>
    </cfRule>
    <cfRule type="expression" dxfId="1008" priority="429">
      <formula>OR(CB408&lt;&gt;1,CB408&lt;&gt;4)</formula>
    </cfRule>
  </conditionalFormatting>
  <conditionalFormatting sqref="CB408">
    <cfRule type="expression" dxfId="1007" priority="427">
      <formula>OR(AND(CA408=1,CC408=4),AND(CA408=4,CC408=1))</formula>
    </cfRule>
  </conditionalFormatting>
  <conditionalFormatting sqref="BV399">
    <cfRule type="expression" dxfId="1006" priority="425">
      <formula>OR(BV398=1,BV398=4)</formula>
    </cfRule>
    <cfRule type="expression" dxfId="1005" priority="426">
      <formula>OR(BV398&lt;&gt;1,BV398&lt;&gt;4)</formula>
    </cfRule>
  </conditionalFormatting>
  <conditionalFormatting sqref="BV398">
    <cfRule type="expression" dxfId="1004" priority="424">
      <formula>OR(AND(BU398=1,BW398=4),AND(BU398=4,BW398=1))</formula>
    </cfRule>
  </conditionalFormatting>
  <conditionalFormatting sqref="BV409">
    <cfRule type="expression" dxfId="1003" priority="422">
      <formula>OR(BV408=1,BV408=4)</formula>
    </cfRule>
    <cfRule type="expression" dxfId="1002" priority="423">
      <formula>OR(BV408&lt;&gt;1,BV408&lt;&gt;4)</formula>
    </cfRule>
  </conditionalFormatting>
  <conditionalFormatting sqref="BV408">
    <cfRule type="expression" dxfId="1001" priority="421">
      <formula>OR(AND(BU408=1,BW408=4),AND(BU408=4,BW408=1))</formula>
    </cfRule>
  </conditionalFormatting>
  <conditionalFormatting sqref="BX414:BY414">
    <cfRule type="expression" dxfId="1000" priority="420">
      <formula>BY414=""</formula>
    </cfRule>
  </conditionalFormatting>
  <conditionalFormatting sqref="BZ412:BZ413">
    <cfRule type="expression" dxfId="999" priority="419">
      <formula>BZ413=""</formula>
    </cfRule>
  </conditionalFormatting>
  <conditionalFormatting sqref="BX412:BY413">
    <cfRule type="expression" dxfId="998" priority="418">
      <formula>OR(BY412="",BX413="")</formula>
    </cfRule>
  </conditionalFormatting>
  <conditionalFormatting sqref="CB419">
    <cfRule type="expression" dxfId="997" priority="415">
      <formula>OR(CB418=1,CB418=4)</formula>
    </cfRule>
    <cfRule type="expression" dxfId="996" priority="416">
      <formula>OR(CB418&lt;&gt;1,CB418&lt;&gt;4)</formula>
    </cfRule>
  </conditionalFormatting>
  <conditionalFormatting sqref="CB418">
    <cfRule type="expression" dxfId="995" priority="414">
      <formula>OR(AND(CA418=1,CC418=4),AND(CA418=4,CC418=1))</formula>
    </cfRule>
  </conditionalFormatting>
  <conditionalFormatting sqref="BX424:BY424">
    <cfRule type="expression" dxfId="994" priority="413">
      <formula>BY424=""</formula>
    </cfRule>
  </conditionalFormatting>
  <conditionalFormatting sqref="BZ422:BZ423">
    <cfRule type="expression" dxfId="993" priority="412">
      <formula>BZ423=""</formula>
    </cfRule>
  </conditionalFormatting>
  <conditionalFormatting sqref="BX422:BY423">
    <cfRule type="expression" dxfId="992" priority="411">
      <formula>OR(BY422="",BX423="")</formula>
    </cfRule>
  </conditionalFormatting>
  <conditionalFormatting sqref="CB429">
    <cfRule type="expression" dxfId="991" priority="408">
      <formula>OR(CB428=1,CB428=4)</formula>
    </cfRule>
    <cfRule type="expression" dxfId="990" priority="409">
      <formula>OR(CB428&lt;&gt;1,CB428&lt;&gt;4)</formula>
    </cfRule>
  </conditionalFormatting>
  <conditionalFormatting sqref="CB428">
    <cfRule type="expression" dxfId="989" priority="407">
      <formula>OR(AND(CA428=1,CC428=4),AND(CA428=4,CC428=1))</formula>
    </cfRule>
  </conditionalFormatting>
  <conditionalFormatting sqref="BV419">
    <cfRule type="expression" dxfId="988" priority="405">
      <formula>OR(BV418=1,BV418=4)</formula>
    </cfRule>
    <cfRule type="expression" dxfId="987" priority="406">
      <formula>OR(BV418&lt;&gt;1,BV418&lt;&gt;4)</formula>
    </cfRule>
  </conditionalFormatting>
  <conditionalFormatting sqref="BV418">
    <cfRule type="expression" dxfId="986" priority="404">
      <formula>OR(AND(BU418=1,BW418=4),AND(BU418=4,BW418=1))</formula>
    </cfRule>
  </conditionalFormatting>
  <conditionalFormatting sqref="BV429">
    <cfRule type="expression" dxfId="985" priority="402">
      <formula>OR(BV428=1,BV428=4)</formula>
    </cfRule>
    <cfRule type="expression" dxfId="984" priority="403">
      <formula>OR(BV428&lt;&gt;1,BV428&lt;&gt;4)</formula>
    </cfRule>
  </conditionalFormatting>
  <conditionalFormatting sqref="BV428">
    <cfRule type="expression" dxfId="983" priority="401">
      <formula>OR(AND(BU428=1,BW428=4),AND(BU428=4,BW428=1))</formula>
    </cfRule>
  </conditionalFormatting>
  <conditionalFormatting sqref="BX434:BY434">
    <cfRule type="expression" dxfId="982" priority="400">
      <formula>BY434=""</formula>
    </cfRule>
  </conditionalFormatting>
  <conditionalFormatting sqref="BZ432:BZ433">
    <cfRule type="expression" dxfId="981" priority="399">
      <formula>BZ433=""</formula>
    </cfRule>
  </conditionalFormatting>
  <conditionalFormatting sqref="BX432:BY433">
    <cfRule type="expression" dxfId="980" priority="398">
      <formula>OR(BY432="",BX433="")</formula>
    </cfRule>
  </conditionalFormatting>
  <conditionalFormatting sqref="CB439">
    <cfRule type="expression" dxfId="979" priority="395">
      <formula>OR(CB438=1,CB438=4)</formula>
    </cfRule>
    <cfRule type="expression" dxfId="978" priority="396">
      <formula>OR(CB438&lt;&gt;1,CB438&lt;&gt;4)</formula>
    </cfRule>
  </conditionalFormatting>
  <conditionalFormatting sqref="CB438">
    <cfRule type="expression" dxfId="977" priority="394">
      <formula>OR(AND(CA438=1,CC438=4),AND(CA438=4,CC438=1))</formula>
    </cfRule>
  </conditionalFormatting>
  <conditionalFormatting sqref="BX444:BY444">
    <cfRule type="expression" dxfId="976" priority="393">
      <formula>BY444=""</formula>
    </cfRule>
  </conditionalFormatting>
  <conditionalFormatting sqref="BZ442:BZ443">
    <cfRule type="expression" dxfId="975" priority="392">
      <formula>BZ443=""</formula>
    </cfRule>
  </conditionalFormatting>
  <conditionalFormatting sqref="BX442:BY443">
    <cfRule type="expression" dxfId="974" priority="391">
      <formula>OR(BY442="",BX443="")</formula>
    </cfRule>
  </conditionalFormatting>
  <conditionalFormatting sqref="CB449">
    <cfRule type="expression" dxfId="973" priority="388">
      <formula>OR(CB448=1,CB448=4)</formula>
    </cfRule>
    <cfRule type="expression" dxfId="972" priority="389">
      <formula>OR(CB448&lt;&gt;1,CB448&lt;&gt;4)</formula>
    </cfRule>
  </conditionalFormatting>
  <conditionalFormatting sqref="CB448">
    <cfRule type="expression" dxfId="971" priority="387">
      <formula>OR(AND(CA448=1,CC448=4),AND(CA448=4,CC448=1))</formula>
    </cfRule>
  </conditionalFormatting>
  <conditionalFormatting sqref="BV439">
    <cfRule type="expression" dxfId="970" priority="385">
      <formula>OR(BV438=1,BV438=4)</formula>
    </cfRule>
    <cfRule type="expression" dxfId="969" priority="386">
      <formula>OR(BV438&lt;&gt;1,BV438&lt;&gt;4)</formula>
    </cfRule>
  </conditionalFormatting>
  <conditionalFormatting sqref="BV438">
    <cfRule type="expression" dxfId="968" priority="384">
      <formula>OR(AND(BU438=1,BW438=4),AND(BU438=4,BW438=1))</formula>
    </cfRule>
  </conditionalFormatting>
  <conditionalFormatting sqref="BV449">
    <cfRule type="expression" dxfId="967" priority="382">
      <formula>OR(BV448=1,BV448=4)</formula>
    </cfRule>
    <cfRule type="expression" dxfId="966" priority="383">
      <formula>OR(BV448&lt;&gt;1,BV448&lt;&gt;4)</formula>
    </cfRule>
  </conditionalFormatting>
  <conditionalFormatting sqref="BV448">
    <cfRule type="expression" dxfId="965" priority="381">
      <formula>OR(AND(BU448=1,BW448=4),AND(BU448=4,BW448=1))</formula>
    </cfRule>
  </conditionalFormatting>
  <conditionalFormatting sqref="BX454:BY454">
    <cfRule type="expression" dxfId="964" priority="380">
      <formula>BY454=""</formula>
    </cfRule>
  </conditionalFormatting>
  <conditionalFormatting sqref="BZ452:BZ453">
    <cfRule type="expression" dxfId="963" priority="379">
      <formula>BZ453=""</formula>
    </cfRule>
  </conditionalFormatting>
  <conditionalFormatting sqref="BX452:BY453">
    <cfRule type="expression" dxfId="962" priority="378">
      <formula>OR(BY452="",BX453="")</formula>
    </cfRule>
  </conditionalFormatting>
  <conditionalFormatting sqref="CB459">
    <cfRule type="expression" dxfId="961" priority="375">
      <formula>OR(CB458=1,CB458=4)</formula>
    </cfRule>
    <cfRule type="expression" dxfId="960" priority="376">
      <formula>OR(CB458&lt;&gt;1,CB458&lt;&gt;4)</formula>
    </cfRule>
  </conditionalFormatting>
  <conditionalFormatting sqref="CB458">
    <cfRule type="expression" dxfId="959" priority="374">
      <formula>OR(AND(CA458=1,CC458=4),AND(CA458=4,CC458=1))</formula>
    </cfRule>
  </conditionalFormatting>
  <conditionalFormatting sqref="BX464:BY464">
    <cfRule type="expression" dxfId="958" priority="373">
      <formula>BY464=""</formula>
    </cfRule>
  </conditionalFormatting>
  <conditionalFormatting sqref="BZ462:BZ463">
    <cfRule type="expression" dxfId="957" priority="372">
      <formula>BZ463=""</formula>
    </cfRule>
  </conditionalFormatting>
  <conditionalFormatting sqref="BX462:BY463">
    <cfRule type="expression" dxfId="956" priority="371">
      <formula>OR(BY462="",BX463="")</formula>
    </cfRule>
  </conditionalFormatting>
  <conditionalFormatting sqref="CB469">
    <cfRule type="expression" dxfId="955" priority="368">
      <formula>OR(CB468=1,CB468=4)</formula>
    </cfRule>
    <cfRule type="expression" dxfId="954" priority="369">
      <formula>OR(CB468&lt;&gt;1,CB468&lt;&gt;4)</formula>
    </cfRule>
  </conditionalFormatting>
  <conditionalFormatting sqref="CB468">
    <cfRule type="expression" dxfId="953" priority="367">
      <formula>OR(AND(CA468=1,CC468=4),AND(CA468=4,CC468=1))</formula>
    </cfRule>
  </conditionalFormatting>
  <conditionalFormatting sqref="BV459">
    <cfRule type="expression" dxfId="952" priority="365">
      <formula>OR(BV458=1,BV458=4)</formula>
    </cfRule>
    <cfRule type="expression" dxfId="951" priority="366">
      <formula>OR(BV458&lt;&gt;1,BV458&lt;&gt;4)</formula>
    </cfRule>
  </conditionalFormatting>
  <conditionalFormatting sqref="BV458">
    <cfRule type="expression" dxfId="950" priority="364">
      <formula>OR(AND(BU458=1,BW458=4),AND(BU458=4,BW458=1))</formula>
    </cfRule>
  </conditionalFormatting>
  <conditionalFormatting sqref="BV469">
    <cfRule type="expression" dxfId="949" priority="362">
      <formula>OR(BV468=1,BV468=4)</formula>
    </cfRule>
    <cfRule type="expression" dxfId="948" priority="363">
      <formula>OR(BV468&lt;&gt;1,BV468&lt;&gt;4)</formula>
    </cfRule>
  </conditionalFormatting>
  <conditionalFormatting sqref="BV468">
    <cfRule type="expression" dxfId="947" priority="361">
      <formula>OR(AND(BU468=1,BW468=4),AND(BU468=4,BW468=1))</formula>
    </cfRule>
  </conditionalFormatting>
  <conditionalFormatting sqref="BX474:BY474">
    <cfRule type="expression" dxfId="946" priority="360">
      <formula>BY474=""</formula>
    </cfRule>
  </conditionalFormatting>
  <conditionalFormatting sqref="BZ472:BZ473">
    <cfRule type="expression" dxfId="945" priority="359">
      <formula>BZ473=""</formula>
    </cfRule>
  </conditionalFormatting>
  <conditionalFormatting sqref="BX472:BY473">
    <cfRule type="expression" dxfId="944" priority="358">
      <formula>OR(BY472="",BX473="")</formula>
    </cfRule>
  </conditionalFormatting>
  <conditionalFormatting sqref="CB479">
    <cfRule type="expression" dxfId="943" priority="355">
      <formula>OR(CB478=1,CB478=4)</formula>
    </cfRule>
    <cfRule type="expression" dxfId="942" priority="356">
      <formula>OR(CB478&lt;&gt;1,CB478&lt;&gt;4)</formula>
    </cfRule>
  </conditionalFormatting>
  <conditionalFormatting sqref="CB478">
    <cfRule type="expression" dxfId="941" priority="354">
      <formula>OR(AND(CA478=1,CC478=4),AND(CA478=4,CC478=1))</formula>
    </cfRule>
  </conditionalFormatting>
  <conditionalFormatting sqref="BX484:BY484">
    <cfRule type="expression" dxfId="940" priority="353">
      <formula>BY484=""</formula>
    </cfRule>
  </conditionalFormatting>
  <conditionalFormatting sqref="BZ482:BZ483">
    <cfRule type="expression" dxfId="939" priority="352">
      <formula>BZ483=""</formula>
    </cfRule>
  </conditionalFormatting>
  <conditionalFormatting sqref="BX482:BY483">
    <cfRule type="expression" dxfId="938" priority="351">
      <formula>OR(BY482="",BX483="")</formula>
    </cfRule>
  </conditionalFormatting>
  <conditionalFormatting sqref="CB489">
    <cfRule type="expression" dxfId="937" priority="348">
      <formula>OR(CB488=1,CB488=4)</formula>
    </cfRule>
    <cfRule type="expression" dxfId="936" priority="349">
      <formula>OR(CB488&lt;&gt;1,CB488&lt;&gt;4)</formula>
    </cfRule>
  </conditionalFormatting>
  <conditionalFormatting sqref="CB488">
    <cfRule type="expression" dxfId="935" priority="347">
      <formula>OR(AND(CA488=1,CC488=4),AND(CA488=4,CC488=1))</formula>
    </cfRule>
  </conditionalFormatting>
  <conditionalFormatting sqref="BV479">
    <cfRule type="expression" dxfId="934" priority="345">
      <formula>OR(BV478=1,BV478=4)</formula>
    </cfRule>
    <cfRule type="expression" dxfId="933" priority="346">
      <formula>OR(BV478&lt;&gt;1,BV478&lt;&gt;4)</formula>
    </cfRule>
  </conditionalFormatting>
  <conditionalFormatting sqref="BV478">
    <cfRule type="expression" dxfId="932" priority="344">
      <formula>OR(AND(BU478=1,BW478=4),AND(BU478=4,BW478=1))</formula>
    </cfRule>
  </conditionalFormatting>
  <conditionalFormatting sqref="BV489">
    <cfRule type="expression" dxfId="931" priority="342">
      <formula>OR(BV488=1,BV488=4)</formula>
    </cfRule>
    <cfRule type="expression" dxfId="930" priority="343">
      <formula>OR(BV488&lt;&gt;1,BV488&lt;&gt;4)</formula>
    </cfRule>
  </conditionalFormatting>
  <conditionalFormatting sqref="BV488">
    <cfRule type="expression" dxfId="929" priority="341">
      <formula>OR(AND(BU488=1,BW488=4),AND(BU488=4,BW488=1))</formula>
    </cfRule>
  </conditionalFormatting>
  <conditionalFormatting sqref="BX494:BY494">
    <cfRule type="expression" dxfId="928" priority="340">
      <formula>BY494=""</formula>
    </cfRule>
  </conditionalFormatting>
  <conditionalFormatting sqref="BZ492:BZ493">
    <cfRule type="expression" dxfId="927" priority="339">
      <formula>BZ493=""</formula>
    </cfRule>
  </conditionalFormatting>
  <conditionalFormatting sqref="BX492:BY493">
    <cfRule type="expression" dxfId="926" priority="338">
      <formula>OR(BY492="",BX493="")</formula>
    </cfRule>
  </conditionalFormatting>
  <conditionalFormatting sqref="CB499">
    <cfRule type="expression" dxfId="925" priority="335">
      <formula>OR(CB498=1,CB498=4)</formula>
    </cfRule>
    <cfRule type="expression" dxfId="924" priority="336">
      <formula>OR(CB498&lt;&gt;1,CB498&lt;&gt;4)</formula>
    </cfRule>
  </conditionalFormatting>
  <conditionalFormatting sqref="CB498">
    <cfRule type="expression" dxfId="923" priority="334">
      <formula>OR(AND(CA498=1,CC498=4),AND(CA498=4,CC498=1))</formula>
    </cfRule>
  </conditionalFormatting>
  <conditionalFormatting sqref="BX504:BY504">
    <cfRule type="expression" dxfId="922" priority="333">
      <formula>BY504=""</formula>
    </cfRule>
  </conditionalFormatting>
  <conditionalFormatting sqref="BZ502:BZ503">
    <cfRule type="expression" dxfId="921" priority="332">
      <formula>BZ503=""</formula>
    </cfRule>
  </conditionalFormatting>
  <conditionalFormatting sqref="BX502:BY503">
    <cfRule type="expression" dxfId="920" priority="331">
      <formula>OR(BY502="",BX503="")</formula>
    </cfRule>
  </conditionalFormatting>
  <conditionalFormatting sqref="CB509">
    <cfRule type="expression" dxfId="919" priority="328">
      <formula>OR(CB508=1,CB508=4)</formula>
    </cfRule>
    <cfRule type="expression" dxfId="918" priority="329">
      <formula>OR(CB508&lt;&gt;1,CB508&lt;&gt;4)</formula>
    </cfRule>
  </conditionalFormatting>
  <conditionalFormatting sqref="CB508">
    <cfRule type="expression" dxfId="917" priority="327">
      <formula>OR(AND(CA508=1,CC508=4),AND(CA508=4,CC508=1))</formula>
    </cfRule>
  </conditionalFormatting>
  <conditionalFormatting sqref="BV499">
    <cfRule type="expression" dxfId="916" priority="325">
      <formula>OR(BV498=1,BV498=4)</formula>
    </cfRule>
    <cfRule type="expression" dxfId="915" priority="326">
      <formula>OR(BV498&lt;&gt;1,BV498&lt;&gt;4)</formula>
    </cfRule>
  </conditionalFormatting>
  <conditionalFormatting sqref="BV498">
    <cfRule type="expression" dxfId="914" priority="324">
      <formula>OR(AND(BU498=1,BW498=4),AND(BU498=4,BW498=1))</formula>
    </cfRule>
  </conditionalFormatting>
  <conditionalFormatting sqref="BV509">
    <cfRule type="expression" dxfId="913" priority="322">
      <formula>OR(BV508=1,BV508=4)</formula>
    </cfRule>
    <cfRule type="expression" dxfId="912" priority="323">
      <formula>OR(BV508&lt;&gt;1,BV508&lt;&gt;4)</formula>
    </cfRule>
  </conditionalFormatting>
  <conditionalFormatting sqref="BV508">
    <cfRule type="expression" dxfId="911" priority="321">
      <formula>OR(AND(BU508=1,BW508=4),AND(BU508=4,BW508=1))</formula>
    </cfRule>
  </conditionalFormatting>
  <conditionalFormatting sqref="BX514:BY514">
    <cfRule type="expression" dxfId="910" priority="320">
      <formula>BY514=""</formula>
    </cfRule>
  </conditionalFormatting>
  <conditionalFormatting sqref="BZ512:BZ513">
    <cfRule type="expression" dxfId="909" priority="319">
      <formula>BZ513=""</formula>
    </cfRule>
  </conditionalFormatting>
  <conditionalFormatting sqref="BX512:BY513">
    <cfRule type="expression" dxfId="908" priority="318">
      <formula>OR(BY512="",BX513="")</formula>
    </cfRule>
  </conditionalFormatting>
  <conditionalFormatting sqref="CB519">
    <cfRule type="expression" dxfId="907" priority="315">
      <formula>OR(CB518=1,CB518=4)</formula>
    </cfRule>
    <cfRule type="expression" dxfId="906" priority="316">
      <formula>OR(CB518&lt;&gt;1,CB518&lt;&gt;4)</formula>
    </cfRule>
  </conditionalFormatting>
  <conditionalFormatting sqref="CB518">
    <cfRule type="expression" dxfId="905" priority="314">
      <formula>OR(AND(CA518=1,CC518=4),AND(CA518=4,CC518=1))</formula>
    </cfRule>
  </conditionalFormatting>
  <conditionalFormatting sqref="BX524:BY524">
    <cfRule type="expression" dxfId="904" priority="313">
      <formula>BY524=""</formula>
    </cfRule>
  </conditionalFormatting>
  <conditionalFormatting sqref="BZ522:BZ523">
    <cfRule type="expression" dxfId="903" priority="312">
      <formula>BZ523=""</formula>
    </cfRule>
  </conditionalFormatting>
  <conditionalFormatting sqref="BX522:BY523">
    <cfRule type="expression" dxfId="902" priority="311">
      <formula>OR(BY522="",BX523="")</formula>
    </cfRule>
  </conditionalFormatting>
  <conditionalFormatting sqref="CB529">
    <cfRule type="expression" dxfId="901" priority="308">
      <formula>OR(CB528=1,CB528=4)</formula>
    </cfRule>
    <cfRule type="expression" dxfId="900" priority="309">
      <formula>OR(CB528&lt;&gt;1,CB528&lt;&gt;4)</formula>
    </cfRule>
  </conditionalFormatting>
  <conditionalFormatting sqref="CB528">
    <cfRule type="expression" dxfId="899" priority="307">
      <formula>OR(AND(CA528=1,CC528=4),AND(CA528=4,CC528=1))</formula>
    </cfRule>
  </conditionalFormatting>
  <conditionalFormatting sqref="BV519">
    <cfRule type="expression" dxfId="898" priority="305">
      <formula>OR(BV518=1,BV518=4)</formula>
    </cfRule>
    <cfRule type="expression" dxfId="897" priority="306">
      <formula>OR(BV518&lt;&gt;1,BV518&lt;&gt;4)</formula>
    </cfRule>
  </conditionalFormatting>
  <conditionalFormatting sqref="BV518">
    <cfRule type="expression" dxfId="896" priority="304">
      <formula>OR(AND(BU518=1,BW518=4),AND(BU518=4,BW518=1))</formula>
    </cfRule>
  </conditionalFormatting>
  <conditionalFormatting sqref="BV529">
    <cfRule type="expression" dxfId="895" priority="302">
      <formula>OR(BV528=1,BV528=4)</formula>
    </cfRule>
    <cfRule type="expression" dxfId="894" priority="303">
      <formula>OR(BV528&lt;&gt;1,BV528&lt;&gt;4)</formula>
    </cfRule>
  </conditionalFormatting>
  <conditionalFormatting sqref="BV528">
    <cfRule type="expression" dxfId="893" priority="301">
      <formula>OR(AND(BU528=1,BW528=4),AND(BU528=4,BW528=1))</formula>
    </cfRule>
  </conditionalFormatting>
  <conditionalFormatting sqref="BX534:BY534">
    <cfRule type="expression" dxfId="892" priority="300">
      <formula>BY534=""</formula>
    </cfRule>
  </conditionalFormatting>
  <conditionalFormatting sqref="BZ532:BZ533">
    <cfRule type="expression" dxfId="891" priority="299">
      <formula>BZ533=""</formula>
    </cfRule>
  </conditionalFormatting>
  <conditionalFormatting sqref="BX532:BY533">
    <cfRule type="expression" dxfId="890" priority="298">
      <formula>OR(BY532="",BX533="")</formula>
    </cfRule>
  </conditionalFormatting>
  <conditionalFormatting sqref="CB539">
    <cfRule type="expression" dxfId="889" priority="295">
      <formula>OR(CB538=1,CB538=4)</formula>
    </cfRule>
    <cfRule type="expression" dxfId="888" priority="296">
      <formula>OR(CB538&lt;&gt;1,CB538&lt;&gt;4)</formula>
    </cfRule>
  </conditionalFormatting>
  <conditionalFormatting sqref="CB538">
    <cfRule type="expression" dxfId="887" priority="294">
      <formula>OR(AND(CA538=1,CC538=4),AND(CA538=4,CC538=1))</formula>
    </cfRule>
  </conditionalFormatting>
  <conditionalFormatting sqref="BX544:BY544">
    <cfRule type="expression" dxfId="886" priority="293">
      <formula>BY544=""</formula>
    </cfRule>
  </conditionalFormatting>
  <conditionalFormatting sqref="BZ542:BZ543">
    <cfRule type="expression" dxfId="885" priority="292">
      <formula>BZ543=""</formula>
    </cfRule>
  </conditionalFormatting>
  <conditionalFormatting sqref="BX542:BY543">
    <cfRule type="expression" dxfId="884" priority="291">
      <formula>OR(BY542="",BX543="")</formula>
    </cfRule>
  </conditionalFormatting>
  <conditionalFormatting sqref="CB549">
    <cfRule type="expression" dxfId="883" priority="288">
      <formula>OR(CB548=1,CB548=4)</formula>
    </cfRule>
    <cfRule type="expression" dxfId="882" priority="289">
      <formula>OR(CB548&lt;&gt;1,CB548&lt;&gt;4)</formula>
    </cfRule>
  </conditionalFormatting>
  <conditionalFormatting sqref="CB548">
    <cfRule type="expression" dxfId="881" priority="287">
      <formula>OR(AND(CA548=1,CC548=4),AND(CA548=4,CC548=1))</formula>
    </cfRule>
  </conditionalFormatting>
  <conditionalFormatting sqref="BV539">
    <cfRule type="expression" dxfId="880" priority="285">
      <formula>OR(BV538=1,BV538=4)</formula>
    </cfRule>
    <cfRule type="expression" dxfId="879" priority="286">
      <formula>OR(BV538&lt;&gt;1,BV538&lt;&gt;4)</formula>
    </cfRule>
  </conditionalFormatting>
  <conditionalFormatting sqref="BV538">
    <cfRule type="expression" dxfId="878" priority="284">
      <formula>OR(AND(BU538=1,BW538=4),AND(BU538=4,BW538=1))</formula>
    </cfRule>
  </conditionalFormatting>
  <conditionalFormatting sqref="BV549">
    <cfRule type="expression" dxfId="877" priority="282">
      <formula>OR(BV548=1,BV548=4)</formula>
    </cfRule>
    <cfRule type="expression" dxfId="876" priority="283">
      <formula>OR(BV548&lt;&gt;1,BV548&lt;&gt;4)</formula>
    </cfRule>
  </conditionalFormatting>
  <conditionalFormatting sqref="BV548">
    <cfRule type="expression" dxfId="875" priority="281">
      <formula>OR(AND(BU548=1,BW548=4),AND(BU548=4,BW548=1))</formula>
    </cfRule>
  </conditionalFormatting>
  <conditionalFormatting sqref="BX554:BY554">
    <cfRule type="expression" dxfId="874" priority="280">
      <formula>BY554=""</formula>
    </cfRule>
  </conditionalFormatting>
  <conditionalFormatting sqref="BZ552:BZ553">
    <cfRule type="expression" dxfId="873" priority="279">
      <formula>BZ553=""</formula>
    </cfRule>
  </conditionalFormatting>
  <conditionalFormatting sqref="BX552:BY553">
    <cfRule type="expression" dxfId="872" priority="278">
      <formula>OR(BY552="",BX553="")</formula>
    </cfRule>
  </conditionalFormatting>
  <conditionalFormatting sqref="CB559">
    <cfRule type="expression" dxfId="871" priority="275">
      <formula>OR(CB558=1,CB558=4)</formula>
    </cfRule>
    <cfRule type="expression" dxfId="870" priority="276">
      <formula>OR(CB558&lt;&gt;1,CB558&lt;&gt;4)</formula>
    </cfRule>
  </conditionalFormatting>
  <conditionalFormatting sqref="CB558">
    <cfRule type="expression" dxfId="869" priority="274">
      <formula>OR(AND(CA558=1,CC558=4),AND(CA558=4,CC558=1))</formula>
    </cfRule>
  </conditionalFormatting>
  <conditionalFormatting sqref="BX564:BY564">
    <cfRule type="expression" dxfId="868" priority="273">
      <formula>BY564=""</formula>
    </cfRule>
  </conditionalFormatting>
  <conditionalFormatting sqref="BZ562:BZ563">
    <cfRule type="expression" dxfId="867" priority="272">
      <formula>BZ563=""</formula>
    </cfRule>
  </conditionalFormatting>
  <conditionalFormatting sqref="BX562:BY563">
    <cfRule type="expression" dxfId="866" priority="271">
      <formula>OR(BY562="",BX563="")</formula>
    </cfRule>
  </conditionalFormatting>
  <conditionalFormatting sqref="CB569">
    <cfRule type="expression" dxfId="865" priority="268">
      <formula>OR(CB568=1,CB568=4)</formula>
    </cfRule>
    <cfRule type="expression" dxfId="864" priority="269">
      <formula>OR(CB568&lt;&gt;1,CB568&lt;&gt;4)</formula>
    </cfRule>
  </conditionalFormatting>
  <conditionalFormatting sqref="CB568">
    <cfRule type="expression" dxfId="863" priority="267">
      <formula>OR(AND(CA568=1,CC568=4),AND(CA568=4,CC568=1))</formula>
    </cfRule>
  </conditionalFormatting>
  <conditionalFormatting sqref="BV559">
    <cfRule type="expression" dxfId="862" priority="265">
      <formula>OR(BV558=1,BV558=4)</formula>
    </cfRule>
    <cfRule type="expression" dxfId="861" priority="266">
      <formula>OR(BV558&lt;&gt;1,BV558&lt;&gt;4)</formula>
    </cfRule>
  </conditionalFormatting>
  <conditionalFormatting sqref="BV558">
    <cfRule type="expression" dxfId="860" priority="264">
      <formula>OR(AND(BU558=1,BW558=4),AND(BU558=4,BW558=1))</formula>
    </cfRule>
  </conditionalFormatting>
  <conditionalFormatting sqref="BV569">
    <cfRule type="expression" dxfId="859" priority="262">
      <formula>OR(BV568=1,BV568=4)</formula>
    </cfRule>
    <cfRule type="expression" dxfId="858" priority="263">
      <formula>OR(BV568&lt;&gt;1,BV568&lt;&gt;4)</formula>
    </cfRule>
  </conditionalFormatting>
  <conditionalFormatting sqref="BV568">
    <cfRule type="expression" dxfId="857" priority="261">
      <formula>OR(AND(BU568=1,BW568=4),AND(BU568=4,BW568=1))</formula>
    </cfRule>
  </conditionalFormatting>
  <conditionalFormatting sqref="BX574:BY574">
    <cfRule type="expression" dxfId="856" priority="260">
      <formula>BY574=""</formula>
    </cfRule>
  </conditionalFormatting>
  <conditionalFormatting sqref="BZ572:BZ573">
    <cfRule type="expression" dxfId="855" priority="259">
      <formula>BZ573=""</formula>
    </cfRule>
  </conditionalFormatting>
  <conditionalFormatting sqref="BX572:BY573">
    <cfRule type="expression" dxfId="854" priority="258">
      <formula>OR(BY572="",BX573="")</formula>
    </cfRule>
  </conditionalFormatting>
  <conditionalFormatting sqref="CB579">
    <cfRule type="expression" dxfId="853" priority="255">
      <formula>OR(CB578=1,CB578=4)</formula>
    </cfRule>
    <cfRule type="expression" dxfId="852" priority="256">
      <formula>OR(CB578&lt;&gt;1,CB578&lt;&gt;4)</formula>
    </cfRule>
  </conditionalFormatting>
  <conditionalFormatting sqref="CB578">
    <cfRule type="expression" dxfId="851" priority="254">
      <formula>OR(AND(CA578=1,CC578=4),AND(CA578=4,CC578=1))</formula>
    </cfRule>
  </conditionalFormatting>
  <conditionalFormatting sqref="BX584:BY584">
    <cfRule type="expression" dxfId="850" priority="253">
      <formula>BY584=""</formula>
    </cfRule>
  </conditionalFormatting>
  <conditionalFormatting sqref="BZ582:BZ583">
    <cfRule type="expression" dxfId="849" priority="252">
      <formula>BZ583=""</formula>
    </cfRule>
  </conditionalFormatting>
  <conditionalFormatting sqref="BX582:BY583">
    <cfRule type="expression" dxfId="848" priority="251">
      <formula>OR(BY582="",BX583="")</formula>
    </cfRule>
  </conditionalFormatting>
  <conditionalFormatting sqref="CB589">
    <cfRule type="expression" dxfId="847" priority="248">
      <formula>OR(CB588=1,CB588=4)</formula>
    </cfRule>
    <cfRule type="expression" dxfId="846" priority="249">
      <formula>OR(CB588&lt;&gt;1,CB588&lt;&gt;4)</formula>
    </cfRule>
  </conditionalFormatting>
  <conditionalFormatting sqref="CB588">
    <cfRule type="expression" dxfId="845" priority="247">
      <formula>OR(AND(CA588=1,CC588=4),AND(CA588=4,CC588=1))</formula>
    </cfRule>
  </conditionalFormatting>
  <conditionalFormatting sqref="BV579">
    <cfRule type="expression" dxfId="844" priority="245">
      <formula>OR(BV578=1,BV578=4)</formula>
    </cfRule>
    <cfRule type="expression" dxfId="843" priority="246">
      <formula>OR(BV578&lt;&gt;1,BV578&lt;&gt;4)</formula>
    </cfRule>
  </conditionalFormatting>
  <conditionalFormatting sqref="BV578">
    <cfRule type="expression" dxfId="842" priority="244">
      <formula>OR(AND(BU578=1,BW578=4),AND(BU578=4,BW578=1))</formula>
    </cfRule>
  </conditionalFormatting>
  <conditionalFormatting sqref="BV589">
    <cfRule type="expression" dxfId="841" priority="242">
      <formula>OR(BV588=1,BV588=4)</formula>
    </cfRule>
    <cfRule type="expression" dxfId="840" priority="243">
      <formula>OR(BV588&lt;&gt;1,BV588&lt;&gt;4)</formula>
    </cfRule>
  </conditionalFormatting>
  <conditionalFormatting sqref="BV588">
    <cfRule type="expression" dxfId="839" priority="241">
      <formula>OR(AND(BU588=1,BW588=4),AND(BU588=4,BW588=1))</formula>
    </cfRule>
  </conditionalFormatting>
  <conditionalFormatting sqref="BX594:BY594">
    <cfRule type="expression" dxfId="838" priority="240">
      <formula>BY594=""</formula>
    </cfRule>
  </conditionalFormatting>
  <conditionalFormatting sqref="BZ592:BZ593">
    <cfRule type="expression" dxfId="837" priority="239">
      <formula>BZ593=""</formula>
    </cfRule>
  </conditionalFormatting>
  <conditionalFormatting sqref="BX592:BY593">
    <cfRule type="expression" dxfId="836" priority="238">
      <formula>OR(BY592="",BX593="")</formula>
    </cfRule>
  </conditionalFormatting>
  <conditionalFormatting sqref="CB599">
    <cfRule type="expression" dxfId="835" priority="235">
      <formula>OR(CB598=1,CB598=4)</formula>
    </cfRule>
    <cfRule type="expression" dxfId="834" priority="236">
      <formula>OR(CB598&lt;&gt;1,CB598&lt;&gt;4)</formula>
    </cfRule>
  </conditionalFormatting>
  <conditionalFormatting sqref="CB598">
    <cfRule type="expression" dxfId="833" priority="234">
      <formula>OR(AND(CA598=1,CC598=4),AND(CA598=4,CC598=1))</formula>
    </cfRule>
  </conditionalFormatting>
  <conditionalFormatting sqref="BX604:BY604">
    <cfRule type="expression" dxfId="832" priority="233">
      <formula>BY604=""</formula>
    </cfRule>
  </conditionalFormatting>
  <conditionalFormatting sqref="BZ602:BZ603">
    <cfRule type="expression" dxfId="831" priority="232">
      <formula>BZ603=""</formula>
    </cfRule>
  </conditionalFormatting>
  <conditionalFormatting sqref="BX602:BY603">
    <cfRule type="expression" dxfId="830" priority="231">
      <formula>OR(BY602="",BX603="")</formula>
    </cfRule>
  </conditionalFormatting>
  <conditionalFormatting sqref="CB609">
    <cfRule type="expression" dxfId="829" priority="228">
      <formula>OR(CB608=1,CB608=4)</formula>
    </cfRule>
    <cfRule type="expression" dxfId="828" priority="229">
      <formula>OR(CB608&lt;&gt;1,CB608&lt;&gt;4)</formula>
    </cfRule>
  </conditionalFormatting>
  <conditionalFormatting sqref="CB608">
    <cfRule type="expression" dxfId="827" priority="227">
      <formula>OR(AND(CA608=1,CC608=4),AND(CA608=4,CC608=1))</formula>
    </cfRule>
  </conditionalFormatting>
  <conditionalFormatting sqref="BV599">
    <cfRule type="expression" dxfId="826" priority="225">
      <formula>OR(BV598=1,BV598=4)</formula>
    </cfRule>
    <cfRule type="expression" dxfId="825" priority="226">
      <formula>OR(BV598&lt;&gt;1,BV598&lt;&gt;4)</formula>
    </cfRule>
  </conditionalFormatting>
  <conditionalFormatting sqref="BV598">
    <cfRule type="expression" dxfId="824" priority="224">
      <formula>OR(AND(BU598=1,BW598=4),AND(BU598=4,BW598=1))</formula>
    </cfRule>
  </conditionalFormatting>
  <conditionalFormatting sqref="BV609">
    <cfRule type="expression" dxfId="823" priority="222">
      <formula>OR(BV608=1,BV608=4)</formula>
    </cfRule>
    <cfRule type="expression" dxfId="822" priority="223">
      <formula>OR(BV608&lt;&gt;1,BV608&lt;&gt;4)</formula>
    </cfRule>
  </conditionalFormatting>
  <conditionalFormatting sqref="BV608">
    <cfRule type="expression" dxfId="821" priority="221">
      <formula>OR(AND(BU608=1,BW608=4),AND(BU608=4,BW608=1))</formula>
    </cfRule>
  </conditionalFormatting>
  <conditionalFormatting sqref="BX614:BY614">
    <cfRule type="expression" dxfId="820" priority="220">
      <formula>BY614=""</formula>
    </cfRule>
  </conditionalFormatting>
  <conditionalFormatting sqref="BZ612:BZ613">
    <cfRule type="expression" dxfId="819" priority="219">
      <formula>BZ613=""</formula>
    </cfRule>
  </conditionalFormatting>
  <conditionalFormatting sqref="BX612:BY613">
    <cfRule type="expression" dxfId="818" priority="218">
      <formula>OR(BY612="",BX613="")</formula>
    </cfRule>
  </conditionalFormatting>
  <conditionalFormatting sqref="CB619">
    <cfRule type="expression" dxfId="817" priority="215">
      <formula>OR(CB618=1,CB618=4)</formula>
    </cfRule>
    <cfRule type="expression" dxfId="816" priority="216">
      <formula>OR(CB618&lt;&gt;1,CB618&lt;&gt;4)</formula>
    </cfRule>
  </conditionalFormatting>
  <conditionalFormatting sqref="CB618">
    <cfRule type="expression" dxfId="815" priority="214">
      <formula>OR(AND(CA618=1,CC618=4),AND(CA618=4,CC618=1))</formula>
    </cfRule>
  </conditionalFormatting>
  <conditionalFormatting sqref="BX624:BY624">
    <cfRule type="expression" dxfId="814" priority="213">
      <formula>BY624=""</formula>
    </cfRule>
  </conditionalFormatting>
  <conditionalFormatting sqref="BZ622:BZ623">
    <cfRule type="expression" dxfId="813" priority="212">
      <formula>BZ623=""</formula>
    </cfRule>
  </conditionalFormatting>
  <conditionalFormatting sqref="BX622:BY623">
    <cfRule type="expression" dxfId="812" priority="211">
      <formula>OR(BY622="",BX623="")</formula>
    </cfRule>
  </conditionalFormatting>
  <conditionalFormatting sqref="CB629">
    <cfRule type="expression" dxfId="811" priority="208">
      <formula>OR(CB628=1,CB628=4)</formula>
    </cfRule>
    <cfRule type="expression" dxfId="810" priority="209">
      <formula>OR(CB628&lt;&gt;1,CB628&lt;&gt;4)</formula>
    </cfRule>
  </conditionalFormatting>
  <conditionalFormatting sqref="CB628">
    <cfRule type="expression" dxfId="809" priority="207">
      <formula>OR(AND(CA628=1,CC628=4),AND(CA628=4,CC628=1))</formula>
    </cfRule>
  </conditionalFormatting>
  <conditionalFormatting sqref="BV619">
    <cfRule type="expression" dxfId="808" priority="205">
      <formula>OR(BV618=1,BV618=4)</formula>
    </cfRule>
    <cfRule type="expression" dxfId="807" priority="206">
      <formula>OR(BV618&lt;&gt;1,BV618&lt;&gt;4)</formula>
    </cfRule>
  </conditionalFormatting>
  <conditionalFormatting sqref="BV618">
    <cfRule type="expression" dxfId="806" priority="204">
      <formula>OR(AND(BU618=1,BW618=4),AND(BU618=4,BW618=1))</formula>
    </cfRule>
  </conditionalFormatting>
  <conditionalFormatting sqref="BV629">
    <cfRule type="expression" dxfId="805" priority="202">
      <formula>OR(BV628=1,BV628=4)</formula>
    </cfRule>
    <cfRule type="expression" dxfId="804" priority="203">
      <formula>OR(BV628&lt;&gt;1,BV628&lt;&gt;4)</formula>
    </cfRule>
  </conditionalFormatting>
  <conditionalFormatting sqref="BV628">
    <cfRule type="expression" dxfId="803" priority="201">
      <formula>OR(AND(BU628=1,BW628=4),AND(BU628=4,BW628=1))</formula>
    </cfRule>
  </conditionalFormatting>
  <conditionalFormatting sqref="BX634:BY634">
    <cfRule type="expression" dxfId="802" priority="200">
      <formula>BY634=""</formula>
    </cfRule>
  </conditionalFormatting>
  <conditionalFormatting sqref="BZ632:BZ633">
    <cfRule type="expression" dxfId="801" priority="199">
      <formula>BZ633=""</formula>
    </cfRule>
  </conditionalFormatting>
  <conditionalFormatting sqref="BX632:BY633">
    <cfRule type="expression" dxfId="800" priority="198">
      <formula>OR(BY632="",BX633="")</formula>
    </cfRule>
  </conditionalFormatting>
  <conditionalFormatting sqref="CB639">
    <cfRule type="expression" dxfId="799" priority="195">
      <formula>OR(CB638=1,CB638=4)</formula>
    </cfRule>
    <cfRule type="expression" dxfId="798" priority="196">
      <formula>OR(CB638&lt;&gt;1,CB638&lt;&gt;4)</formula>
    </cfRule>
  </conditionalFormatting>
  <conditionalFormatting sqref="CB638">
    <cfRule type="expression" dxfId="797" priority="194">
      <formula>OR(AND(CA638=1,CC638=4),AND(CA638=4,CC638=1))</formula>
    </cfRule>
  </conditionalFormatting>
  <conditionalFormatting sqref="BX644:BY644">
    <cfRule type="expression" dxfId="796" priority="193">
      <formula>BY644=""</formula>
    </cfRule>
  </conditionalFormatting>
  <conditionalFormatting sqref="BZ642:BZ643">
    <cfRule type="expression" dxfId="795" priority="192">
      <formula>BZ643=""</formula>
    </cfRule>
  </conditionalFormatting>
  <conditionalFormatting sqref="BX642:BY643">
    <cfRule type="expression" dxfId="794" priority="191">
      <formula>OR(BY642="",BX643="")</formula>
    </cfRule>
  </conditionalFormatting>
  <conditionalFormatting sqref="CB649">
    <cfRule type="expression" dxfId="793" priority="188">
      <formula>OR(CB648=1,CB648=4)</formula>
    </cfRule>
    <cfRule type="expression" dxfId="792" priority="189">
      <formula>OR(CB648&lt;&gt;1,CB648&lt;&gt;4)</formula>
    </cfRule>
  </conditionalFormatting>
  <conditionalFormatting sqref="CB648">
    <cfRule type="expression" dxfId="791" priority="187">
      <formula>OR(AND(CA648=1,CC648=4),AND(CA648=4,CC648=1))</formula>
    </cfRule>
  </conditionalFormatting>
  <conditionalFormatting sqref="BV639">
    <cfRule type="expression" dxfId="790" priority="185">
      <formula>OR(BV638=1,BV638=4)</formula>
    </cfRule>
    <cfRule type="expression" dxfId="789" priority="186">
      <formula>OR(BV638&lt;&gt;1,BV638&lt;&gt;4)</formula>
    </cfRule>
  </conditionalFormatting>
  <conditionalFormatting sqref="BV638">
    <cfRule type="expression" dxfId="788" priority="184">
      <formula>OR(AND(BU638=1,BW638=4),AND(BU638=4,BW638=1))</formula>
    </cfRule>
  </conditionalFormatting>
  <conditionalFormatting sqref="BV649">
    <cfRule type="expression" dxfId="787" priority="182">
      <formula>OR(BV648=1,BV648=4)</formula>
    </cfRule>
    <cfRule type="expression" dxfId="786" priority="183">
      <formula>OR(BV648&lt;&gt;1,BV648&lt;&gt;4)</formula>
    </cfRule>
  </conditionalFormatting>
  <conditionalFormatting sqref="BV648">
    <cfRule type="expression" dxfId="785" priority="181">
      <formula>OR(AND(BU648=1,BW648=4),AND(BU648=4,BW648=1))</formula>
    </cfRule>
  </conditionalFormatting>
  <conditionalFormatting sqref="BX654:BY654">
    <cfRule type="expression" dxfId="784" priority="180">
      <formula>BY654=""</formula>
    </cfRule>
  </conditionalFormatting>
  <conditionalFormatting sqref="BZ652:BZ653">
    <cfRule type="expression" dxfId="783" priority="179">
      <formula>BZ653=""</formula>
    </cfRule>
  </conditionalFormatting>
  <conditionalFormatting sqref="BX652:BY653">
    <cfRule type="expression" dxfId="782" priority="178">
      <formula>OR(BY652="",BX653="")</formula>
    </cfRule>
  </conditionalFormatting>
  <conditionalFormatting sqref="CB659">
    <cfRule type="expression" dxfId="781" priority="175">
      <formula>OR(CB658=1,CB658=4)</formula>
    </cfRule>
    <cfRule type="expression" dxfId="780" priority="176">
      <formula>OR(CB658&lt;&gt;1,CB658&lt;&gt;4)</formula>
    </cfRule>
  </conditionalFormatting>
  <conditionalFormatting sqref="CB658">
    <cfRule type="expression" dxfId="779" priority="174">
      <formula>OR(AND(CA658=1,CC658=4),AND(CA658=4,CC658=1))</formula>
    </cfRule>
  </conditionalFormatting>
  <conditionalFormatting sqref="BV659">
    <cfRule type="expression" dxfId="778" priority="165">
      <formula>OR(BV658=1,BV658=4)</formula>
    </cfRule>
    <cfRule type="expression" dxfId="777" priority="166">
      <formula>OR(BV658&lt;&gt;1,BV658&lt;&gt;4)</formula>
    </cfRule>
  </conditionalFormatting>
  <conditionalFormatting sqref="BV658">
    <cfRule type="expression" dxfId="776" priority="164">
      <formula>OR(AND(BU658=1,BW658=4),AND(BU658=4,BW658=1))</formula>
    </cfRule>
  </conditionalFormatting>
  <conditionalFormatting sqref="CE10">
    <cfRule type="expression" dxfId="775" priority="70">
      <formula>OR(CE9=1,CE9=4)</formula>
    </cfRule>
    <cfRule type="expression" dxfId="774" priority="71">
      <formula>OR(CE9&lt;&gt;1,CE9&lt;&gt;4)</formula>
    </cfRule>
  </conditionalFormatting>
  <conditionalFormatting sqref="CE9">
    <cfRule type="expression" dxfId="773" priority="69">
      <formula>OR(AND(CD9=1,CF9=4),AND(CD9=4,CF9=1))</formula>
    </cfRule>
  </conditionalFormatting>
  <conditionalFormatting sqref="CL10">
    <cfRule type="expression" dxfId="772" priority="67">
      <formula>OR(CL9=1,CL9=4)</formula>
    </cfRule>
    <cfRule type="expression" dxfId="771" priority="68">
      <formula>OR(CL9&lt;&gt;1,CL9&lt;&gt;4)</formula>
    </cfRule>
  </conditionalFormatting>
  <conditionalFormatting sqref="CL9">
    <cfRule type="expression" dxfId="770" priority="66">
      <formula>OR(AND(CK9=1,CM9=4),AND(CK9=4,CM9=1))</formula>
    </cfRule>
  </conditionalFormatting>
  <conditionalFormatting sqref="CA15:CB15">
    <cfRule type="expression" dxfId="769" priority="65">
      <formula>CB15=""</formula>
    </cfRule>
  </conditionalFormatting>
  <conditionalFormatting sqref="CC13:CC14">
    <cfRule type="expression" dxfId="768" priority="64">
      <formula>CC14=""</formula>
    </cfRule>
  </conditionalFormatting>
  <conditionalFormatting sqref="CA13:CB14">
    <cfRule type="expression" dxfId="767" priority="63">
      <formula>OR(CB13="",CA14="")</formula>
    </cfRule>
  </conditionalFormatting>
  <conditionalFormatting sqref="BW20">
    <cfRule type="expression" dxfId="766" priority="56">
      <formula>OR(BW19=1,BW19=4)</formula>
    </cfRule>
    <cfRule type="expression" dxfId="765" priority="57">
      <formula>OR(BW19&lt;&gt;1,BW19&lt;&gt;4)</formula>
    </cfRule>
  </conditionalFormatting>
  <conditionalFormatting sqref="BW19">
    <cfRule type="expression" dxfId="764" priority="55">
      <formula>OR(AND(BV19=1,BX19=4),AND(BV19=4,BX19=1))</formula>
    </cfRule>
  </conditionalFormatting>
  <conditionalFormatting sqref="CD20">
    <cfRule type="expression" dxfId="763" priority="53">
      <formula>OR(CD19=1,CD19=4)</formula>
    </cfRule>
    <cfRule type="expression" dxfId="762" priority="54">
      <formula>OR(CD19&lt;&gt;1,CD19&lt;&gt;4)</formula>
    </cfRule>
  </conditionalFormatting>
  <conditionalFormatting sqref="CD19">
    <cfRule type="expression" dxfId="761" priority="52">
      <formula>OR(AND(CC19=1,CE19=4),AND(CC19=4,CE19=1))</formula>
    </cfRule>
  </conditionalFormatting>
  <conditionalFormatting sqref="CO15:CP15">
    <cfRule type="expression" dxfId="760" priority="33">
      <formula>CP15=""</formula>
    </cfRule>
  </conditionalFormatting>
  <conditionalFormatting sqref="CQ13:CQ14">
    <cfRule type="expression" dxfId="759" priority="32">
      <formula>CQ14=""</formula>
    </cfRule>
  </conditionalFormatting>
  <conditionalFormatting sqref="CO13:CP14">
    <cfRule type="expression" dxfId="758" priority="31">
      <formula>OR(CP13="",CO14="")</formula>
    </cfRule>
  </conditionalFormatting>
  <conditionalFormatting sqref="CK20">
    <cfRule type="expression" dxfId="757" priority="29">
      <formula>OR(CK19=1,CK19=4)</formula>
    </cfRule>
    <cfRule type="expression" dxfId="756" priority="30">
      <formula>OR(CK19&lt;&gt;1,CK19&lt;&gt;4)</formula>
    </cfRule>
  </conditionalFormatting>
  <conditionalFormatting sqref="CK19">
    <cfRule type="expression" dxfId="755" priority="28">
      <formula>OR(AND(CJ19=1,CL19=4),AND(CJ19=4,CL19=1))</formula>
    </cfRule>
  </conditionalFormatting>
  <conditionalFormatting sqref="CR20">
    <cfRule type="expression" dxfId="754" priority="2">
      <formula>OR(CR19=1,CR19=4)</formula>
    </cfRule>
    <cfRule type="expression" dxfId="753" priority="3">
      <formula>OR(CR19&lt;&gt;1,CR19&lt;&gt;4)</formula>
    </cfRule>
  </conditionalFormatting>
  <conditionalFormatting sqref="CR19">
    <cfRule type="expression" dxfId="752" priority="1">
      <formula>OR(AND(CQ19=1,CS19=4),AND(CQ19=4,CS19=1))</formula>
    </cfRule>
  </conditionalFormatting>
  <dataValidations count="14">
    <dataValidation type="decimal" allowBlank="1" showInputMessage="1" showErrorMessage="1" sqref="V10 R15 M15 DX10 AY21 AT21 G23 Q23 U28 DE83 DV43 EA32 Q80 AR32 EF32 EK32 AZ32 BF32 M60 T60 M67 J80 DQ43 BG43 BL43 DR53 DM53 BL53 BQ53 DO63 DJ63 BR63 BW63 DL73 DG73 BV73 CA73 CA83 CF83 DJ83 AF67 AF73 AF80 AR79 BA73 AT73 AF86 BD10 EA21 EH21 AM32 DU32 BX659 BX109 CD109 CD129 CD119 BX119 BX129 CD149 CD139 BX139 BX149 CD169 CD159 BX159 BX169 CD189 CD179 BX179 BX189 CD209 CD199 BX199 BX209 CD229 CD219 BX219 BX229 CD249 CD239 BX239 BX249 CD269 CD259 BX259 BX269 CD289 CD279 BX279 BX289 CD309 CD299 BX299 BX309 CD329 CD319 BX319 BX329 CD349 CD339 BX339 BX349 CD369 CD359 BX359 BX369 CD389 CD379 BX379 BX389 CD409 CD399 BX399 BX409 CD429 CD419 BX419 BX429 CD449 CD439 BX439 BX449 CD469 CD459 BX459 BX469 CD489 CD479 BX479 BX489 CD509 CD499 BX499 BX509 CD529 CD519 BX519 BX529 CD549 CD539 BX539 BX549 CD569 CD559 BX559 BX569 CD589 CD579 BX579 BX589 CD609 CD599 BX599 BX609 CD629 CD619 BX619 BX629 CD649 CD639 BX639 BX649 CD659 CG10 CN10 BY20 CF20 CM20 CT20" xr:uid="{00000000-0002-0000-0100-000000000000}">
      <formula1>MIN(D10:F10)</formula1>
      <formula2>MAX(D10:F10)</formula2>
    </dataValidation>
    <dataValidation type="decimal" allowBlank="1" showInputMessage="1" showErrorMessage="1" sqref="T10 P15 K15 DV10 AW21 AR21 E23 O23 S28 DC83 DT43 DY32 O80 AP32 ED32 EI32 AX32 BD32 K60 R60 K67 H80 DO43 BE43 BJ43 DP53 DK53 BJ53 BO53 DM63 DH63 BP63 BU63 DJ73 DE73 BT73 BY73 BY83 CD83 DH83 AD67 AD73 AD80 AP79 AY73 AR73 AD86 BB10 DY21 EF21 AK32 DS32 BV659 BV109 CB109 CB129 CB119 BV119 BV129 CB149 CB139 BV139 BV149 CB169 CB159 BV159 BV169 CB189 CB179 BV179 BV189 CB209 CB199 BV199 BV209 CB229 CB219 BV219 BV229 CB249 CB239 BV239 BV249 CB269 CB259 BV259 BV269 CB289 CB279 BV279 BV289 CB309 CB299 BV299 BV309 CB329 CB319 BV319 BV329 CB349 CB339 BV339 BV349 CB369 CB359 BV359 BV369 CB389 CB379 BV379 BV389 CB409 CB399 BV399 BV409 CB429 CB419 BV419 BV429 CB449 CB439 BV439 BV449 CB469 CB459 BV459 BV469 CB489 CB479 BV479 BV489 CB509 CB499 BV499 BV509 CB529 CB519 BV519 BV529 CB549 CB539 BV539 BV549 CB569 CB559 BV559 BV569 CB589 CB579 BV579 BV589 CB609 CB599 BV599 BV609 CB629 CB619 BV619 BV629 CB649 CB639 BV639 BV649 CB659 CE10 CL10 BW20 CD20 CK20 CR20" xr:uid="{00000000-0002-0000-0100-000001000000}">
      <formula1>MIN(D10,F10)</formula1>
      <formula2>MAX(D10,F10)</formula2>
    </dataValidation>
    <dataValidation type="list" allowBlank="1" showInputMessage="1" showErrorMessage="1" sqref="S8:U8 R26:T26 N21:P21 D21:F21 AQ19:AS19 AV19:AX19 DU8:DW8 J13:L13 O13:Q13 DB81:DD81 DS41:DU41 DX30:DZ30 N78:P78 AO30:AQ30 EC30:EE30 EH30:EJ30 AW30:AY30 BC30:BE30 J58:L58 Q58:S58 J65:L65 G78:I78 DN41:DP41 BD41:BF41 BI41:BK41 DO51:DQ51 DJ51:DL51 BI51:BK51 BN51:BP51 DL61:DN61 DG61:DI61 BO61:BQ61 BT61:BV61 DI71:DK71 DD71:DF71 BS71:BU71 BX71:BZ71 BX81:BZ81 CC81:CE81 DG81:DI81 AC65:AE65 AC71:AE71 AC78:AE78 AO77:AQ77 AX71:AZ71 AQ71:AS71 AC84:AE84 BA8:BC8 DX19:DZ19 EE19:EG19 AJ30:AL30 DR30:DT30 BU657:BW657 BU107:BW107 CA107:CC107 CA127:CC127 CA117:CC117 BU117:BW117 BU127:BW127 CA147:CC147 CA137:CC137 BU137:BW137 BU147:BW147 CA167:CC167 CA157:CC157 BU157:BW157 BU167:BW167 CA187:CC187 CA177:CC177 BU177:BW177 BU187:BW187 CA207:CC207 CA197:CC197 BU197:BW197 BU207:BW207 CA227:CC227 CA217:CC217 BU217:BW217 BU227:BW227 CA247:CC247 CA237:CC237 BU237:BW237 BU247:BW247 CA267:CC267 CA257:CC257 BU257:BW257 BU267:BW267 CA287:CC287 CA277:CC277 BU277:BW277 BU287:BW287 CA307:CC307 CA297:CC297 BU297:BW297 BU307:BW307 CA327:CC327 CA317:CC317 BU317:BW317 BU327:BW327 CA347:CC347 CA337:CC337 BU337:BW337 BU347:BW347 CA367:CC367 CA357:CC357 BU357:BW357 BU367:BW367 CA387:CC387 CA377:CC377 BU377:BW377 BU387:BW387 CA407:CC407 CA397:CC397 BU397:BW397 BU407:BW407 CA427:CC427 CA417:CC417 BU417:BW417 BU427:BW427 CA447:CC447 CA437:CC437 BU437:BW437 BU447:BW447 CA467:CC467 CA457:CC457 BU457:BW457 BU467:BW467 CA487:CC487 CA477:CC477 BU477:BW477 BU487:BW487 CA507:CC507 CA497:CC497 BU497:BW497 BU507:BW507 CA527:CC527 CA517:CC517 BU517:BW517 BU527:BW527 CA547:CC547 CA537:CC537 BU537:BW537 BU547:BW547 CA567:CC567 CA557:CC557 BU557:BW557 BU567:BW567 CA587:CC587 CA577:CC577 BU577:BW577 BU587:BW587 CA607:CC607 CA597:CC597 BU597:BW597 BU607:BW607 CA627:CC627 CA617:CC617 BU617:BW617 BU627:BW627 CA647:CC647 CA637:CC637 BU637:BW637 BU647:BW647 CA657:CC657 CD8:CF8 CK8:CM8 BV18:BX18 CC18:CE18 CJ18:CL18 CQ18:CS18" xr:uid="{00000000-0002-0000-0100-000002000000}">
      <formula1>INDIRECT("Тип_шкалы[ТИП ШКАЛЫ]")</formula1>
    </dataValidation>
    <dataValidation type="list" allowBlank="1" showInputMessage="1" showErrorMessage="1" sqref="Q5 J34 J28 EA16 AT16 DW27 P4 M10 CH5 EE27 BA27 O54 J73 DP38 BH38 DL48 BM48 DI58 BS58 DF68 BW68 CB78 DD78 AM61 AS67 AN27 BY104 BY114 BY124 BY134 BY144 BY154 BY164 BY174 BY184 BY194 BY204 BY214 BY224 BY234 BY244 BY254 BY264 BY274 BY284 BY294 BY304 BY314 BY324 BY334 BY344 BY354 BY364 BY374 BY384 BY394 BY404 BY414 BY424 BY434 BY444 BY454 BY464 BY474 BY484 BY494 BY504 BY514 BY524 BY534 BY544 BY554 BY564 BY574 BY584 BY594 BY604 BY614 BY624 BY634 BY644 BY654 CB15 CP15" xr:uid="{00000000-0002-0000-0100-000003000000}">
      <formula1>ROWDOWN</formula1>
    </dataValidation>
    <dataValidation type="list" allowBlank="1" showInputMessage="1" showErrorMessage="1" sqref="R3:R5 K34 K28 EB16 AU16 DX27 Q3:Q4 N10 CI5 EF27 BB27 P54 K73 DQ38 BI38 DM48 BN48 DJ58 BT58 DG68 BX68 CC78 DE78 AN61 AT67 AO27 BZ104 BZ114 BZ124 BZ134 BZ144 BZ154 BZ164 BZ174 BZ184 BZ194 BZ204 BZ214 BZ224 BZ234 BZ244 BZ254 BZ264 BZ274 BZ284 BZ294 BZ304 BZ314 BZ324 BZ334 BZ344 BZ354 BZ364 BZ374 BZ384 BZ394 BZ404 BZ414 BZ424 BZ434 BZ444 BZ454 BZ464 BZ474 BZ484 BZ494 BZ504 BZ514 BZ524 BZ534 BZ544 BZ554 BZ564 BZ574 BZ584 BZ594 BZ604 BZ614 BZ624 BZ634 BZ644 BZ654 CC15 CQ15" xr:uid="{00000000-0002-0000-0100-000004000000}">
      <formula1>INDIRECT("П_Общий[Общий]")</formula1>
    </dataValidation>
    <dataValidation type="list" allowBlank="1" showInputMessage="1" showErrorMessage="1" sqref="N9 K33 K27 AU15 EB15 DX26 CI4 EF26 BB26 P53 K72 DQ37 BI37 DM47 BN47 DJ57 BT57 DG67 BX67 CC77 DE77 AN60 AT66 AO26 BZ103 BZ113 BZ123 BZ133 BZ143 BZ153 BZ163 BZ173 BZ183 BZ193 BZ203 BZ213 BZ223 BZ233 BZ243 BZ253 BZ263 BZ273 BZ283 BZ293 BZ303 BZ313 BZ323 BZ333 BZ343 BZ353 BZ363 BZ373 BZ383 BZ393 BZ403 BZ413 BZ423 BZ433 BZ443 BZ453 BZ463 BZ473 BZ483 BZ493 BZ503 BZ513 BZ523 BZ533 BZ543 BZ553 BZ563 BZ573 BZ583 BZ593 BZ603 BZ613 BZ623 BZ633 BZ643 BZ653 CC14 CQ14" xr:uid="{00000000-0002-0000-0100-000005000000}">
      <formula1>COLUMNRIGHT</formula1>
    </dataValidation>
    <dataValidation type="list" allowBlank="1" showInputMessage="1" showErrorMessage="1" sqref="M9 J33 J27 AT15 EA15 DW26 CH4 EE26 BA26 O53 J72 DP37 BH37 DL47 BM47 DI57 BS57 DF67 BW67 CB77 DD77 AM60 AS66 AN26 BY103 BY113 BY123 BY133 BY143 BY153 BY163 BY173 BY183 BY193 BY203 BY213 BY223 BY233 BY243 BY253 BY263 BY273 BY283 BY293 BY303 BY313 BY323 BY333 BY343 BY353 BY363 BY373 BY383 BY393 BY403 BY413 BY423 BY433 BY443 BY453 BY463 BY473 BY483 BY493 BY503 BY513 BY523 BY533 BY543 BY553 BY563 BY573 BY583 BY593 BY603 BY613 BY623 BY633 BY643 BY653 CB14 CP14" xr:uid="{00000000-0002-0000-0100-000006000000}">
      <formula1>UPMAIN_1</formula1>
    </dataValidation>
    <dataValidation type="list" allowBlank="1" showInputMessage="1" showErrorMessage="1" sqref="P3 I32 I26 AS14 DV25 L8 DZ14 CG3 ED25 AZ25 N52 I71 DO36 BG36 DK46 BL46 DH56 BR56 DE66 BV66 CA76 DC76 AL59 AR65 AM25 BX102 BX112 BX122 BX132 BX142 BX152 BX162 BX172 BX182 BX192 BX202 BX212 BX222 BX232 BX242 BX252 BX262 BX272 BX282 BX292 BX302 BX312 BX322 BX332 BX342 BX352 BX362 BX372 BX382 BX392 BX402 BX412 BX422 BX432 BX442 BX452 BX462 BX472 BX482 BX492 BX502 BX512 BX522 BX532 BX542 BX552 BX562 BX572 BX582 BX592 BX602 BX612 BX622 BX632 BX642 BX652 CA13 CO13" xr:uid="{00000000-0002-0000-0100-000007000000}">
      <formula1>UPMAIN_2</formula1>
    </dataValidation>
    <dataValidation type="list" allowBlank="1" showInputMessage="1" showErrorMessage="1" sqref="L9 I33 I27 AS15 DZ15 DV26 CG4 ED26 AZ26 N53 I72 DO37 BG37 DK47 BL47 DH57 BR57 DE67 BV67 CA77 DC77 AL60 AR66 AM26 BX103 BX113 BX123 BX133 BX143 BX153 BX163 BX173 BX183 BX193 BX203 BX213 BX223 BX233 BX243 BX253 BX263 BX273 BX283 BX293 BX303 BX313 BX323 BX333 BX343 BX353 BX363 BX373 BX383 BX393 BX403 BX413 BX423 BX433 BX443 BX453 BX463 BX473 BX483 BX493 BX503 BX513 BX523 BX533 BX543 BX553 BX563 BX573 BX583 BX593 BX603 BX613 BX623 BX633 BX643 BX653 CA14 CO14" xr:uid="{00000000-0002-0000-0100-000008000000}">
      <formula1>UPLEFT</formula1>
    </dataValidation>
    <dataValidation type="decimal" allowBlank="1" showErrorMessage="1" errorTitle="ВЫ НЕ МОЖЕТЕ ВВЕСТИ ЭТО ЧИСЛО!!!" error="Ваше значение должно быть &gt;=1 или &lt;=4!" promptTitle="ВНИМАТЕЛЬНО ВВОДИТЕ ЗНАЧЕНИЯ!" prompt="Ваше значение должно быть &gt;=1 или &lt;=4!" sqref="O3:O4 H32:H33 H26:H27 AR14:AR15 CF3:CF4 K8:K9 DY14:DY15 DU25:DU26 EC25:EC26 AY25:AY26 M52:M53 H71:H72 DN36:DN37 BF36:BF37 DJ46:DJ47 BK46:BK47 DG56:DG57 BQ56:BQ57 DD66:DD67 BU66:BU67 BZ76:BZ77 DB76:DB77 AK59:AK60 AQ65:AQ66 AL25:AL26 BW102:BW103 BW112:BW113 BW122:BW123 BW132:BW133 BW142:BW143 BW152:BW153 BW162:BW163 BW172:BW173 BW182:BW183 BW192:BW193 BW202:BW203 BW212:BW213 BW222:BW223 BW232:BW233 BW242:BW243 BW252:BW253 BW262:BW263 BW272:BW273 BW282:BW283 BW292:BW293 BW302:BW303 BW312:BW313 BW322:BW323 BW332:BW333 BW342:BW343 BW352:BW353 BW362:BW363 BW372:BW373 BW382:BW383 BW392:BW393 BW402:BW403 BW412:BW413 BW422:BW423 BW432:BW433 BW442:BW443 BW452:BW453 BW462:BW463 BW472:BW473 BW482:BW483 BW492:BW493 BW502:BW503 BW512:BW513 BW522:BW523 BW532:BW533 BW542:BW543 BW552:BW553 BW562:BW563 BW572:BW573 BW582:BW583 BW592:BW593 BW602:BW603 BW612:BW613 BW622:BW623 BW632:BW633 BW642:BW643 BW652:BW653 BZ13:BZ14 CN13:CN14" xr:uid="{00000000-0002-0000-0100-000009000000}">
      <formula1>0.999999999999999</formula1>
      <formula2>4</formula2>
    </dataValidation>
    <dataValidation type="list" allowBlank="1" showInputMessage="1" showErrorMessage="1" sqref="P5 I34 I28 AS16 DV27 L10 DZ16 CG5 ED27 AZ27 N54 I73 DO38 BG38 DK48 BL48 DH58 BR58 DE68 BV68 CA78 DC78 AL61 AR67 AM27 BX104 BX114 BX124 BX134 BX144 BX154 BX164 BX174 BX184 BX194 BX204 BX214 BX224 BX234 BX244 BX254 BX264 BX274 BX284 BX294 BX304 BX314 BX324 BX334 BX344 BX354 BX364 BX374 BX384 BX394 BX404 BX414 BX424 BX434 BX444 BX454 BX464 BX474 BX484 BX494 BX504 BX514 BX524 BX534 BX544 BX554 BX564 BX574 BX584 BX594 BX604 BX614 BX624 BX634 BX644 BX654 CA15 CO15" xr:uid="{00000000-0002-0000-0100-00000A000000}">
      <formula1>ROWDOWN_1</formula1>
    </dataValidation>
    <dataValidation type="list" allowBlank="1" showInputMessage="1" showErrorMessage="1" sqref="N8 K32 K26 AU14 EB14 DX25 CI3 EF25 BB25 P52 K71 DQ36 BI36 DM46 BN46 DJ56 BT56 DG66 BX66 CC76 DE76 AN59 AT65 AO25 BZ102 BZ112 BZ122 BZ132 BZ142 BZ152 BZ162 BZ172 BZ182 BZ192 BZ202 BZ212 BZ222 BZ232 BZ242 BZ252 BZ262 BZ272 BZ282 BZ292 BZ302 BZ312 BZ322 BZ332 BZ342 BZ352 BZ362 BZ372 BZ382 BZ392 BZ402 BZ412 BZ422 BZ432 BZ442 BZ452 BZ462 BZ472 BZ482 BZ492 BZ502 BZ512 BZ522 BZ532 BZ542 BZ552 BZ562 BZ572 BZ582 BZ592 BZ602 BZ612 BZ622 BZ632 BZ642 BZ652 CC13 CQ13" xr:uid="{00000000-0002-0000-0100-00000B000000}">
      <formula1>COLUMNRIGHT_1</formula1>
    </dataValidation>
    <dataValidation type="list" allowBlank="1" showInputMessage="1" showErrorMessage="1" sqref="M8 J32 J26 AT14 EA14 DW25 CH3 EE25 BA25 O52 J71 DP36 BH36 DL46 BM46 DI56 BS56 DF66 BW66 CB76 DD76 AM59 AS65 AN25 BY102 BY112 BY122 BY132 BY142 BY152 BY162 BY172 BY182 BY192 BY202 BY212 BY222 BY232 BY242 BY252 BY262 BY272 BY282 BY292 BY302 BY312 BY322 BY332 BY342 BY352 BY362 BY372 BY382 BY392 BY402 BY412 BY422 BY432 BY442 BY452 BY462 BY472 BY482 BY492 BY502 BY512 BY522 BY532 BY542 BY552 BY562 BY572 BY582 BY592 BY602 BY612 BY622 BY632 BY642 BY652 CB13 CP13" xr:uid="{00000000-0002-0000-0100-00000C000000}">
      <formula1>UPUP</formula1>
    </dataValidation>
    <dataValidation type="decimal" allowBlank="1" showInputMessage="1" showErrorMessage="1" sqref="T33" xr:uid="{00000000-0002-0000-0100-00000D000000}">
      <formula1>Фантом</formula1>
      <formula2>Фантом</formula2>
    </dataValidation>
  </dataValidations>
  <pageMargins left="0.39370078740157483" right="0.39370078740157483" top="0.39370078740157483" bottom="0.39370078740157483" header="0.31496062992125984" footer="0.31496062992125984"/>
  <pageSetup paperSize="9" scale="60" orientation="landscape" r:id="rId1"/>
  <drawing r:id="rId2"/>
  <legacyDrawing r:id="rId3"/>
  <tableParts count="1">
    <tablePart r:id="rId4"/>
  </tableParts>
  <extLst>
    <ext xmlns:x14="http://schemas.microsoft.com/office/spreadsheetml/2009/9/main" uri="{05C60535-1F16-4fd2-B633-F4F36F0B64E0}">
      <x14:sparklineGroups xmlns:xm="http://schemas.microsoft.com/office/excel/2006/main">
        <x14:sparklineGroup manualMax="0" manualMin="0" lineWeight="2.25" displayEmptyCellsAs="gap" xr2:uid="{1AE57F27-B662-4819-A7AD-4F1B25B3D42C}">
          <x14:colorSeries rgb="FF000000"/>
          <x14:colorNegative rgb="FF0070C0"/>
          <x14:colorAxis rgb="FF000000"/>
          <x14:colorMarkers rgb="FF0070C0"/>
          <x14:colorFirst rgb="FF0070C0"/>
          <x14:colorLast rgb="FF0070C0"/>
          <x14:colorHigh rgb="FF0070C0"/>
          <x14:colorLow rgb="FF0070C0"/>
          <x14:sparklines>
            <x14:sparkline>
              <xm:f>Модель!CQ19:CS19</xm:f>
              <xm:sqref>CT18</xm:sqref>
            </x14:sparkline>
          </x14:sparklines>
        </x14:sparklineGroup>
        <x14:sparklineGroup manualMax="0" manualMin="0" lineWeight="2.25" displayEmptyCellsAs="gap" xr2:uid="{4AE0EFE3-E795-4B5F-A5E4-CFC9EA5605E1}">
          <x14:colorSeries rgb="FF000000"/>
          <x14:colorNegative rgb="FF0070C0"/>
          <x14:colorAxis rgb="FF000000"/>
          <x14:colorMarkers rgb="FF0070C0"/>
          <x14:colorFirst rgb="FF0070C0"/>
          <x14:colorLast rgb="FF0070C0"/>
          <x14:colorHigh rgb="FF0070C0"/>
          <x14:colorLow rgb="FF0070C0"/>
          <x14:sparklines>
            <x14:sparkline>
              <xm:f>Модель!CC19:CE19</xm:f>
              <xm:sqref>CF18</xm:sqref>
            </x14:sparkline>
          </x14:sparklines>
        </x14:sparklineGroup>
        <x14:sparklineGroup manualMax="0" manualMin="0" lineWeight="2.25" displayEmptyCellsAs="gap" xr2:uid="{7C3D288B-9DE6-4B3D-B3D8-EF0C030F85B1}">
          <x14:colorSeries rgb="FF000000"/>
          <x14:colorNegative rgb="FF0070C0"/>
          <x14:colorAxis rgb="FF000000"/>
          <x14:colorMarkers rgb="FF0070C0"/>
          <x14:colorFirst rgb="FF0070C0"/>
          <x14:colorLast rgb="FF0070C0"/>
          <x14:colorHigh rgb="FF0070C0"/>
          <x14:colorLow rgb="FF0070C0"/>
          <x14:sparklines>
            <x14:sparkline>
              <xm:f>Модель!BV19:BX19</xm:f>
              <xm:sqref>BY18</xm:sqref>
            </x14:sparkline>
          </x14:sparklines>
        </x14:sparklineGroup>
        <x14:sparklineGroup manualMax="0" manualMin="0" lineWeight="2.25" displayEmptyCellsAs="gap" xr2:uid="{56D5DBF2-B7D7-47FD-B57B-76D7DADDB653}">
          <x14:colorSeries rgb="FF000000"/>
          <x14:colorNegative rgb="FF0070C0"/>
          <x14:colorAxis rgb="FF000000"/>
          <x14:colorMarkers rgb="FF0070C0"/>
          <x14:colorFirst rgb="FF0070C0"/>
          <x14:colorLast rgb="FF0070C0"/>
          <x14:colorHigh rgb="FF0070C0"/>
          <x14:colorLow rgb="FF0070C0"/>
          <x14:sparklines>
            <x14:sparkline>
              <xm:f>Модель!CK9:CM9</xm:f>
              <xm:sqref>CN8</xm:sqref>
            </x14:sparkline>
          </x14:sparklines>
        </x14:sparklineGroup>
        <x14:sparklineGroup manualMax="0" manualMin="0" lineWeight="2.25" displayEmptyCellsAs="gap" xr2:uid="{D3DDDEFB-7F66-4AE4-BEFB-8B4B676AF872}">
          <x14:colorSeries rgb="FF000000"/>
          <x14:colorNegative rgb="FF0070C0"/>
          <x14:colorAxis rgb="FF000000"/>
          <x14:colorMarkers rgb="FF0070C0"/>
          <x14:colorFirst rgb="FF0070C0"/>
          <x14:colorLast rgb="FF0070C0"/>
          <x14:colorHigh rgb="FF0070C0"/>
          <x14:colorLow rgb="FF0070C0"/>
          <x14:sparklines>
            <x14:sparkline>
              <xm:f>Модель!CD9:CF9</xm:f>
              <xm:sqref>CG8</xm:sqref>
            </x14:sparkline>
          </x14:sparklines>
        </x14:sparklineGroup>
        <x14:sparklineGroup manualMax="0" manualMin="0" lineWeight="2.25" displayEmptyCellsAs="gap" xr2:uid="{2457675A-CEFD-443E-B97B-98484011619D}">
          <x14:colorSeries rgb="FF000000"/>
          <x14:colorNegative rgb="FF0070C0"/>
          <x14:colorAxis rgb="FF000000"/>
          <x14:colorMarkers rgb="FF0070C0"/>
          <x14:colorFirst rgb="FF0070C0"/>
          <x14:colorLast rgb="FF0070C0"/>
          <x14:colorHigh rgb="FF0070C0"/>
          <x14:colorLow rgb="FF0070C0"/>
          <x14:sparklines>
            <x14:sparkline>
              <xm:f>Модель!CA438:CC438</xm:f>
              <xm:sqref>CD437</xm:sqref>
            </x14:sparkline>
          </x14:sparklines>
        </x14:sparklineGroup>
        <x14:sparklineGroup manualMax="0" manualMin="0" lineWeight="2.25" displayEmptyCellsAs="gap" xr2:uid="{02C76638-5C6E-41E1-9C6A-1A98E3053CB2}">
          <x14:colorSeries rgb="FF000000"/>
          <x14:colorNegative rgb="FF0070C0"/>
          <x14:colorAxis rgb="FF000000"/>
          <x14:colorMarkers rgb="FF0070C0"/>
          <x14:colorFirst rgb="FF0070C0"/>
          <x14:colorLast rgb="FF0070C0"/>
          <x14:colorHigh rgb="FF0070C0"/>
          <x14:colorLow rgb="FF0070C0"/>
          <x14:sparklines>
            <x14:sparkline>
              <xm:f>Модель!BU438:BW438</xm:f>
              <xm:sqref>BX437</xm:sqref>
            </x14:sparkline>
          </x14:sparklines>
        </x14:sparklineGroup>
        <x14:sparklineGroup manualMax="0" manualMin="0" lineWeight="2.25" displayEmptyCellsAs="gap" xr2:uid="{428B3AAD-7E6E-4EFD-A4DE-70D462B49CD4}">
          <x14:colorSeries rgb="FF000000"/>
          <x14:colorNegative rgb="FF0070C0"/>
          <x14:colorAxis rgb="FF000000"/>
          <x14:colorMarkers rgb="FF0070C0"/>
          <x14:colorFirst rgb="FF0070C0"/>
          <x14:colorLast rgb="FF0070C0"/>
          <x14:colorHigh rgb="FF0070C0"/>
          <x14:colorLow rgb="FF0070C0"/>
          <x14:sparklines>
            <x14:sparkline>
              <xm:f>Модель!BU448:BW448</xm:f>
              <xm:sqref>BX447</xm:sqref>
            </x14:sparkline>
          </x14:sparklines>
        </x14:sparklineGroup>
        <x14:sparklineGroup manualMax="0" manualMin="0" lineWeight="2.25" displayEmptyCellsAs="gap" xr2:uid="{A2796FB4-8640-4D0A-9210-B49EDD7DBB8F}">
          <x14:colorSeries rgb="FF000000"/>
          <x14:colorNegative rgb="FF0070C0"/>
          <x14:colorAxis rgb="FF000000"/>
          <x14:colorMarkers rgb="FF0070C0"/>
          <x14:colorFirst rgb="FF0070C0"/>
          <x14:colorLast rgb="FF0070C0"/>
          <x14:colorHigh rgb="FF0070C0"/>
          <x14:colorLow rgb="FF0070C0"/>
          <x14:sparklines>
            <x14:sparkline>
              <xm:f>Модель!CA448:CC448</xm:f>
              <xm:sqref>CD447</xm:sqref>
            </x14:sparkline>
          </x14:sparklines>
        </x14:sparklineGroup>
        <x14:sparklineGroup manualMax="0" manualMin="0" lineWeight="2.25" displayEmptyCellsAs="gap" xr2:uid="{EFF16004-2D8D-48E9-830B-29024AABF1EF}">
          <x14:colorSeries rgb="FF000000"/>
          <x14:colorNegative rgb="FF0070C0"/>
          <x14:colorAxis rgb="FF000000"/>
          <x14:colorMarkers rgb="FF0070C0"/>
          <x14:colorFirst rgb="FF0070C0"/>
          <x14:colorLast rgb="FF0070C0"/>
          <x14:colorHigh rgb="FF0070C0"/>
          <x14:colorLow rgb="FF0070C0"/>
          <x14:sparklines>
            <x14:sparkline>
              <xm:f>Модель!CA468:CC468</xm:f>
              <xm:sqref>CD467</xm:sqref>
            </x14:sparkline>
          </x14:sparklines>
        </x14:sparklineGroup>
        <x14:sparklineGroup manualMax="0" manualMin="0" lineWeight="2.25" displayEmptyCellsAs="gap" xr2:uid="{3CD8C0A1-EE46-40E6-8F55-26A6DDFD45DC}">
          <x14:colorSeries rgb="FF000000"/>
          <x14:colorNegative rgb="FF0070C0"/>
          <x14:colorAxis rgb="FF000000"/>
          <x14:colorMarkers rgb="FF0070C0"/>
          <x14:colorFirst rgb="FF0070C0"/>
          <x14:colorLast rgb="FF0070C0"/>
          <x14:colorHigh rgb="FF0070C0"/>
          <x14:colorLow rgb="FF0070C0"/>
          <x14:sparklines>
            <x14:sparkline>
              <xm:f>Модель!BU468:BW468</xm:f>
              <xm:sqref>BX467</xm:sqref>
            </x14:sparkline>
          </x14:sparklines>
        </x14:sparklineGroup>
        <x14:sparklineGroup manualMax="0" manualMin="0" lineWeight="2.25" displayEmptyCellsAs="gap" xr2:uid="{E142718E-CB2D-425E-B9D6-F35983AC9098}">
          <x14:colorSeries rgb="FF000000"/>
          <x14:colorNegative rgb="FF0070C0"/>
          <x14:colorAxis rgb="FF000000"/>
          <x14:colorMarkers rgb="FF0070C0"/>
          <x14:colorFirst rgb="FF0070C0"/>
          <x14:colorLast rgb="FF0070C0"/>
          <x14:colorHigh rgb="FF0070C0"/>
          <x14:colorLow rgb="FF0070C0"/>
          <x14:sparklines>
            <x14:sparkline>
              <xm:f>Модель!BU458:BW458</xm:f>
              <xm:sqref>BX457</xm:sqref>
            </x14:sparkline>
          </x14:sparklines>
        </x14:sparklineGroup>
        <x14:sparklineGroup manualMax="0" manualMin="0" lineWeight="2.25" displayEmptyCellsAs="gap" xr2:uid="{E56D5BA2-BD9B-4113-9F36-AEE68FE6143D}">
          <x14:colorSeries rgb="FF000000"/>
          <x14:colorNegative rgb="FF0070C0"/>
          <x14:colorAxis rgb="FF000000"/>
          <x14:colorMarkers rgb="FF0070C0"/>
          <x14:colorFirst rgb="FF0070C0"/>
          <x14:colorLast rgb="FF0070C0"/>
          <x14:colorHigh rgb="FF0070C0"/>
          <x14:colorLow rgb="FF0070C0"/>
          <x14:sparklines>
            <x14:sparkline>
              <xm:f>Модель!CA458:CC458</xm:f>
              <xm:sqref>CD457</xm:sqref>
            </x14:sparkline>
          </x14:sparklines>
        </x14:sparklineGroup>
        <x14:sparklineGroup manualMax="0" manualMin="0" lineWeight="2.25" displayEmptyCellsAs="gap" xr2:uid="{4E0BF379-462E-45D1-B6C6-6E13D7266845}">
          <x14:colorSeries rgb="FF000000"/>
          <x14:colorNegative rgb="FF0070C0"/>
          <x14:colorAxis rgb="FF000000"/>
          <x14:colorMarkers rgb="FF0070C0"/>
          <x14:colorFirst rgb="FF0070C0"/>
          <x14:colorLast rgb="FF0070C0"/>
          <x14:colorHigh rgb="FF0070C0"/>
          <x14:colorLow rgb="FF0070C0"/>
          <x14:sparklines>
            <x14:sparkline>
              <xm:f>Модель!CA498:CC498</xm:f>
              <xm:sqref>CD497</xm:sqref>
            </x14:sparkline>
          </x14:sparklines>
        </x14:sparklineGroup>
        <x14:sparklineGroup manualMax="0" manualMin="0" lineWeight="2.25" displayEmptyCellsAs="gap" xr2:uid="{1708ED80-05B6-4951-A5A8-F1B5B499D496}">
          <x14:colorSeries rgb="FF000000"/>
          <x14:colorNegative rgb="FF0070C0"/>
          <x14:colorAxis rgb="FF000000"/>
          <x14:colorMarkers rgb="FF0070C0"/>
          <x14:colorFirst rgb="FF0070C0"/>
          <x14:colorLast rgb="FF0070C0"/>
          <x14:colorHigh rgb="FF0070C0"/>
          <x14:colorLow rgb="FF0070C0"/>
          <x14:sparklines>
            <x14:sparkline>
              <xm:f>Модель!BU498:BW498</xm:f>
              <xm:sqref>BX497</xm:sqref>
            </x14:sparkline>
          </x14:sparklines>
        </x14:sparklineGroup>
        <x14:sparklineGroup manualMax="0" manualMin="0" lineWeight="2.25" displayEmptyCellsAs="gap" xr2:uid="{97D85A3D-EE3E-4917-89B1-69CB1E7D0E03}">
          <x14:colorSeries rgb="FF000000"/>
          <x14:colorNegative rgb="FF0070C0"/>
          <x14:colorAxis rgb="FF000000"/>
          <x14:colorMarkers rgb="FF0070C0"/>
          <x14:colorFirst rgb="FF0070C0"/>
          <x14:colorLast rgb="FF0070C0"/>
          <x14:colorHigh rgb="FF0070C0"/>
          <x14:colorLow rgb="FF0070C0"/>
          <x14:sparklines>
            <x14:sparkline>
              <xm:f>Модель!BU508:BW508</xm:f>
              <xm:sqref>BX507</xm:sqref>
            </x14:sparkline>
          </x14:sparklines>
        </x14:sparklineGroup>
        <x14:sparklineGroup manualMax="0" manualMin="0" lineWeight="2.25" displayEmptyCellsAs="gap" xr2:uid="{1C38DD8A-5C2F-45AE-97B5-1BAFAF860BA9}">
          <x14:colorSeries rgb="FF000000"/>
          <x14:colorNegative rgb="FF0070C0"/>
          <x14:colorAxis rgb="FF000000"/>
          <x14:colorMarkers rgb="FF0070C0"/>
          <x14:colorFirst rgb="FF0070C0"/>
          <x14:colorLast rgb="FF0070C0"/>
          <x14:colorHigh rgb="FF0070C0"/>
          <x14:colorLow rgb="FF0070C0"/>
          <x14:sparklines>
            <x14:sparkline>
              <xm:f>Модель!CA508:CC508</xm:f>
              <xm:sqref>CD507</xm:sqref>
            </x14:sparkline>
          </x14:sparklines>
        </x14:sparklineGroup>
        <x14:sparklineGroup manualMax="0" manualMin="0" lineWeight="2.25" displayEmptyCellsAs="gap" xr2:uid="{01AA23B5-7EF4-4E0B-9518-9121E90FC858}">
          <x14:colorSeries rgb="FF000000"/>
          <x14:colorNegative rgb="FF0070C0"/>
          <x14:colorAxis rgb="FF000000"/>
          <x14:colorMarkers rgb="FF0070C0"/>
          <x14:colorFirst rgb="FF0070C0"/>
          <x14:colorLast rgb="FF0070C0"/>
          <x14:colorHigh rgb="FF0070C0"/>
          <x14:colorLow rgb="FF0070C0"/>
          <x14:sparklines>
            <x14:sparkline>
              <xm:f>Модель!CA488:CC488</xm:f>
              <xm:sqref>CD487</xm:sqref>
            </x14:sparkline>
          </x14:sparklines>
        </x14:sparklineGroup>
        <x14:sparklineGroup manualMax="0" manualMin="0" lineWeight="2.25" displayEmptyCellsAs="gap" xr2:uid="{BB471222-0BA6-4385-8571-94316BFC38DE}">
          <x14:colorSeries rgb="FF000000"/>
          <x14:colorNegative rgb="FF0070C0"/>
          <x14:colorAxis rgb="FF000000"/>
          <x14:colorMarkers rgb="FF0070C0"/>
          <x14:colorFirst rgb="FF0070C0"/>
          <x14:colorLast rgb="FF0070C0"/>
          <x14:colorHigh rgb="FF0070C0"/>
          <x14:colorLow rgb="FF0070C0"/>
          <x14:sparklines>
            <x14:sparkline>
              <xm:f>Модель!BU488:BW488</xm:f>
              <xm:sqref>BX487</xm:sqref>
            </x14:sparkline>
          </x14:sparklines>
        </x14:sparklineGroup>
        <x14:sparklineGroup manualMax="0" manualMin="0" lineWeight="2.25" displayEmptyCellsAs="gap" xr2:uid="{768C82B6-1F99-4D9D-A824-28F25EC3285A}">
          <x14:colorSeries rgb="FF000000"/>
          <x14:colorNegative rgb="FF0070C0"/>
          <x14:colorAxis rgb="FF000000"/>
          <x14:colorMarkers rgb="FF0070C0"/>
          <x14:colorFirst rgb="FF0070C0"/>
          <x14:colorLast rgb="FF0070C0"/>
          <x14:colorHigh rgb="FF0070C0"/>
          <x14:colorLow rgb="FF0070C0"/>
          <x14:sparklines>
            <x14:sparkline>
              <xm:f>Модель!BU478:BW478</xm:f>
              <xm:sqref>BX477</xm:sqref>
            </x14:sparkline>
          </x14:sparklines>
        </x14:sparklineGroup>
        <x14:sparklineGroup manualMax="0" manualMin="0" lineWeight="2.25" displayEmptyCellsAs="gap" xr2:uid="{97C10E46-D395-4AE2-A8B0-F197A10FC118}">
          <x14:colorSeries rgb="FF000000"/>
          <x14:colorNegative rgb="FF0070C0"/>
          <x14:colorAxis rgb="FF000000"/>
          <x14:colorMarkers rgb="FF0070C0"/>
          <x14:colorFirst rgb="FF0070C0"/>
          <x14:colorLast rgb="FF0070C0"/>
          <x14:colorHigh rgb="FF0070C0"/>
          <x14:colorLow rgb="FF0070C0"/>
          <x14:sparklines>
            <x14:sparkline>
              <xm:f>Модель!CA478:CC478</xm:f>
              <xm:sqref>CD477</xm:sqref>
            </x14:sparkline>
          </x14:sparklines>
        </x14:sparklineGroup>
        <x14:sparklineGroup manualMax="0" manualMin="0" lineWeight="2.25" displayEmptyCellsAs="gap" xr2:uid="{85ABE55E-7B80-414D-BB56-88E4A2F6A390}">
          <x14:colorSeries rgb="FF000000"/>
          <x14:colorNegative rgb="FF0070C0"/>
          <x14:colorAxis rgb="FF000000"/>
          <x14:colorMarkers rgb="FF0070C0"/>
          <x14:colorFirst rgb="FF0070C0"/>
          <x14:colorLast rgb="FF0070C0"/>
          <x14:colorHigh rgb="FF0070C0"/>
          <x14:colorLow rgb="FF0070C0"/>
          <x14:sparklines>
            <x14:sparkline>
              <xm:f>Модель!CA558:CC558</xm:f>
              <xm:sqref>CD557</xm:sqref>
            </x14:sparkline>
          </x14:sparklines>
        </x14:sparklineGroup>
        <x14:sparklineGroup manualMax="0" manualMin="0" lineWeight="2.25" displayEmptyCellsAs="gap" xr2:uid="{9ED1856F-B5F1-4E6C-B6B0-010D89C1AEB6}">
          <x14:colorSeries rgb="FF000000"/>
          <x14:colorNegative rgb="FF0070C0"/>
          <x14:colorAxis rgb="FF000000"/>
          <x14:colorMarkers rgb="FF0070C0"/>
          <x14:colorFirst rgb="FF0070C0"/>
          <x14:colorLast rgb="FF0070C0"/>
          <x14:colorHigh rgb="FF0070C0"/>
          <x14:colorLow rgb="FF0070C0"/>
          <x14:sparklines>
            <x14:sparkline>
              <xm:f>Модель!BU558:BW558</xm:f>
              <xm:sqref>BX557</xm:sqref>
            </x14:sparkline>
          </x14:sparklines>
        </x14:sparklineGroup>
        <x14:sparklineGroup manualMax="0" manualMin="0" lineWeight="2.25" displayEmptyCellsAs="gap" xr2:uid="{ED0ED0E6-4A97-43FB-84C3-27F2164119B7}">
          <x14:colorSeries rgb="FF000000"/>
          <x14:colorNegative rgb="FF0070C0"/>
          <x14:colorAxis rgb="FF000000"/>
          <x14:colorMarkers rgb="FF0070C0"/>
          <x14:colorFirst rgb="FF0070C0"/>
          <x14:colorLast rgb="FF0070C0"/>
          <x14:colorHigh rgb="FF0070C0"/>
          <x14:colorLow rgb="FF0070C0"/>
          <x14:sparklines>
            <x14:sparkline>
              <xm:f>Модель!BU568:BW568</xm:f>
              <xm:sqref>BX567</xm:sqref>
            </x14:sparkline>
          </x14:sparklines>
        </x14:sparklineGroup>
        <x14:sparklineGroup manualMax="0" manualMin="0" lineWeight="2.25" displayEmptyCellsAs="gap" xr2:uid="{F7AB631C-F06A-4593-969A-F636E26F436C}">
          <x14:colorSeries rgb="FF000000"/>
          <x14:colorNegative rgb="FF0070C0"/>
          <x14:colorAxis rgb="FF000000"/>
          <x14:colorMarkers rgb="FF0070C0"/>
          <x14:colorFirst rgb="FF0070C0"/>
          <x14:colorLast rgb="FF0070C0"/>
          <x14:colorHigh rgb="FF0070C0"/>
          <x14:colorLow rgb="FF0070C0"/>
          <x14:sparklines>
            <x14:sparkline>
              <xm:f>Модель!CA568:CC568</xm:f>
              <xm:sqref>CD567</xm:sqref>
            </x14:sparkline>
          </x14:sparklines>
        </x14:sparklineGroup>
        <x14:sparklineGroup manualMax="0" manualMin="0" lineWeight="2.25" displayEmptyCellsAs="gap" xr2:uid="{5F3FCC20-9B60-4784-B71E-75218AC4860C}">
          <x14:colorSeries rgb="FF000000"/>
          <x14:colorNegative rgb="FF0070C0"/>
          <x14:colorAxis rgb="FF000000"/>
          <x14:colorMarkers rgb="FF0070C0"/>
          <x14:colorFirst rgb="FF0070C0"/>
          <x14:colorLast rgb="FF0070C0"/>
          <x14:colorHigh rgb="FF0070C0"/>
          <x14:colorLow rgb="FF0070C0"/>
          <x14:sparklines>
            <x14:sparkline>
              <xm:f>Модель!CA588:CC588</xm:f>
              <xm:sqref>CD587</xm:sqref>
            </x14:sparkline>
          </x14:sparklines>
        </x14:sparklineGroup>
        <x14:sparklineGroup manualMax="0" manualMin="0" lineWeight="2.25" displayEmptyCellsAs="gap" xr2:uid="{A3C74045-4347-43BA-A104-3D0FB8E709CD}">
          <x14:colorSeries rgb="FF000000"/>
          <x14:colorNegative rgb="FF0070C0"/>
          <x14:colorAxis rgb="FF000000"/>
          <x14:colorMarkers rgb="FF0070C0"/>
          <x14:colorFirst rgb="FF0070C0"/>
          <x14:colorLast rgb="FF0070C0"/>
          <x14:colorHigh rgb="FF0070C0"/>
          <x14:colorLow rgb="FF0070C0"/>
          <x14:sparklines>
            <x14:sparkline>
              <xm:f>Модель!BU588:BW588</xm:f>
              <xm:sqref>BX587</xm:sqref>
            </x14:sparkline>
          </x14:sparklines>
        </x14:sparklineGroup>
        <x14:sparklineGroup manualMax="0" manualMin="0" lineWeight="2.25" displayEmptyCellsAs="gap" xr2:uid="{FCC332FC-8A7A-492F-95BE-B918633A62D0}">
          <x14:colorSeries rgb="FF000000"/>
          <x14:colorNegative rgb="FF0070C0"/>
          <x14:colorAxis rgb="FF000000"/>
          <x14:colorMarkers rgb="FF0070C0"/>
          <x14:colorFirst rgb="FF0070C0"/>
          <x14:colorLast rgb="FF0070C0"/>
          <x14:colorHigh rgb="FF0070C0"/>
          <x14:colorLow rgb="FF0070C0"/>
          <x14:sparklines>
            <x14:sparkline>
              <xm:f>Модель!BU578:BW578</xm:f>
              <xm:sqref>BX577</xm:sqref>
            </x14:sparkline>
          </x14:sparklines>
        </x14:sparklineGroup>
        <x14:sparklineGroup manualMax="0" manualMin="0" lineWeight="2.25" displayEmptyCellsAs="gap" xr2:uid="{1BF1E031-D1DF-4065-8E1C-8D26BC594D79}">
          <x14:colorSeries rgb="FF000000"/>
          <x14:colorNegative rgb="FF0070C0"/>
          <x14:colorAxis rgb="FF000000"/>
          <x14:colorMarkers rgb="FF0070C0"/>
          <x14:colorFirst rgb="FF0070C0"/>
          <x14:colorLast rgb="FF0070C0"/>
          <x14:colorHigh rgb="FF0070C0"/>
          <x14:colorLow rgb="FF0070C0"/>
          <x14:sparklines>
            <x14:sparkline>
              <xm:f>Модель!CA578:CC578</xm:f>
              <xm:sqref>CD577</xm:sqref>
            </x14:sparkline>
          </x14:sparklines>
        </x14:sparklineGroup>
        <x14:sparklineGroup manualMax="0" manualMin="0" lineWeight="2.25" displayEmptyCellsAs="gap" xr2:uid="{DF569D81-5153-4498-8DD3-A02502ABBA89}">
          <x14:colorSeries rgb="FF000000"/>
          <x14:colorNegative rgb="FF0070C0"/>
          <x14:colorAxis rgb="FF000000"/>
          <x14:colorMarkers rgb="FF0070C0"/>
          <x14:colorFirst rgb="FF0070C0"/>
          <x14:colorLast rgb="FF0070C0"/>
          <x14:colorHigh rgb="FF0070C0"/>
          <x14:colorLow rgb="FF0070C0"/>
          <x14:sparklines>
            <x14:sparkline>
              <xm:f>Модель!CA538:CC538</xm:f>
              <xm:sqref>CD537</xm:sqref>
            </x14:sparkline>
          </x14:sparklines>
        </x14:sparklineGroup>
        <x14:sparklineGroup manualMax="0" manualMin="0" lineWeight="2.25" displayEmptyCellsAs="gap" xr2:uid="{171E118C-04C2-4650-AA20-58EC6CEE6340}">
          <x14:colorSeries rgb="FF000000"/>
          <x14:colorNegative rgb="FF0070C0"/>
          <x14:colorAxis rgb="FF000000"/>
          <x14:colorMarkers rgb="FF0070C0"/>
          <x14:colorFirst rgb="FF0070C0"/>
          <x14:colorLast rgb="FF0070C0"/>
          <x14:colorHigh rgb="FF0070C0"/>
          <x14:colorLow rgb="FF0070C0"/>
          <x14:sparklines>
            <x14:sparkline>
              <xm:f>Модель!BU538:BW538</xm:f>
              <xm:sqref>BX537</xm:sqref>
            </x14:sparkline>
          </x14:sparklines>
        </x14:sparklineGroup>
        <x14:sparklineGroup manualMax="0" manualMin="0" lineWeight="2.25" displayEmptyCellsAs="gap" xr2:uid="{217F08B4-B09E-401D-8494-7D37AE318BCF}">
          <x14:colorSeries rgb="FF000000"/>
          <x14:colorNegative rgb="FF0070C0"/>
          <x14:colorAxis rgb="FF000000"/>
          <x14:colorMarkers rgb="FF0070C0"/>
          <x14:colorFirst rgb="FF0070C0"/>
          <x14:colorLast rgb="FF0070C0"/>
          <x14:colorHigh rgb="FF0070C0"/>
          <x14:colorLow rgb="FF0070C0"/>
          <x14:sparklines>
            <x14:sparkline>
              <xm:f>Модель!BU548:BW548</xm:f>
              <xm:sqref>BX547</xm:sqref>
            </x14:sparkline>
          </x14:sparklines>
        </x14:sparklineGroup>
        <x14:sparklineGroup manualMax="0" manualMin="0" lineWeight="2.25" displayEmptyCellsAs="gap" xr2:uid="{024048D5-8A28-4056-B18D-62643275147B}">
          <x14:colorSeries rgb="FF000000"/>
          <x14:colorNegative rgb="FF0070C0"/>
          <x14:colorAxis rgb="FF000000"/>
          <x14:colorMarkers rgb="FF0070C0"/>
          <x14:colorFirst rgb="FF0070C0"/>
          <x14:colorLast rgb="FF0070C0"/>
          <x14:colorHigh rgb="FF0070C0"/>
          <x14:colorLow rgb="FF0070C0"/>
          <x14:sparklines>
            <x14:sparkline>
              <xm:f>Модель!CA548:CC548</xm:f>
              <xm:sqref>CD547</xm:sqref>
            </x14:sparkline>
          </x14:sparklines>
        </x14:sparklineGroup>
        <x14:sparklineGroup manualMax="0" manualMin="0" lineWeight="2.25" displayEmptyCellsAs="gap" xr2:uid="{4CF8DEEA-DDB9-4609-8BB5-11366DF0CDD3}">
          <x14:colorSeries rgb="FF000000"/>
          <x14:colorNegative rgb="FF0070C0"/>
          <x14:colorAxis rgb="FF000000"/>
          <x14:colorMarkers rgb="FF0070C0"/>
          <x14:colorFirst rgb="FF0070C0"/>
          <x14:colorLast rgb="FF0070C0"/>
          <x14:colorHigh rgb="FF0070C0"/>
          <x14:colorLow rgb="FF0070C0"/>
          <x14:sparklines>
            <x14:sparkline>
              <xm:f>Модель!CA528:CC528</xm:f>
              <xm:sqref>CD527</xm:sqref>
            </x14:sparkline>
          </x14:sparklines>
        </x14:sparklineGroup>
        <x14:sparklineGroup manualMax="0" manualMin="0" lineWeight="2.25" displayEmptyCellsAs="gap" xr2:uid="{8E0466B4-6470-4B74-B6C0-9805AF1D1C76}">
          <x14:colorSeries rgb="FF000000"/>
          <x14:colorNegative rgb="FF0070C0"/>
          <x14:colorAxis rgb="FF000000"/>
          <x14:colorMarkers rgb="FF0070C0"/>
          <x14:colorFirst rgb="FF0070C0"/>
          <x14:colorLast rgb="FF0070C0"/>
          <x14:colorHigh rgb="FF0070C0"/>
          <x14:colorLow rgb="FF0070C0"/>
          <x14:sparklines>
            <x14:sparkline>
              <xm:f>Модель!BU528:BW528</xm:f>
              <xm:sqref>BX527</xm:sqref>
            </x14:sparkline>
          </x14:sparklines>
        </x14:sparklineGroup>
        <x14:sparklineGroup manualMax="0" manualMin="0" lineWeight="2.25" displayEmptyCellsAs="gap" xr2:uid="{BCD2B8DB-7363-4F89-88FD-A74764A16BFA}">
          <x14:colorSeries rgb="FF000000"/>
          <x14:colorNegative rgb="FF0070C0"/>
          <x14:colorAxis rgb="FF000000"/>
          <x14:colorMarkers rgb="FF0070C0"/>
          <x14:colorFirst rgb="FF0070C0"/>
          <x14:colorLast rgb="FF0070C0"/>
          <x14:colorHigh rgb="FF0070C0"/>
          <x14:colorLow rgb="FF0070C0"/>
          <x14:sparklines>
            <x14:sparkline>
              <xm:f>Модель!BU518:BW518</xm:f>
              <xm:sqref>BX517</xm:sqref>
            </x14:sparkline>
          </x14:sparklines>
        </x14:sparklineGroup>
        <x14:sparklineGroup manualMax="0" manualMin="0" lineWeight="2.25" displayEmptyCellsAs="gap" xr2:uid="{D48B6873-C237-44AF-A485-6D0E30CC79AE}">
          <x14:colorSeries rgb="FF000000"/>
          <x14:colorNegative rgb="FF0070C0"/>
          <x14:colorAxis rgb="FF000000"/>
          <x14:colorMarkers rgb="FF0070C0"/>
          <x14:colorFirst rgb="FF0070C0"/>
          <x14:colorLast rgb="FF0070C0"/>
          <x14:colorHigh rgb="FF0070C0"/>
          <x14:colorLow rgb="FF0070C0"/>
          <x14:sparklines>
            <x14:sparkline>
              <xm:f>Модель!CA518:CC518</xm:f>
              <xm:sqref>CD517</xm:sqref>
            </x14:sparkline>
          </x14:sparklines>
        </x14:sparklineGroup>
        <x14:sparklineGroup manualMax="0" manualMin="0" lineWeight="2.25" displayEmptyCellsAs="gap" xr2:uid="{7FA2C18C-3997-43D9-A219-4B8A99F15F98}">
          <x14:colorSeries rgb="FF000000"/>
          <x14:colorNegative rgb="FF0070C0"/>
          <x14:colorAxis rgb="FF000000"/>
          <x14:colorMarkers rgb="FF0070C0"/>
          <x14:colorFirst rgb="FF0070C0"/>
          <x14:colorLast rgb="FF0070C0"/>
          <x14:colorHigh rgb="FF0070C0"/>
          <x14:colorLow rgb="FF0070C0"/>
          <x14:sparklines>
            <x14:sparkline>
              <xm:f>Модель!CA638:CC638</xm:f>
              <xm:sqref>CD637</xm:sqref>
            </x14:sparkline>
          </x14:sparklines>
        </x14:sparklineGroup>
        <x14:sparklineGroup manualMax="0" manualMin="0" lineWeight="2.25" displayEmptyCellsAs="gap" xr2:uid="{41F421D4-0904-4371-B662-20A08AB3A8DF}">
          <x14:colorSeries rgb="FF000000"/>
          <x14:colorNegative rgb="FF0070C0"/>
          <x14:colorAxis rgb="FF000000"/>
          <x14:colorMarkers rgb="FF0070C0"/>
          <x14:colorFirst rgb="FF0070C0"/>
          <x14:colorLast rgb="FF0070C0"/>
          <x14:colorHigh rgb="FF0070C0"/>
          <x14:colorLow rgb="FF0070C0"/>
          <x14:sparklines>
            <x14:sparkline>
              <xm:f>Модель!BU638:BW638</xm:f>
              <xm:sqref>BX637</xm:sqref>
            </x14:sparkline>
          </x14:sparklines>
        </x14:sparklineGroup>
        <x14:sparklineGroup manualMax="0" manualMin="0" lineWeight="2.25" displayEmptyCellsAs="gap" xr2:uid="{C271D94B-013A-457E-BB02-C29B983A8C3F}">
          <x14:colorSeries rgb="FF000000"/>
          <x14:colorNegative rgb="FF0070C0"/>
          <x14:colorAxis rgb="FF000000"/>
          <x14:colorMarkers rgb="FF0070C0"/>
          <x14:colorFirst rgb="FF0070C0"/>
          <x14:colorLast rgb="FF0070C0"/>
          <x14:colorHigh rgb="FF0070C0"/>
          <x14:colorLow rgb="FF0070C0"/>
          <x14:sparklines>
            <x14:sparkline>
              <xm:f>Модель!BU648:BW648</xm:f>
              <xm:sqref>BX647</xm:sqref>
            </x14:sparkline>
          </x14:sparklines>
        </x14:sparklineGroup>
        <x14:sparklineGroup manualMax="0" manualMin="0" lineWeight="2.25" displayEmptyCellsAs="gap" xr2:uid="{DA05F735-14D7-43BC-A10B-0724AE334627}">
          <x14:colorSeries rgb="FF000000"/>
          <x14:colorNegative rgb="FF0070C0"/>
          <x14:colorAxis rgb="FF000000"/>
          <x14:colorMarkers rgb="FF0070C0"/>
          <x14:colorFirst rgb="FF0070C0"/>
          <x14:colorLast rgb="FF0070C0"/>
          <x14:colorHigh rgb="FF0070C0"/>
          <x14:colorLow rgb="FF0070C0"/>
          <x14:sparklines>
            <x14:sparkline>
              <xm:f>Модель!CA648:CC648</xm:f>
              <xm:sqref>CD647</xm:sqref>
            </x14:sparkline>
          </x14:sparklines>
        </x14:sparklineGroup>
        <x14:sparklineGroup manualMax="0" manualMin="0" lineWeight="2.25" displayEmptyCellsAs="gap" xr2:uid="{2EA7CDE6-5D20-43FD-A4C8-6B2B32D7FED8}">
          <x14:colorSeries rgb="FF000000"/>
          <x14:colorNegative rgb="FF0070C0"/>
          <x14:colorAxis rgb="FF000000"/>
          <x14:colorMarkers rgb="FF0070C0"/>
          <x14:colorFirst rgb="FF0070C0"/>
          <x14:colorLast rgb="FF0070C0"/>
          <x14:colorHigh rgb="FF0070C0"/>
          <x14:colorLow rgb="FF0070C0"/>
          <x14:sparklines>
            <x14:sparkline>
              <xm:f>Модель!BU658:BW658</xm:f>
              <xm:sqref>BX657</xm:sqref>
            </x14:sparkline>
          </x14:sparklines>
        </x14:sparklineGroup>
        <x14:sparklineGroup manualMax="0" manualMin="0" lineWeight="2.25" displayEmptyCellsAs="gap" xr2:uid="{917F5DFC-5051-4FB9-8433-8597F58B27C9}">
          <x14:colorSeries rgb="FF000000"/>
          <x14:colorNegative rgb="FF0070C0"/>
          <x14:colorAxis rgb="FF000000"/>
          <x14:colorMarkers rgb="FF0070C0"/>
          <x14:colorFirst rgb="FF0070C0"/>
          <x14:colorLast rgb="FF0070C0"/>
          <x14:colorHigh rgb="FF0070C0"/>
          <x14:colorLow rgb="FF0070C0"/>
          <x14:sparklines>
            <x14:sparkline>
              <xm:f>Модель!CA658:CC658</xm:f>
              <xm:sqref>CD657</xm:sqref>
            </x14:sparkline>
          </x14:sparklines>
        </x14:sparklineGroup>
        <x14:sparklineGroup manualMax="0" manualMin="0" lineWeight="2.25" displayEmptyCellsAs="gap" xr2:uid="{C3D7C095-5837-4E3E-A054-3E04A8DDD003}">
          <x14:colorSeries rgb="FF000000"/>
          <x14:colorNegative rgb="FF0070C0"/>
          <x14:colorAxis rgb="FF000000"/>
          <x14:colorMarkers rgb="FF0070C0"/>
          <x14:colorFirst rgb="FF0070C0"/>
          <x14:colorLast rgb="FF0070C0"/>
          <x14:colorHigh rgb="FF0070C0"/>
          <x14:colorLow rgb="FF0070C0"/>
          <x14:sparklines>
            <x14:sparkline>
              <xm:f>Модель!CA618:CC618</xm:f>
              <xm:sqref>CD617</xm:sqref>
            </x14:sparkline>
          </x14:sparklines>
        </x14:sparklineGroup>
        <x14:sparklineGroup manualMax="0" manualMin="0" lineWeight="2.25" displayEmptyCellsAs="gap" xr2:uid="{E5905E38-4EE1-4E33-9F42-038956746B50}">
          <x14:colorSeries rgb="FF000000"/>
          <x14:colorNegative rgb="FF0070C0"/>
          <x14:colorAxis rgb="FF000000"/>
          <x14:colorMarkers rgb="FF0070C0"/>
          <x14:colorFirst rgb="FF0070C0"/>
          <x14:colorLast rgb="FF0070C0"/>
          <x14:colorHigh rgb="FF0070C0"/>
          <x14:colorLow rgb="FF0070C0"/>
          <x14:sparklines>
            <x14:sparkline>
              <xm:f>Модель!BU618:BW618</xm:f>
              <xm:sqref>BX617</xm:sqref>
            </x14:sparkline>
          </x14:sparklines>
        </x14:sparklineGroup>
        <x14:sparklineGroup manualMax="0" manualMin="0" lineWeight="2.25" displayEmptyCellsAs="gap" xr2:uid="{FCE36BA8-360A-4230-A638-59B859425AF6}">
          <x14:colorSeries rgb="FF000000"/>
          <x14:colorNegative rgb="FF0070C0"/>
          <x14:colorAxis rgb="FF000000"/>
          <x14:colorMarkers rgb="FF0070C0"/>
          <x14:colorFirst rgb="FF0070C0"/>
          <x14:colorLast rgb="FF0070C0"/>
          <x14:colorHigh rgb="FF0070C0"/>
          <x14:colorLow rgb="FF0070C0"/>
          <x14:sparklines>
            <x14:sparkline>
              <xm:f>Модель!BU628:BW628</xm:f>
              <xm:sqref>BX627</xm:sqref>
            </x14:sparkline>
          </x14:sparklines>
        </x14:sparklineGroup>
        <x14:sparklineGroup manualMax="0" manualMin="0" lineWeight="2.25" displayEmptyCellsAs="gap" xr2:uid="{EBE2FBC8-DAC9-44B0-A06F-440AEB119A08}">
          <x14:colorSeries rgb="FF000000"/>
          <x14:colorNegative rgb="FF0070C0"/>
          <x14:colorAxis rgb="FF000000"/>
          <x14:colorMarkers rgb="FF0070C0"/>
          <x14:colorFirst rgb="FF0070C0"/>
          <x14:colorLast rgb="FF0070C0"/>
          <x14:colorHigh rgb="FF0070C0"/>
          <x14:colorLow rgb="FF0070C0"/>
          <x14:sparklines>
            <x14:sparkline>
              <xm:f>Модель!CA628:CC628</xm:f>
              <xm:sqref>CD627</xm:sqref>
            </x14:sparkline>
          </x14:sparklines>
        </x14:sparklineGroup>
        <x14:sparklineGroup manualMax="0" manualMin="0" lineWeight="2.25" displayEmptyCellsAs="gap" xr2:uid="{180604D8-11ED-4FED-8F16-DF29DB669048}">
          <x14:colorSeries rgb="FF000000"/>
          <x14:colorNegative rgb="FF0070C0"/>
          <x14:colorAxis rgb="FF000000"/>
          <x14:colorMarkers rgb="FF0070C0"/>
          <x14:colorFirst rgb="FF0070C0"/>
          <x14:colorLast rgb="FF0070C0"/>
          <x14:colorHigh rgb="FF0070C0"/>
          <x14:colorLow rgb="FF0070C0"/>
          <x14:sparklines>
            <x14:sparkline>
              <xm:f>Модель!CA608:CC608</xm:f>
              <xm:sqref>CD607</xm:sqref>
            </x14:sparkline>
          </x14:sparklines>
        </x14:sparklineGroup>
        <x14:sparklineGroup manualMax="0" manualMin="0" lineWeight="2.25" displayEmptyCellsAs="gap" xr2:uid="{7C2FFDF5-A734-4048-8583-DCAB256D1502}">
          <x14:colorSeries rgb="FF000000"/>
          <x14:colorNegative rgb="FF0070C0"/>
          <x14:colorAxis rgb="FF000000"/>
          <x14:colorMarkers rgb="FF0070C0"/>
          <x14:colorFirst rgb="FF0070C0"/>
          <x14:colorLast rgb="FF0070C0"/>
          <x14:colorHigh rgb="FF0070C0"/>
          <x14:colorLow rgb="FF0070C0"/>
          <x14:sparklines>
            <x14:sparkline>
              <xm:f>Модель!BU608:BW608</xm:f>
              <xm:sqref>BX607</xm:sqref>
            </x14:sparkline>
          </x14:sparklines>
        </x14:sparklineGroup>
        <x14:sparklineGroup manualMax="0" manualMin="0" lineWeight="2.25" displayEmptyCellsAs="gap" xr2:uid="{131EB70E-14DA-4015-A399-33B0D7DE7D29}">
          <x14:colorSeries rgb="FF000000"/>
          <x14:colorNegative rgb="FF0070C0"/>
          <x14:colorAxis rgb="FF000000"/>
          <x14:colorMarkers rgb="FF0070C0"/>
          <x14:colorFirst rgb="FF0070C0"/>
          <x14:colorLast rgb="FF0070C0"/>
          <x14:colorHigh rgb="FF0070C0"/>
          <x14:colorLow rgb="FF0070C0"/>
          <x14:sparklines>
            <x14:sparkline>
              <xm:f>Модель!BU598:BW598</xm:f>
              <xm:sqref>BX597</xm:sqref>
            </x14:sparkline>
          </x14:sparklines>
        </x14:sparklineGroup>
        <x14:sparklineGroup manualMax="0" manualMin="0" lineWeight="2.25" displayEmptyCellsAs="gap" xr2:uid="{34C95232-5380-44E4-BBF2-691F6536C360}">
          <x14:colorSeries rgb="FF000000"/>
          <x14:colorNegative rgb="FF0070C0"/>
          <x14:colorAxis rgb="FF000000"/>
          <x14:colorMarkers rgb="FF0070C0"/>
          <x14:colorFirst rgb="FF0070C0"/>
          <x14:colorLast rgb="FF0070C0"/>
          <x14:colorHigh rgb="FF0070C0"/>
          <x14:colorLow rgb="FF0070C0"/>
          <x14:sparklines>
            <x14:sparkline>
              <xm:f>Модель!CA598:CC598</xm:f>
              <xm:sqref>CD597</xm:sqref>
            </x14:sparkline>
          </x14:sparklines>
        </x14:sparklineGroup>
        <x14:sparklineGroup manualMax="0" manualMin="0" lineWeight="2.25" displayEmptyCellsAs="gap" xr2:uid="{592230B6-93D0-406A-A92E-0435462ECA0F}">
          <x14:colorSeries rgb="FF000000"/>
          <x14:colorNegative rgb="FF0070C0"/>
          <x14:colorAxis rgb="FF000000"/>
          <x14:colorMarkers rgb="FF0070C0"/>
          <x14:colorFirst rgb="FF0070C0"/>
          <x14:colorLast rgb="FF0070C0"/>
          <x14:colorHigh rgb="FF0070C0"/>
          <x14:colorLow rgb="FF0070C0"/>
          <x14:sparklines>
            <x14:sparkline>
              <xm:f>Модель!CA278:CC278</xm:f>
              <xm:sqref>CD277</xm:sqref>
            </x14:sparkline>
          </x14:sparklines>
        </x14:sparklineGroup>
        <x14:sparklineGroup manualMax="0" manualMin="0" lineWeight="2.25" displayEmptyCellsAs="gap" xr2:uid="{1C6B5535-E0EE-4E8F-ABA9-53BE5846F483}">
          <x14:colorSeries rgb="FF000000"/>
          <x14:colorNegative rgb="FF0070C0"/>
          <x14:colorAxis rgb="FF000000"/>
          <x14:colorMarkers rgb="FF0070C0"/>
          <x14:colorFirst rgb="FF0070C0"/>
          <x14:colorLast rgb="FF0070C0"/>
          <x14:colorHigh rgb="FF0070C0"/>
          <x14:colorLow rgb="FF0070C0"/>
          <x14:sparklines>
            <x14:sparkline>
              <xm:f>Модель!BU278:BW278</xm:f>
              <xm:sqref>BX277</xm:sqref>
            </x14:sparkline>
          </x14:sparklines>
        </x14:sparklineGroup>
        <x14:sparklineGroup manualMax="0" manualMin="0" lineWeight="2.25" displayEmptyCellsAs="gap" xr2:uid="{027EDC94-D5C0-4D3E-9771-24C30FBF1166}">
          <x14:colorSeries rgb="FF000000"/>
          <x14:colorNegative rgb="FF0070C0"/>
          <x14:colorAxis rgb="FF000000"/>
          <x14:colorMarkers rgb="FF0070C0"/>
          <x14:colorFirst rgb="FF0070C0"/>
          <x14:colorLast rgb="FF0070C0"/>
          <x14:colorHigh rgb="FF0070C0"/>
          <x14:colorLow rgb="FF0070C0"/>
          <x14:sparklines>
            <x14:sparkline>
              <xm:f>Модель!BU288:BW288</xm:f>
              <xm:sqref>BX287</xm:sqref>
            </x14:sparkline>
          </x14:sparklines>
        </x14:sparklineGroup>
        <x14:sparklineGroup manualMax="0" manualMin="0" lineWeight="2.25" displayEmptyCellsAs="gap" xr2:uid="{D63C5F03-5D44-4AEA-8D77-099361224B89}">
          <x14:colorSeries rgb="FF000000"/>
          <x14:colorNegative rgb="FF0070C0"/>
          <x14:colorAxis rgb="FF000000"/>
          <x14:colorMarkers rgb="FF0070C0"/>
          <x14:colorFirst rgb="FF0070C0"/>
          <x14:colorLast rgb="FF0070C0"/>
          <x14:colorHigh rgb="FF0070C0"/>
          <x14:colorLow rgb="FF0070C0"/>
          <x14:sparklines>
            <x14:sparkline>
              <xm:f>Модель!CA288:CC288</xm:f>
              <xm:sqref>CD287</xm:sqref>
            </x14:sparkline>
          </x14:sparklines>
        </x14:sparklineGroup>
        <x14:sparklineGroup manualMax="0" manualMin="0" lineWeight="2.25" displayEmptyCellsAs="gap" xr2:uid="{32EF0E1D-A0E5-4143-BB8E-B6BE8B9CC50E}">
          <x14:colorSeries rgb="FF000000"/>
          <x14:colorNegative rgb="FF0070C0"/>
          <x14:colorAxis rgb="FF000000"/>
          <x14:colorMarkers rgb="FF0070C0"/>
          <x14:colorFirst rgb="FF0070C0"/>
          <x14:colorLast rgb="FF0070C0"/>
          <x14:colorHigh rgb="FF0070C0"/>
          <x14:colorLow rgb="FF0070C0"/>
          <x14:sparklines>
            <x14:sparkline>
              <xm:f>Модель!CA308:CC308</xm:f>
              <xm:sqref>CD307</xm:sqref>
            </x14:sparkline>
          </x14:sparklines>
        </x14:sparklineGroup>
        <x14:sparklineGroup manualMax="0" manualMin="0" lineWeight="2.25" displayEmptyCellsAs="gap" xr2:uid="{7BEB462E-485E-4C8E-97EE-F66093A27669}">
          <x14:colorSeries rgb="FF000000"/>
          <x14:colorNegative rgb="FF0070C0"/>
          <x14:colorAxis rgb="FF000000"/>
          <x14:colorMarkers rgb="FF0070C0"/>
          <x14:colorFirst rgb="FF0070C0"/>
          <x14:colorLast rgb="FF0070C0"/>
          <x14:colorHigh rgb="FF0070C0"/>
          <x14:colorLow rgb="FF0070C0"/>
          <x14:sparklines>
            <x14:sparkline>
              <xm:f>Модель!BU308:BW308</xm:f>
              <xm:sqref>BX307</xm:sqref>
            </x14:sparkline>
          </x14:sparklines>
        </x14:sparklineGroup>
        <x14:sparklineGroup manualMax="0" manualMin="0" lineWeight="2.25" displayEmptyCellsAs="gap" xr2:uid="{E24E8637-4A52-4F6E-8584-F280B82D0733}">
          <x14:colorSeries rgb="FF000000"/>
          <x14:colorNegative rgb="FF0070C0"/>
          <x14:colorAxis rgb="FF000000"/>
          <x14:colorMarkers rgb="FF0070C0"/>
          <x14:colorFirst rgb="FF0070C0"/>
          <x14:colorLast rgb="FF0070C0"/>
          <x14:colorHigh rgb="FF0070C0"/>
          <x14:colorLow rgb="FF0070C0"/>
          <x14:sparklines>
            <x14:sparkline>
              <xm:f>Модель!BU298:BW298</xm:f>
              <xm:sqref>BX297</xm:sqref>
            </x14:sparkline>
          </x14:sparklines>
        </x14:sparklineGroup>
        <x14:sparklineGroup manualMax="0" manualMin="0" lineWeight="2.25" displayEmptyCellsAs="gap" xr2:uid="{9318F47A-6578-4FF9-AC1E-485D5F2CED19}">
          <x14:colorSeries rgb="FF000000"/>
          <x14:colorNegative rgb="FF0070C0"/>
          <x14:colorAxis rgb="FF000000"/>
          <x14:colorMarkers rgb="FF0070C0"/>
          <x14:colorFirst rgb="FF0070C0"/>
          <x14:colorLast rgb="FF0070C0"/>
          <x14:colorHigh rgb="FF0070C0"/>
          <x14:colorLow rgb="FF0070C0"/>
          <x14:sparklines>
            <x14:sparkline>
              <xm:f>Модель!CA298:CC298</xm:f>
              <xm:sqref>CD297</xm:sqref>
            </x14:sparkline>
          </x14:sparklines>
        </x14:sparklineGroup>
        <x14:sparklineGroup manualMax="0" manualMin="0" lineWeight="2.25" displayEmptyCellsAs="gap" xr2:uid="{08B6F01F-FAB3-49EF-A865-4C50E25B2ED9}">
          <x14:colorSeries rgb="FF000000"/>
          <x14:colorNegative rgb="FF0070C0"/>
          <x14:colorAxis rgb="FF000000"/>
          <x14:colorMarkers rgb="FF0070C0"/>
          <x14:colorFirst rgb="FF0070C0"/>
          <x14:colorLast rgb="FF0070C0"/>
          <x14:colorHigh rgb="FF0070C0"/>
          <x14:colorLow rgb="FF0070C0"/>
          <x14:sparklines>
            <x14:sparkline>
              <xm:f>Модель!CA338:CC338</xm:f>
              <xm:sqref>CD337</xm:sqref>
            </x14:sparkline>
          </x14:sparklines>
        </x14:sparklineGroup>
        <x14:sparklineGroup manualMax="0" manualMin="0" lineWeight="2.25" displayEmptyCellsAs="gap" xr2:uid="{80A9ABBA-CF91-4FA9-A77B-BB254CD1DCEF}">
          <x14:colorSeries rgb="FF000000"/>
          <x14:colorNegative rgb="FF0070C0"/>
          <x14:colorAxis rgb="FF000000"/>
          <x14:colorMarkers rgb="FF0070C0"/>
          <x14:colorFirst rgb="FF0070C0"/>
          <x14:colorLast rgb="FF0070C0"/>
          <x14:colorHigh rgb="FF0070C0"/>
          <x14:colorLow rgb="FF0070C0"/>
          <x14:sparklines>
            <x14:sparkline>
              <xm:f>Модель!BU338:BW338</xm:f>
              <xm:sqref>BX337</xm:sqref>
            </x14:sparkline>
          </x14:sparklines>
        </x14:sparklineGroup>
        <x14:sparklineGroup manualMax="0" manualMin="0" lineWeight="2.25" displayEmptyCellsAs="gap" xr2:uid="{80220C94-336F-40E2-9377-A90D47B46D98}">
          <x14:colorSeries rgb="FF000000"/>
          <x14:colorNegative rgb="FF0070C0"/>
          <x14:colorAxis rgb="FF000000"/>
          <x14:colorMarkers rgb="FF0070C0"/>
          <x14:colorFirst rgb="FF0070C0"/>
          <x14:colorLast rgb="FF0070C0"/>
          <x14:colorHigh rgb="FF0070C0"/>
          <x14:colorLow rgb="FF0070C0"/>
          <x14:sparklines>
            <x14:sparkline>
              <xm:f>Модель!BU348:BW348</xm:f>
              <xm:sqref>BX347</xm:sqref>
            </x14:sparkline>
          </x14:sparklines>
        </x14:sparklineGroup>
        <x14:sparklineGroup manualMax="0" manualMin="0" lineWeight="2.25" displayEmptyCellsAs="gap" xr2:uid="{60199136-0F72-42E3-957D-10C344C8A241}">
          <x14:colorSeries rgb="FF000000"/>
          <x14:colorNegative rgb="FF0070C0"/>
          <x14:colorAxis rgb="FF000000"/>
          <x14:colorMarkers rgb="FF0070C0"/>
          <x14:colorFirst rgb="FF0070C0"/>
          <x14:colorLast rgb="FF0070C0"/>
          <x14:colorHigh rgb="FF0070C0"/>
          <x14:colorLow rgb="FF0070C0"/>
          <x14:sparklines>
            <x14:sparkline>
              <xm:f>Модель!CA348:CC348</xm:f>
              <xm:sqref>CD347</xm:sqref>
            </x14:sparkline>
          </x14:sparklines>
        </x14:sparklineGroup>
        <x14:sparklineGroup manualMax="0" manualMin="0" lineWeight="2.25" displayEmptyCellsAs="gap" xr2:uid="{149362A5-BE96-4741-A0AA-418437A63C4F}">
          <x14:colorSeries rgb="FF000000"/>
          <x14:colorNegative rgb="FF0070C0"/>
          <x14:colorAxis rgb="FF000000"/>
          <x14:colorMarkers rgb="FF0070C0"/>
          <x14:colorFirst rgb="FF0070C0"/>
          <x14:colorLast rgb="FF0070C0"/>
          <x14:colorHigh rgb="FF0070C0"/>
          <x14:colorLow rgb="FF0070C0"/>
          <x14:sparklines>
            <x14:sparkline>
              <xm:f>Модель!CA328:CC328</xm:f>
              <xm:sqref>CD327</xm:sqref>
            </x14:sparkline>
          </x14:sparklines>
        </x14:sparklineGroup>
        <x14:sparklineGroup manualMax="0" manualMin="0" lineWeight="2.25" displayEmptyCellsAs="gap" xr2:uid="{9202EF2C-2440-4AA6-ABEC-28592A6F7E07}">
          <x14:colorSeries rgb="FF000000"/>
          <x14:colorNegative rgb="FF0070C0"/>
          <x14:colorAxis rgb="FF000000"/>
          <x14:colorMarkers rgb="FF0070C0"/>
          <x14:colorFirst rgb="FF0070C0"/>
          <x14:colorLast rgb="FF0070C0"/>
          <x14:colorHigh rgb="FF0070C0"/>
          <x14:colorLow rgb="FF0070C0"/>
          <x14:sparklines>
            <x14:sparkline>
              <xm:f>Модель!BU328:BW328</xm:f>
              <xm:sqref>BX327</xm:sqref>
            </x14:sparkline>
          </x14:sparklines>
        </x14:sparklineGroup>
        <x14:sparklineGroup manualMax="0" manualMin="0" lineWeight="2.25" displayEmptyCellsAs="gap" xr2:uid="{41128D12-8AC7-47F0-8F26-EFAD4427ACAD}">
          <x14:colorSeries rgb="FF000000"/>
          <x14:colorNegative rgb="FF0070C0"/>
          <x14:colorAxis rgb="FF000000"/>
          <x14:colorMarkers rgb="FF0070C0"/>
          <x14:colorFirst rgb="FF0070C0"/>
          <x14:colorLast rgb="FF0070C0"/>
          <x14:colorHigh rgb="FF0070C0"/>
          <x14:colorLow rgb="FF0070C0"/>
          <x14:sparklines>
            <x14:sparkline>
              <xm:f>Модель!BU318:BW318</xm:f>
              <xm:sqref>BX317</xm:sqref>
            </x14:sparkline>
          </x14:sparklines>
        </x14:sparklineGroup>
        <x14:sparklineGroup manualMax="0" manualMin="0" lineWeight="2.25" displayEmptyCellsAs="gap" xr2:uid="{4A837A5A-ABC1-4EA2-94EF-008DD2090B92}">
          <x14:colorSeries rgb="FF000000"/>
          <x14:colorNegative rgb="FF0070C0"/>
          <x14:colorAxis rgb="FF000000"/>
          <x14:colorMarkers rgb="FF0070C0"/>
          <x14:colorFirst rgb="FF0070C0"/>
          <x14:colorLast rgb="FF0070C0"/>
          <x14:colorHigh rgb="FF0070C0"/>
          <x14:colorLow rgb="FF0070C0"/>
          <x14:sparklines>
            <x14:sparkline>
              <xm:f>Модель!CA318:CC318</xm:f>
              <xm:sqref>CD317</xm:sqref>
            </x14:sparkline>
          </x14:sparklines>
        </x14:sparklineGroup>
        <x14:sparklineGroup manualMax="0" manualMin="0" lineWeight="2.25" displayEmptyCellsAs="gap" xr2:uid="{68A52830-CB37-498E-9608-3EC08C8EB373}">
          <x14:colorSeries rgb="FF000000"/>
          <x14:colorNegative rgb="FF0070C0"/>
          <x14:colorAxis rgb="FF000000"/>
          <x14:colorMarkers rgb="FF0070C0"/>
          <x14:colorFirst rgb="FF0070C0"/>
          <x14:colorLast rgb="FF0070C0"/>
          <x14:colorHigh rgb="FF0070C0"/>
          <x14:colorLow rgb="FF0070C0"/>
          <x14:sparklines>
            <x14:sparkline>
              <xm:f>Модель!CA398:CC398</xm:f>
              <xm:sqref>CD397</xm:sqref>
            </x14:sparkline>
          </x14:sparklines>
        </x14:sparklineGroup>
        <x14:sparklineGroup manualMax="0" manualMin="0" lineWeight="2.25" displayEmptyCellsAs="gap" xr2:uid="{C92A1503-FEB8-48BA-A18D-F9583E33DD9D}">
          <x14:colorSeries rgb="FF000000"/>
          <x14:colorNegative rgb="FF0070C0"/>
          <x14:colorAxis rgb="FF000000"/>
          <x14:colorMarkers rgb="FF0070C0"/>
          <x14:colorFirst rgb="FF0070C0"/>
          <x14:colorLast rgb="FF0070C0"/>
          <x14:colorHigh rgb="FF0070C0"/>
          <x14:colorLow rgb="FF0070C0"/>
          <x14:sparklines>
            <x14:sparkline>
              <xm:f>Модель!BU398:BW398</xm:f>
              <xm:sqref>BX397</xm:sqref>
            </x14:sparkline>
          </x14:sparklines>
        </x14:sparklineGroup>
        <x14:sparklineGroup manualMax="0" manualMin="0" lineWeight="2.25" displayEmptyCellsAs="gap" xr2:uid="{CA095761-AFA5-435D-ABFA-06AC382A347C}">
          <x14:colorSeries rgb="FF000000"/>
          <x14:colorNegative rgb="FF0070C0"/>
          <x14:colorAxis rgb="FF000000"/>
          <x14:colorMarkers rgb="FF0070C0"/>
          <x14:colorFirst rgb="FF0070C0"/>
          <x14:colorLast rgb="FF0070C0"/>
          <x14:colorHigh rgb="FF0070C0"/>
          <x14:colorLow rgb="FF0070C0"/>
          <x14:sparklines>
            <x14:sparkline>
              <xm:f>Модель!BU408:BW408</xm:f>
              <xm:sqref>BX407</xm:sqref>
            </x14:sparkline>
          </x14:sparklines>
        </x14:sparklineGroup>
        <x14:sparklineGroup manualMax="0" manualMin="0" lineWeight="2.25" displayEmptyCellsAs="gap" xr2:uid="{2B965DE5-CC15-46CC-B305-41F6A4673DB4}">
          <x14:colorSeries rgb="FF000000"/>
          <x14:colorNegative rgb="FF0070C0"/>
          <x14:colorAxis rgb="FF000000"/>
          <x14:colorMarkers rgb="FF0070C0"/>
          <x14:colorFirst rgb="FF0070C0"/>
          <x14:colorLast rgb="FF0070C0"/>
          <x14:colorHigh rgb="FF0070C0"/>
          <x14:colorLow rgb="FF0070C0"/>
          <x14:sparklines>
            <x14:sparkline>
              <xm:f>Модель!CA408:CC408</xm:f>
              <xm:sqref>CD407</xm:sqref>
            </x14:sparkline>
          </x14:sparklines>
        </x14:sparklineGroup>
        <x14:sparklineGroup manualMax="0" manualMin="0" lineWeight="2.25" displayEmptyCellsAs="gap" xr2:uid="{F3A3BF23-95B2-4694-8242-E5EC122C1331}">
          <x14:colorSeries rgb="FF000000"/>
          <x14:colorNegative rgb="FF0070C0"/>
          <x14:colorAxis rgb="FF000000"/>
          <x14:colorMarkers rgb="FF0070C0"/>
          <x14:colorFirst rgb="FF0070C0"/>
          <x14:colorLast rgb="FF0070C0"/>
          <x14:colorHigh rgb="FF0070C0"/>
          <x14:colorLow rgb="FF0070C0"/>
          <x14:sparklines>
            <x14:sparkline>
              <xm:f>Модель!CA428:CC428</xm:f>
              <xm:sqref>CD427</xm:sqref>
            </x14:sparkline>
          </x14:sparklines>
        </x14:sparklineGroup>
        <x14:sparklineGroup manualMax="0" manualMin="0" lineWeight="2.25" displayEmptyCellsAs="gap" xr2:uid="{2C61D201-B567-4C4A-BAFC-30DB4A082DEF}">
          <x14:colorSeries rgb="FF000000"/>
          <x14:colorNegative rgb="FF0070C0"/>
          <x14:colorAxis rgb="FF000000"/>
          <x14:colorMarkers rgb="FF0070C0"/>
          <x14:colorFirst rgb="FF0070C0"/>
          <x14:colorLast rgb="FF0070C0"/>
          <x14:colorHigh rgb="FF0070C0"/>
          <x14:colorLow rgb="FF0070C0"/>
          <x14:sparklines>
            <x14:sparkline>
              <xm:f>Модель!BU428:BW428</xm:f>
              <xm:sqref>BX427</xm:sqref>
            </x14:sparkline>
          </x14:sparklines>
        </x14:sparklineGroup>
        <x14:sparklineGroup manualMax="0" manualMin="0" lineWeight="2.25" displayEmptyCellsAs="gap" xr2:uid="{5CF29754-DB4C-4C73-AE3E-01D035FB95E7}">
          <x14:colorSeries rgb="FF000000"/>
          <x14:colorNegative rgb="FF0070C0"/>
          <x14:colorAxis rgb="FF000000"/>
          <x14:colorMarkers rgb="FF0070C0"/>
          <x14:colorFirst rgb="FF0070C0"/>
          <x14:colorLast rgb="FF0070C0"/>
          <x14:colorHigh rgb="FF0070C0"/>
          <x14:colorLow rgb="FF0070C0"/>
          <x14:sparklines>
            <x14:sparkline>
              <xm:f>Модель!BU418:BW418</xm:f>
              <xm:sqref>BX417</xm:sqref>
            </x14:sparkline>
          </x14:sparklines>
        </x14:sparklineGroup>
        <x14:sparklineGroup manualMax="0" manualMin="0" lineWeight="2.25" displayEmptyCellsAs="gap" xr2:uid="{A99B7A33-6DA5-47E1-AE78-2393D5CC7EAC}">
          <x14:colorSeries rgb="FF000000"/>
          <x14:colorNegative rgb="FF0070C0"/>
          <x14:colorAxis rgb="FF000000"/>
          <x14:colorMarkers rgb="FF0070C0"/>
          <x14:colorFirst rgb="FF0070C0"/>
          <x14:colorLast rgb="FF0070C0"/>
          <x14:colorHigh rgb="FF0070C0"/>
          <x14:colorLow rgb="FF0070C0"/>
          <x14:sparklines>
            <x14:sparkline>
              <xm:f>Модель!CA418:CC418</xm:f>
              <xm:sqref>CD417</xm:sqref>
            </x14:sparkline>
          </x14:sparklines>
        </x14:sparklineGroup>
        <x14:sparklineGroup manualMax="0" manualMin="0" lineWeight="2.25" displayEmptyCellsAs="gap" xr2:uid="{4CD13A79-1E32-44CB-BCEA-9AF590629EE2}">
          <x14:colorSeries rgb="FF000000"/>
          <x14:colorNegative rgb="FF0070C0"/>
          <x14:colorAxis rgb="FF000000"/>
          <x14:colorMarkers rgb="FF0070C0"/>
          <x14:colorFirst rgb="FF0070C0"/>
          <x14:colorLast rgb="FF0070C0"/>
          <x14:colorHigh rgb="FF0070C0"/>
          <x14:colorLow rgb="FF0070C0"/>
          <x14:sparklines>
            <x14:sparkline>
              <xm:f>Модель!CA378:CC378</xm:f>
              <xm:sqref>CD377</xm:sqref>
            </x14:sparkline>
          </x14:sparklines>
        </x14:sparklineGroup>
        <x14:sparklineGroup manualMax="0" manualMin="0" lineWeight="2.25" displayEmptyCellsAs="gap" xr2:uid="{CF2D4020-4EAD-41C5-BF66-241A35F9223B}">
          <x14:colorSeries rgb="FF000000"/>
          <x14:colorNegative rgb="FF0070C0"/>
          <x14:colorAxis rgb="FF000000"/>
          <x14:colorMarkers rgb="FF0070C0"/>
          <x14:colorFirst rgb="FF0070C0"/>
          <x14:colorLast rgb="FF0070C0"/>
          <x14:colorHigh rgb="FF0070C0"/>
          <x14:colorLow rgb="FF0070C0"/>
          <x14:sparklines>
            <x14:sparkline>
              <xm:f>Модель!BU378:BW378</xm:f>
              <xm:sqref>BX377</xm:sqref>
            </x14:sparkline>
          </x14:sparklines>
        </x14:sparklineGroup>
        <x14:sparklineGroup manualMax="0" manualMin="0" lineWeight="2.25" displayEmptyCellsAs="gap" xr2:uid="{C87BD7D3-C245-469B-A67D-897245543E70}">
          <x14:colorSeries rgb="FF000000"/>
          <x14:colorNegative rgb="FF0070C0"/>
          <x14:colorAxis rgb="FF000000"/>
          <x14:colorMarkers rgb="FF0070C0"/>
          <x14:colorFirst rgb="FF0070C0"/>
          <x14:colorLast rgb="FF0070C0"/>
          <x14:colorHigh rgb="FF0070C0"/>
          <x14:colorLow rgb="FF0070C0"/>
          <x14:sparklines>
            <x14:sparkline>
              <xm:f>Модель!BU388:BW388</xm:f>
              <xm:sqref>BX387</xm:sqref>
            </x14:sparkline>
          </x14:sparklines>
        </x14:sparklineGroup>
        <x14:sparklineGroup manualMax="0" manualMin="0" lineWeight="2.25" displayEmptyCellsAs="gap" xr2:uid="{3D2A8237-832C-425E-A1F6-9E239A81DE60}">
          <x14:colorSeries rgb="FF000000"/>
          <x14:colorNegative rgb="FF0070C0"/>
          <x14:colorAxis rgb="FF000000"/>
          <x14:colorMarkers rgb="FF0070C0"/>
          <x14:colorFirst rgb="FF0070C0"/>
          <x14:colorLast rgb="FF0070C0"/>
          <x14:colorHigh rgb="FF0070C0"/>
          <x14:colorLow rgb="FF0070C0"/>
          <x14:sparklines>
            <x14:sparkline>
              <xm:f>Модель!CA388:CC388</xm:f>
              <xm:sqref>CD387</xm:sqref>
            </x14:sparkline>
          </x14:sparklines>
        </x14:sparklineGroup>
        <x14:sparklineGroup manualMax="0" manualMin="0" lineWeight="2.25" displayEmptyCellsAs="gap" xr2:uid="{9715BA39-989D-481D-BBE1-7165CF1D0445}">
          <x14:colorSeries rgb="FF000000"/>
          <x14:colorNegative rgb="FF0070C0"/>
          <x14:colorAxis rgb="FF000000"/>
          <x14:colorMarkers rgb="FF0070C0"/>
          <x14:colorFirst rgb="FF0070C0"/>
          <x14:colorLast rgb="FF0070C0"/>
          <x14:colorHigh rgb="FF0070C0"/>
          <x14:colorLow rgb="FF0070C0"/>
          <x14:sparklines>
            <x14:sparkline>
              <xm:f>Модель!CA368:CC368</xm:f>
              <xm:sqref>CD367</xm:sqref>
            </x14:sparkline>
          </x14:sparklines>
        </x14:sparklineGroup>
        <x14:sparklineGroup manualMax="0" manualMin="0" lineWeight="2.25" displayEmptyCellsAs="gap" xr2:uid="{731FFC80-0941-4ED3-A5FF-C017A0FBA29E}">
          <x14:colorSeries rgb="FF000000"/>
          <x14:colorNegative rgb="FF0070C0"/>
          <x14:colorAxis rgb="FF000000"/>
          <x14:colorMarkers rgb="FF0070C0"/>
          <x14:colorFirst rgb="FF0070C0"/>
          <x14:colorLast rgb="FF0070C0"/>
          <x14:colorHigh rgb="FF0070C0"/>
          <x14:colorLow rgb="FF0070C0"/>
          <x14:sparklines>
            <x14:sparkline>
              <xm:f>Модель!BU368:BW368</xm:f>
              <xm:sqref>BX367</xm:sqref>
            </x14:sparkline>
          </x14:sparklines>
        </x14:sparklineGroup>
        <x14:sparklineGroup manualMax="0" manualMin="0" lineWeight="2.25" displayEmptyCellsAs="gap" xr2:uid="{2E09535B-665C-4605-8B94-18A67E086192}">
          <x14:colorSeries rgb="FF000000"/>
          <x14:colorNegative rgb="FF0070C0"/>
          <x14:colorAxis rgb="FF000000"/>
          <x14:colorMarkers rgb="FF0070C0"/>
          <x14:colorFirst rgb="FF0070C0"/>
          <x14:colorLast rgb="FF0070C0"/>
          <x14:colorHigh rgb="FF0070C0"/>
          <x14:colorLow rgb="FF0070C0"/>
          <x14:sparklines>
            <x14:sparkline>
              <xm:f>Модель!BU358:BW358</xm:f>
              <xm:sqref>BX357</xm:sqref>
            </x14:sparkline>
          </x14:sparklines>
        </x14:sparklineGroup>
        <x14:sparklineGroup manualMax="0" manualMin="0" lineWeight="2.25" displayEmptyCellsAs="gap" xr2:uid="{F205F9F1-454B-442B-B347-DC2BBB46EBF3}">
          <x14:colorSeries rgb="FF000000"/>
          <x14:colorNegative rgb="FF0070C0"/>
          <x14:colorAxis rgb="FF000000"/>
          <x14:colorMarkers rgb="FF0070C0"/>
          <x14:colorFirst rgb="FF0070C0"/>
          <x14:colorLast rgb="FF0070C0"/>
          <x14:colorHigh rgb="FF0070C0"/>
          <x14:colorLow rgb="FF0070C0"/>
          <x14:sparklines>
            <x14:sparkline>
              <xm:f>Модель!CA358:CC358</xm:f>
              <xm:sqref>CD357</xm:sqref>
            </x14:sparkline>
          </x14:sparklines>
        </x14:sparklineGroup>
        <x14:sparklineGroup manualMax="0" manualMin="0" lineWeight="2.25" displayEmptyCellsAs="gap" xr2:uid="{478B24A6-43B2-4AE3-A73D-DF53ED7942A1}">
          <x14:colorSeries rgb="FF000000"/>
          <x14:colorNegative rgb="FF0070C0"/>
          <x14:colorAxis rgb="FF000000"/>
          <x14:colorMarkers rgb="FF0070C0"/>
          <x14:colorFirst rgb="FF0070C0"/>
          <x14:colorLast rgb="FF0070C0"/>
          <x14:colorHigh rgb="FF0070C0"/>
          <x14:colorLow rgb="FF0070C0"/>
          <x14:sparklines>
            <x14:sparkline>
              <xm:f>Модель!CA198:CC198</xm:f>
              <xm:sqref>CD197</xm:sqref>
            </x14:sparkline>
          </x14:sparklines>
        </x14:sparklineGroup>
        <x14:sparklineGroup manualMax="0" manualMin="0" lineWeight="2.25" displayEmptyCellsAs="gap" xr2:uid="{3FBB23FA-1F90-46DD-BE5A-BE35EA666BE2}">
          <x14:colorSeries rgb="FF000000"/>
          <x14:colorNegative rgb="FF0070C0"/>
          <x14:colorAxis rgb="FF000000"/>
          <x14:colorMarkers rgb="FF0070C0"/>
          <x14:colorFirst rgb="FF0070C0"/>
          <x14:colorLast rgb="FF0070C0"/>
          <x14:colorHigh rgb="FF0070C0"/>
          <x14:colorLow rgb="FF0070C0"/>
          <x14:sparklines>
            <x14:sparkline>
              <xm:f>Модель!BU198:BW198</xm:f>
              <xm:sqref>BX197</xm:sqref>
            </x14:sparkline>
          </x14:sparklines>
        </x14:sparklineGroup>
        <x14:sparklineGroup manualMax="0" manualMin="0" lineWeight="2.25" displayEmptyCellsAs="gap" xr2:uid="{77D1D2F5-F4BB-4AC0-BC87-C9686C548232}">
          <x14:colorSeries rgb="FF000000"/>
          <x14:colorNegative rgb="FF0070C0"/>
          <x14:colorAxis rgb="FF000000"/>
          <x14:colorMarkers rgb="FF0070C0"/>
          <x14:colorFirst rgb="FF0070C0"/>
          <x14:colorLast rgb="FF0070C0"/>
          <x14:colorHigh rgb="FF0070C0"/>
          <x14:colorLow rgb="FF0070C0"/>
          <x14:sparklines>
            <x14:sparkline>
              <xm:f>Модель!BU208:BW208</xm:f>
              <xm:sqref>BX207</xm:sqref>
            </x14:sparkline>
          </x14:sparklines>
        </x14:sparklineGroup>
        <x14:sparklineGroup manualMax="0" manualMin="0" lineWeight="2.25" displayEmptyCellsAs="gap" xr2:uid="{34AAA60D-AB62-472F-B0B5-C139C81F788F}">
          <x14:colorSeries rgb="FF000000"/>
          <x14:colorNegative rgb="FF0070C0"/>
          <x14:colorAxis rgb="FF000000"/>
          <x14:colorMarkers rgb="FF0070C0"/>
          <x14:colorFirst rgb="FF0070C0"/>
          <x14:colorLast rgb="FF0070C0"/>
          <x14:colorHigh rgb="FF0070C0"/>
          <x14:colorLow rgb="FF0070C0"/>
          <x14:sparklines>
            <x14:sparkline>
              <xm:f>Модель!CA208:CC208</xm:f>
              <xm:sqref>CD207</xm:sqref>
            </x14:sparkline>
          </x14:sparklines>
        </x14:sparklineGroup>
        <x14:sparklineGroup manualMax="0" manualMin="0" lineWeight="2.25" displayEmptyCellsAs="gap" xr2:uid="{5B30A98E-638D-4C8D-94A0-F7A1553D4C99}">
          <x14:colorSeries rgb="FF000000"/>
          <x14:colorNegative rgb="FF0070C0"/>
          <x14:colorAxis rgb="FF000000"/>
          <x14:colorMarkers rgb="FF0070C0"/>
          <x14:colorFirst rgb="FF0070C0"/>
          <x14:colorLast rgb="FF0070C0"/>
          <x14:colorHigh rgb="FF0070C0"/>
          <x14:colorLow rgb="FF0070C0"/>
          <x14:sparklines>
            <x14:sparkline>
              <xm:f>Модель!CA228:CC228</xm:f>
              <xm:sqref>CD227</xm:sqref>
            </x14:sparkline>
          </x14:sparklines>
        </x14:sparklineGroup>
        <x14:sparklineGroup manualMax="0" manualMin="0" lineWeight="2.25" displayEmptyCellsAs="gap" xr2:uid="{FAB06A72-3477-47A3-AD48-FB3D92439223}">
          <x14:colorSeries rgb="FF000000"/>
          <x14:colorNegative rgb="FF0070C0"/>
          <x14:colorAxis rgb="FF000000"/>
          <x14:colorMarkers rgb="FF0070C0"/>
          <x14:colorFirst rgb="FF0070C0"/>
          <x14:colorLast rgb="FF0070C0"/>
          <x14:colorHigh rgb="FF0070C0"/>
          <x14:colorLow rgb="FF0070C0"/>
          <x14:sparklines>
            <x14:sparkline>
              <xm:f>Модель!BU228:BW228</xm:f>
              <xm:sqref>BX227</xm:sqref>
            </x14:sparkline>
          </x14:sparklines>
        </x14:sparklineGroup>
        <x14:sparklineGroup manualMax="0" manualMin="0" lineWeight="2.25" displayEmptyCellsAs="gap" xr2:uid="{1C517892-E51F-43FF-B62B-CA4FC7F7F7DC}">
          <x14:colorSeries rgb="FF000000"/>
          <x14:colorNegative rgb="FF0070C0"/>
          <x14:colorAxis rgb="FF000000"/>
          <x14:colorMarkers rgb="FF0070C0"/>
          <x14:colorFirst rgb="FF0070C0"/>
          <x14:colorLast rgb="FF0070C0"/>
          <x14:colorHigh rgb="FF0070C0"/>
          <x14:colorLow rgb="FF0070C0"/>
          <x14:sparklines>
            <x14:sparkline>
              <xm:f>Модель!BU218:BW218</xm:f>
              <xm:sqref>BX217</xm:sqref>
            </x14:sparkline>
          </x14:sparklines>
        </x14:sparklineGroup>
        <x14:sparklineGroup manualMax="0" manualMin="0" lineWeight="2.25" displayEmptyCellsAs="gap" xr2:uid="{E8700C62-4731-43E7-BEBE-593C90B73F4D}">
          <x14:colorSeries rgb="FF000000"/>
          <x14:colorNegative rgb="FF0070C0"/>
          <x14:colorAxis rgb="FF000000"/>
          <x14:colorMarkers rgb="FF0070C0"/>
          <x14:colorFirst rgb="FF0070C0"/>
          <x14:colorLast rgb="FF0070C0"/>
          <x14:colorHigh rgb="FF0070C0"/>
          <x14:colorLow rgb="FF0070C0"/>
          <x14:sparklines>
            <x14:sparkline>
              <xm:f>Модель!CA218:CC218</xm:f>
              <xm:sqref>CD217</xm:sqref>
            </x14:sparkline>
          </x14:sparklines>
        </x14:sparklineGroup>
        <x14:sparklineGroup manualMax="0" manualMin="0" lineWeight="2.25" displayEmptyCellsAs="gap" xr2:uid="{5A90DE87-5DFC-4191-81D3-DC13EC1CE0BE}">
          <x14:colorSeries rgb="FF000000"/>
          <x14:colorNegative rgb="FF0070C0"/>
          <x14:colorAxis rgb="FF000000"/>
          <x14:colorMarkers rgb="FF0070C0"/>
          <x14:colorFirst rgb="FF0070C0"/>
          <x14:colorLast rgb="FF0070C0"/>
          <x14:colorHigh rgb="FF0070C0"/>
          <x14:colorLow rgb="FF0070C0"/>
          <x14:sparklines>
            <x14:sparkline>
              <xm:f>Модель!CA258:CC258</xm:f>
              <xm:sqref>CD257</xm:sqref>
            </x14:sparkline>
          </x14:sparklines>
        </x14:sparklineGroup>
        <x14:sparklineGroup manualMax="0" manualMin="0" lineWeight="2.25" displayEmptyCellsAs="gap" xr2:uid="{BD8256C2-E3CB-49FE-BB91-3082DE7D6BF5}">
          <x14:colorSeries rgb="FF000000"/>
          <x14:colorNegative rgb="FF0070C0"/>
          <x14:colorAxis rgb="FF000000"/>
          <x14:colorMarkers rgb="FF0070C0"/>
          <x14:colorFirst rgb="FF0070C0"/>
          <x14:colorLast rgb="FF0070C0"/>
          <x14:colorHigh rgb="FF0070C0"/>
          <x14:colorLow rgb="FF0070C0"/>
          <x14:sparklines>
            <x14:sparkline>
              <xm:f>Модель!BU258:BW258</xm:f>
              <xm:sqref>BX257</xm:sqref>
            </x14:sparkline>
          </x14:sparklines>
        </x14:sparklineGroup>
        <x14:sparklineGroup manualMax="0" manualMin="0" lineWeight="2.25" displayEmptyCellsAs="gap" xr2:uid="{AC3CC05C-4C76-46C2-B76F-65C8D0BAA7B0}">
          <x14:colorSeries rgb="FF000000"/>
          <x14:colorNegative rgb="FF0070C0"/>
          <x14:colorAxis rgb="FF000000"/>
          <x14:colorMarkers rgb="FF0070C0"/>
          <x14:colorFirst rgb="FF0070C0"/>
          <x14:colorLast rgb="FF0070C0"/>
          <x14:colorHigh rgb="FF0070C0"/>
          <x14:colorLow rgb="FF0070C0"/>
          <x14:sparklines>
            <x14:sparkline>
              <xm:f>Модель!BU268:BW268</xm:f>
              <xm:sqref>BX267</xm:sqref>
            </x14:sparkline>
          </x14:sparklines>
        </x14:sparklineGroup>
        <x14:sparklineGroup manualMax="0" manualMin="0" lineWeight="2.25" displayEmptyCellsAs="gap" xr2:uid="{3C4F7095-B6FF-4039-9073-377A9B9063DB}">
          <x14:colorSeries rgb="FF000000"/>
          <x14:colorNegative rgb="FF0070C0"/>
          <x14:colorAxis rgb="FF000000"/>
          <x14:colorMarkers rgb="FF0070C0"/>
          <x14:colorFirst rgb="FF0070C0"/>
          <x14:colorLast rgb="FF0070C0"/>
          <x14:colorHigh rgb="FF0070C0"/>
          <x14:colorLow rgb="FF0070C0"/>
          <x14:sparklines>
            <x14:sparkline>
              <xm:f>Модель!CA268:CC268</xm:f>
              <xm:sqref>CD267</xm:sqref>
            </x14:sparkline>
          </x14:sparklines>
        </x14:sparklineGroup>
        <x14:sparklineGroup manualMax="0" manualMin="0" lineWeight="2.25" displayEmptyCellsAs="gap" xr2:uid="{5FAC9B4E-C0F3-4958-B33C-BDB0164D18FF}">
          <x14:colorSeries rgb="FF000000"/>
          <x14:colorNegative rgb="FF0070C0"/>
          <x14:colorAxis rgb="FF000000"/>
          <x14:colorMarkers rgb="FF0070C0"/>
          <x14:colorFirst rgb="FF0070C0"/>
          <x14:colorLast rgb="FF0070C0"/>
          <x14:colorHigh rgb="FF0070C0"/>
          <x14:colorLow rgb="FF0070C0"/>
          <x14:sparklines>
            <x14:sparkline>
              <xm:f>Модель!CA248:CC248</xm:f>
              <xm:sqref>CD247</xm:sqref>
            </x14:sparkline>
          </x14:sparklines>
        </x14:sparklineGroup>
        <x14:sparklineGroup manualMax="0" manualMin="0" lineWeight="2.25" displayEmptyCellsAs="gap" xr2:uid="{98B3A178-89C0-4BE6-8E7C-4EE963483B43}">
          <x14:colorSeries rgb="FF000000"/>
          <x14:colorNegative rgb="FF0070C0"/>
          <x14:colorAxis rgb="FF000000"/>
          <x14:colorMarkers rgb="FF0070C0"/>
          <x14:colorFirst rgb="FF0070C0"/>
          <x14:colorLast rgb="FF0070C0"/>
          <x14:colorHigh rgb="FF0070C0"/>
          <x14:colorLow rgb="FF0070C0"/>
          <x14:sparklines>
            <x14:sparkline>
              <xm:f>Модель!BU248:BW248</xm:f>
              <xm:sqref>BX247</xm:sqref>
            </x14:sparkline>
          </x14:sparklines>
        </x14:sparklineGroup>
        <x14:sparklineGroup manualMax="0" manualMin="0" lineWeight="2.25" displayEmptyCellsAs="gap" xr2:uid="{577C976E-4B69-4F7B-AAA6-841C90D4D8F5}">
          <x14:colorSeries rgb="FF000000"/>
          <x14:colorNegative rgb="FF0070C0"/>
          <x14:colorAxis rgb="FF000000"/>
          <x14:colorMarkers rgb="FF0070C0"/>
          <x14:colorFirst rgb="FF0070C0"/>
          <x14:colorLast rgb="FF0070C0"/>
          <x14:colorHigh rgb="FF0070C0"/>
          <x14:colorLow rgb="FF0070C0"/>
          <x14:sparklines>
            <x14:sparkline>
              <xm:f>Модель!BU238:BW238</xm:f>
              <xm:sqref>BX237</xm:sqref>
            </x14:sparkline>
          </x14:sparklines>
        </x14:sparklineGroup>
        <x14:sparklineGroup manualMax="0" manualMin="0" lineWeight="2.25" displayEmptyCellsAs="gap" xr2:uid="{ADAF0589-7F83-47A4-A3FE-A5B50B6050DF}">
          <x14:colorSeries rgb="FF000000"/>
          <x14:colorNegative rgb="FF0070C0"/>
          <x14:colorAxis rgb="FF000000"/>
          <x14:colorMarkers rgb="FF0070C0"/>
          <x14:colorFirst rgb="FF0070C0"/>
          <x14:colorLast rgb="FF0070C0"/>
          <x14:colorHigh rgb="FF0070C0"/>
          <x14:colorLow rgb="FF0070C0"/>
          <x14:sparklines>
            <x14:sparkline>
              <xm:f>Модель!CA238:CC238</xm:f>
              <xm:sqref>CD237</xm:sqref>
            </x14:sparkline>
          </x14:sparklines>
        </x14:sparklineGroup>
        <x14:sparklineGroup manualMax="0" manualMin="0" lineWeight="2.25" displayEmptyCellsAs="gap" xr2:uid="{A473CF3E-5952-44D4-91A3-1E85B1F6F3CC}">
          <x14:colorSeries rgb="FF000000"/>
          <x14:colorNegative rgb="FF0070C0"/>
          <x14:colorAxis rgb="FF000000"/>
          <x14:colorMarkers rgb="FF0070C0"/>
          <x14:colorFirst rgb="FF0070C0"/>
          <x14:colorLast rgb="FF0070C0"/>
          <x14:colorHigh rgb="FF0070C0"/>
          <x14:colorLow rgb="FF0070C0"/>
          <x14:sparklines>
            <x14:sparkline>
              <xm:f>Модель!CA158:CC158</xm:f>
              <xm:sqref>CD157</xm:sqref>
            </x14:sparkline>
          </x14:sparklines>
        </x14:sparklineGroup>
        <x14:sparklineGroup manualMax="0" manualMin="0" lineWeight="2.25" displayEmptyCellsAs="gap" xr2:uid="{584876E5-5A05-4177-9F73-E080A0AFF9D9}">
          <x14:colorSeries rgb="FF000000"/>
          <x14:colorNegative rgb="FF0070C0"/>
          <x14:colorAxis rgb="FF000000"/>
          <x14:colorMarkers rgb="FF0070C0"/>
          <x14:colorFirst rgb="FF0070C0"/>
          <x14:colorLast rgb="FF0070C0"/>
          <x14:colorHigh rgb="FF0070C0"/>
          <x14:colorLow rgb="FF0070C0"/>
          <x14:sparklines>
            <x14:sparkline>
              <xm:f>Модель!BU158:BW158</xm:f>
              <xm:sqref>BX157</xm:sqref>
            </x14:sparkline>
          </x14:sparklines>
        </x14:sparklineGroup>
        <x14:sparklineGroup manualMax="0" manualMin="0" lineWeight="2.25" displayEmptyCellsAs="gap" xr2:uid="{801CA8CC-D432-4872-92D4-B94EC351E4C3}">
          <x14:colorSeries rgb="FF000000"/>
          <x14:colorNegative rgb="FF0070C0"/>
          <x14:colorAxis rgb="FF000000"/>
          <x14:colorMarkers rgb="FF0070C0"/>
          <x14:colorFirst rgb="FF0070C0"/>
          <x14:colorLast rgb="FF0070C0"/>
          <x14:colorHigh rgb="FF0070C0"/>
          <x14:colorLow rgb="FF0070C0"/>
          <x14:sparklines>
            <x14:sparkline>
              <xm:f>Модель!BU168:BW168</xm:f>
              <xm:sqref>BX167</xm:sqref>
            </x14:sparkline>
          </x14:sparklines>
        </x14:sparklineGroup>
        <x14:sparklineGroup manualMax="0" manualMin="0" lineWeight="2.25" displayEmptyCellsAs="gap" xr2:uid="{EA815BBF-EE36-4407-B75E-F1AB341034DD}">
          <x14:colorSeries rgb="FF000000"/>
          <x14:colorNegative rgb="FF0070C0"/>
          <x14:colorAxis rgb="FF000000"/>
          <x14:colorMarkers rgb="FF0070C0"/>
          <x14:colorFirst rgb="FF0070C0"/>
          <x14:colorLast rgb="FF0070C0"/>
          <x14:colorHigh rgb="FF0070C0"/>
          <x14:colorLow rgb="FF0070C0"/>
          <x14:sparklines>
            <x14:sparkline>
              <xm:f>Модель!CA168:CC168</xm:f>
              <xm:sqref>CD167</xm:sqref>
            </x14:sparkline>
          </x14:sparklines>
        </x14:sparklineGroup>
        <x14:sparklineGroup manualMax="0" manualMin="0" lineWeight="2.25" displayEmptyCellsAs="gap" xr2:uid="{135EB75C-DBC1-468C-AB67-8D5AF5E2BD8B}">
          <x14:colorSeries rgb="FF000000"/>
          <x14:colorNegative rgb="FF0070C0"/>
          <x14:colorAxis rgb="FF000000"/>
          <x14:colorMarkers rgb="FF0070C0"/>
          <x14:colorFirst rgb="FF0070C0"/>
          <x14:colorLast rgb="FF0070C0"/>
          <x14:colorHigh rgb="FF0070C0"/>
          <x14:colorLow rgb="FF0070C0"/>
          <x14:sparklines>
            <x14:sparkline>
              <xm:f>Модель!CA188:CC188</xm:f>
              <xm:sqref>CD187</xm:sqref>
            </x14:sparkline>
          </x14:sparklines>
        </x14:sparklineGroup>
        <x14:sparklineGroup manualMax="0" manualMin="0" lineWeight="2.25" displayEmptyCellsAs="gap" xr2:uid="{11CCF899-3E68-458F-9326-AEA16C2DD013}">
          <x14:colorSeries rgb="FF000000"/>
          <x14:colorNegative rgb="FF0070C0"/>
          <x14:colorAxis rgb="FF000000"/>
          <x14:colorMarkers rgb="FF0070C0"/>
          <x14:colorFirst rgb="FF0070C0"/>
          <x14:colorLast rgb="FF0070C0"/>
          <x14:colorHigh rgb="FF0070C0"/>
          <x14:colorLow rgb="FF0070C0"/>
          <x14:sparklines>
            <x14:sparkline>
              <xm:f>Модель!BU188:BW188</xm:f>
              <xm:sqref>BX187</xm:sqref>
            </x14:sparkline>
          </x14:sparklines>
        </x14:sparklineGroup>
        <x14:sparklineGroup manualMax="0" manualMin="0" lineWeight="2.25" displayEmptyCellsAs="gap" xr2:uid="{FB694540-5657-422F-A23A-670AF9BB253B}">
          <x14:colorSeries rgb="FF000000"/>
          <x14:colorNegative rgb="FF0070C0"/>
          <x14:colorAxis rgb="FF000000"/>
          <x14:colorMarkers rgb="FF0070C0"/>
          <x14:colorFirst rgb="FF0070C0"/>
          <x14:colorLast rgb="FF0070C0"/>
          <x14:colorHigh rgb="FF0070C0"/>
          <x14:colorLow rgb="FF0070C0"/>
          <x14:sparklines>
            <x14:sparkline>
              <xm:f>Модель!BU178:BW178</xm:f>
              <xm:sqref>BX177</xm:sqref>
            </x14:sparkline>
          </x14:sparklines>
        </x14:sparklineGroup>
        <x14:sparklineGroup manualMax="0" manualMin="0" lineWeight="2.25" displayEmptyCellsAs="gap" xr2:uid="{3458B64D-72B1-4382-AE5B-0E19FAE2853D}">
          <x14:colorSeries rgb="FF000000"/>
          <x14:colorNegative rgb="FF0070C0"/>
          <x14:colorAxis rgb="FF000000"/>
          <x14:colorMarkers rgb="FF0070C0"/>
          <x14:colorFirst rgb="FF0070C0"/>
          <x14:colorLast rgb="FF0070C0"/>
          <x14:colorHigh rgb="FF0070C0"/>
          <x14:colorLow rgb="FF0070C0"/>
          <x14:sparklines>
            <x14:sparkline>
              <xm:f>Модель!CA178:CC178</xm:f>
              <xm:sqref>CD177</xm:sqref>
            </x14:sparkline>
          </x14:sparklines>
        </x14:sparklineGroup>
        <x14:sparklineGroup manualMax="0" manualMin="0" lineWeight="2.25" displayEmptyCellsAs="gap" xr2:uid="{129E5A44-EBD2-4812-87F8-B1C66450AAFC}">
          <x14:colorSeries rgb="FF000000"/>
          <x14:colorNegative rgb="FF0070C0"/>
          <x14:colorAxis rgb="FF000000"/>
          <x14:colorMarkers rgb="FF0070C0"/>
          <x14:colorFirst rgb="FF0070C0"/>
          <x14:colorLast rgb="FF0070C0"/>
          <x14:colorHigh rgb="FF0070C0"/>
          <x14:colorLow rgb="FF0070C0"/>
          <x14:sparklines>
            <x14:sparkline>
              <xm:f>Модель!CA138:CC138</xm:f>
              <xm:sqref>CD137</xm:sqref>
            </x14:sparkline>
          </x14:sparklines>
        </x14:sparklineGroup>
        <x14:sparklineGroup manualMax="0" manualMin="0" lineWeight="2.25" displayEmptyCellsAs="gap" xr2:uid="{D3D1C6E3-F42A-4C95-AB35-501A47E61CC4}">
          <x14:colorSeries rgb="FF000000"/>
          <x14:colorNegative rgb="FF0070C0"/>
          <x14:colorAxis rgb="FF000000"/>
          <x14:colorMarkers rgb="FF0070C0"/>
          <x14:colorFirst rgb="FF0070C0"/>
          <x14:colorLast rgb="FF0070C0"/>
          <x14:colorHigh rgb="FF0070C0"/>
          <x14:colorLow rgb="FF0070C0"/>
          <x14:sparklines>
            <x14:sparkline>
              <xm:f>Модель!BU138:BW138</xm:f>
              <xm:sqref>BX137</xm:sqref>
            </x14:sparkline>
          </x14:sparklines>
        </x14:sparklineGroup>
        <x14:sparklineGroup manualMax="0" manualMin="0" lineWeight="2.25" displayEmptyCellsAs="gap" xr2:uid="{B9A43A0A-9BF2-475E-939C-8B658522677B}">
          <x14:colorSeries rgb="FF000000"/>
          <x14:colorNegative rgb="FF0070C0"/>
          <x14:colorAxis rgb="FF000000"/>
          <x14:colorMarkers rgb="FF0070C0"/>
          <x14:colorFirst rgb="FF0070C0"/>
          <x14:colorLast rgb="FF0070C0"/>
          <x14:colorHigh rgb="FF0070C0"/>
          <x14:colorLow rgb="FF0070C0"/>
          <x14:sparklines>
            <x14:sparkline>
              <xm:f>Модель!BU148:BW148</xm:f>
              <xm:sqref>BX147</xm:sqref>
            </x14:sparkline>
          </x14:sparklines>
        </x14:sparklineGroup>
        <x14:sparklineGroup manualMax="0" manualMin="0" lineWeight="2.25" displayEmptyCellsAs="gap" xr2:uid="{FD04EA1C-A2C3-4DB1-AE66-F14B160E9C42}">
          <x14:colorSeries rgb="FF000000"/>
          <x14:colorNegative rgb="FF0070C0"/>
          <x14:colorAxis rgb="FF000000"/>
          <x14:colorMarkers rgb="FF0070C0"/>
          <x14:colorFirst rgb="FF0070C0"/>
          <x14:colorLast rgb="FF0070C0"/>
          <x14:colorHigh rgb="FF0070C0"/>
          <x14:colorLow rgb="FF0070C0"/>
          <x14:sparklines>
            <x14:sparkline>
              <xm:f>Модель!CA148:CC148</xm:f>
              <xm:sqref>CD147</xm:sqref>
            </x14:sparkline>
          </x14:sparklines>
        </x14:sparklineGroup>
        <x14:sparklineGroup manualMax="0" manualMin="0" lineWeight="2.25" displayEmptyCellsAs="gap" xr2:uid="{87AEBAE5-C77F-43A7-944E-2AB3E81FC2BD}">
          <x14:colorSeries rgb="FF000000"/>
          <x14:colorNegative rgb="FF0070C0"/>
          <x14:colorAxis rgb="FF000000"/>
          <x14:colorMarkers rgb="FF0070C0"/>
          <x14:colorFirst rgb="FF0070C0"/>
          <x14:colorLast rgb="FF0070C0"/>
          <x14:colorHigh rgb="FF0070C0"/>
          <x14:colorLow rgb="FF0070C0"/>
          <x14:sparklines>
            <x14:sparkline>
              <xm:f>Модель!CA128:CC128</xm:f>
              <xm:sqref>CD127</xm:sqref>
            </x14:sparkline>
          </x14:sparklines>
        </x14:sparklineGroup>
        <x14:sparklineGroup manualMax="0" manualMin="0" lineWeight="2.25" displayEmptyCellsAs="gap" xr2:uid="{0319F151-45BD-485F-83E6-07AA9B8F4F32}">
          <x14:colorSeries rgb="FF000000"/>
          <x14:colorNegative rgb="FF0070C0"/>
          <x14:colorAxis rgb="FF000000"/>
          <x14:colorMarkers rgb="FF0070C0"/>
          <x14:colorFirst rgb="FF0070C0"/>
          <x14:colorLast rgb="FF0070C0"/>
          <x14:colorHigh rgb="FF0070C0"/>
          <x14:colorLow rgb="FF0070C0"/>
          <x14:sparklines>
            <x14:sparkline>
              <xm:f>Модель!BU128:BW128</xm:f>
              <xm:sqref>BX127</xm:sqref>
            </x14:sparkline>
          </x14:sparklines>
        </x14:sparklineGroup>
        <x14:sparklineGroup manualMax="0" manualMin="0" lineWeight="2.25" displayEmptyCellsAs="gap" xr2:uid="{41AE385F-4BD6-4BE3-AFBB-B2BAD136787A}">
          <x14:colorSeries rgb="FF000000"/>
          <x14:colorNegative rgb="FF0070C0"/>
          <x14:colorAxis rgb="FF000000"/>
          <x14:colorMarkers rgb="FF0070C0"/>
          <x14:colorFirst rgb="FF0070C0"/>
          <x14:colorLast rgb="FF0070C0"/>
          <x14:colorHigh rgb="FF0070C0"/>
          <x14:colorLow rgb="FF0070C0"/>
          <x14:sparklines>
            <x14:sparkline>
              <xm:f>Модель!CA108:CC108</xm:f>
              <xm:sqref>CD107</xm:sqref>
            </x14:sparkline>
          </x14:sparklines>
        </x14:sparklineGroup>
        <x14:sparklineGroup manualMax="0" manualMin="0" lineWeight="2.25" displayEmptyCellsAs="gap" xr2:uid="{A4578FEB-011E-474A-8E49-2DDE17E530BB}">
          <x14:colorSeries rgb="FF000000"/>
          <x14:colorNegative rgb="FF0070C0"/>
          <x14:colorAxis rgb="FF000000"/>
          <x14:colorMarkers rgb="FF0070C0"/>
          <x14:colorFirst rgb="FF0070C0"/>
          <x14:colorLast rgb="FF0070C0"/>
          <x14:colorHigh rgb="FF0070C0"/>
          <x14:colorLow rgb="FF0070C0"/>
          <x14:sparklines>
            <x14:sparkline>
              <xm:f>Модель!AJ31:AL31</xm:f>
              <xm:sqref>AM30</xm:sqref>
            </x14:sparkline>
          </x14:sparklines>
        </x14:sparklineGroup>
        <x14:sparklineGroup manualMax="0" manualMin="0" lineWeight="2.25" displayEmptyCellsAs="gap" xr2:uid="{FB790EB6-5F30-4E32-88E6-1E20E3DCEE77}">
          <x14:colorSeries rgb="FF000000"/>
          <x14:colorNegative rgb="FF0070C0"/>
          <x14:colorAxis rgb="FF000000"/>
          <x14:colorMarkers rgb="FF0070C0"/>
          <x14:colorFirst rgb="FF0070C0"/>
          <x14:colorLast rgb="FF0070C0"/>
          <x14:colorHigh rgb="FF0070C0"/>
          <x14:colorLow rgb="FF0070C0"/>
          <x14:sparklines>
            <x14:sparkline>
              <xm:f>Модель!AO31:AQ31</xm:f>
              <xm:sqref>AR30</xm:sqref>
            </x14:sparkline>
          </x14:sparklines>
        </x14:sparklineGroup>
        <x14:sparklineGroup manualMax="0" manualMin="0" lineWeight="2.25" displayEmptyCellsAs="gap" xr2:uid="{A86CB2B6-16E7-4C59-BBC7-E2FA0D5CB724}">
          <x14:colorSeries rgb="FF000000"/>
          <x14:colorNegative rgb="FF0070C0"/>
          <x14:colorAxis rgb="FF000000"/>
          <x14:colorMarkers rgb="FF0070C0"/>
          <x14:colorFirst rgb="FF0070C0"/>
          <x14:colorLast rgb="FF0070C0"/>
          <x14:colorHigh rgb="FF0070C0"/>
          <x14:colorLow rgb="FF0070C0"/>
          <x14:sparklines>
            <x14:sparkline>
              <xm:f>Модель!EE20:EG20</xm:f>
              <xm:sqref>EH19</xm:sqref>
            </x14:sparkline>
          </x14:sparklines>
        </x14:sparklineGroup>
        <x14:sparklineGroup manualMax="0" manualMin="0" lineWeight="2.25" displayEmptyCellsAs="gap" xr2:uid="{BDC0A764-06F4-4DE8-B60F-E734A267F948}">
          <x14:colorSeries rgb="FF000000"/>
          <x14:colorNegative rgb="FF0070C0"/>
          <x14:colorAxis rgb="FF000000"/>
          <x14:colorMarkers rgb="FF0070C0"/>
          <x14:colorFirst rgb="FF0070C0"/>
          <x14:colorLast rgb="FF0070C0"/>
          <x14:colorHigh rgb="FF0070C0"/>
          <x14:colorLow rgb="FF0070C0"/>
          <x14:sparklines>
            <x14:sparkline>
              <xm:f>Модель!DX20:DZ20</xm:f>
              <xm:sqref>EA19</xm:sqref>
            </x14:sparkline>
          </x14:sparklines>
        </x14:sparklineGroup>
        <x14:sparklineGroup manualMax="0" manualMin="0" lineWeight="2.25" displayEmptyCellsAs="gap" xr2:uid="{EA8AD711-37A7-4F20-896C-950F2C6BC658}">
          <x14:colorSeries rgb="FF000000"/>
          <x14:colorNegative rgb="FF0070C0"/>
          <x14:colorAxis rgb="FF000000"/>
          <x14:colorMarkers rgb="FF0070C0"/>
          <x14:colorFirst rgb="FF0070C0"/>
          <x14:colorLast rgb="FF0070C0"/>
          <x14:colorHigh rgb="FF0070C0"/>
          <x14:colorLow rgb="FF0070C0"/>
          <x14:sparklines>
            <x14:sparkline>
              <xm:f>Модель!BA9:BC9</xm:f>
              <xm:sqref>BD8</xm:sqref>
            </x14:sparkline>
          </x14:sparklines>
        </x14:sparklineGroup>
        <x14:sparklineGroup manualMax="0" manualMin="0" lineWeight="2.25" displayEmptyCellsAs="gap" xr2:uid="{728FF423-1308-48C0-8067-7CB6E23C029A}">
          <x14:colorSeries rgb="FF000000"/>
          <x14:colorNegative rgb="FF0070C0"/>
          <x14:colorAxis rgb="FF000000"/>
          <x14:colorMarkers rgb="FF0070C0"/>
          <x14:colorFirst rgb="FF0070C0"/>
          <x14:colorLast rgb="FF0070C0"/>
          <x14:colorHigh rgb="FF0070C0"/>
          <x14:colorLow rgb="FF0070C0"/>
          <x14:sparklines>
            <x14:sparkline>
              <xm:f>Модель!AC66:AE66</xm:f>
              <xm:sqref>AF65</xm:sqref>
            </x14:sparkline>
          </x14:sparklines>
        </x14:sparklineGroup>
        <x14:sparklineGroup manualMax="0" manualMin="0" lineWeight="2.25" displayEmptyCellsAs="gap" xr2:uid="{B0E31F8C-27D3-4F36-AEEB-99CB0C4E446C}">
          <x14:colorSeries rgb="FF000000"/>
          <x14:colorNegative rgb="FF0070C0"/>
          <x14:colorAxis rgb="FF000000"/>
          <x14:colorMarkers rgb="FF0070C0"/>
          <x14:colorFirst rgb="FF0070C0"/>
          <x14:colorLast rgb="FF0070C0"/>
          <x14:colorHigh rgb="FF0070C0"/>
          <x14:colorLow rgb="FF0070C0"/>
          <x14:sparklines>
            <x14:sparkline>
              <xm:f>Модель!AC72:AE72</xm:f>
              <xm:sqref>AF71</xm:sqref>
            </x14:sparkline>
          </x14:sparklines>
        </x14:sparklineGroup>
        <x14:sparklineGroup manualMax="0" manualMin="0" lineWeight="2.25" displayEmptyCellsAs="gap" xr2:uid="{D22108A5-14A8-46E8-B3AA-378C9DFC1211}">
          <x14:colorSeries rgb="FF000000"/>
          <x14:colorNegative rgb="FF0070C0"/>
          <x14:colorAxis rgb="FF000000"/>
          <x14:colorMarkers rgb="FF0070C0"/>
          <x14:colorFirst rgb="FF0070C0"/>
          <x14:colorLast rgb="FF0070C0"/>
          <x14:colorHigh rgb="FF0070C0"/>
          <x14:colorLow rgb="FF0070C0"/>
          <x14:sparklines>
            <x14:sparkline>
              <xm:f>Модель!AC79:AE79</xm:f>
              <xm:sqref>AF78</xm:sqref>
            </x14:sparkline>
          </x14:sparklines>
        </x14:sparklineGroup>
        <x14:sparklineGroup manualMax="0" manualMin="0" lineWeight="2.25" displayEmptyCellsAs="gap" xr2:uid="{3072CA59-2172-41F5-9731-46D5E488D744}">
          <x14:colorSeries rgb="FF000000"/>
          <x14:colorNegative rgb="FF0070C0"/>
          <x14:colorAxis rgb="FF000000"/>
          <x14:colorMarkers rgb="FF0070C0"/>
          <x14:colorFirst rgb="FF0070C0"/>
          <x14:colorLast rgb="FF0070C0"/>
          <x14:colorHigh rgb="FF0070C0"/>
          <x14:colorLow rgb="FF0070C0"/>
          <x14:sparklines>
            <x14:sparkline>
              <xm:f>Модель!AO78:AQ78</xm:f>
              <xm:sqref>AR77</xm:sqref>
            </x14:sparkline>
          </x14:sparklines>
        </x14:sparklineGroup>
        <x14:sparklineGroup manualMax="0" manualMin="0" lineWeight="2.25" displayEmptyCellsAs="gap" xr2:uid="{C07FD658-1C51-485F-AEFF-1A84D1AD8696}">
          <x14:colorSeries rgb="FF000000"/>
          <x14:colorNegative rgb="FF0070C0"/>
          <x14:colorAxis rgb="FF000000"/>
          <x14:colorMarkers rgb="FF0070C0"/>
          <x14:colorFirst rgb="FF0070C0"/>
          <x14:colorLast rgb="FF0070C0"/>
          <x14:colorHigh rgb="FF0070C0"/>
          <x14:colorLow rgb="FF0070C0"/>
          <x14:sparklines>
            <x14:sparkline>
              <xm:f>Модель!AX72:AZ72</xm:f>
              <xm:sqref>BA71</xm:sqref>
            </x14:sparkline>
          </x14:sparklines>
        </x14:sparklineGroup>
        <x14:sparklineGroup manualMax="0" manualMin="0" lineWeight="2.25" displayEmptyCellsAs="gap" xr2:uid="{742CA1F1-A6A0-4260-AB9E-74D49A9218D5}">
          <x14:colorSeries rgb="FF000000"/>
          <x14:colorNegative rgb="FF0070C0"/>
          <x14:colorAxis rgb="FF000000"/>
          <x14:colorMarkers rgb="FF0070C0"/>
          <x14:colorFirst rgb="FF0070C0"/>
          <x14:colorLast rgb="FF0070C0"/>
          <x14:colorHigh rgb="FF0070C0"/>
          <x14:colorLow rgb="FF0070C0"/>
          <x14:sparklines>
            <x14:sparkline>
              <xm:f>Модель!BI52:BK52</xm:f>
              <xm:sqref>BL51</xm:sqref>
            </x14:sparkline>
          </x14:sparklines>
        </x14:sparklineGroup>
        <x14:sparklineGroup manualMax="0" manualMin="0" lineWeight="2.25" displayEmptyCellsAs="gap" xr2:uid="{2883C39B-6E51-435E-BD4E-A013E8309FCA}">
          <x14:colorSeries rgb="FF000000"/>
          <x14:colorNegative rgb="FF0070C0"/>
          <x14:colorAxis rgb="FF000000"/>
          <x14:colorMarkers rgb="FF0070C0"/>
          <x14:colorFirst rgb="FF0070C0"/>
          <x14:colorLast rgb="FF0070C0"/>
          <x14:colorHigh rgb="FF0070C0"/>
          <x14:colorLow rgb="FF0070C0"/>
          <x14:sparklines>
            <x14:sparkline>
              <xm:f>Модель!BN52:BP52</xm:f>
              <xm:sqref>BQ51</xm:sqref>
            </x14:sparkline>
          </x14:sparklines>
        </x14:sparklineGroup>
        <x14:sparklineGroup manualMax="0" manualMin="0" lineWeight="2.25" displayEmptyCellsAs="gap" xr2:uid="{100A1571-BD86-4671-B1C1-5927FF66957D}">
          <x14:colorSeries rgb="FF000000"/>
          <x14:colorNegative rgb="FF0070C0"/>
          <x14:colorAxis rgb="FF000000"/>
          <x14:colorMarkers rgb="FF0070C0"/>
          <x14:colorFirst rgb="FF0070C0"/>
          <x14:colorLast rgb="FF0070C0"/>
          <x14:colorHigh rgb="FF0070C0"/>
          <x14:colorLow rgb="FF0070C0"/>
          <x14:sparklines>
            <x14:sparkline>
              <xm:f>Модель!DO52:DQ52</xm:f>
              <xm:sqref>DR51</xm:sqref>
            </x14:sparkline>
          </x14:sparklines>
        </x14:sparklineGroup>
        <x14:sparklineGroup manualMax="0" manualMin="0" lineWeight="2.25" displayEmptyCellsAs="gap" xr2:uid="{8D4052B7-BFB5-4D3A-9C38-E9035415A891}">
          <x14:colorSeries rgb="FF000000"/>
          <x14:colorNegative rgb="FF0070C0"/>
          <x14:colorAxis rgb="FF000000"/>
          <x14:colorMarkers rgb="FF0070C0"/>
          <x14:colorFirst rgb="FF0070C0"/>
          <x14:colorLast rgb="FF0070C0"/>
          <x14:colorHigh rgb="FF0070C0"/>
          <x14:colorLow rgb="FF0070C0"/>
          <x14:sparklines>
            <x14:sparkline>
              <xm:f>Модель!DJ52:DL52</xm:f>
              <xm:sqref>DM51</xm:sqref>
            </x14:sparkline>
          </x14:sparklines>
        </x14:sparklineGroup>
        <x14:sparklineGroup manualMax="0" manualMin="0" lineWeight="2.25" displayEmptyCellsAs="gap" xr2:uid="{8C9FF056-7D48-4B65-9E1B-77C5E56C7B00}">
          <x14:colorSeries rgb="FF000000"/>
          <x14:colorNegative rgb="FF0070C0"/>
          <x14:colorAxis rgb="FF000000"/>
          <x14:colorMarkers rgb="FF0070C0"/>
          <x14:colorFirst rgb="FF0070C0"/>
          <x14:colorLast rgb="FF0070C0"/>
          <x14:colorHigh rgb="FF0070C0"/>
          <x14:colorLow rgb="FF0070C0"/>
          <x14:sparklines>
            <x14:sparkline>
              <xm:f>Модель!AQ72:AS72</xm:f>
              <xm:sqref>AT71</xm:sqref>
            </x14:sparkline>
          </x14:sparklines>
        </x14:sparklineGroup>
        <x14:sparklineGroup manualMax="0" manualMin="0" lineWeight="2.25" displayEmptyCellsAs="gap" xr2:uid="{00000000-0003-0000-0100-000013000000}">
          <x14:colorSeries rgb="FF000000"/>
          <x14:colorNegative rgb="FF0070C0"/>
          <x14:colorAxis rgb="FF000000"/>
          <x14:colorMarkers rgb="FF0070C0"/>
          <x14:colorFirst rgb="FF0070C0"/>
          <x14:colorLast rgb="FF0070C0"/>
          <x14:colorHigh rgb="FF0070C0"/>
          <x14:colorLow rgb="FF0070C0"/>
          <x14:sparklines>
            <x14:sparkline>
              <xm:f>Модель!BC31:BE31</xm:f>
              <xm:sqref>BF30</xm:sqref>
            </x14:sparkline>
          </x14:sparklines>
        </x14:sparklineGroup>
        <x14:sparklineGroup manualMax="0" manualMin="0" lineWeight="2.25" displayEmptyCellsAs="gap" xr2:uid="{00000000-0003-0000-0100-000012000000}">
          <x14:colorSeries rgb="FF000000"/>
          <x14:colorNegative rgb="FF0070C0"/>
          <x14:colorAxis rgb="FF000000"/>
          <x14:colorMarkers rgb="FF0070C0"/>
          <x14:colorFirst rgb="FF0070C0"/>
          <x14:colorLast rgb="FF0070C0"/>
          <x14:colorHigh rgb="FF0070C0"/>
          <x14:colorLow rgb="FF0070C0"/>
          <x14:sparklines>
            <x14:sparkline>
              <xm:f>Модель!AW31:AY31</xm:f>
              <xm:sqref>AZ30</xm:sqref>
            </x14:sparkline>
          </x14:sparklines>
        </x14:sparklineGroup>
        <x14:sparklineGroup manualMax="0" manualMin="0" lineWeight="2.25" displayEmptyCellsAs="gap" xr2:uid="{3AFCE8F1-3232-4DA3-B78D-7E728AA598FE}">
          <x14:colorSeries rgb="FF000000"/>
          <x14:colorNegative rgb="FF0070C0"/>
          <x14:colorAxis rgb="FF000000"/>
          <x14:colorMarkers rgb="FF0070C0"/>
          <x14:colorFirst rgb="FF0070C0"/>
          <x14:colorLast rgb="FF0070C0"/>
          <x14:colorHigh rgb="FF0070C0"/>
          <x14:colorLow rgb="FF0070C0"/>
          <x14:sparklines>
            <x14:sparkline>
              <xm:f>Модель!DN42:DP42</xm:f>
              <xm:sqref>DQ41</xm:sqref>
            </x14:sparkline>
          </x14:sparklines>
        </x14:sparklineGroup>
        <x14:sparklineGroup manualMax="0" manualMin="0" lineWeight="2.25" displayEmptyCellsAs="gap" xr2:uid="{0E4B12BB-E75C-45BE-9CE1-1FB362F9FCD3}">
          <x14:colorSeries rgb="FF000000"/>
          <x14:colorNegative rgb="FF0070C0"/>
          <x14:colorAxis rgb="FF000000"/>
          <x14:colorMarkers rgb="FF0070C0"/>
          <x14:colorFirst rgb="FF0070C0"/>
          <x14:colorLast rgb="FF0070C0"/>
          <x14:colorHigh rgb="FF0070C0"/>
          <x14:colorLow rgb="FF0070C0"/>
          <x14:sparklines>
            <x14:sparkline>
              <xm:f>Модель!DS42:DU42</xm:f>
              <xm:sqref>DV41</xm:sqref>
            </x14:sparkline>
          </x14:sparklines>
        </x14:sparklineGroup>
        <x14:sparklineGroup manualMax="0" manualMin="0" lineWeight="2.25" displayEmptyCellsAs="gap" xr2:uid="{00000000-0003-0000-0100-00000F000000}">
          <x14:colorSeries rgb="FF000000"/>
          <x14:colorNegative rgb="FF0070C0"/>
          <x14:colorAxis rgb="FF000000"/>
          <x14:colorMarkers rgb="FF0070C0"/>
          <x14:colorFirst rgb="FF0070C0"/>
          <x14:colorLast rgb="FF0070C0"/>
          <x14:colorHigh rgb="FF0070C0"/>
          <x14:colorLow rgb="FF0070C0"/>
          <x14:sparklines>
            <x14:sparkline>
              <xm:f>Модель!DX31:DZ31</xm:f>
              <xm:sqref>EA30</xm:sqref>
            </x14:sparkline>
          </x14:sparklines>
        </x14:sparklineGroup>
        <x14:sparklineGroup manualMax="0" manualMin="0" lineWeight="2.25" displayEmptyCellsAs="gap" xr2:uid="{29677E9B-FFB3-4FB0-9FA9-6AB095531533}">
          <x14:colorSeries rgb="FF000000"/>
          <x14:colorNegative rgb="FF0070C0"/>
          <x14:colorAxis rgb="FF000000"/>
          <x14:colorMarkers rgb="FF0070C0"/>
          <x14:colorFirst rgb="FF0070C0"/>
          <x14:colorLast rgb="FF0070C0"/>
          <x14:colorHigh rgb="FF0070C0"/>
          <x14:colorLow rgb="FF0070C0"/>
          <x14:sparklines>
            <x14:sparkline>
              <xm:f>Модель!BI42:BK42</xm:f>
              <xm:sqref>BL41</xm:sqref>
            </x14:sparkline>
          </x14:sparklines>
        </x14:sparklineGroup>
        <x14:sparklineGroup manualMax="0" manualMin="0" lineWeight="2.25" displayEmptyCellsAs="gap" xr2:uid="{FBE2BF06-087D-4BD0-B748-3F74EF637150}">
          <x14:colorSeries rgb="FF000000"/>
          <x14:colorNegative rgb="FF0070C0"/>
          <x14:colorAxis rgb="FF000000"/>
          <x14:colorMarkers rgb="FF0070C0"/>
          <x14:colorFirst rgb="FF0070C0"/>
          <x14:colorLast rgb="FF0070C0"/>
          <x14:colorHigh rgb="FF0070C0"/>
          <x14:colorLow rgb="FF0070C0"/>
          <x14:sparklines>
            <x14:sparkline>
              <xm:f>Модель!BD42:BF42</xm:f>
              <xm:sqref>BG41</xm:sqref>
            </x14:sparkline>
          </x14:sparklines>
        </x14:sparklineGroup>
        <x14:sparklineGroup manualMax="0" manualMin="0" lineWeight="2.25" displayEmptyCellsAs="gap" xr2:uid="{00000000-0003-0000-0100-00000C000000}">
          <x14:colorSeries rgb="FF000000"/>
          <x14:colorNegative rgb="FF0070C0"/>
          <x14:colorAxis rgb="FF000000"/>
          <x14:colorMarkers rgb="FF0070C0"/>
          <x14:colorFirst rgb="FF0070C0"/>
          <x14:colorLast rgb="FF0070C0"/>
          <x14:colorHigh rgb="FF0070C0"/>
          <x14:colorLow rgb="FF0070C0"/>
          <x14:sparklines>
            <x14:sparkline>
              <xm:f>Модель!S9:U9</xm:f>
              <xm:sqref>V8</xm:sqref>
            </x14:sparkline>
          </x14:sparklines>
        </x14:sparklineGroup>
        <x14:sparklineGroup manualMax="0" manualMin="0" lineWeight="2.25" displayEmptyCellsAs="gap" xr2:uid="{00000000-0003-0000-0100-00000B000000}">
          <x14:colorSeries rgb="FF000000"/>
          <x14:colorNegative rgb="FF0070C0"/>
          <x14:colorAxis rgb="FF000000"/>
          <x14:colorMarkers rgb="FF0070C0"/>
          <x14:colorFirst rgb="FF0070C0"/>
          <x14:colorLast rgb="FF0070C0"/>
          <x14:colorHigh rgb="FF0070C0"/>
          <x14:colorLow rgb="FF0070C0"/>
          <x14:sparklines>
            <x14:sparkline>
              <xm:f>Модель!O14:Q14</xm:f>
              <xm:sqref>R13</xm:sqref>
            </x14:sparkline>
          </x14:sparklines>
        </x14:sparklineGroup>
        <x14:sparklineGroup manualMax="0" manualMin="0" lineWeight="2.25" displayEmptyCellsAs="gap" xr2:uid="{00000000-0003-0000-0100-00000A000000}">
          <x14:colorSeries rgb="FF000000"/>
          <x14:colorNegative rgb="FF0070C0"/>
          <x14:colorAxis rgb="FF000000"/>
          <x14:colorMarkers rgb="FF0070C0"/>
          <x14:colorFirst rgb="FF0070C0"/>
          <x14:colorLast rgb="FF0070C0"/>
          <x14:colorHigh rgb="FF0070C0"/>
          <x14:colorLow rgb="FF0070C0"/>
          <x14:sparklines>
            <x14:sparkline>
              <xm:f>Модель!AQ20:AS20</xm:f>
              <xm:sqref>AT19</xm:sqref>
            </x14:sparkline>
          </x14:sparklines>
        </x14:sparklineGroup>
        <x14:sparklineGroup manualMax="0" manualMin="0" lineWeight="2.25" displayEmptyCellsAs="gap" xr2:uid="{00000000-0003-0000-0100-000009000000}">
          <x14:colorSeries rgb="FF000000"/>
          <x14:colorNegative rgb="FF0070C0"/>
          <x14:colorAxis rgb="FF000000"/>
          <x14:colorMarkers rgb="FF0070C0"/>
          <x14:colorFirst rgb="FF0070C0"/>
          <x14:colorLast rgb="FF0070C0"/>
          <x14:colorHigh rgb="FF0070C0"/>
          <x14:colorLow rgb="FF0070C0"/>
          <x14:sparklines>
            <x14:sparkline>
              <xm:f>Модель!AV20:AX20</xm:f>
              <xm:sqref>AY19</xm:sqref>
            </x14:sparkline>
          </x14:sparklines>
        </x14:sparklineGroup>
        <x14:sparklineGroup manualMax="0" manualMin="0" lineWeight="2.25" displayEmptyCellsAs="gap" xr2:uid="{00000000-0003-0000-0100-000008000000}">
          <x14:colorSeries rgb="FF000000"/>
          <x14:colorNegative rgb="FF0070C0"/>
          <x14:colorAxis rgb="FF000000"/>
          <x14:colorMarkers rgb="FF0070C0"/>
          <x14:colorFirst rgb="FF0070C0"/>
          <x14:colorLast rgb="FF0070C0"/>
          <x14:colorHigh rgb="FF0070C0"/>
          <x14:colorLow rgb="FF0070C0"/>
          <x14:sparklines>
            <x14:sparkline>
              <xm:f>Модель!DU9:DW9</xm:f>
              <xm:sqref>DX8</xm:sqref>
            </x14:sparkline>
          </x14:sparklines>
        </x14:sparklineGroup>
        <x14:sparklineGroup manualMax="0" manualMin="0" lineWeight="2.25" displayEmptyCellsAs="gap" xr2:uid="{00000000-0003-0000-0100-000007000000}">
          <x14:colorSeries rgb="FF000000"/>
          <x14:colorNegative rgb="FF0070C0"/>
          <x14:colorAxis rgb="FF000000"/>
          <x14:colorMarkers rgb="FF0070C0"/>
          <x14:colorFirst rgb="FF0070C0"/>
          <x14:colorLast rgb="FF0070C0"/>
          <x14:colorHigh rgb="FF0070C0"/>
          <x14:colorLow rgb="FF0070C0"/>
          <x14:sparklines>
            <x14:sparkline>
              <xm:f>Модель!J14:L14</xm:f>
              <xm:sqref>M13</xm:sqref>
            </x14:sparkline>
          </x14:sparklines>
        </x14:sparklineGroup>
        <x14:sparklineGroup manualMax="0" manualMin="0" lineWeight="2.25" displayEmptyCellsAs="gap" xr2:uid="{00000000-0003-0000-0100-000006000000}">
          <x14:colorSeries rgb="FF000000"/>
          <x14:colorNegative rgb="FF0070C0"/>
          <x14:colorAxis rgb="FF000000"/>
          <x14:colorMarkers rgb="FF0070C0"/>
          <x14:colorFirst rgb="FF0070C0"/>
          <x14:colorLast rgb="FF0070C0"/>
          <x14:colorHigh rgb="FF0070C0"/>
          <x14:colorLow rgb="FF0070C0"/>
          <x14:sparklines>
            <x14:sparkline>
              <xm:f>Модель!EC31:EE31</xm:f>
              <xm:sqref>EF30</xm:sqref>
            </x14:sparkline>
          </x14:sparklines>
        </x14:sparklineGroup>
        <x14:sparklineGroup manualMax="0" manualMin="0" lineWeight="2.25" displayEmptyCellsAs="gap" xr2:uid="{00000000-0003-0000-0100-000005000000}">
          <x14:colorSeries rgb="FF000000"/>
          <x14:colorNegative rgb="FF0070C0"/>
          <x14:colorAxis rgb="FF000000"/>
          <x14:colorMarkers rgb="FF0070C0"/>
          <x14:colorFirst rgb="FF0070C0"/>
          <x14:colorLast rgb="FF0070C0"/>
          <x14:colorHigh rgb="FF0070C0"/>
          <x14:colorLow rgb="FF0070C0"/>
          <x14:sparklines>
            <x14:sparkline>
              <xm:f>Модель!EH31:EJ31</xm:f>
              <xm:sqref>EK30</xm:sqref>
            </x14:sparkline>
          </x14:sparklines>
        </x14:sparklineGroup>
        <x14:sparklineGroup manualMax="0" manualMin="0" lineWeight="2.25" displayEmptyCellsAs="gap" xr2:uid="{00000000-0003-0000-0100-000004000000}">
          <x14:colorSeries rgb="FF000000"/>
          <x14:colorNegative rgb="FF0070C0"/>
          <x14:colorAxis rgb="FF000000"/>
          <x14:colorMarkers rgb="FF0070C0"/>
          <x14:colorFirst rgb="FF0070C0"/>
          <x14:colorLast rgb="FF0070C0"/>
          <x14:colorHigh rgb="FF0070C0"/>
          <x14:colorLow rgb="FF0070C0"/>
          <x14:sparklines>
            <x14:sparkline>
              <xm:f>Модель!J59:L59</xm:f>
              <xm:sqref>M58</xm:sqref>
            </x14:sparkline>
          </x14:sparklines>
        </x14:sparklineGroup>
        <x14:sparklineGroup manualMax="0" manualMin="0" lineWeight="2.25" displayEmptyCellsAs="gap" xr2:uid="{00000000-0003-0000-0100-000003000000}">
          <x14:colorSeries rgb="FF000000"/>
          <x14:colorNegative rgb="FF0070C0"/>
          <x14:colorAxis rgb="FF000000"/>
          <x14:colorMarkers rgb="FF0070C0"/>
          <x14:colorFirst rgb="FF0070C0"/>
          <x14:colorLast rgb="FF0070C0"/>
          <x14:colorHigh rgb="FF0070C0"/>
          <x14:colorLow rgb="FF0070C0"/>
          <x14:sparklines>
            <x14:sparkline>
              <xm:f>Модель!Q59:S59</xm:f>
              <xm:sqref>T58</xm:sqref>
            </x14:sparkline>
          </x14:sparklines>
        </x14:sparklineGroup>
        <x14:sparklineGroup manualMax="0" manualMin="0" lineWeight="2.25" displayEmptyCellsAs="gap" xr2:uid="{00000000-0003-0000-0100-000002000000}">
          <x14:colorSeries rgb="FF000000"/>
          <x14:colorNegative rgb="FF0070C0"/>
          <x14:colorAxis rgb="FF000000"/>
          <x14:colorMarkers rgb="FF0070C0"/>
          <x14:colorFirst rgb="FF0070C0"/>
          <x14:colorLast rgb="FF0070C0"/>
          <x14:colorHigh rgb="FF0070C0"/>
          <x14:colorLow rgb="FF0070C0"/>
          <x14:sparklines>
            <x14:sparkline>
              <xm:f>Модель!J66:L66</xm:f>
              <xm:sqref>M65</xm:sqref>
            </x14:sparkline>
          </x14:sparklines>
        </x14:sparklineGroup>
        <x14:sparklineGroup manualMax="0" manualMin="0" lineWeight="2.25" displayEmptyCellsAs="gap" xr2:uid="{00000000-0003-0000-0100-000001000000}">
          <x14:colorSeries rgb="FF000000"/>
          <x14:colorNegative rgb="FF0070C0"/>
          <x14:colorAxis rgb="FF000000"/>
          <x14:colorMarkers rgb="FF0070C0"/>
          <x14:colorFirst rgb="FF0070C0"/>
          <x14:colorLast rgb="FF0070C0"/>
          <x14:colorHigh rgb="FF0070C0"/>
          <x14:colorLow rgb="FF0070C0"/>
          <x14:sparklines>
            <x14:sparkline>
              <xm:f>Модель!G79:I79</xm:f>
              <xm:sqref>J78</xm:sqref>
            </x14:sparkline>
          </x14:sparklines>
        </x14:sparklineGroup>
        <x14:sparklineGroup manualMax="0" manualMin="0" lineWeight="2.25" displayEmptyCellsAs="gap" xr2:uid="{00000000-0003-0000-0100-000000000000}">
          <x14:colorSeries rgb="FF000000"/>
          <x14:colorNegative rgb="FF0070C0"/>
          <x14:colorAxis rgb="FF000000"/>
          <x14:colorMarkers rgb="FF0070C0"/>
          <x14:colorFirst rgb="FF0070C0"/>
          <x14:colorLast rgb="FF0070C0"/>
          <x14:colorHigh rgb="FF0070C0"/>
          <x14:colorLow rgb="FF0070C0"/>
          <x14:sparklines>
            <x14:sparkline>
              <xm:f>Модель!N79:P79</xm:f>
              <xm:sqref>Q78</xm:sqref>
            </x14:sparkline>
          </x14:sparklines>
        </x14:sparklineGroup>
        <x14:sparklineGroup manualMax="0" manualMin="0" lineWeight="2.25" displayEmptyCellsAs="gap" xr2:uid="{10945660-32E4-4326-801F-834BFEDBB49B}">
          <x14:colorSeries rgb="FF000000"/>
          <x14:colorNegative rgb="FF0070C0"/>
          <x14:colorAxis rgb="FF000000"/>
          <x14:colorMarkers rgb="FF0070C0"/>
          <x14:colorFirst rgb="FF0070C0"/>
          <x14:colorLast rgb="FF0070C0"/>
          <x14:colorHigh rgb="FF0070C0"/>
          <x14:colorLow rgb="FF0070C0"/>
          <x14:sparklines>
            <x14:sparkline>
              <xm:f>Модель!DI72:DK72</xm:f>
              <xm:sqref>DL71</xm:sqref>
            </x14:sparkline>
          </x14:sparklines>
        </x14:sparklineGroup>
        <x14:sparklineGroup manualMax="0" manualMin="0" lineWeight="2.25" displayEmptyCellsAs="gap" xr2:uid="{3B3AC36A-0907-4D09-BD86-517164A3AA5C}">
          <x14:colorSeries rgb="FF000000"/>
          <x14:colorNegative rgb="FF0070C0"/>
          <x14:colorAxis rgb="FF000000"/>
          <x14:colorMarkers rgb="FF0070C0"/>
          <x14:colorFirst rgb="FF0070C0"/>
          <x14:colorLast rgb="FF0070C0"/>
          <x14:colorHigh rgb="FF0070C0"/>
          <x14:colorLow rgb="FF0070C0"/>
          <x14:sparklines>
            <x14:sparkline>
              <xm:f>Модель!DG62:DI62</xm:f>
              <xm:sqref>DJ61</xm:sqref>
            </x14:sparkline>
          </x14:sparklines>
        </x14:sparklineGroup>
        <x14:sparklineGroup manualMax="0" manualMin="0" lineWeight="2.25" displayEmptyCellsAs="gap" xr2:uid="{B50C4B3B-28FF-4BBE-BC95-367F25F6290D}">
          <x14:colorSeries rgb="FF000000"/>
          <x14:colorNegative rgb="FF0070C0"/>
          <x14:colorAxis rgb="FF000000"/>
          <x14:colorMarkers rgb="FF0070C0"/>
          <x14:colorFirst rgb="FF0070C0"/>
          <x14:colorLast rgb="FF0070C0"/>
          <x14:colorHigh rgb="FF0070C0"/>
          <x14:colorLow rgb="FF0070C0"/>
          <x14:sparklines>
            <x14:sparkline>
              <xm:f>Модель!BT62:BV62</xm:f>
              <xm:sqref>BW61</xm:sqref>
            </x14:sparkline>
          </x14:sparklines>
        </x14:sparklineGroup>
        <x14:sparklineGroup manualMax="0" manualMin="0" lineWeight="2.25" displayEmptyCellsAs="gap" xr2:uid="{BB480E38-0775-49C7-9154-358AFD38EC72}">
          <x14:colorSeries rgb="FF000000"/>
          <x14:colorNegative rgb="FF0070C0"/>
          <x14:colorAxis rgb="FF000000"/>
          <x14:colorMarkers rgb="FF0070C0"/>
          <x14:colorFirst rgb="FF0070C0"/>
          <x14:colorLast rgb="FF0070C0"/>
          <x14:colorHigh rgb="FF0070C0"/>
          <x14:colorLow rgb="FF0070C0"/>
          <x14:sparklines>
            <x14:sparkline>
              <xm:f>Модель!BO62:BQ62</xm:f>
              <xm:sqref>BR61</xm:sqref>
            </x14:sparkline>
          </x14:sparklines>
        </x14:sparklineGroup>
        <x14:sparklineGroup manualMax="0" manualMin="0" lineWeight="2.25" displayEmptyCellsAs="gap" xr2:uid="{1FF7AB51-333E-450F-8176-AF00E6C070B1}">
          <x14:colorSeries rgb="FF000000"/>
          <x14:colorNegative rgb="FF0070C0"/>
          <x14:colorAxis rgb="FF000000"/>
          <x14:colorMarkers rgb="FF0070C0"/>
          <x14:colorFirst rgb="FF0070C0"/>
          <x14:colorLast rgb="FF0070C0"/>
          <x14:colorHigh rgb="FF0070C0"/>
          <x14:colorLow rgb="FF0070C0"/>
          <x14:sparklines>
            <x14:sparkline>
              <xm:f>Модель!DL62:DN62</xm:f>
              <xm:sqref>DO61</xm:sqref>
            </x14:sparkline>
          </x14:sparklines>
        </x14:sparklineGroup>
        <x14:sparklineGroup manualMax="0" manualMin="0" lineWeight="2.25" displayEmptyCellsAs="gap" xr2:uid="{4EB53A62-771E-4410-862B-18D02645EAD0}">
          <x14:colorSeries rgb="FF000000"/>
          <x14:colorNegative rgb="FF0070C0"/>
          <x14:colorAxis rgb="FF000000"/>
          <x14:colorMarkers rgb="FF0070C0"/>
          <x14:colorFirst rgb="FF0070C0"/>
          <x14:colorLast rgb="FF0070C0"/>
          <x14:colorHigh rgb="FF0070C0"/>
          <x14:colorLow rgb="FF0070C0"/>
          <x14:sparklines>
            <x14:sparkline>
              <xm:f>Модель!DD72:DF72</xm:f>
              <xm:sqref>DG71</xm:sqref>
            </x14:sparkline>
          </x14:sparklines>
        </x14:sparklineGroup>
        <x14:sparklineGroup manualMax="0" manualMin="0" lineWeight="2.25" displayEmptyCellsAs="gap" xr2:uid="{DE01DF44-9E49-48A4-9E5C-3B7DD17D786A}">
          <x14:colorSeries rgb="FF000000"/>
          <x14:colorNegative rgb="FF0070C0"/>
          <x14:colorAxis rgb="FF000000"/>
          <x14:colorMarkers rgb="FF0070C0"/>
          <x14:colorFirst rgb="FF0070C0"/>
          <x14:colorLast rgb="FF0070C0"/>
          <x14:colorHigh rgb="FF0070C0"/>
          <x14:colorLow rgb="FF0070C0"/>
          <x14:sparklines>
            <x14:sparkline>
              <xm:f>Модель!BS72:BU72</xm:f>
              <xm:sqref>BV71</xm:sqref>
            </x14:sparkline>
          </x14:sparklines>
        </x14:sparklineGroup>
        <x14:sparklineGroup manualMax="0" manualMin="0" lineWeight="2.25" displayEmptyCellsAs="gap" xr2:uid="{50A7F438-E4E8-4754-8783-E1049A21596F}">
          <x14:colorSeries rgb="FF000000"/>
          <x14:colorNegative rgb="FF0070C0"/>
          <x14:colorAxis rgb="FF000000"/>
          <x14:colorMarkers rgb="FF0070C0"/>
          <x14:colorFirst rgb="FF0070C0"/>
          <x14:colorLast rgb="FF0070C0"/>
          <x14:colorHigh rgb="FF0070C0"/>
          <x14:colorLow rgb="FF0070C0"/>
          <x14:sparklines>
            <x14:sparkline>
              <xm:f>Модель!BX72:BZ72</xm:f>
              <xm:sqref>CA71</xm:sqref>
            </x14:sparkline>
          </x14:sparklines>
        </x14:sparklineGroup>
        <x14:sparklineGroup manualMax="0" manualMin="0" lineWeight="2.25" displayEmptyCellsAs="gap" xr2:uid="{B845D1AA-6489-47BB-8177-2F7A30608BDA}">
          <x14:colorSeries rgb="FF000000"/>
          <x14:colorNegative rgb="FF0070C0"/>
          <x14:colorAxis rgb="FF000000"/>
          <x14:colorMarkers rgb="FF0070C0"/>
          <x14:colorFirst rgb="FF0070C0"/>
          <x14:colorLast rgb="FF0070C0"/>
          <x14:colorHigh rgb="FF0070C0"/>
          <x14:colorLow rgb="FF0070C0"/>
          <x14:sparklines>
            <x14:sparkline>
              <xm:f>Модель!CC82:CE82</xm:f>
              <xm:sqref>CF81</xm:sqref>
            </x14:sparkline>
          </x14:sparklines>
        </x14:sparklineGroup>
        <x14:sparklineGroup manualMax="0" manualMin="0" lineWeight="2.25" displayEmptyCellsAs="gap" xr2:uid="{42D1375F-3789-4D4A-8684-08AB8515AB48}">
          <x14:colorSeries rgb="FF000000"/>
          <x14:colorNegative rgb="FF0070C0"/>
          <x14:colorAxis rgb="FF000000"/>
          <x14:colorMarkers rgb="FF0070C0"/>
          <x14:colorFirst rgb="FF0070C0"/>
          <x14:colorLast rgb="FF0070C0"/>
          <x14:colorHigh rgb="FF0070C0"/>
          <x14:colorLow rgb="FF0070C0"/>
          <x14:sparklines>
            <x14:sparkline>
              <xm:f>Модель!BX82:BZ82</xm:f>
              <xm:sqref>CA81</xm:sqref>
            </x14:sparkline>
          </x14:sparklines>
        </x14:sparklineGroup>
        <x14:sparklineGroup manualMax="0" manualMin="0" lineWeight="2.25" displayEmptyCellsAs="gap" xr2:uid="{9E78FBE6-0BCF-4F4C-927F-52CC80E7951F}">
          <x14:colorSeries rgb="FF000000"/>
          <x14:colorNegative rgb="FF0070C0"/>
          <x14:colorAxis rgb="FF000000"/>
          <x14:colorMarkers rgb="FF0070C0"/>
          <x14:colorFirst rgb="FF0070C0"/>
          <x14:colorLast rgb="FF0070C0"/>
          <x14:colorHigh rgb="FF0070C0"/>
          <x14:colorLow rgb="FF0070C0"/>
          <x14:sparklines>
            <x14:sparkline>
              <xm:f>Модель!DB82:DD82</xm:f>
              <xm:sqref>DE81</xm:sqref>
            </x14:sparkline>
          </x14:sparklines>
        </x14:sparklineGroup>
        <x14:sparklineGroup manualMax="0" manualMin="0" lineWeight="2.25" displayEmptyCellsAs="gap" xr2:uid="{DEB60B71-52AD-4918-BC3D-89CBB0AC1424}">
          <x14:colorSeries rgb="FF000000"/>
          <x14:colorNegative rgb="FF0070C0"/>
          <x14:colorAxis rgb="FF000000"/>
          <x14:colorMarkers rgb="FF0070C0"/>
          <x14:colorFirst rgb="FF0070C0"/>
          <x14:colorLast rgb="FF0070C0"/>
          <x14:colorHigh rgb="FF0070C0"/>
          <x14:colorLow rgb="FF0070C0"/>
          <x14:sparklines>
            <x14:sparkline>
              <xm:f>Модель!DG82:DI82</xm:f>
              <xm:sqref>DJ81</xm:sqref>
            </x14:sparkline>
          </x14:sparklines>
        </x14:sparklineGroup>
        <x14:sparklineGroup manualMax="0" manualMin="0" lineWeight="2.25" displayEmptyCellsAs="gap" xr2:uid="{D0E4AC9F-49DF-4F26-B80F-A62BB26B3ED0}">
          <x14:colorSeries rgb="FF000000"/>
          <x14:colorNegative rgb="FF0070C0"/>
          <x14:colorAxis rgb="FF000000"/>
          <x14:colorMarkers rgb="FF0070C0"/>
          <x14:colorFirst rgb="FF0070C0"/>
          <x14:colorLast rgb="FF0070C0"/>
          <x14:colorHigh rgb="FF0070C0"/>
          <x14:colorLow rgb="FF0070C0"/>
          <x14:sparklines>
            <x14:sparkline>
              <xm:f>Модель!AC85:AE85</xm:f>
              <xm:sqref>AF84</xm:sqref>
            </x14:sparkline>
          </x14:sparklines>
        </x14:sparklineGroup>
        <x14:sparklineGroup manualMax="0" manualMin="0" lineWeight="2.25" displayEmptyCellsAs="gap" xr2:uid="{9E2AA6DC-FCBE-4B93-B449-7D73DC42238A}">
          <x14:colorSeries rgb="FF000000"/>
          <x14:colorNegative rgb="FF0070C0"/>
          <x14:colorAxis rgb="FF000000"/>
          <x14:colorMarkers rgb="FF0070C0"/>
          <x14:colorFirst rgb="FF0070C0"/>
          <x14:colorLast rgb="FF0070C0"/>
          <x14:colorHigh rgb="FF0070C0"/>
          <x14:colorLow rgb="FF0070C0"/>
          <x14:sparklines>
            <x14:sparkline>
              <xm:f>Модель!DR31:DT31</xm:f>
              <xm:sqref>DU30</xm:sqref>
            </x14:sparkline>
          </x14:sparklines>
        </x14:sparklineGroup>
        <x14:sparklineGroup manualMax="0" manualMin="0" lineWeight="2.25" displayEmptyCellsAs="gap" xr2:uid="{51EF6A5D-11DB-4FE4-A4A5-3BDED83D90C2}">
          <x14:colorSeries rgb="FF000000"/>
          <x14:colorNegative rgb="FF0070C0"/>
          <x14:colorAxis rgb="FF000000"/>
          <x14:colorMarkers rgb="FF0070C0"/>
          <x14:colorFirst rgb="FF0070C0"/>
          <x14:colorLast rgb="FF0070C0"/>
          <x14:colorHigh rgb="FF0070C0"/>
          <x14:colorLow rgb="FF0070C0"/>
          <x14:sparklines>
            <x14:sparkline>
              <xm:f>Модель!BU108:BW108</xm:f>
              <xm:sqref>BX107</xm:sqref>
            </x14:sparkline>
          </x14:sparklines>
        </x14:sparklineGroup>
        <x14:sparklineGroup manualMax="0" manualMin="0" lineWeight="2.25" displayEmptyCellsAs="gap" xr2:uid="{A32D1DA1-9F02-4362-A323-DB1A9454712D}">
          <x14:colorSeries rgb="FF000000"/>
          <x14:colorNegative rgb="FF0070C0"/>
          <x14:colorAxis rgb="FF000000"/>
          <x14:colorMarkers rgb="FF0070C0"/>
          <x14:colorFirst rgb="FF0070C0"/>
          <x14:colorLast rgb="FF0070C0"/>
          <x14:colorHigh rgb="FF0070C0"/>
          <x14:colorLow rgb="FF0070C0"/>
          <x14:sparklines>
            <x14:sparkline>
              <xm:f>Модель!BU118:BW118</xm:f>
              <xm:sqref>BX117</xm:sqref>
            </x14:sparkline>
          </x14:sparklines>
        </x14:sparklineGroup>
        <x14:sparklineGroup manualMax="0" manualMin="0" lineWeight="2.25" displayEmptyCellsAs="gap" xr2:uid="{E8DBFB65-AD31-4480-8D43-C5F299E56210}">
          <x14:colorSeries rgb="FF000000"/>
          <x14:colorNegative rgb="FF0070C0"/>
          <x14:colorAxis rgb="FF000000"/>
          <x14:colorMarkers rgb="FF0070C0"/>
          <x14:colorFirst rgb="FF0070C0"/>
          <x14:colorLast rgb="FF0070C0"/>
          <x14:colorHigh rgb="FF0070C0"/>
          <x14:colorLow rgb="FF0070C0"/>
          <x14:sparklines>
            <x14:sparkline>
              <xm:f>Модель!CA118:CC118</xm:f>
              <xm:sqref>CD117</xm:sqref>
            </x14:sparkline>
          </x14:sparklines>
        </x14:sparklineGroup>
        <x14:sparklineGroup manualMax="0" manualMin="0" lineWeight="2.25" displayEmptyCellsAs="gap" xr2:uid="{5CC15120-9C80-4C57-974E-603BE7F3E52D}">
          <x14:colorSeries rgb="FF000000"/>
          <x14:colorNegative rgb="FF0070C0"/>
          <x14:colorAxis rgb="FF000000"/>
          <x14:colorMarkers rgb="FF0070C0"/>
          <x14:colorFirst rgb="FF0070C0"/>
          <x14:colorLast rgb="FF0070C0"/>
          <x14:colorHigh rgb="FF0070C0"/>
          <x14:colorLow rgb="FF0070C0"/>
          <x14:sparklines>
            <x14:sparkline>
              <xm:f>Модель!CJ19:CL19</xm:f>
              <xm:sqref>CM18</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4C98DB-2942-4548-9E2A-233172695BD9}">
  <sheetPr codeName="Лист19"/>
  <dimension ref="A1:K1001"/>
  <sheetViews>
    <sheetView topLeftCell="A314" zoomScaleNormal="100" workbookViewId="0">
      <selection activeCell="I1" sqref="I1:J349"/>
    </sheetView>
  </sheetViews>
  <sheetFormatPr defaultRowHeight="15" x14ac:dyDescent="0.25"/>
  <cols>
    <col min="1" max="7" width="8.85546875" customWidth="1"/>
  </cols>
  <sheetData>
    <row r="1" spans="1:10" x14ac:dyDescent="0.25">
      <c r="A1" t="s">
        <v>99</v>
      </c>
      <c r="B1" t="s">
        <v>616</v>
      </c>
      <c r="C1" t="s">
        <v>617</v>
      </c>
      <c r="E1" t="s">
        <v>99</v>
      </c>
      <c r="F1" t="s">
        <v>616</v>
      </c>
      <c r="G1" t="s">
        <v>617</v>
      </c>
      <c r="I1">
        <v>7.1666666666666696</v>
      </c>
      <c r="J1">
        <v>-12.533333333333299</v>
      </c>
    </row>
    <row r="2" spans="1:10" x14ac:dyDescent="0.25">
      <c r="A2">
        <v>2.57</v>
      </c>
      <c r="B2">
        <v>1</v>
      </c>
      <c r="C2" t="str">
        <f>CONCATENATE(Таблица258[[#This Row],[Столбец1]],Таблица258[[#This Row],[Столбец2]])</f>
        <v>2,571</v>
      </c>
      <c r="E2">
        <v>2.56</v>
      </c>
      <c r="F2">
        <v>1.01</v>
      </c>
      <c r="G2" t="str">
        <f>CONCATENATE(Таблица271[[#This Row],[Столбец1]],Таблица271[[#This Row],[Столбец2]])</f>
        <v>2,561,01</v>
      </c>
      <c r="I2">
        <v>7.1083333333333298</v>
      </c>
      <c r="J2">
        <v>-12.5833333333333</v>
      </c>
    </row>
    <row r="3" spans="1:10" x14ac:dyDescent="0.25">
      <c r="A3">
        <v>2.57</v>
      </c>
      <c r="B3">
        <v>1</v>
      </c>
      <c r="C3" t="str">
        <f>CONCATENATE(Таблица258[[#This Row],[Столбец1]],Таблица258[[#This Row],[Столбец2]])</f>
        <v>2,571</v>
      </c>
      <c r="E3">
        <v>2.56</v>
      </c>
      <c r="F3">
        <v>1.01</v>
      </c>
      <c r="G3" t="str">
        <f>CONCATENATE(Таблица271[[#This Row],[Столбец1]],Таблица271[[#This Row],[Столбец2]])</f>
        <v>2,561,01</v>
      </c>
      <c r="I3">
        <v>7.05</v>
      </c>
      <c r="J3">
        <v>-12.633333333333301</v>
      </c>
    </row>
    <row r="4" spans="1:10" x14ac:dyDescent="0.25">
      <c r="A4">
        <v>2.57</v>
      </c>
      <c r="B4">
        <v>1</v>
      </c>
      <c r="C4" t="str">
        <f>CONCATENATE(Таблица258[[#This Row],[Столбец1]],Таблица258[[#This Row],[Столбец2]])</f>
        <v>2,571</v>
      </c>
      <c r="E4">
        <v>2.56</v>
      </c>
      <c r="F4">
        <v>1.01</v>
      </c>
      <c r="G4" t="str">
        <f>CONCATENATE(Таблица271[[#This Row],[Столбец1]],Таблица271[[#This Row],[Столбец2]])</f>
        <v>2,561,01</v>
      </c>
      <c r="I4">
        <v>6.9916666666666698</v>
      </c>
      <c r="J4">
        <v>-12.6666666666667</v>
      </c>
    </row>
    <row r="5" spans="1:10" x14ac:dyDescent="0.25">
      <c r="A5">
        <v>2.57</v>
      </c>
      <c r="B5">
        <v>1</v>
      </c>
      <c r="C5" t="str">
        <f>CONCATENATE(Таблица258[[#This Row],[Столбец1]],Таблица258[[#This Row],[Столбец2]])</f>
        <v>2,571</v>
      </c>
      <c r="E5">
        <v>2.56</v>
      </c>
      <c r="F5">
        <v>1.01</v>
      </c>
      <c r="G5" t="str">
        <f>CONCATENATE(Таблица271[[#This Row],[Столбец1]],Таблица271[[#This Row],[Столбец2]])</f>
        <v>2,561,01</v>
      </c>
      <c r="I5">
        <v>6.93333333333333</v>
      </c>
      <c r="J5">
        <v>-12.716666666666701</v>
      </c>
    </row>
    <row r="6" spans="1:10" x14ac:dyDescent="0.25">
      <c r="A6">
        <v>2.57</v>
      </c>
      <c r="B6">
        <v>1</v>
      </c>
      <c r="C6" t="str">
        <f>CONCATENATE(Таблица258[[#This Row],[Столбец1]],Таблица258[[#This Row],[Столбец2]])</f>
        <v>2,571</v>
      </c>
      <c r="E6">
        <v>2.56</v>
      </c>
      <c r="F6">
        <v>1.01</v>
      </c>
      <c r="G6" t="str">
        <f>CONCATENATE(Таблица271[[#This Row],[Столбец1]],Таблица271[[#This Row],[Столбец2]])</f>
        <v>2,561,01</v>
      </c>
      <c r="I6">
        <v>6.875</v>
      </c>
      <c r="J6">
        <v>-12.75</v>
      </c>
    </row>
    <row r="7" spans="1:10" x14ac:dyDescent="0.25">
      <c r="A7">
        <v>2.57</v>
      </c>
      <c r="B7">
        <v>1</v>
      </c>
      <c r="C7" t="str">
        <f>CONCATENATE(Таблица258[[#This Row],[Столбец1]],Таблица258[[#This Row],[Столбец2]])</f>
        <v>2,571</v>
      </c>
      <c r="E7">
        <v>2.56</v>
      </c>
      <c r="F7">
        <v>1.01</v>
      </c>
      <c r="G7" t="str">
        <f>CONCATENATE(Таблица271[[#This Row],[Столбец1]],Таблица271[[#This Row],[Столбец2]])</f>
        <v>2,561,01</v>
      </c>
      <c r="I7">
        <v>6.81666666666667</v>
      </c>
      <c r="J7">
        <v>-12.8</v>
      </c>
    </row>
    <row r="8" spans="1:10" x14ac:dyDescent="0.25">
      <c r="A8">
        <v>2.57</v>
      </c>
      <c r="B8">
        <v>1</v>
      </c>
      <c r="C8" t="str">
        <f>CONCATENATE(Таблица258[[#This Row],[Столбец1]],Таблица258[[#This Row],[Столбец2]])</f>
        <v>2,571</v>
      </c>
      <c r="E8">
        <v>2.54</v>
      </c>
      <c r="F8">
        <v>1.02</v>
      </c>
      <c r="G8" t="str">
        <f>CONCATENATE(Таблица271[[#This Row],[Столбец1]],Таблица271[[#This Row],[Столбец2]])</f>
        <v>2,541,02</v>
      </c>
      <c r="I8">
        <v>6.7583333333333302</v>
      </c>
      <c r="J8">
        <v>-12.85</v>
      </c>
    </row>
    <row r="9" spans="1:10" x14ac:dyDescent="0.25">
      <c r="A9">
        <v>2.56</v>
      </c>
      <c r="B9">
        <v>1.01</v>
      </c>
      <c r="C9" t="str">
        <f>CONCATENATE(Таблица258[[#This Row],[Столбец1]],Таблица258[[#This Row],[Столбец2]])</f>
        <v>2,561,01</v>
      </c>
      <c r="E9">
        <v>2.54</v>
      </c>
      <c r="F9">
        <v>1.02</v>
      </c>
      <c r="G9" t="str">
        <f>CONCATENATE(Таблица271[[#This Row],[Столбец1]],Таблица271[[#This Row],[Столбец2]])</f>
        <v>2,541,02</v>
      </c>
      <c r="I9">
        <v>6.7</v>
      </c>
      <c r="J9">
        <v>-13.3333333333333</v>
      </c>
    </row>
    <row r="10" spans="1:10" x14ac:dyDescent="0.25">
      <c r="A10">
        <v>2.56</v>
      </c>
      <c r="B10">
        <v>1.01</v>
      </c>
      <c r="C10" t="str">
        <f>CONCATENATE(Таблица258[[#This Row],[Столбец1]],Таблица258[[#This Row],[Столбец2]])</f>
        <v>2,561,01</v>
      </c>
      <c r="E10">
        <v>2.54</v>
      </c>
      <c r="F10">
        <v>1.02</v>
      </c>
      <c r="G10" t="str">
        <f>CONCATENATE(Таблица271[[#This Row],[Столбец1]],Таблица271[[#This Row],[Столбец2]])</f>
        <v>2,541,02</v>
      </c>
      <c r="I10">
        <v>6.7</v>
      </c>
      <c r="J10">
        <v>-11.6666666666667</v>
      </c>
    </row>
    <row r="11" spans="1:10" x14ac:dyDescent="0.25">
      <c r="A11">
        <v>2.56</v>
      </c>
      <c r="B11">
        <v>1.01</v>
      </c>
      <c r="C11" t="str">
        <f>CONCATENATE(Таблица258[[#This Row],[Столбец1]],Таблица258[[#This Row],[Столбец2]])</f>
        <v>2,561,01</v>
      </c>
      <c r="E11">
        <v>2.54</v>
      </c>
      <c r="F11">
        <v>1.02</v>
      </c>
      <c r="G11" t="str">
        <f>CONCATENATE(Таблица271[[#This Row],[Столбец1]],Таблица271[[#This Row],[Столбец2]])</f>
        <v>2,541,02</v>
      </c>
      <c r="I11">
        <v>6.6416666666666702</v>
      </c>
      <c r="J11">
        <v>-13.35</v>
      </c>
    </row>
    <row r="12" spans="1:10" x14ac:dyDescent="0.25">
      <c r="A12">
        <v>2.56</v>
      </c>
      <c r="B12">
        <v>1.01</v>
      </c>
      <c r="C12" t="str">
        <f>CONCATENATE(Таблица258[[#This Row],[Столбец1]],Таблица258[[#This Row],[Столбец2]])</f>
        <v>2,561,01</v>
      </c>
      <c r="E12">
        <v>2.54</v>
      </c>
      <c r="F12">
        <v>1.02</v>
      </c>
      <c r="G12" t="str">
        <f>CONCATENATE(Таблица271[[#This Row],[Столбец1]],Таблица271[[#This Row],[Столбец2]])</f>
        <v>2,541,02</v>
      </c>
      <c r="I12">
        <v>6.5250000000000004</v>
      </c>
      <c r="J12">
        <v>-13.366666666666699</v>
      </c>
    </row>
    <row r="13" spans="1:10" x14ac:dyDescent="0.25">
      <c r="A13">
        <v>2.56</v>
      </c>
      <c r="B13">
        <v>1.01</v>
      </c>
      <c r="C13" t="str">
        <f>CONCATENATE(Таблица258[[#This Row],[Столбец1]],Таблица258[[#This Row],[Столбец2]])</f>
        <v>2,561,01</v>
      </c>
      <c r="E13">
        <v>2.54</v>
      </c>
      <c r="F13">
        <v>1.02</v>
      </c>
      <c r="G13" t="str">
        <f>CONCATENATE(Таблица271[[#This Row],[Столбец1]],Таблица271[[#This Row],[Столбец2]])</f>
        <v>2,541,02</v>
      </c>
      <c r="I13">
        <v>6.4666666666666703</v>
      </c>
      <c r="J13">
        <v>-13.383333333333301</v>
      </c>
    </row>
    <row r="14" spans="1:10" x14ac:dyDescent="0.25">
      <c r="A14">
        <v>2.56</v>
      </c>
      <c r="B14">
        <v>1.01</v>
      </c>
      <c r="C14" t="str">
        <f>CONCATENATE(Таблица258[[#This Row],[Столбец1]],Таблица258[[#This Row],[Столбец2]])</f>
        <v>2,561,01</v>
      </c>
      <c r="E14">
        <v>2.5299999999999998</v>
      </c>
      <c r="F14">
        <v>1.03</v>
      </c>
      <c r="G14" t="str">
        <f>CONCATENATE(Таблица271[[#This Row],[Столбец1]],Таблица271[[#This Row],[Столбец2]])</f>
        <v>2,531,03</v>
      </c>
      <c r="I14">
        <v>7.1666666666666696</v>
      </c>
      <c r="J14">
        <v>-10.866666666666699</v>
      </c>
    </row>
    <row r="15" spans="1:10" x14ac:dyDescent="0.25">
      <c r="A15">
        <v>2.56</v>
      </c>
      <c r="B15">
        <v>1.01</v>
      </c>
      <c r="C15" t="str">
        <f>CONCATENATE(Таблица258[[#This Row],[Столбец1]],Таблица258[[#This Row],[Столбец2]])</f>
        <v>2,561,01</v>
      </c>
      <c r="E15">
        <v>2.5299999999999998</v>
      </c>
      <c r="F15">
        <v>1.03</v>
      </c>
      <c r="G15" t="str">
        <f>CONCATENATE(Таблица271[[#This Row],[Столбец1]],Таблица271[[#This Row],[Столбец2]])</f>
        <v>2,531,03</v>
      </c>
      <c r="I15">
        <v>7.2249999999999996</v>
      </c>
      <c r="J15">
        <v>-10.8333333333333</v>
      </c>
    </row>
    <row r="16" spans="1:10" x14ac:dyDescent="0.25">
      <c r="A16">
        <v>2.54</v>
      </c>
      <c r="B16">
        <v>1.02</v>
      </c>
      <c r="C16" t="str">
        <f>CONCATENATE(Таблица258[[#This Row],[Столбец1]],Таблица258[[#This Row],[Столбец2]])</f>
        <v>2,541,02</v>
      </c>
      <c r="E16">
        <v>2.5299999999999998</v>
      </c>
      <c r="F16">
        <v>1.03</v>
      </c>
      <c r="G16" t="str">
        <f>CONCATENATE(Таблица271[[#This Row],[Столбец1]],Таблица271[[#This Row],[Столбец2]])</f>
        <v>2,531,03</v>
      </c>
      <c r="I16">
        <v>7.05</v>
      </c>
      <c r="J16">
        <v>-10.966666666666701</v>
      </c>
    </row>
    <row r="17" spans="1:10" x14ac:dyDescent="0.25">
      <c r="A17">
        <v>2.54</v>
      </c>
      <c r="B17">
        <v>1.02</v>
      </c>
      <c r="C17" t="str">
        <f>CONCATENATE(Таблица258[[#This Row],[Столбец1]],Таблица258[[#This Row],[Столбец2]])</f>
        <v>2,541,02</v>
      </c>
      <c r="E17">
        <v>2.5299999999999998</v>
      </c>
      <c r="F17">
        <v>1.03</v>
      </c>
      <c r="G17" t="str">
        <f>CONCATENATE(Таблица271[[#This Row],[Столбец1]],Таблица271[[#This Row],[Столбец2]])</f>
        <v>2,531,03</v>
      </c>
      <c r="I17">
        <v>6.35</v>
      </c>
      <c r="J17">
        <v>-13.4166666666667</v>
      </c>
    </row>
    <row r="18" spans="1:10" x14ac:dyDescent="0.25">
      <c r="A18">
        <v>2.54</v>
      </c>
      <c r="B18">
        <v>1.02</v>
      </c>
      <c r="C18" t="str">
        <f>CONCATENATE(Таблица258[[#This Row],[Столбец1]],Таблица258[[#This Row],[Столбец2]])</f>
        <v>2,541,02</v>
      </c>
      <c r="E18">
        <v>2.5299999999999998</v>
      </c>
      <c r="F18">
        <v>1.03</v>
      </c>
      <c r="G18" t="str">
        <f>CONCATENATE(Таблица271[[#This Row],[Столбец1]],Таблица271[[#This Row],[Столбец2]])</f>
        <v>2,531,03</v>
      </c>
      <c r="I18">
        <v>6.7583333333333302</v>
      </c>
      <c r="J18">
        <v>-11.1833333333333</v>
      </c>
    </row>
    <row r="19" spans="1:10" x14ac:dyDescent="0.25">
      <c r="A19">
        <v>2.54</v>
      </c>
      <c r="B19">
        <v>1.02</v>
      </c>
      <c r="C19" t="str">
        <f>CONCATENATE(Таблица258[[#This Row],[Столбец1]],Таблица258[[#This Row],[Столбец2]])</f>
        <v>2,541,02</v>
      </c>
      <c r="E19">
        <v>2.5299999999999998</v>
      </c>
      <c r="F19">
        <v>1.03</v>
      </c>
      <c r="G19" t="str">
        <f>CONCATENATE(Таблица271[[#This Row],[Столбец1]],Таблица271[[#This Row],[Столбец2]])</f>
        <v>2,531,03</v>
      </c>
      <c r="I19">
        <v>6.875</v>
      </c>
      <c r="J19">
        <v>-11.0833333333333</v>
      </c>
    </row>
    <row r="20" spans="1:10" x14ac:dyDescent="0.25">
      <c r="A20">
        <v>2.54</v>
      </c>
      <c r="B20">
        <v>1.02</v>
      </c>
      <c r="C20" t="str">
        <f>CONCATENATE(Таблица258[[#This Row],[Столбец1]],Таблица258[[#This Row],[Столбец2]])</f>
        <v>2,541,02</v>
      </c>
      <c r="E20">
        <v>2.5099999999999998</v>
      </c>
      <c r="F20">
        <v>1.04</v>
      </c>
      <c r="G20" t="str">
        <f>CONCATENATE(Таблица271[[#This Row],[Столбец1]],Таблица271[[#This Row],[Столбец2]])</f>
        <v>2,511,04</v>
      </c>
      <c r="I20">
        <v>6.4083333333333297</v>
      </c>
      <c r="J20">
        <v>-13.4</v>
      </c>
    </row>
    <row r="21" spans="1:10" x14ac:dyDescent="0.25">
      <c r="A21">
        <v>2.54</v>
      </c>
      <c r="B21">
        <v>1.02</v>
      </c>
      <c r="C21" t="str">
        <f>CONCATENATE(Таблица258[[#This Row],[Столбец1]],Таблица258[[#This Row],[Столбец2]])</f>
        <v>2,541,02</v>
      </c>
      <c r="E21">
        <v>2.5099999999999998</v>
      </c>
      <c r="F21">
        <v>1.04</v>
      </c>
      <c r="G21" t="str">
        <f>CONCATENATE(Таблица271[[#This Row],[Столбец1]],Таблица271[[#This Row],[Столбец2]])</f>
        <v>2,511,04</v>
      </c>
      <c r="I21">
        <v>7.1083333333333298</v>
      </c>
      <c r="J21">
        <v>-10.9166666666667</v>
      </c>
    </row>
    <row r="22" spans="1:10" x14ac:dyDescent="0.25">
      <c r="A22">
        <v>2.54</v>
      </c>
      <c r="B22">
        <v>1.02</v>
      </c>
      <c r="C22" t="str">
        <f>CONCATENATE(Таблица258[[#This Row],[Столбец1]],Таблица258[[#This Row],[Столбец2]])</f>
        <v>2,541,02</v>
      </c>
      <c r="E22">
        <v>2.5099999999999998</v>
      </c>
      <c r="F22">
        <v>1.04</v>
      </c>
      <c r="G22" t="str">
        <f>CONCATENATE(Таблица271[[#This Row],[Столбец1]],Таблица271[[#This Row],[Столбец2]])</f>
        <v>2,511,04</v>
      </c>
      <c r="I22">
        <v>6.93333333333333</v>
      </c>
      <c r="J22">
        <v>-11.05</v>
      </c>
    </row>
    <row r="23" spans="1:10" x14ac:dyDescent="0.25">
      <c r="A23">
        <v>2.5299999999999998</v>
      </c>
      <c r="B23">
        <v>1.03</v>
      </c>
      <c r="C23" t="str">
        <f>CONCATENATE(Таблица258[[#This Row],[Столбец1]],Таблица258[[#This Row],[Столбец2]])</f>
        <v>2,531,03</v>
      </c>
      <c r="E23">
        <v>2.5099999999999998</v>
      </c>
      <c r="F23">
        <v>1.04</v>
      </c>
      <c r="G23" t="str">
        <f>CONCATENATE(Таблица271[[#This Row],[Столбец1]],Таблица271[[#This Row],[Столбец2]])</f>
        <v>2,511,04</v>
      </c>
      <c r="I23">
        <v>6.81666666666667</v>
      </c>
      <c r="J23">
        <v>-11.133333333333301</v>
      </c>
    </row>
    <row r="24" spans="1:10" x14ac:dyDescent="0.25">
      <c r="A24">
        <v>2.5299999999999998</v>
      </c>
      <c r="B24">
        <v>1.03</v>
      </c>
      <c r="C24" t="str">
        <f>CONCATENATE(Таблица258[[#This Row],[Столбец1]],Таблица258[[#This Row],[Столбец2]])</f>
        <v>2,531,03</v>
      </c>
      <c r="E24">
        <v>2.5099999999999998</v>
      </c>
      <c r="F24">
        <v>1.04</v>
      </c>
      <c r="G24" t="str">
        <f>CONCATENATE(Таблица271[[#This Row],[Столбец1]],Таблица271[[#This Row],[Столбец2]])</f>
        <v>2,511,04</v>
      </c>
      <c r="I24">
        <v>6.9916666666666698</v>
      </c>
      <c r="J24">
        <v>-11</v>
      </c>
    </row>
    <row r="25" spans="1:10" x14ac:dyDescent="0.25">
      <c r="A25">
        <v>2.5299999999999998</v>
      </c>
      <c r="B25">
        <v>1.03</v>
      </c>
      <c r="C25" t="str">
        <f>CONCATENATE(Таблица258[[#This Row],[Столбец1]],Таблица258[[#This Row],[Столбец2]])</f>
        <v>2,531,03</v>
      </c>
      <c r="E25">
        <v>2.5099999999999998</v>
      </c>
      <c r="F25">
        <v>1.04</v>
      </c>
      <c r="G25" t="str">
        <f>CONCATENATE(Таблица271[[#This Row],[Столбец1]],Таблица271[[#This Row],[Столбец2]])</f>
        <v>2,511,04</v>
      </c>
      <c r="I25">
        <v>6.2333333333333298</v>
      </c>
      <c r="J25">
        <v>-13.4333333333333</v>
      </c>
    </row>
    <row r="26" spans="1:10" x14ac:dyDescent="0.25">
      <c r="A26">
        <v>2.5299999999999998</v>
      </c>
      <c r="B26">
        <v>1.03</v>
      </c>
      <c r="C26" t="str">
        <f>CONCATENATE(Таблица258[[#This Row],[Столбец1]],Таблица258[[#This Row],[Столбец2]])</f>
        <v>2,531,03</v>
      </c>
      <c r="E26">
        <v>2.5</v>
      </c>
      <c r="F26">
        <v>1.05</v>
      </c>
      <c r="G26" t="str">
        <f>CONCATENATE(Таблица271[[#This Row],[Столбец1]],Таблица271[[#This Row],[Столбец2]])</f>
        <v>2,51,05</v>
      </c>
      <c r="I26">
        <v>6.1749999999999998</v>
      </c>
      <c r="J26">
        <v>-13.45</v>
      </c>
    </row>
    <row r="27" spans="1:10" x14ac:dyDescent="0.25">
      <c r="A27">
        <v>2.5299999999999998</v>
      </c>
      <c r="B27">
        <v>1.03</v>
      </c>
      <c r="C27" t="str">
        <f>CONCATENATE(Таблица258[[#This Row],[Столбец1]],Таблица258[[#This Row],[Столбец2]])</f>
        <v>2,531,03</v>
      </c>
      <c r="E27">
        <v>2.5</v>
      </c>
      <c r="F27">
        <v>1.05</v>
      </c>
      <c r="G27" t="str">
        <f>CONCATENATE(Таблица271[[#This Row],[Столбец1]],Таблица271[[#This Row],[Столбец2]])</f>
        <v>2,51,05</v>
      </c>
      <c r="I27">
        <v>6.1166666666666698</v>
      </c>
      <c r="J27">
        <v>-13.466666666666701</v>
      </c>
    </row>
    <row r="28" spans="1:10" x14ac:dyDescent="0.25">
      <c r="A28">
        <v>2.5299999999999998</v>
      </c>
      <c r="B28">
        <v>1.03</v>
      </c>
      <c r="C28" t="str">
        <f>CONCATENATE(Таблица258[[#This Row],[Столбец1]],Таблица258[[#This Row],[Столбец2]])</f>
        <v>2,531,03</v>
      </c>
      <c r="E28">
        <v>2.5</v>
      </c>
      <c r="F28">
        <v>1.05</v>
      </c>
      <c r="G28" t="str">
        <f>CONCATENATE(Таблица271[[#This Row],[Столбец1]],Таблица271[[#This Row],[Столбец2]])</f>
        <v>2,51,05</v>
      </c>
      <c r="I28">
        <v>6</v>
      </c>
      <c r="J28">
        <v>-13.483333333333301</v>
      </c>
    </row>
    <row r="29" spans="1:10" x14ac:dyDescent="0.25">
      <c r="A29">
        <v>2.5099999999999998</v>
      </c>
      <c r="B29">
        <v>1.04</v>
      </c>
      <c r="C29" t="str">
        <f>CONCATENATE(Таблица258[[#This Row],[Столбец1]],Таблица258[[#This Row],[Столбец2]])</f>
        <v>2,511,04</v>
      </c>
      <c r="E29">
        <v>2.5</v>
      </c>
      <c r="F29">
        <v>1.05</v>
      </c>
      <c r="G29" t="str">
        <f>CONCATENATE(Таблица271[[#This Row],[Столбец1]],Таблица271[[#This Row],[Столбец2]])</f>
        <v>2,51,05</v>
      </c>
      <c r="I29">
        <v>6.05833333333333</v>
      </c>
      <c r="J29">
        <v>-13.483333333333301</v>
      </c>
    </row>
    <row r="30" spans="1:10" x14ac:dyDescent="0.25">
      <c r="A30">
        <v>2.5099999999999998</v>
      </c>
      <c r="B30">
        <v>1.04</v>
      </c>
      <c r="C30" t="str">
        <f>CONCATENATE(Таблица258[[#This Row],[Столбец1]],Таблица258[[#This Row],[Столбец2]])</f>
        <v>2,511,04</v>
      </c>
      <c r="E30">
        <v>2.5</v>
      </c>
      <c r="F30">
        <v>1.05</v>
      </c>
      <c r="G30" t="str">
        <f>CONCATENATE(Таблица271[[#This Row],[Столбец1]],Таблица271[[#This Row],[Столбец2]])</f>
        <v>2,51,05</v>
      </c>
      <c r="I30">
        <v>5.94166666666667</v>
      </c>
      <c r="J30">
        <v>-13.5</v>
      </c>
    </row>
    <row r="31" spans="1:10" x14ac:dyDescent="0.25">
      <c r="A31">
        <v>2.5099999999999998</v>
      </c>
      <c r="B31">
        <v>1.04</v>
      </c>
      <c r="C31" t="str">
        <f>CONCATENATE(Таблица258[[#This Row],[Столбец1]],Таблица258[[#This Row],[Столбец2]])</f>
        <v>2,511,04</v>
      </c>
      <c r="E31">
        <v>2.5</v>
      </c>
      <c r="F31">
        <v>1.05</v>
      </c>
      <c r="G31" t="str">
        <f>CONCATENATE(Таблица271[[#This Row],[Столбец1]],Таблица271[[#This Row],[Столбец2]])</f>
        <v>2,51,05</v>
      </c>
      <c r="I31">
        <v>5.8833333333333302</v>
      </c>
      <c r="J31">
        <v>-13.516666666666699</v>
      </c>
    </row>
    <row r="32" spans="1:10" x14ac:dyDescent="0.25">
      <c r="A32">
        <v>2.5099999999999998</v>
      </c>
      <c r="B32">
        <v>1.04</v>
      </c>
      <c r="C32" t="str">
        <f>CONCATENATE(Таблица258[[#This Row],[Столбец1]],Таблица258[[#This Row],[Столбец2]])</f>
        <v>2,511,04</v>
      </c>
      <c r="E32">
        <v>2.48</v>
      </c>
      <c r="F32">
        <v>1.06</v>
      </c>
      <c r="G32" t="str">
        <f>CONCATENATE(Таблица271[[#This Row],[Столбец1]],Таблица271[[#This Row],[Столбец2]])</f>
        <v>2,481,06</v>
      </c>
      <c r="I32">
        <v>5.8250000000000002</v>
      </c>
      <c r="J32">
        <v>-13.533333333333299</v>
      </c>
    </row>
    <row r="33" spans="1:10" x14ac:dyDescent="0.25">
      <c r="A33">
        <v>2.5099999999999998</v>
      </c>
      <c r="B33">
        <v>1.04</v>
      </c>
      <c r="C33" t="str">
        <f>CONCATENATE(Таблица258[[#This Row],[Столбец1]],Таблица258[[#This Row],[Столбец2]])</f>
        <v>2,511,04</v>
      </c>
      <c r="E33">
        <v>2.48</v>
      </c>
      <c r="F33">
        <v>1.06</v>
      </c>
      <c r="G33" t="str">
        <f>CONCATENATE(Таблица271[[#This Row],[Столбец1]],Таблица271[[#This Row],[Столбец2]])</f>
        <v>2,481,06</v>
      </c>
      <c r="I33">
        <v>5.7083333333333304</v>
      </c>
      <c r="J33">
        <v>-13.55</v>
      </c>
    </row>
    <row r="34" spans="1:10" x14ac:dyDescent="0.25">
      <c r="A34">
        <v>2.5099999999999998</v>
      </c>
      <c r="B34">
        <v>1.04</v>
      </c>
      <c r="C34" t="str">
        <f>CONCATENATE(Таблица258[[#This Row],[Столбец1]],Таблица258[[#This Row],[Столбец2]])</f>
        <v>2,511,04</v>
      </c>
      <c r="E34">
        <v>2.48</v>
      </c>
      <c r="F34">
        <v>1.06</v>
      </c>
      <c r="G34" t="str">
        <f>CONCATENATE(Таблица271[[#This Row],[Столбец1]],Таблица271[[#This Row],[Столбец2]])</f>
        <v>2,481,06</v>
      </c>
      <c r="I34">
        <v>5.65</v>
      </c>
      <c r="J34">
        <v>-13.5666666666667</v>
      </c>
    </row>
    <row r="35" spans="1:10" x14ac:dyDescent="0.25">
      <c r="A35">
        <v>2.5099999999999998</v>
      </c>
      <c r="B35">
        <v>1.04</v>
      </c>
      <c r="C35" t="str">
        <f>CONCATENATE(Таблица258[[#This Row],[Столбец1]],Таблица258[[#This Row],[Столбец2]])</f>
        <v>2,511,04</v>
      </c>
      <c r="E35">
        <v>2.48</v>
      </c>
      <c r="F35">
        <v>1.06</v>
      </c>
      <c r="G35" t="str">
        <f>CONCATENATE(Таблица271[[#This Row],[Столбец1]],Таблица271[[#This Row],[Столбец2]])</f>
        <v>2,481,06</v>
      </c>
      <c r="I35">
        <v>5.5916666666666703</v>
      </c>
      <c r="J35">
        <v>-13.5833333333333</v>
      </c>
    </row>
    <row r="36" spans="1:10" x14ac:dyDescent="0.25">
      <c r="A36">
        <v>2.5</v>
      </c>
      <c r="B36">
        <v>1.05</v>
      </c>
      <c r="C36" t="str">
        <f>CONCATENATE(Таблица258[[#This Row],[Столбец1]],Таблица258[[#This Row],[Столбец2]])</f>
        <v>2,51,05</v>
      </c>
      <c r="E36">
        <v>2.48</v>
      </c>
      <c r="F36">
        <v>1.06</v>
      </c>
      <c r="G36" t="str">
        <f>CONCATENATE(Таблица271[[#This Row],[Столбец1]],Таблица271[[#This Row],[Столбец2]])</f>
        <v>2,481,06</v>
      </c>
      <c r="I36">
        <v>5.5333333333333297</v>
      </c>
      <c r="J36">
        <v>-13.6</v>
      </c>
    </row>
    <row r="37" spans="1:10" x14ac:dyDescent="0.25">
      <c r="A37">
        <v>2.5</v>
      </c>
      <c r="B37">
        <v>1.05</v>
      </c>
      <c r="C37" t="str">
        <f>CONCATENATE(Таблица258[[#This Row],[Столбец1]],Таблица258[[#This Row],[Столбец2]])</f>
        <v>2,51,05</v>
      </c>
      <c r="E37">
        <v>2.48</v>
      </c>
      <c r="F37">
        <v>1.06</v>
      </c>
      <c r="G37" t="str">
        <f>CONCATENATE(Таблица271[[#This Row],[Столбец1]],Таблица271[[#This Row],[Столбец2]])</f>
        <v>2,481,06</v>
      </c>
      <c r="I37">
        <v>5.4166666666666696</v>
      </c>
      <c r="J37">
        <v>-13.616666666666699</v>
      </c>
    </row>
    <row r="38" spans="1:10" x14ac:dyDescent="0.25">
      <c r="A38">
        <v>2.5</v>
      </c>
      <c r="B38">
        <v>1.05</v>
      </c>
      <c r="C38" t="str">
        <f>CONCATENATE(Таблица258[[#This Row],[Столбец1]],Таблица258[[#This Row],[Столбец2]])</f>
        <v>2,51,05</v>
      </c>
      <c r="E38">
        <v>2.4700000000000002</v>
      </c>
      <c r="F38">
        <v>1.07</v>
      </c>
      <c r="G38" t="str">
        <f>CONCATENATE(Таблица271[[#This Row],[Столбец1]],Таблица271[[#This Row],[Столбец2]])</f>
        <v>2,471,07</v>
      </c>
      <c r="I38">
        <v>5.4749999999999996</v>
      </c>
      <c r="J38">
        <v>-13.6</v>
      </c>
    </row>
    <row r="39" spans="1:10" x14ac:dyDescent="0.25">
      <c r="A39">
        <v>2.5</v>
      </c>
      <c r="B39">
        <v>1.05</v>
      </c>
      <c r="C39" t="str">
        <f>CONCATENATE(Таблица258[[#This Row],[Столбец1]],Таблица258[[#This Row],[Столбец2]])</f>
        <v>2,51,05</v>
      </c>
      <c r="E39">
        <v>2.4700000000000002</v>
      </c>
      <c r="F39">
        <v>1.07</v>
      </c>
      <c r="G39" t="str">
        <f>CONCATENATE(Таблица271[[#This Row],[Столбец1]],Таблица271[[#This Row],[Столбец2]])</f>
        <v>2,471,07</v>
      </c>
      <c r="I39">
        <v>5.3583333333333298</v>
      </c>
      <c r="J39">
        <v>-13.633333333333301</v>
      </c>
    </row>
    <row r="40" spans="1:10" x14ac:dyDescent="0.25">
      <c r="A40">
        <v>2.5</v>
      </c>
      <c r="B40">
        <v>1.05</v>
      </c>
      <c r="C40" t="str">
        <f>CONCATENATE(Таблица258[[#This Row],[Столбец1]],Таблица258[[#This Row],[Столбец2]])</f>
        <v>2,51,05</v>
      </c>
      <c r="E40">
        <v>2.4700000000000002</v>
      </c>
      <c r="F40">
        <v>1.07</v>
      </c>
      <c r="G40" t="str">
        <f>CONCATENATE(Таблица271[[#This Row],[Столбец1]],Таблица271[[#This Row],[Столбец2]])</f>
        <v>2,471,07</v>
      </c>
      <c r="I40">
        <v>5.3</v>
      </c>
      <c r="J40">
        <v>-13.65</v>
      </c>
    </row>
    <row r="41" spans="1:10" x14ac:dyDescent="0.25">
      <c r="A41">
        <v>2.5</v>
      </c>
      <c r="B41">
        <v>1.05</v>
      </c>
      <c r="C41" t="str">
        <f>CONCATENATE(Таблица258[[#This Row],[Столбец1]],Таблица258[[#This Row],[Столбец2]])</f>
        <v>2,51,05</v>
      </c>
      <c r="E41">
        <v>2.4700000000000002</v>
      </c>
      <c r="F41">
        <v>1.07</v>
      </c>
      <c r="G41" t="str">
        <f>CONCATENATE(Таблица271[[#This Row],[Столбец1]],Таблица271[[#This Row],[Столбец2]])</f>
        <v>2,471,07</v>
      </c>
      <c r="I41">
        <v>5.18333333333333</v>
      </c>
      <c r="J41">
        <v>-13.6666666666667</v>
      </c>
    </row>
    <row r="42" spans="1:10" x14ac:dyDescent="0.25">
      <c r="A42">
        <v>2.5</v>
      </c>
      <c r="B42">
        <v>1.05</v>
      </c>
      <c r="C42" t="str">
        <f>CONCATENATE(Таблица258[[#This Row],[Столбец1]],Таблица258[[#This Row],[Столбец2]])</f>
        <v>2,51,05</v>
      </c>
      <c r="E42">
        <v>2.4700000000000002</v>
      </c>
      <c r="F42">
        <v>1.07</v>
      </c>
      <c r="G42" t="str">
        <f>CONCATENATE(Таблица271[[#This Row],[Столбец1]],Таблица271[[#This Row],[Столбец2]])</f>
        <v>2,471,07</v>
      </c>
      <c r="I42">
        <v>5.125</v>
      </c>
      <c r="J42">
        <v>-13.6833333333333</v>
      </c>
    </row>
    <row r="43" spans="1:10" x14ac:dyDescent="0.25">
      <c r="A43">
        <v>2.48</v>
      </c>
      <c r="B43">
        <v>1.06</v>
      </c>
      <c r="C43" t="str">
        <f>CONCATENATE(Таблица258[[#This Row],[Столбец1]],Таблица258[[#This Row],[Столбец2]])</f>
        <v>2,481,06</v>
      </c>
      <c r="E43">
        <v>2.4700000000000002</v>
      </c>
      <c r="F43">
        <v>1.07</v>
      </c>
      <c r="G43" t="str">
        <f>CONCATENATE(Таблица271[[#This Row],[Столбец1]],Таблица271[[#This Row],[Столбец2]])</f>
        <v>2,471,07</v>
      </c>
      <c r="I43">
        <v>5.06666666666667</v>
      </c>
      <c r="J43">
        <v>-13.7</v>
      </c>
    </row>
    <row r="44" spans="1:10" x14ac:dyDescent="0.25">
      <c r="A44">
        <v>2.48</v>
      </c>
      <c r="B44">
        <v>1.06</v>
      </c>
      <c r="C44" t="str">
        <f>CONCATENATE(Таблица258[[#This Row],[Столбец1]],Таблица258[[#This Row],[Столбец2]])</f>
        <v>2,481,06</v>
      </c>
      <c r="E44">
        <v>2.46</v>
      </c>
      <c r="F44">
        <v>1.08</v>
      </c>
      <c r="G44" t="str">
        <f>CONCATENATE(Таблица271[[#This Row],[Столбец1]],Таблица271[[#This Row],[Столбец2]])</f>
        <v>2,461,08</v>
      </c>
      <c r="I44">
        <v>5.0083333333333302</v>
      </c>
      <c r="J44">
        <v>-13.716666666666701</v>
      </c>
    </row>
    <row r="45" spans="1:10" x14ac:dyDescent="0.25">
      <c r="A45">
        <v>2.48</v>
      </c>
      <c r="B45">
        <v>1.06</v>
      </c>
      <c r="C45" t="str">
        <f>CONCATENATE(Таблица258[[#This Row],[Столбец1]],Таблица258[[#This Row],[Столбец2]])</f>
        <v>2,481,06</v>
      </c>
      <c r="E45">
        <v>2.46</v>
      </c>
      <c r="F45">
        <v>1.08</v>
      </c>
      <c r="G45" t="str">
        <f>CONCATENATE(Таблица271[[#This Row],[Столбец1]],Таблица271[[#This Row],[Столбец2]])</f>
        <v>2,461,08</v>
      </c>
      <c r="I45">
        <v>4.95</v>
      </c>
      <c r="J45">
        <v>-13.716666666666701</v>
      </c>
    </row>
    <row r="46" spans="1:10" x14ac:dyDescent="0.25">
      <c r="A46">
        <v>2.48</v>
      </c>
      <c r="B46">
        <v>1.06</v>
      </c>
      <c r="C46" t="str">
        <f>CONCATENATE(Таблица258[[#This Row],[Столбец1]],Таблица258[[#This Row],[Столбец2]])</f>
        <v>2,481,06</v>
      </c>
      <c r="E46">
        <v>2.46</v>
      </c>
      <c r="F46">
        <v>1.08</v>
      </c>
      <c r="G46" t="str">
        <f>CONCATENATE(Таблица271[[#This Row],[Столбец1]],Таблица271[[#This Row],[Столбец2]])</f>
        <v>2,461,08</v>
      </c>
      <c r="I46">
        <v>4.8916666666666702</v>
      </c>
      <c r="J46">
        <v>-13.733333333333301</v>
      </c>
    </row>
    <row r="47" spans="1:10" x14ac:dyDescent="0.25">
      <c r="A47">
        <v>2.48</v>
      </c>
      <c r="B47">
        <v>1.06</v>
      </c>
      <c r="C47" t="str">
        <f>CONCATENATE(Таблица258[[#This Row],[Столбец1]],Таблица258[[#This Row],[Столбец2]])</f>
        <v>2,481,06</v>
      </c>
      <c r="E47">
        <v>2.46</v>
      </c>
      <c r="F47">
        <v>1.08</v>
      </c>
      <c r="G47" t="str">
        <f>CONCATENATE(Таблица271[[#This Row],[Столбец1]],Таблица271[[#This Row],[Столбец2]])</f>
        <v>2,461,08</v>
      </c>
      <c r="I47">
        <v>4.8333333333333304</v>
      </c>
      <c r="J47">
        <v>-13.75</v>
      </c>
    </row>
    <row r="48" spans="1:10" x14ac:dyDescent="0.25">
      <c r="A48">
        <v>2.48</v>
      </c>
      <c r="B48">
        <v>1.06</v>
      </c>
      <c r="C48" t="str">
        <f>CONCATENATE(Таблица258[[#This Row],[Столбец1]],Таблица258[[#This Row],[Столбец2]])</f>
        <v>2,481,06</v>
      </c>
      <c r="E48">
        <v>2.46</v>
      </c>
      <c r="F48">
        <v>1.08</v>
      </c>
      <c r="G48" t="str">
        <f>CONCATENATE(Таблица271[[#This Row],[Столбец1]],Таблица271[[#This Row],[Столбец2]])</f>
        <v>2,461,08</v>
      </c>
      <c r="I48">
        <v>4.7750000000000004</v>
      </c>
      <c r="J48">
        <v>-13.766666666666699</v>
      </c>
    </row>
    <row r="49" spans="1:10" x14ac:dyDescent="0.25">
      <c r="A49">
        <v>2.48</v>
      </c>
      <c r="B49">
        <v>1.06</v>
      </c>
      <c r="C49" t="str">
        <f>CONCATENATE(Таблица258[[#This Row],[Столбец1]],Таблица258[[#This Row],[Столбец2]])</f>
        <v>2,481,06</v>
      </c>
      <c r="E49">
        <v>2.46</v>
      </c>
      <c r="F49">
        <v>1.08</v>
      </c>
      <c r="G49" t="str">
        <f>CONCATENATE(Таблица271[[#This Row],[Столбец1]],Таблица271[[#This Row],[Столбец2]])</f>
        <v>2,461,08</v>
      </c>
      <c r="I49">
        <v>4.6583333333333297</v>
      </c>
      <c r="J49">
        <v>-13.783333333333299</v>
      </c>
    </row>
    <row r="50" spans="1:10" x14ac:dyDescent="0.25">
      <c r="A50">
        <v>2.4700000000000002</v>
      </c>
      <c r="B50">
        <v>1.07</v>
      </c>
      <c r="C50" t="str">
        <f>CONCATENATE(Таблица258[[#This Row],[Столбец1]],Таблица258[[#This Row],[Столбец2]])</f>
        <v>2,471,07</v>
      </c>
      <c r="E50">
        <v>2.44</v>
      </c>
      <c r="F50">
        <v>1.0900000000000001</v>
      </c>
      <c r="G50" t="str">
        <f>CONCATENATE(Таблица271[[#This Row],[Столбец1]],Таблица271[[#This Row],[Столбец2]])</f>
        <v>2,441,09</v>
      </c>
      <c r="I50">
        <v>4.7166666666666703</v>
      </c>
      <c r="J50">
        <v>-13.783333333333299</v>
      </c>
    </row>
    <row r="51" spans="1:10" x14ac:dyDescent="0.25">
      <c r="A51">
        <v>2.4700000000000002</v>
      </c>
      <c r="B51">
        <v>1.07</v>
      </c>
      <c r="C51" t="str">
        <f>CONCATENATE(Таблица258[[#This Row],[Столбец1]],Таблица258[[#This Row],[Столбец2]])</f>
        <v>2,471,07</v>
      </c>
      <c r="E51">
        <v>2.44</v>
      </c>
      <c r="F51">
        <v>1.0900000000000001</v>
      </c>
      <c r="G51" t="str">
        <f>CONCATENATE(Таблица271[[#This Row],[Столбец1]],Таблица271[[#This Row],[Столбец2]])</f>
        <v>2,441,09</v>
      </c>
      <c r="I51">
        <v>4.5416666666666696</v>
      </c>
      <c r="J51">
        <v>-13.8166666666667</v>
      </c>
    </row>
    <row r="52" spans="1:10" x14ac:dyDescent="0.25">
      <c r="A52">
        <v>2.4700000000000002</v>
      </c>
      <c r="B52">
        <v>1.07</v>
      </c>
      <c r="C52" t="str">
        <f>CONCATENATE(Таблица258[[#This Row],[Столбец1]],Таблица258[[#This Row],[Столбец2]])</f>
        <v>2,471,07</v>
      </c>
      <c r="E52">
        <v>2.44</v>
      </c>
      <c r="F52">
        <v>1.0900000000000001</v>
      </c>
      <c r="G52" t="str">
        <f>CONCATENATE(Таблица271[[#This Row],[Столбец1]],Таблица271[[#This Row],[Столбец2]])</f>
        <v>2,441,09</v>
      </c>
      <c r="I52">
        <v>4.5999999999999996</v>
      </c>
      <c r="J52">
        <v>-13.8</v>
      </c>
    </row>
    <row r="53" spans="1:10" x14ac:dyDescent="0.25">
      <c r="A53">
        <v>2.4700000000000002</v>
      </c>
      <c r="B53">
        <v>1.07</v>
      </c>
      <c r="C53" t="str">
        <f>CONCATENATE(Таблица258[[#This Row],[Столбец1]],Таблица258[[#This Row],[Столбец2]])</f>
        <v>2,471,07</v>
      </c>
      <c r="E53">
        <v>2.44</v>
      </c>
      <c r="F53">
        <v>1.0900000000000001</v>
      </c>
      <c r="G53" t="str">
        <f>CONCATENATE(Таблица271[[#This Row],[Столбец1]],Таблица271[[#This Row],[Столбец2]])</f>
        <v>2,441,09</v>
      </c>
      <c r="I53">
        <v>4.4833333333333298</v>
      </c>
      <c r="J53">
        <v>-13.8333333333333</v>
      </c>
    </row>
    <row r="54" spans="1:10" x14ac:dyDescent="0.25">
      <c r="A54">
        <v>2.4700000000000002</v>
      </c>
      <c r="B54">
        <v>1.07</v>
      </c>
      <c r="C54" t="str">
        <f>CONCATENATE(Таблица258[[#This Row],[Столбец1]],Таблица258[[#This Row],[Столбец2]])</f>
        <v>2,471,07</v>
      </c>
      <c r="E54">
        <v>2.44</v>
      </c>
      <c r="F54">
        <v>1.0900000000000001</v>
      </c>
      <c r="G54" t="str">
        <f>CONCATENATE(Таблица271[[#This Row],[Столбец1]],Таблица271[[#This Row],[Столбец2]])</f>
        <v>2,441,09</v>
      </c>
      <c r="I54">
        <v>4.4249999999999998</v>
      </c>
      <c r="J54">
        <v>-13.8333333333333</v>
      </c>
    </row>
    <row r="55" spans="1:10" x14ac:dyDescent="0.25">
      <c r="A55">
        <v>2.4700000000000002</v>
      </c>
      <c r="B55">
        <v>1.07</v>
      </c>
      <c r="C55" t="str">
        <f>CONCATENATE(Таблица258[[#This Row],[Столбец1]],Таблица258[[#This Row],[Столбец2]])</f>
        <v>2,471,07</v>
      </c>
      <c r="E55">
        <v>2.44</v>
      </c>
      <c r="F55">
        <v>1.0900000000000001</v>
      </c>
      <c r="G55" t="str">
        <f>CONCATENATE(Таблица271[[#This Row],[Столбец1]],Таблица271[[#This Row],[Столбец2]])</f>
        <v>2,441,09</v>
      </c>
      <c r="I55">
        <v>4.3666666666666698</v>
      </c>
      <c r="J55">
        <v>-13.85</v>
      </c>
    </row>
    <row r="56" spans="1:10" x14ac:dyDescent="0.25">
      <c r="A56">
        <v>2.4700000000000002</v>
      </c>
      <c r="B56">
        <v>1.07</v>
      </c>
      <c r="C56" t="str">
        <f>CONCATENATE(Таблица258[[#This Row],[Столбец1]],Таблица258[[#This Row],[Столбец2]])</f>
        <v>2,471,07</v>
      </c>
      <c r="E56">
        <v>2.4300000000000002</v>
      </c>
      <c r="F56">
        <v>1.1000000000000001</v>
      </c>
      <c r="G56" t="str">
        <f>CONCATENATE(Таблица271[[#This Row],[Столбец1]],Таблица271[[#This Row],[Столбец2]])</f>
        <v>2,431,1</v>
      </c>
      <c r="I56">
        <v>4.30833333333333</v>
      </c>
      <c r="J56">
        <v>-13.866666666666699</v>
      </c>
    </row>
    <row r="57" spans="1:10" x14ac:dyDescent="0.25">
      <c r="A57">
        <v>2.46</v>
      </c>
      <c r="B57">
        <v>1.08</v>
      </c>
      <c r="C57" t="str">
        <f>CONCATENATE(Таблица258[[#This Row],[Столбец1]],Таблица258[[#This Row],[Столбец2]])</f>
        <v>2,461,08</v>
      </c>
      <c r="E57">
        <v>2.4300000000000002</v>
      </c>
      <c r="F57">
        <v>1.1000000000000001</v>
      </c>
      <c r="G57" t="str">
        <f>CONCATENATE(Таблица271[[#This Row],[Столбец1]],Таблица271[[#This Row],[Столбец2]])</f>
        <v>2,431,1</v>
      </c>
      <c r="I57">
        <v>4.25</v>
      </c>
      <c r="J57">
        <v>-13.9</v>
      </c>
    </row>
    <row r="58" spans="1:10" x14ac:dyDescent="0.25">
      <c r="A58">
        <v>2.46</v>
      </c>
      <c r="B58">
        <v>1.08</v>
      </c>
      <c r="C58" t="str">
        <f>CONCATENATE(Таблица258[[#This Row],[Столбец1]],Таблица258[[#This Row],[Столбец2]])</f>
        <v>2,461,08</v>
      </c>
      <c r="E58">
        <v>2.4300000000000002</v>
      </c>
      <c r="F58">
        <v>1.1000000000000001</v>
      </c>
      <c r="G58" t="str">
        <f>CONCATENATE(Таблица271[[#This Row],[Столбец1]],Таблица271[[#This Row],[Столбец2]])</f>
        <v>2,431,1</v>
      </c>
      <c r="I58">
        <v>4.19166666666667</v>
      </c>
      <c r="J58">
        <v>-13.9166666666667</v>
      </c>
    </row>
    <row r="59" spans="1:10" x14ac:dyDescent="0.25">
      <c r="A59">
        <v>2.46</v>
      </c>
      <c r="B59">
        <v>1.08</v>
      </c>
      <c r="C59" t="str">
        <f>CONCATENATE(Таблица258[[#This Row],[Столбец1]],Таблица258[[#This Row],[Столбец2]])</f>
        <v>2,461,08</v>
      </c>
      <c r="E59">
        <v>2.4300000000000002</v>
      </c>
      <c r="F59">
        <v>1.1000000000000001</v>
      </c>
      <c r="G59" t="str">
        <f>CONCATENATE(Таблица271[[#This Row],[Столбец1]],Таблица271[[#This Row],[Столбец2]])</f>
        <v>2,431,1</v>
      </c>
      <c r="I59">
        <v>4.1333333333333302</v>
      </c>
      <c r="J59">
        <v>-13.9333333333333</v>
      </c>
    </row>
    <row r="60" spans="1:10" x14ac:dyDescent="0.25">
      <c r="A60">
        <v>2.46</v>
      </c>
      <c r="B60">
        <v>1.08</v>
      </c>
      <c r="C60" t="str">
        <f>CONCATENATE(Таблица258[[#This Row],[Столбец1]],Таблица258[[#This Row],[Столбец2]])</f>
        <v>2,461,08</v>
      </c>
      <c r="E60">
        <v>2.4300000000000002</v>
      </c>
      <c r="F60">
        <v>1.1000000000000001</v>
      </c>
      <c r="G60" t="str">
        <f>CONCATENATE(Таблица271[[#This Row],[Столбец1]],Таблица271[[#This Row],[Столбец2]])</f>
        <v>2,431,1</v>
      </c>
      <c r="I60">
        <v>4.0750000000000002</v>
      </c>
      <c r="J60">
        <v>-13.966666666666701</v>
      </c>
    </row>
    <row r="61" spans="1:10" x14ac:dyDescent="0.25">
      <c r="A61">
        <v>2.46</v>
      </c>
      <c r="B61">
        <v>1.08</v>
      </c>
      <c r="C61" t="str">
        <f>CONCATENATE(Таблица258[[#This Row],[Столбец1]],Таблица258[[#This Row],[Столбец2]])</f>
        <v>2,461,08</v>
      </c>
      <c r="E61">
        <v>2.4300000000000002</v>
      </c>
      <c r="F61">
        <v>1.1000000000000001</v>
      </c>
      <c r="G61" t="str">
        <f>CONCATENATE(Таблица271[[#This Row],[Столбец1]],Таблица271[[#This Row],[Столбец2]])</f>
        <v>2,431,1</v>
      </c>
      <c r="I61">
        <v>6.6416666666666702</v>
      </c>
      <c r="J61">
        <v>-16.649999999999999</v>
      </c>
    </row>
    <row r="62" spans="1:10" x14ac:dyDescent="0.25">
      <c r="A62">
        <v>2.46</v>
      </c>
      <c r="B62">
        <v>1.08</v>
      </c>
      <c r="C62" t="str">
        <f>CONCATENATE(Таблица258[[#This Row],[Столбец1]],Таблица258[[#This Row],[Столбец2]])</f>
        <v>2,461,08</v>
      </c>
      <c r="E62">
        <v>2.41</v>
      </c>
      <c r="F62">
        <v>1.1100000000000001</v>
      </c>
      <c r="G62" t="str">
        <f>CONCATENATE(Таблица271[[#This Row],[Столбец1]],Таблица271[[#This Row],[Столбец2]])</f>
        <v>2,411,11</v>
      </c>
      <c r="I62">
        <v>6.7</v>
      </c>
      <c r="J62">
        <v>-16.6666666666667</v>
      </c>
    </row>
    <row r="63" spans="1:10" x14ac:dyDescent="0.25">
      <c r="A63">
        <v>2.46</v>
      </c>
      <c r="B63">
        <v>1.08</v>
      </c>
      <c r="C63" t="str">
        <f>CONCATENATE(Таблица258[[#This Row],[Столбец1]],Таблица258[[#This Row],[Столбец2]])</f>
        <v>2,461,08</v>
      </c>
      <c r="E63">
        <v>2.41</v>
      </c>
      <c r="F63">
        <v>1.1100000000000001</v>
      </c>
      <c r="G63" t="str">
        <f>CONCATENATE(Таблица271[[#This Row],[Столбец1]],Таблица271[[#This Row],[Столбец2]])</f>
        <v>2,411,11</v>
      </c>
      <c r="I63">
        <v>3.9583333333333299</v>
      </c>
      <c r="J63">
        <v>-14</v>
      </c>
    </row>
    <row r="64" spans="1:10" x14ac:dyDescent="0.25">
      <c r="A64">
        <v>2.44</v>
      </c>
      <c r="B64">
        <v>1.0900000000000001</v>
      </c>
      <c r="C64" t="str">
        <f>CONCATENATE(Таблица258[[#This Row],[Столбец1]],Таблица258[[#This Row],[Столбец2]])</f>
        <v>2,441,09</v>
      </c>
      <c r="E64">
        <v>2.41</v>
      </c>
      <c r="F64">
        <v>1.1100000000000001</v>
      </c>
      <c r="G64" t="str">
        <f>CONCATENATE(Таблица271[[#This Row],[Столбец1]],Таблица271[[#This Row],[Столбец2]])</f>
        <v>2,411,11</v>
      </c>
      <c r="I64">
        <v>4.0166666666666702</v>
      </c>
      <c r="J64">
        <v>-13.983333333333301</v>
      </c>
    </row>
    <row r="65" spans="1:10" x14ac:dyDescent="0.25">
      <c r="A65">
        <v>2.44</v>
      </c>
      <c r="B65">
        <v>1.0900000000000001</v>
      </c>
      <c r="C65" t="str">
        <f>CONCATENATE(Таблица258[[#This Row],[Столбец1]],Таблица258[[#This Row],[Столбец2]])</f>
        <v>2,441,09</v>
      </c>
      <c r="E65">
        <v>2.41</v>
      </c>
      <c r="F65">
        <v>1.1100000000000001</v>
      </c>
      <c r="G65" t="str">
        <f>CONCATENATE(Таблица271[[#This Row],[Столбец1]],Таблица271[[#This Row],[Столбец2]])</f>
        <v>2,411,11</v>
      </c>
      <c r="I65">
        <v>6.4666666666666703</v>
      </c>
      <c r="J65">
        <v>-16.616666666666699</v>
      </c>
    </row>
    <row r="66" spans="1:10" x14ac:dyDescent="0.25">
      <c r="A66">
        <v>2.44</v>
      </c>
      <c r="B66">
        <v>1.0900000000000001</v>
      </c>
      <c r="C66" t="str">
        <f>CONCATENATE(Таблица258[[#This Row],[Столбец1]],Таблица258[[#This Row],[Столбец2]])</f>
        <v>2,441,09</v>
      </c>
      <c r="E66">
        <v>2.41</v>
      </c>
      <c r="F66">
        <v>1.1100000000000001</v>
      </c>
      <c r="G66" t="str">
        <f>CONCATENATE(Таблица271[[#This Row],[Столбец1]],Таблица271[[#This Row],[Столбец2]])</f>
        <v>2,411,11</v>
      </c>
      <c r="I66">
        <v>6.5250000000000004</v>
      </c>
      <c r="J66">
        <v>-16.633333333333301</v>
      </c>
    </row>
    <row r="67" spans="1:10" x14ac:dyDescent="0.25">
      <c r="A67">
        <v>2.44</v>
      </c>
      <c r="B67">
        <v>1.0900000000000001</v>
      </c>
      <c r="C67" t="str">
        <f>CONCATENATE(Таблица258[[#This Row],[Столбец1]],Таблица258[[#This Row],[Столбец2]])</f>
        <v>2,441,09</v>
      </c>
      <c r="E67">
        <v>2.41</v>
      </c>
      <c r="F67">
        <v>1.1100000000000001</v>
      </c>
      <c r="G67" t="str">
        <f>CONCATENATE(Таблица271[[#This Row],[Столбец1]],Таблица271[[#This Row],[Столбец2]])</f>
        <v>2,411,11</v>
      </c>
      <c r="I67">
        <v>3.9</v>
      </c>
      <c r="J67">
        <v>-14.016666666666699</v>
      </c>
    </row>
    <row r="68" spans="1:10" x14ac:dyDescent="0.25">
      <c r="A68">
        <v>2.44</v>
      </c>
      <c r="B68">
        <v>1.0900000000000001</v>
      </c>
      <c r="C68" t="str">
        <f>CONCATENATE(Таблица258[[#This Row],[Столбец1]],Таблица258[[#This Row],[Столбец2]])</f>
        <v>2,441,09</v>
      </c>
      <c r="E68">
        <v>2.4</v>
      </c>
      <c r="F68">
        <v>1.1200000000000001</v>
      </c>
      <c r="G68" t="str">
        <f>CONCATENATE(Таблица271[[#This Row],[Столбец1]],Таблица271[[#This Row],[Столбец2]])</f>
        <v>2,41,12</v>
      </c>
      <c r="I68">
        <v>6.35</v>
      </c>
      <c r="J68">
        <v>-16.5833333333333</v>
      </c>
    </row>
    <row r="69" spans="1:10" x14ac:dyDescent="0.25">
      <c r="A69">
        <v>2.44</v>
      </c>
      <c r="B69">
        <v>1.0900000000000001</v>
      </c>
      <c r="C69" t="str">
        <f>CONCATENATE(Таблица258[[#This Row],[Столбец1]],Таблица258[[#This Row],[Столбец2]])</f>
        <v>2,441,09</v>
      </c>
      <c r="E69">
        <v>2.4</v>
      </c>
      <c r="F69">
        <v>1.1200000000000001</v>
      </c>
      <c r="G69" t="str">
        <f>CONCATENATE(Таблица271[[#This Row],[Столбец1]],Таблица271[[#This Row],[Столбец2]])</f>
        <v>2,41,12</v>
      </c>
      <c r="I69">
        <v>6.4083333333333297</v>
      </c>
      <c r="J69">
        <v>-16.600000000000001</v>
      </c>
    </row>
    <row r="70" spans="1:10" x14ac:dyDescent="0.25">
      <c r="A70">
        <v>2.44</v>
      </c>
      <c r="B70">
        <v>1.0900000000000001</v>
      </c>
      <c r="C70" t="str">
        <f>CONCATENATE(Таблица258[[#This Row],[Столбец1]],Таблица258[[#This Row],[Столбец2]])</f>
        <v>2,441,09</v>
      </c>
      <c r="E70">
        <v>2.4</v>
      </c>
      <c r="F70">
        <v>1.1200000000000001</v>
      </c>
      <c r="G70" t="str">
        <f>CONCATENATE(Таблица271[[#This Row],[Столбец1]],Таблица271[[#This Row],[Столбец2]])</f>
        <v>2,41,12</v>
      </c>
      <c r="I70">
        <v>3.8416666666666699</v>
      </c>
      <c r="J70">
        <v>-14.05</v>
      </c>
    </row>
    <row r="71" spans="1:10" x14ac:dyDescent="0.25">
      <c r="A71">
        <v>2.4300000000000002</v>
      </c>
      <c r="B71">
        <v>1.1000000000000001</v>
      </c>
      <c r="C71" t="str">
        <f>CONCATENATE(Таблица258[[#This Row],[Столбец1]],Таблица258[[#This Row],[Столбец2]])</f>
        <v>2,431,1</v>
      </c>
      <c r="E71">
        <v>2.4</v>
      </c>
      <c r="F71">
        <v>1.1200000000000001</v>
      </c>
      <c r="G71" t="str">
        <f>CONCATENATE(Таблица271[[#This Row],[Столбец1]],Таблица271[[#This Row],[Столбец2]])</f>
        <v>2,41,12</v>
      </c>
      <c r="I71">
        <v>7.1666666666666696</v>
      </c>
      <c r="J71">
        <v>-17.466666666666701</v>
      </c>
    </row>
    <row r="72" spans="1:10" x14ac:dyDescent="0.25">
      <c r="A72">
        <v>2.4300000000000002</v>
      </c>
      <c r="B72">
        <v>1.1000000000000001</v>
      </c>
      <c r="C72" t="str">
        <f>CONCATENATE(Таблица258[[#This Row],[Столбец1]],Таблица258[[#This Row],[Столбец2]])</f>
        <v>2,431,1</v>
      </c>
      <c r="E72">
        <v>2.4</v>
      </c>
      <c r="F72">
        <v>1.1200000000000001</v>
      </c>
      <c r="G72" t="str">
        <f>CONCATENATE(Таблица271[[#This Row],[Столбец1]],Таблица271[[#This Row],[Столбец2]])</f>
        <v>2,41,12</v>
      </c>
      <c r="I72">
        <v>7.05</v>
      </c>
      <c r="J72">
        <v>-17.366666666666699</v>
      </c>
    </row>
    <row r="73" spans="1:10" x14ac:dyDescent="0.25">
      <c r="A73">
        <v>2.4300000000000002</v>
      </c>
      <c r="B73">
        <v>1.1000000000000001</v>
      </c>
      <c r="C73" t="str">
        <f>CONCATENATE(Таблица258[[#This Row],[Столбец1]],Таблица258[[#This Row],[Столбец2]])</f>
        <v>2,431,1</v>
      </c>
      <c r="E73">
        <v>2.4</v>
      </c>
      <c r="F73">
        <v>1.1200000000000001</v>
      </c>
      <c r="G73" t="str">
        <f>CONCATENATE(Таблица271[[#This Row],[Столбец1]],Таблица271[[#This Row],[Столбец2]])</f>
        <v>2,41,12</v>
      </c>
      <c r="I73">
        <v>7.2249999999999996</v>
      </c>
      <c r="J73">
        <v>-17.5</v>
      </c>
    </row>
    <row r="74" spans="1:10" x14ac:dyDescent="0.25">
      <c r="A74">
        <v>2.4300000000000002</v>
      </c>
      <c r="B74">
        <v>1.1000000000000001</v>
      </c>
      <c r="C74" t="str">
        <f>CONCATENATE(Таблица258[[#This Row],[Столбец1]],Таблица258[[#This Row],[Столбец2]])</f>
        <v>2,431,1</v>
      </c>
      <c r="E74">
        <v>2.38</v>
      </c>
      <c r="F74">
        <v>1.1299999999999999</v>
      </c>
      <c r="G74" t="str">
        <f>CONCATENATE(Таблица271[[#This Row],[Столбец1]],Таблица271[[#This Row],[Столбец2]])</f>
        <v>2,381,13</v>
      </c>
      <c r="I74">
        <v>6.2333333333333298</v>
      </c>
      <c r="J74">
        <v>-16.566666666666698</v>
      </c>
    </row>
    <row r="75" spans="1:10" x14ac:dyDescent="0.25">
      <c r="A75">
        <v>2.4300000000000002</v>
      </c>
      <c r="B75">
        <v>1.1000000000000001</v>
      </c>
      <c r="C75" t="str">
        <f>CONCATENATE(Таблица258[[#This Row],[Столбец1]],Таблица258[[#This Row],[Столбец2]])</f>
        <v>2,431,1</v>
      </c>
      <c r="E75">
        <v>2.38</v>
      </c>
      <c r="F75">
        <v>1.1299999999999999</v>
      </c>
      <c r="G75" t="str">
        <f>CONCATENATE(Таблица271[[#This Row],[Столбец1]],Таблица271[[#This Row],[Столбец2]])</f>
        <v>2,381,13</v>
      </c>
      <c r="I75">
        <v>6.875</v>
      </c>
      <c r="J75">
        <v>-17.25</v>
      </c>
    </row>
    <row r="76" spans="1:10" x14ac:dyDescent="0.25">
      <c r="A76">
        <v>2.4300000000000002</v>
      </c>
      <c r="B76">
        <v>1.1000000000000001</v>
      </c>
      <c r="C76" t="str">
        <f>CONCATENATE(Таблица258[[#This Row],[Столбец1]],Таблица258[[#This Row],[Столбец2]])</f>
        <v>2,431,1</v>
      </c>
      <c r="E76">
        <v>2.38</v>
      </c>
      <c r="F76">
        <v>1.1299999999999999</v>
      </c>
      <c r="G76" t="str">
        <f>CONCATENATE(Таблица271[[#This Row],[Столбец1]],Таблица271[[#This Row],[Столбец2]])</f>
        <v>2,381,13</v>
      </c>
      <c r="I76">
        <v>3.7833333333333301</v>
      </c>
      <c r="J76">
        <v>-14.0666666666667</v>
      </c>
    </row>
    <row r="77" spans="1:10" x14ac:dyDescent="0.25">
      <c r="A77">
        <v>2.4300000000000002</v>
      </c>
      <c r="B77">
        <v>1.1000000000000001</v>
      </c>
      <c r="C77" t="str">
        <f>CONCATENATE(Таблица258[[#This Row],[Столбец1]],Таблица258[[#This Row],[Столбец2]])</f>
        <v>2,431,1</v>
      </c>
      <c r="E77">
        <v>2.38</v>
      </c>
      <c r="F77">
        <v>1.1299999999999999</v>
      </c>
      <c r="G77" t="str">
        <f>CONCATENATE(Таблица271[[#This Row],[Столбец1]],Таблица271[[#This Row],[Столбец2]])</f>
        <v>2,381,13</v>
      </c>
      <c r="I77">
        <v>6.7583333333333302</v>
      </c>
      <c r="J77">
        <v>-17.149999999999999</v>
      </c>
    </row>
    <row r="78" spans="1:10" x14ac:dyDescent="0.25">
      <c r="A78">
        <v>2.41</v>
      </c>
      <c r="B78">
        <v>1.1100000000000001</v>
      </c>
      <c r="C78" t="str">
        <f>CONCATENATE(Таблица258[[#This Row],[Столбец1]],Таблица258[[#This Row],[Столбец2]])</f>
        <v>2,411,11</v>
      </c>
      <c r="E78">
        <v>2.38</v>
      </c>
      <c r="F78">
        <v>1.1299999999999999</v>
      </c>
      <c r="G78" t="str">
        <f>CONCATENATE(Таблица271[[#This Row],[Столбец1]],Таблица271[[#This Row],[Столбец2]])</f>
        <v>2,381,13</v>
      </c>
      <c r="I78">
        <v>6.93333333333333</v>
      </c>
      <c r="J78">
        <v>-17.283333333333299</v>
      </c>
    </row>
    <row r="79" spans="1:10" x14ac:dyDescent="0.25">
      <c r="A79">
        <v>2.41</v>
      </c>
      <c r="B79">
        <v>1.1100000000000001</v>
      </c>
      <c r="C79" t="str">
        <f>CONCATENATE(Таблица258[[#This Row],[Столбец1]],Таблица258[[#This Row],[Столбец2]])</f>
        <v>2,411,11</v>
      </c>
      <c r="E79">
        <v>2.38</v>
      </c>
      <c r="F79">
        <v>1.1299999999999999</v>
      </c>
      <c r="G79" t="str">
        <f>CONCATENATE(Таблица271[[#This Row],[Столбец1]],Таблица271[[#This Row],[Столбец2]])</f>
        <v>2,381,13</v>
      </c>
      <c r="I79">
        <v>3.6666666666666701</v>
      </c>
      <c r="J79">
        <v>-14.1</v>
      </c>
    </row>
    <row r="80" spans="1:10" x14ac:dyDescent="0.25">
      <c r="A80">
        <v>2.41</v>
      </c>
      <c r="B80">
        <v>1.1100000000000001</v>
      </c>
      <c r="C80" t="str">
        <f>CONCATENATE(Таблица258[[#This Row],[Столбец1]],Таблица258[[#This Row],[Столбец2]])</f>
        <v>2,411,11</v>
      </c>
      <c r="E80">
        <v>2.37</v>
      </c>
      <c r="F80">
        <v>1.1399999999999999</v>
      </c>
      <c r="G80" t="str">
        <f>CONCATENATE(Таблица271[[#This Row],[Столбец1]],Таблица271[[#This Row],[Столбец2]])</f>
        <v>2,371,14</v>
      </c>
      <c r="I80">
        <v>3.7250000000000001</v>
      </c>
      <c r="J80">
        <v>-14.0833333333333</v>
      </c>
    </row>
    <row r="81" spans="1:10" x14ac:dyDescent="0.25">
      <c r="A81">
        <v>2.41</v>
      </c>
      <c r="B81">
        <v>1.1100000000000001</v>
      </c>
      <c r="C81" t="str">
        <f>CONCATENATE(Таблица258[[#This Row],[Столбец1]],Таблица258[[#This Row],[Столбец2]])</f>
        <v>2,411,11</v>
      </c>
      <c r="E81">
        <v>2.37</v>
      </c>
      <c r="F81">
        <v>1.1399999999999999</v>
      </c>
      <c r="G81" t="str">
        <f>CONCATENATE(Таблица271[[#This Row],[Столбец1]],Таблица271[[#This Row],[Столбец2]])</f>
        <v>2,371,14</v>
      </c>
      <c r="I81">
        <v>7.1083333333333298</v>
      </c>
      <c r="J81">
        <v>-17.4166666666667</v>
      </c>
    </row>
    <row r="82" spans="1:10" x14ac:dyDescent="0.25">
      <c r="A82">
        <v>2.41</v>
      </c>
      <c r="B82">
        <v>1.1100000000000001</v>
      </c>
      <c r="C82" t="str">
        <f>CONCATENATE(Таблица258[[#This Row],[Столбец1]],Таблица258[[#This Row],[Столбец2]])</f>
        <v>2,411,11</v>
      </c>
      <c r="E82">
        <v>2.37</v>
      </c>
      <c r="F82">
        <v>1.1399999999999999</v>
      </c>
      <c r="G82" t="str">
        <f>CONCATENATE(Таблица271[[#This Row],[Столбец1]],Таблица271[[#This Row],[Столбец2]])</f>
        <v>2,371,14</v>
      </c>
      <c r="I82">
        <v>6.81666666666667</v>
      </c>
      <c r="J82">
        <v>-17.2</v>
      </c>
    </row>
    <row r="83" spans="1:10" x14ac:dyDescent="0.25">
      <c r="A83">
        <v>2.41</v>
      </c>
      <c r="B83">
        <v>1.1100000000000001</v>
      </c>
      <c r="C83" t="str">
        <f>CONCATENATE(Таблица258[[#This Row],[Столбец1]],Таблица258[[#This Row],[Столбец2]])</f>
        <v>2,411,11</v>
      </c>
      <c r="E83">
        <v>2.37</v>
      </c>
      <c r="F83">
        <v>1.1399999999999999</v>
      </c>
      <c r="G83" t="str">
        <f>CONCATENATE(Таблица271[[#This Row],[Столбец1]],Таблица271[[#This Row],[Столбец2]])</f>
        <v>2,371,14</v>
      </c>
      <c r="I83">
        <v>6.9916666666666698</v>
      </c>
      <c r="J83">
        <v>-17.3333333333333</v>
      </c>
    </row>
    <row r="84" spans="1:10" x14ac:dyDescent="0.25">
      <c r="A84">
        <v>2.41</v>
      </c>
      <c r="B84">
        <v>1.1100000000000001</v>
      </c>
      <c r="C84" t="str">
        <f>CONCATENATE(Таблица258[[#This Row],[Столбец1]],Таблица258[[#This Row],[Столбец2]])</f>
        <v>2,411,11</v>
      </c>
      <c r="E84">
        <v>2.37</v>
      </c>
      <c r="F84">
        <v>1.1399999999999999</v>
      </c>
      <c r="G84" t="str">
        <f>CONCATENATE(Таблица271[[#This Row],[Столбец1]],Таблица271[[#This Row],[Столбец2]])</f>
        <v>2,371,14</v>
      </c>
      <c r="I84">
        <v>6.1166666666666698</v>
      </c>
      <c r="J84">
        <v>-16.533333333333299</v>
      </c>
    </row>
    <row r="85" spans="1:10" x14ac:dyDescent="0.25">
      <c r="A85">
        <v>2.4</v>
      </c>
      <c r="B85">
        <v>1.1200000000000001</v>
      </c>
      <c r="C85" t="str">
        <f>CONCATENATE(Таблица258[[#This Row],[Столбец1]],Таблица258[[#This Row],[Столбец2]])</f>
        <v>2,41,12</v>
      </c>
      <c r="E85">
        <v>2.37</v>
      </c>
      <c r="F85">
        <v>1.1399999999999999</v>
      </c>
      <c r="G85" t="str">
        <f>CONCATENATE(Таблица271[[#This Row],[Столбец1]],Таблица271[[#This Row],[Столбец2]])</f>
        <v>2,371,14</v>
      </c>
      <c r="I85">
        <v>6.1749999999999998</v>
      </c>
      <c r="J85">
        <v>-16.55</v>
      </c>
    </row>
    <row r="86" spans="1:10" x14ac:dyDescent="0.25">
      <c r="A86">
        <v>2.4</v>
      </c>
      <c r="B86">
        <v>1.1200000000000001</v>
      </c>
      <c r="C86" t="str">
        <f>CONCATENATE(Таблица258[[#This Row],[Столбец1]],Таблица258[[#This Row],[Столбец2]])</f>
        <v>2,41,12</v>
      </c>
      <c r="E86">
        <v>2.35</v>
      </c>
      <c r="F86">
        <v>1.1499999999999999</v>
      </c>
      <c r="G86" t="str">
        <f>CONCATENATE(Таблица271[[#This Row],[Столбец1]],Таблица271[[#This Row],[Столбец2]])</f>
        <v>2,351,15</v>
      </c>
      <c r="I86">
        <v>5.94166666666667</v>
      </c>
      <c r="J86">
        <v>-16.5</v>
      </c>
    </row>
    <row r="87" spans="1:10" x14ac:dyDescent="0.25">
      <c r="A87">
        <v>2.4</v>
      </c>
      <c r="B87">
        <v>1.1200000000000001</v>
      </c>
      <c r="C87" t="str">
        <f>CONCATENATE(Таблица258[[#This Row],[Столбец1]],Таблица258[[#This Row],[Столбец2]])</f>
        <v>2,41,12</v>
      </c>
      <c r="E87">
        <v>2.35</v>
      </c>
      <c r="F87">
        <v>1.1499999999999999</v>
      </c>
      <c r="G87" t="str">
        <f>CONCATENATE(Таблица271[[#This Row],[Столбец1]],Таблица271[[#This Row],[Столбец2]])</f>
        <v>2,351,15</v>
      </c>
      <c r="I87">
        <v>6</v>
      </c>
      <c r="J87">
        <v>-16.516666666666701</v>
      </c>
    </row>
    <row r="88" spans="1:10" x14ac:dyDescent="0.25">
      <c r="A88">
        <v>2.4</v>
      </c>
      <c r="B88">
        <v>1.1200000000000001</v>
      </c>
      <c r="C88" t="str">
        <f>CONCATENATE(Таблица258[[#This Row],[Столбец1]],Таблица258[[#This Row],[Столбец2]])</f>
        <v>2,41,12</v>
      </c>
      <c r="E88">
        <v>2.35</v>
      </c>
      <c r="F88">
        <v>1.1499999999999999</v>
      </c>
      <c r="G88" t="str">
        <f>CONCATENATE(Таблица271[[#This Row],[Столбец1]],Таблица271[[#This Row],[Столбец2]])</f>
        <v>2,351,15</v>
      </c>
      <c r="I88">
        <v>6.05833333333333</v>
      </c>
      <c r="J88">
        <v>-16.516666666666701</v>
      </c>
    </row>
    <row r="89" spans="1:10" x14ac:dyDescent="0.25">
      <c r="A89">
        <v>2.4</v>
      </c>
      <c r="B89">
        <v>1.1200000000000001</v>
      </c>
      <c r="C89" t="str">
        <f>CONCATENATE(Таблица258[[#This Row],[Столбец1]],Таблица258[[#This Row],[Столбец2]])</f>
        <v>2,41,12</v>
      </c>
      <c r="E89">
        <v>2.35</v>
      </c>
      <c r="F89">
        <v>1.1499999999999999</v>
      </c>
      <c r="G89" t="str">
        <f>CONCATENATE(Таблица271[[#This Row],[Столбец1]],Таблица271[[#This Row],[Столбец2]])</f>
        <v>2,351,15</v>
      </c>
      <c r="I89">
        <v>3.6083333333333298</v>
      </c>
      <c r="J89">
        <v>-14.133333333333301</v>
      </c>
    </row>
    <row r="90" spans="1:10" x14ac:dyDescent="0.25">
      <c r="A90">
        <v>2.4</v>
      </c>
      <c r="B90">
        <v>1.1200000000000001</v>
      </c>
      <c r="C90" t="str">
        <f>CONCATENATE(Таблица258[[#This Row],[Столбец1]],Таблица258[[#This Row],[Столбец2]])</f>
        <v>2,41,12</v>
      </c>
      <c r="E90">
        <v>2.35</v>
      </c>
      <c r="F90">
        <v>1.1499999999999999</v>
      </c>
      <c r="G90" t="str">
        <f>CONCATENATE(Таблица271[[#This Row],[Столбец1]],Таблица271[[#This Row],[Столбец2]])</f>
        <v>2,351,15</v>
      </c>
      <c r="I90">
        <v>3.55</v>
      </c>
      <c r="J90">
        <v>-14.15</v>
      </c>
    </row>
    <row r="91" spans="1:10" x14ac:dyDescent="0.25">
      <c r="A91">
        <v>2.4</v>
      </c>
      <c r="B91">
        <v>1.1200000000000001</v>
      </c>
      <c r="C91" t="str">
        <f>CONCATENATE(Таблица258[[#This Row],[Столбец1]],Таблица258[[#This Row],[Столбец2]])</f>
        <v>2,41,12</v>
      </c>
      <c r="E91">
        <v>2.35</v>
      </c>
      <c r="F91">
        <v>1.1499999999999999</v>
      </c>
      <c r="G91" t="str">
        <f>CONCATENATE(Таблица271[[#This Row],[Столбец1]],Таблица271[[#This Row],[Столбец2]])</f>
        <v>2,351,15</v>
      </c>
      <c r="I91">
        <v>5.8250000000000002</v>
      </c>
      <c r="J91">
        <v>-16.466666666666701</v>
      </c>
    </row>
    <row r="92" spans="1:10" x14ac:dyDescent="0.25">
      <c r="A92">
        <v>2.38</v>
      </c>
      <c r="B92">
        <v>1.1299999999999999</v>
      </c>
      <c r="C92" t="str">
        <f>CONCATENATE(Таблица258[[#This Row],[Столбец1]],Таблица258[[#This Row],[Столбец2]])</f>
        <v>2,381,13</v>
      </c>
      <c r="E92">
        <v>2.36</v>
      </c>
      <c r="F92">
        <v>1.1499999999999999</v>
      </c>
      <c r="G92" t="str">
        <f>CONCATENATE(Таблица271[[#This Row],[Столбец1]],Таблица271[[#This Row],[Столбец2]])</f>
        <v>2,361,15</v>
      </c>
      <c r="I92">
        <v>5.8833333333333302</v>
      </c>
      <c r="J92">
        <v>-16.483333333333299</v>
      </c>
    </row>
    <row r="93" spans="1:10" x14ac:dyDescent="0.25">
      <c r="A93">
        <v>2.38</v>
      </c>
      <c r="B93">
        <v>1.1299999999999999</v>
      </c>
      <c r="C93" t="str">
        <f>CONCATENATE(Таблица258[[#This Row],[Столбец1]],Таблица258[[#This Row],[Столбец2]])</f>
        <v>2,381,13</v>
      </c>
      <c r="E93">
        <v>2.36</v>
      </c>
      <c r="F93">
        <v>1.1499999999999999</v>
      </c>
      <c r="G93" t="str">
        <f>CONCATENATE(Таблица271[[#This Row],[Столбец1]],Таблица271[[#This Row],[Столбец2]])</f>
        <v>2,361,15</v>
      </c>
      <c r="I93">
        <v>5.7083333333333304</v>
      </c>
      <c r="J93">
        <v>-16.45</v>
      </c>
    </row>
    <row r="94" spans="1:10" x14ac:dyDescent="0.25">
      <c r="A94">
        <v>2.38</v>
      </c>
      <c r="B94">
        <v>1.1299999999999999</v>
      </c>
      <c r="C94" t="str">
        <f>CONCATENATE(Таблица258[[#This Row],[Столбец1]],Таблица258[[#This Row],[Столбец2]])</f>
        <v>2,381,13</v>
      </c>
      <c r="E94">
        <v>2.36</v>
      </c>
      <c r="F94">
        <v>1.1499999999999999</v>
      </c>
      <c r="G94" t="str">
        <f>CONCATENATE(Таблица271[[#This Row],[Столбец1]],Таблица271[[#This Row],[Столбец2]])</f>
        <v>2,361,15</v>
      </c>
      <c r="I94">
        <v>3.4916666666666698</v>
      </c>
      <c r="J94">
        <v>-14.1666666666667</v>
      </c>
    </row>
    <row r="95" spans="1:10" x14ac:dyDescent="0.25">
      <c r="A95">
        <v>2.38</v>
      </c>
      <c r="B95">
        <v>1.1299999999999999</v>
      </c>
      <c r="C95" t="str">
        <f>CONCATENATE(Таблица258[[#This Row],[Столбец1]],Таблица258[[#This Row],[Столбец2]])</f>
        <v>2,381,13</v>
      </c>
      <c r="E95">
        <v>2.36</v>
      </c>
      <c r="F95">
        <v>1.1499999999999999</v>
      </c>
      <c r="G95" t="str">
        <f>CONCATENATE(Таблица271[[#This Row],[Столбец1]],Таблица271[[#This Row],[Столбец2]])</f>
        <v>2,361,15</v>
      </c>
      <c r="I95">
        <v>3.43333333333333</v>
      </c>
      <c r="J95">
        <v>-14.2</v>
      </c>
    </row>
    <row r="96" spans="1:10" x14ac:dyDescent="0.25">
      <c r="A96">
        <v>2.38</v>
      </c>
      <c r="B96">
        <v>1.1299999999999999</v>
      </c>
      <c r="C96" t="str">
        <f>CONCATENATE(Таблица258[[#This Row],[Столбец1]],Таблица258[[#This Row],[Столбец2]])</f>
        <v>2,381,13</v>
      </c>
      <c r="E96">
        <v>2.36</v>
      </c>
      <c r="F96">
        <v>1.1499999999999999</v>
      </c>
      <c r="G96" t="str">
        <f>CONCATENATE(Таблица271[[#This Row],[Столбец1]],Таблица271[[#This Row],[Столбец2]])</f>
        <v>2,361,15</v>
      </c>
      <c r="I96">
        <v>5.5333333333333297</v>
      </c>
      <c r="J96">
        <v>-16.399999999999999</v>
      </c>
    </row>
    <row r="97" spans="1:10" x14ac:dyDescent="0.25">
      <c r="A97">
        <v>2.38</v>
      </c>
      <c r="B97">
        <v>1.1299999999999999</v>
      </c>
      <c r="C97" t="str">
        <f>CONCATENATE(Таблица258[[#This Row],[Столбец1]],Таблица258[[#This Row],[Столбец2]])</f>
        <v>2,381,13</v>
      </c>
      <c r="E97">
        <v>2.36</v>
      </c>
      <c r="F97">
        <v>1.1499999999999999</v>
      </c>
      <c r="G97" t="str">
        <f>CONCATENATE(Таблица271[[#This Row],[Столбец1]],Таблица271[[#This Row],[Столбец2]])</f>
        <v>2,361,15</v>
      </c>
      <c r="I97">
        <v>5.5916666666666703</v>
      </c>
      <c r="J97">
        <v>-16.4166666666667</v>
      </c>
    </row>
    <row r="98" spans="1:10" x14ac:dyDescent="0.25">
      <c r="A98">
        <v>2.38</v>
      </c>
      <c r="B98">
        <v>1.1299999999999999</v>
      </c>
      <c r="C98" t="str">
        <f>CONCATENATE(Таблица258[[#This Row],[Столбец1]],Таблица258[[#This Row],[Столбец2]])</f>
        <v>2,381,13</v>
      </c>
      <c r="E98">
        <v>2.34</v>
      </c>
      <c r="F98">
        <v>1.1599999999999999</v>
      </c>
      <c r="G98" t="str">
        <f>CONCATENATE(Таблица271[[#This Row],[Столбец1]],Таблица271[[#This Row],[Столбец2]])</f>
        <v>2,341,16</v>
      </c>
      <c r="I98">
        <v>5.65</v>
      </c>
      <c r="J98">
        <v>-16.433333333333302</v>
      </c>
    </row>
    <row r="99" spans="1:10" x14ac:dyDescent="0.25">
      <c r="A99">
        <v>2.37</v>
      </c>
      <c r="B99">
        <v>1.1399999999999999</v>
      </c>
      <c r="C99" t="str">
        <f>CONCATENATE(Таблица258[[#This Row],[Столбец1]],Таблица258[[#This Row],[Столбец2]])</f>
        <v>2,371,14</v>
      </c>
      <c r="E99">
        <v>2.34</v>
      </c>
      <c r="F99">
        <v>1.1599999999999999</v>
      </c>
      <c r="G99" t="str">
        <f>CONCATENATE(Таблица271[[#This Row],[Столбец1]],Таблица271[[#This Row],[Столбец2]])</f>
        <v>2,341,16</v>
      </c>
      <c r="I99">
        <v>3.375</v>
      </c>
      <c r="J99">
        <v>-14.216666666666701</v>
      </c>
    </row>
    <row r="100" spans="1:10" x14ac:dyDescent="0.25">
      <c r="A100">
        <v>2.37</v>
      </c>
      <c r="B100">
        <v>1.1399999999999999</v>
      </c>
      <c r="C100" t="str">
        <f>CONCATENATE(Таблица258[[#This Row],[Столбец1]],Таблица258[[#This Row],[Столбец2]])</f>
        <v>2,371,14</v>
      </c>
      <c r="E100">
        <v>2.34</v>
      </c>
      <c r="F100">
        <v>1.1599999999999999</v>
      </c>
      <c r="G100" t="str">
        <f>CONCATENATE(Таблица271[[#This Row],[Столбец1]],Таблица271[[#This Row],[Столбец2]])</f>
        <v>2,341,16</v>
      </c>
      <c r="I100">
        <v>5.4166666666666696</v>
      </c>
      <c r="J100">
        <v>-16.383333333333301</v>
      </c>
    </row>
    <row r="101" spans="1:10" x14ac:dyDescent="0.25">
      <c r="A101">
        <v>2.37</v>
      </c>
      <c r="B101">
        <v>1.1399999999999999</v>
      </c>
      <c r="C101" t="str">
        <f>CONCATENATE(Таблица258[[#This Row],[Столбец1]],Таблица258[[#This Row],[Столбец2]])</f>
        <v>2,371,14</v>
      </c>
      <c r="E101">
        <v>2.34</v>
      </c>
      <c r="F101">
        <v>1.1599999999999999</v>
      </c>
      <c r="G101" t="str">
        <f>CONCATENATE(Таблица271[[#This Row],[Столбец1]],Таблица271[[#This Row],[Столбец2]])</f>
        <v>2,341,16</v>
      </c>
      <c r="I101">
        <v>3.31666666666667</v>
      </c>
      <c r="J101">
        <v>-14.233333333333301</v>
      </c>
    </row>
    <row r="102" spans="1:10" x14ac:dyDescent="0.25">
      <c r="A102">
        <v>2.37</v>
      </c>
      <c r="B102">
        <v>1.1399999999999999</v>
      </c>
      <c r="C102" t="str">
        <f>CONCATENATE(Таблица258[[#This Row],[Столбец1]],Таблица258[[#This Row],[Столбец2]])</f>
        <v>2,371,14</v>
      </c>
      <c r="E102">
        <v>2.34</v>
      </c>
      <c r="F102">
        <v>1.1599999999999999</v>
      </c>
      <c r="G102" t="str">
        <f>CONCATENATE(Таблица271[[#This Row],[Столбец1]],Таблица271[[#This Row],[Столбец2]])</f>
        <v>2,341,16</v>
      </c>
      <c r="I102">
        <v>5.4749999999999996</v>
      </c>
      <c r="J102">
        <v>-16.399999999999999</v>
      </c>
    </row>
    <row r="103" spans="1:10" x14ac:dyDescent="0.25">
      <c r="A103">
        <v>2.37</v>
      </c>
      <c r="B103">
        <v>1.1399999999999999</v>
      </c>
      <c r="C103" t="str">
        <f>CONCATENATE(Таблица258[[#This Row],[Столбец1]],Таблица258[[#This Row],[Столбец2]])</f>
        <v>2,371,14</v>
      </c>
      <c r="E103">
        <v>2.34</v>
      </c>
      <c r="F103">
        <v>1.1599999999999999</v>
      </c>
      <c r="G103" t="str">
        <f>CONCATENATE(Таблица271[[#This Row],[Столбец1]],Таблица271[[#This Row],[Столбец2]])</f>
        <v>2,341,16</v>
      </c>
      <c r="I103">
        <v>5.3</v>
      </c>
      <c r="J103">
        <v>-16.350000000000001</v>
      </c>
    </row>
    <row r="104" spans="1:10" x14ac:dyDescent="0.25">
      <c r="A104">
        <v>2.37</v>
      </c>
      <c r="B104">
        <v>1.1399999999999999</v>
      </c>
      <c r="C104" t="str">
        <f>CONCATENATE(Таблица258[[#This Row],[Столбец1]],Таблица258[[#This Row],[Столбец2]])</f>
        <v>2,371,14</v>
      </c>
      <c r="E104">
        <v>2.33</v>
      </c>
      <c r="F104">
        <v>1.17</v>
      </c>
      <c r="G104" t="str">
        <f>CONCATENATE(Таблица271[[#This Row],[Столбец1]],Таблица271[[#This Row],[Столбец2]])</f>
        <v>2,331,17</v>
      </c>
      <c r="I104">
        <v>5.3583333333333298</v>
      </c>
      <c r="J104">
        <v>-16.366666666666699</v>
      </c>
    </row>
    <row r="105" spans="1:10" x14ac:dyDescent="0.25">
      <c r="A105">
        <v>2.37</v>
      </c>
      <c r="B105">
        <v>1.1399999999999999</v>
      </c>
      <c r="C105" t="str">
        <f>CONCATENATE(Таблица258[[#This Row],[Столбец1]],Таблица258[[#This Row],[Столбец2]])</f>
        <v>2,371,14</v>
      </c>
      <c r="E105">
        <v>2.33</v>
      </c>
      <c r="F105">
        <v>1.17</v>
      </c>
      <c r="G105" t="str">
        <f>CONCATENATE(Таблица271[[#This Row],[Столбец1]],Таблица271[[#This Row],[Столбец2]])</f>
        <v>2,331,17</v>
      </c>
      <c r="I105">
        <v>3.2583333333333302</v>
      </c>
      <c r="J105">
        <v>-14.25</v>
      </c>
    </row>
    <row r="106" spans="1:10" x14ac:dyDescent="0.25">
      <c r="A106">
        <v>2.35</v>
      </c>
      <c r="B106">
        <v>1.1499999999999999</v>
      </c>
      <c r="C106" t="str">
        <f>CONCATENATE(Таблица258[[#This Row],[Столбец1]],Таблица258[[#This Row],[Столбец2]])</f>
        <v>2,351,15</v>
      </c>
      <c r="E106">
        <v>2.33</v>
      </c>
      <c r="F106">
        <v>1.17</v>
      </c>
      <c r="G106" t="str">
        <f>CONCATENATE(Таблица271[[#This Row],[Столбец1]],Таблица271[[#This Row],[Столбец2]])</f>
        <v>2,331,17</v>
      </c>
      <c r="I106">
        <v>3.2</v>
      </c>
      <c r="J106">
        <v>-14.283333333333299</v>
      </c>
    </row>
    <row r="107" spans="1:10" x14ac:dyDescent="0.25">
      <c r="A107">
        <v>2.35</v>
      </c>
      <c r="B107">
        <v>1.1499999999999999</v>
      </c>
      <c r="C107" t="str">
        <f>CONCATENATE(Таблица258[[#This Row],[Столбец1]],Таблица258[[#This Row],[Столбец2]])</f>
        <v>2,351,15</v>
      </c>
      <c r="E107">
        <v>2.33</v>
      </c>
      <c r="F107">
        <v>1.17</v>
      </c>
      <c r="G107" t="str">
        <f>CONCATENATE(Таблица271[[#This Row],[Столбец1]],Таблица271[[#This Row],[Столбец2]])</f>
        <v>2,331,17</v>
      </c>
      <c r="I107">
        <v>3.1416666666666702</v>
      </c>
      <c r="J107">
        <v>-14.3</v>
      </c>
    </row>
    <row r="108" spans="1:10" x14ac:dyDescent="0.25">
      <c r="A108">
        <v>2.35</v>
      </c>
      <c r="B108">
        <v>1.1499999999999999</v>
      </c>
      <c r="C108" t="str">
        <f>CONCATENATE(Таблица258[[#This Row],[Столбец1]],Таблица258[[#This Row],[Столбец2]])</f>
        <v>2,351,15</v>
      </c>
      <c r="E108">
        <v>2.33</v>
      </c>
      <c r="F108">
        <v>1.17</v>
      </c>
      <c r="G108" t="str">
        <f>CONCATENATE(Таблица271[[#This Row],[Столбец1]],Таблица271[[#This Row],[Столбец2]])</f>
        <v>2,331,17</v>
      </c>
      <c r="I108">
        <v>5.18333333333333</v>
      </c>
      <c r="J108">
        <v>-16.3333333333333</v>
      </c>
    </row>
    <row r="109" spans="1:10" x14ac:dyDescent="0.25">
      <c r="A109">
        <v>2.35</v>
      </c>
      <c r="B109">
        <v>1.1499999999999999</v>
      </c>
      <c r="C109" t="str">
        <f>CONCATENATE(Таблица258[[#This Row],[Столбец1]],Таблица258[[#This Row],[Столбец2]])</f>
        <v>2,351,15</v>
      </c>
      <c r="E109">
        <v>2.33</v>
      </c>
      <c r="F109">
        <v>1.17</v>
      </c>
      <c r="G109" t="str">
        <f>CONCATENATE(Таблица271[[#This Row],[Столбец1]],Таблица271[[#This Row],[Столбец2]])</f>
        <v>2,331,17</v>
      </c>
      <c r="I109">
        <v>5.0083333333333302</v>
      </c>
      <c r="J109">
        <v>-16.283333333333299</v>
      </c>
    </row>
    <row r="110" spans="1:10" x14ac:dyDescent="0.25">
      <c r="A110">
        <v>2.35</v>
      </c>
      <c r="B110">
        <v>1.1499999999999999</v>
      </c>
      <c r="C110" t="str">
        <f>CONCATENATE(Таблица258[[#This Row],[Столбец1]],Таблица258[[#This Row],[Столбец2]])</f>
        <v>2,351,15</v>
      </c>
      <c r="E110">
        <v>2.31</v>
      </c>
      <c r="F110">
        <v>1.18</v>
      </c>
      <c r="G110" t="str">
        <f>CONCATENATE(Таблица271[[#This Row],[Столбец1]],Таблица271[[#This Row],[Столбец2]])</f>
        <v>2,311,18</v>
      </c>
      <c r="I110">
        <v>5.06666666666667</v>
      </c>
      <c r="J110">
        <v>-16.3</v>
      </c>
    </row>
    <row r="111" spans="1:10" x14ac:dyDescent="0.25">
      <c r="A111">
        <v>2.35</v>
      </c>
      <c r="B111">
        <v>1.1499999999999999</v>
      </c>
      <c r="C111" t="str">
        <f>CONCATENATE(Таблица258[[#This Row],[Столбец1]],Таблица258[[#This Row],[Столбец2]])</f>
        <v>2,351,15</v>
      </c>
      <c r="E111">
        <v>2.31</v>
      </c>
      <c r="F111">
        <v>1.18</v>
      </c>
      <c r="G111" t="str">
        <f>CONCATENATE(Таблица271[[#This Row],[Столбец1]],Таблица271[[#This Row],[Столбец2]])</f>
        <v>2,311,18</v>
      </c>
      <c r="I111">
        <v>5.125</v>
      </c>
      <c r="J111">
        <v>-16.316666666666698</v>
      </c>
    </row>
    <row r="112" spans="1:10" x14ac:dyDescent="0.25">
      <c r="A112">
        <v>2.35</v>
      </c>
      <c r="B112">
        <v>1.1499999999999999</v>
      </c>
      <c r="C112" t="str">
        <f>CONCATENATE(Таблица258[[#This Row],[Столбец1]],Таблица258[[#This Row],[Столбец2]])</f>
        <v>2,351,15</v>
      </c>
      <c r="E112">
        <v>2.31</v>
      </c>
      <c r="F112">
        <v>1.18</v>
      </c>
      <c r="G112" t="str">
        <f>CONCATENATE(Таблица271[[#This Row],[Столбец1]],Таблица271[[#This Row],[Столбец2]])</f>
        <v>2,311,18</v>
      </c>
      <c r="I112">
        <v>3.0833333333333299</v>
      </c>
      <c r="J112">
        <v>-14.3166666666667</v>
      </c>
    </row>
    <row r="113" spans="1:10" x14ac:dyDescent="0.25">
      <c r="A113">
        <v>2.36</v>
      </c>
      <c r="B113">
        <v>1.1499999999999999</v>
      </c>
      <c r="C113" t="str">
        <f>CONCATENATE(Таблица258[[#This Row],[Столбец1]],Таблица258[[#This Row],[Столбец2]])</f>
        <v>2,361,15</v>
      </c>
      <c r="E113">
        <v>2.31</v>
      </c>
      <c r="F113">
        <v>1.18</v>
      </c>
      <c r="G113" t="str">
        <f>CONCATENATE(Таблица271[[#This Row],[Столбец1]],Таблица271[[#This Row],[Столбец2]])</f>
        <v>2,311,18</v>
      </c>
      <c r="I113">
        <v>3.0249999999999999</v>
      </c>
      <c r="J113">
        <v>-14.35</v>
      </c>
    </row>
    <row r="114" spans="1:10" x14ac:dyDescent="0.25">
      <c r="A114">
        <v>2.36</v>
      </c>
      <c r="B114">
        <v>1.1499999999999999</v>
      </c>
      <c r="C114" t="str">
        <f>CONCATENATE(Таблица258[[#This Row],[Столбец1]],Таблица258[[#This Row],[Столбец2]])</f>
        <v>2,361,15</v>
      </c>
      <c r="E114">
        <v>2.31</v>
      </c>
      <c r="F114">
        <v>1.18</v>
      </c>
      <c r="G114" t="str">
        <f>CONCATENATE(Таблица271[[#This Row],[Столбец1]],Таблица271[[#This Row],[Столбец2]])</f>
        <v>2,311,18</v>
      </c>
      <c r="I114">
        <v>4.95</v>
      </c>
      <c r="J114">
        <v>-16.283333333333299</v>
      </c>
    </row>
    <row r="115" spans="1:10" x14ac:dyDescent="0.25">
      <c r="A115">
        <v>2.36</v>
      </c>
      <c r="B115">
        <v>1.1499999999999999</v>
      </c>
      <c r="C115" t="str">
        <f>CONCATENATE(Таблица258[[#This Row],[Столбец1]],Таблица258[[#This Row],[Столбец2]])</f>
        <v>2,361,15</v>
      </c>
      <c r="E115">
        <v>2.31</v>
      </c>
      <c r="F115">
        <v>1.18</v>
      </c>
      <c r="G115" t="str">
        <f>CONCATENATE(Таблица271[[#This Row],[Столбец1]],Таблица271[[#This Row],[Столбец2]])</f>
        <v>2,311,18</v>
      </c>
      <c r="I115">
        <v>4.8916666666666702</v>
      </c>
      <c r="J115">
        <v>-16.266666666666701</v>
      </c>
    </row>
    <row r="116" spans="1:10" x14ac:dyDescent="0.25">
      <c r="A116">
        <v>2.36</v>
      </c>
      <c r="B116">
        <v>1.1499999999999999</v>
      </c>
      <c r="C116" t="str">
        <f>CONCATENATE(Таблица258[[#This Row],[Столбец1]],Таблица258[[#This Row],[Столбец2]])</f>
        <v>2,361,15</v>
      </c>
      <c r="E116">
        <v>2.2799999999999998</v>
      </c>
      <c r="F116">
        <v>1.2</v>
      </c>
      <c r="G116" t="str">
        <f>CONCATENATE(Таблица271[[#This Row],[Столбец1]],Таблица271[[#This Row],[Столбец2]])</f>
        <v>2,281,2</v>
      </c>
      <c r="I116">
        <v>2.9083333333333301</v>
      </c>
      <c r="J116">
        <v>-14.383333333333301</v>
      </c>
    </row>
    <row r="117" spans="1:10" x14ac:dyDescent="0.25">
      <c r="A117">
        <v>2.36</v>
      </c>
      <c r="B117">
        <v>1.1499999999999999</v>
      </c>
      <c r="C117" t="str">
        <f>CONCATENATE(Таблица258[[#This Row],[Столбец1]],Таблица258[[#This Row],[Столбец2]])</f>
        <v>2,361,15</v>
      </c>
      <c r="E117">
        <v>2.2799999999999998</v>
      </c>
      <c r="F117">
        <v>1.2</v>
      </c>
      <c r="G117" t="str">
        <f>CONCATENATE(Таблица271[[#This Row],[Столбец1]],Таблица271[[#This Row],[Столбец2]])</f>
        <v>2,281,2</v>
      </c>
      <c r="I117">
        <v>2.9666666666666699</v>
      </c>
      <c r="J117">
        <v>-14.366666666666699</v>
      </c>
    </row>
    <row r="118" spans="1:10" x14ac:dyDescent="0.25">
      <c r="A118">
        <v>2.36</v>
      </c>
      <c r="B118">
        <v>1.1499999999999999</v>
      </c>
      <c r="C118" t="str">
        <f>CONCATENATE(Таблица258[[#This Row],[Столбец1]],Таблица258[[#This Row],[Столбец2]])</f>
        <v>2,361,15</v>
      </c>
      <c r="E118">
        <v>2.2799999999999998</v>
      </c>
      <c r="F118">
        <v>1.2</v>
      </c>
      <c r="G118" t="str">
        <f>CONCATENATE(Таблица271[[#This Row],[Столбец1]],Таблица271[[#This Row],[Столбец2]])</f>
        <v>2,281,2</v>
      </c>
      <c r="I118">
        <v>4.7750000000000004</v>
      </c>
      <c r="J118">
        <v>-16.233333333333299</v>
      </c>
    </row>
    <row r="119" spans="1:10" x14ac:dyDescent="0.25">
      <c r="A119">
        <v>2.36</v>
      </c>
      <c r="B119">
        <v>1.1499999999999999</v>
      </c>
      <c r="C119" t="str">
        <f>CONCATENATE(Таблица258[[#This Row],[Столбец1]],Таблица258[[#This Row],[Столбец2]])</f>
        <v>2,361,15</v>
      </c>
      <c r="E119">
        <v>2.2799999999999998</v>
      </c>
      <c r="F119">
        <v>1.2</v>
      </c>
      <c r="G119" t="str">
        <f>CONCATENATE(Таблица271[[#This Row],[Столбец1]],Таблица271[[#This Row],[Столбец2]])</f>
        <v>2,281,2</v>
      </c>
      <c r="I119">
        <v>4.8333333333333304</v>
      </c>
      <c r="J119">
        <v>-16.25</v>
      </c>
    </row>
    <row r="120" spans="1:10" x14ac:dyDescent="0.25">
      <c r="A120">
        <v>2.34</v>
      </c>
      <c r="B120">
        <v>1.1599999999999999</v>
      </c>
      <c r="C120" t="str">
        <f>CONCATENATE(Таблица258[[#This Row],[Столбец1]],Таблица258[[#This Row],[Столбец2]])</f>
        <v>2,341,16</v>
      </c>
      <c r="E120">
        <v>2.2799999999999998</v>
      </c>
      <c r="F120">
        <v>1.2</v>
      </c>
      <c r="G120" t="str">
        <f>CONCATENATE(Таблица271[[#This Row],[Столбец1]],Таблица271[[#This Row],[Столбец2]])</f>
        <v>2,281,2</v>
      </c>
      <c r="I120">
        <v>4.7166666666666703</v>
      </c>
      <c r="J120">
        <v>-16.216666666666701</v>
      </c>
    </row>
    <row r="121" spans="1:10" x14ac:dyDescent="0.25">
      <c r="A121">
        <v>2.34</v>
      </c>
      <c r="B121">
        <v>1.1599999999999999</v>
      </c>
      <c r="C121" t="str">
        <f>CONCATENATE(Таблица258[[#This Row],[Столбец1]],Таблица258[[#This Row],[Столбец2]])</f>
        <v>2,341,16</v>
      </c>
      <c r="E121">
        <v>2.2799999999999998</v>
      </c>
      <c r="F121">
        <v>1.2</v>
      </c>
      <c r="G121" t="str">
        <f>CONCATENATE(Таблица271[[#This Row],[Столбец1]],Таблица271[[#This Row],[Столбец2]])</f>
        <v>2,281,2</v>
      </c>
      <c r="I121">
        <v>4.6583333333333297</v>
      </c>
      <c r="J121">
        <v>-16.216666666666701</v>
      </c>
    </row>
    <row r="122" spans="1:10" x14ac:dyDescent="0.25">
      <c r="A122">
        <v>2.34</v>
      </c>
      <c r="B122">
        <v>1.1599999999999999</v>
      </c>
      <c r="C122" t="str">
        <f>CONCATENATE(Таблица258[[#This Row],[Столбец1]],Таблица258[[#This Row],[Столбец2]])</f>
        <v>2,341,16</v>
      </c>
      <c r="E122">
        <v>2.27</v>
      </c>
      <c r="F122">
        <v>1.21</v>
      </c>
      <c r="G122" t="str">
        <f>CONCATENATE(Таблица271[[#This Row],[Столбец1]],Таблица271[[#This Row],[Столбец2]])</f>
        <v>2,271,21</v>
      </c>
      <c r="I122">
        <v>2.85</v>
      </c>
      <c r="J122">
        <v>-14.4</v>
      </c>
    </row>
    <row r="123" spans="1:10" x14ac:dyDescent="0.25">
      <c r="A123">
        <v>2.34</v>
      </c>
      <c r="B123">
        <v>1.1599999999999999</v>
      </c>
      <c r="C123" t="str">
        <f>CONCATENATE(Таблица258[[#This Row],[Столбец1]],Таблица258[[#This Row],[Столбец2]])</f>
        <v>2,341,16</v>
      </c>
      <c r="E123">
        <v>2.27</v>
      </c>
      <c r="F123">
        <v>1.21</v>
      </c>
      <c r="G123" t="str">
        <f>CONCATENATE(Таблица271[[#This Row],[Столбец1]],Таблица271[[#This Row],[Столбец2]])</f>
        <v>2,271,21</v>
      </c>
      <c r="I123">
        <v>4.4833333333333298</v>
      </c>
      <c r="J123">
        <v>-16.1666666666667</v>
      </c>
    </row>
    <row r="124" spans="1:10" x14ac:dyDescent="0.25">
      <c r="A124">
        <v>2.34</v>
      </c>
      <c r="B124">
        <v>1.1599999999999999</v>
      </c>
      <c r="C124" t="str">
        <f>CONCATENATE(Таблица258[[#This Row],[Столбец1]],Таблица258[[#This Row],[Столбец2]])</f>
        <v>2,341,16</v>
      </c>
      <c r="E124">
        <v>2.27</v>
      </c>
      <c r="F124">
        <v>1.21</v>
      </c>
      <c r="G124" t="str">
        <f>CONCATENATE(Таблица271[[#This Row],[Столбец1]],Таблица271[[#This Row],[Столбец2]])</f>
        <v>2,271,21</v>
      </c>
      <c r="I124">
        <v>2.7916666666666701</v>
      </c>
      <c r="J124">
        <v>-14.4333333333333</v>
      </c>
    </row>
    <row r="125" spans="1:10" x14ac:dyDescent="0.25">
      <c r="A125">
        <v>2.34</v>
      </c>
      <c r="B125">
        <v>1.1599999999999999</v>
      </c>
      <c r="C125" t="str">
        <f>CONCATENATE(Таблица258[[#This Row],[Столбец1]],Таблица258[[#This Row],[Столбец2]])</f>
        <v>2,341,16</v>
      </c>
      <c r="E125">
        <v>2.27</v>
      </c>
      <c r="F125">
        <v>1.21</v>
      </c>
      <c r="G125" t="str">
        <f>CONCATENATE(Таблица271[[#This Row],[Столбец1]],Таблица271[[#This Row],[Столбец2]])</f>
        <v>2,271,21</v>
      </c>
      <c r="I125">
        <v>4.5999999999999996</v>
      </c>
      <c r="J125">
        <v>-16.2</v>
      </c>
    </row>
    <row r="126" spans="1:10" x14ac:dyDescent="0.25">
      <c r="A126">
        <v>2.34</v>
      </c>
      <c r="B126">
        <v>1.1599999999999999</v>
      </c>
      <c r="C126" t="str">
        <f>CONCATENATE(Таблица258[[#This Row],[Столбец1]],Таблица258[[#This Row],[Столбец2]])</f>
        <v>2,341,16</v>
      </c>
      <c r="E126">
        <v>2.27</v>
      </c>
      <c r="F126">
        <v>1.21</v>
      </c>
      <c r="G126" t="str">
        <f>CONCATENATE(Таблица271[[#This Row],[Столбец1]],Таблица271[[#This Row],[Столбец2]])</f>
        <v>2,271,21</v>
      </c>
      <c r="I126">
        <v>4.5416666666666696</v>
      </c>
      <c r="J126">
        <v>-16.183333333333302</v>
      </c>
    </row>
    <row r="127" spans="1:10" x14ac:dyDescent="0.25">
      <c r="A127">
        <v>2.33</v>
      </c>
      <c r="B127">
        <v>1.17</v>
      </c>
      <c r="C127" t="str">
        <f>CONCATENATE(Таблица258[[#This Row],[Столбец1]],Таблица258[[#This Row],[Столбец2]])</f>
        <v>2,331,17</v>
      </c>
      <c r="E127">
        <v>2.27</v>
      </c>
      <c r="F127">
        <v>1.21</v>
      </c>
      <c r="G127" t="str">
        <f>CONCATENATE(Таблица271[[#This Row],[Столбец1]],Таблица271[[#This Row],[Столбец2]])</f>
        <v>2,271,21</v>
      </c>
      <c r="I127">
        <v>6.7</v>
      </c>
      <c r="J127">
        <v>-18.3333333333333</v>
      </c>
    </row>
    <row r="128" spans="1:10" x14ac:dyDescent="0.25">
      <c r="A128">
        <v>2.33</v>
      </c>
      <c r="B128">
        <v>1.17</v>
      </c>
      <c r="C128" t="str">
        <f>CONCATENATE(Таблица258[[#This Row],[Столбец1]],Таблица258[[#This Row],[Столбец2]])</f>
        <v>2,331,17</v>
      </c>
      <c r="E128">
        <v>2.25</v>
      </c>
      <c r="F128">
        <v>1.22</v>
      </c>
      <c r="G128" t="str">
        <f>CONCATENATE(Таблица271[[#This Row],[Столбец1]],Таблица271[[#This Row],[Столбец2]])</f>
        <v>2,251,22</v>
      </c>
      <c r="I128">
        <v>4.3666666666666698</v>
      </c>
      <c r="J128">
        <v>-16.149999999999999</v>
      </c>
    </row>
    <row r="129" spans="1:10" x14ac:dyDescent="0.25">
      <c r="A129">
        <v>2.33</v>
      </c>
      <c r="B129">
        <v>1.17</v>
      </c>
      <c r="C129" t="str">
        <f>CONCATENATE(Таблица258[[#This Row],[Столбец1]],Таблица258[[#This Row],[Столбец2]])</f>
        <v>2,331,17</v>
      </c>
      <c r="E129">
        <v>2.25</v>
      </c>
      <c r="F129">
        <v>1.22</v>
      </c>
      <c r="G129" t="str">
        <f>CONCATENATE(Таблица271[[#This Row],[Столбец1]],Таблица271[[#This Row],[Столбец2]])</f>
        <v>2,251,22</v>
      </c>
      <c r="I129">
        <v>4.4249999999999998</v>
      </c>
      <c r="J129">
        <v>-16.1666666666667</v>
      </c>
    </row>
    <row r="130" spans="1:10" x14ac:dyDescent="0.25">
      <c r="A130">
        <v>2.33</v>
      </c>
      <c r="B130">
        <v>1.17</v>
      </c>
      <c r="C130" t="str">
        <f>CONCATENATE(Таблица258[[#This Row],[Столбец1]],Таблица258[[#This Row],[Столбец2]])</f>
        <v>2,331,17</v>
      </c>
      <c r="E130">
        <v>2.25</v>
      </c>
      <c r="F130">
        <v>1.22</v>
      </c>
      <c r="G130" t="str">
        <f>CONCATENATE(Таблица271[[#This Row],[Столбец1]],Таблица271[[#This Row],[Столбец2]])</f>
        <v>2,251,22</v>
      </c>
      <c r="I130">
        <v>2.7333333333333298</v>
      </c>
      <c r="J130">
        <v>-14.45</v>
      </c>
    </row>
    <row r="131" spans="1:10" x14ac:dyDescent="0.25">
      <c r="A131">
        <v>2.33</v>
      </c>
      <c r="B131">
        <v>1.17</v>
      </c>
      <c r="C131" t="str">
        <f>CONCATENATE(Таблица258[[#This Row],[Столбец1]],Таблица258[[#This Row],[Столбец2]])</f>
        <v>2,331,17</v>
      </c>
      <c r="E131">
        <v>2.25</v>
      </c>
      <c r="F131">
        <v>1.22</v>
      </c>
      <c r="G131" t="str">
        <f>CONCATENATE(Таблица271[[#This Row],[Столбец1]],Таблица271[[#This Row],[Столбец2]])</f>
        <v>2,251,22</v>
      </c>
      <c r="I131">
        <v>2.6749999999999998</v>
      </c>
      <c r="J131">
        <v>-14.466666666666701</v>
      </c>
    </row>
    <row r="132" spans="1:10" x14ac:dyDescent="0.25">
      <c r="A132">
        <v>2.33</v>
      </c>
      <c r="B132">
        <v>1.17</v>
      </c>
      <c r="C132" t="str">
        <f>CONCATENATE(Таблица258[[#This Row],[Столбец1]],Таблица258[[#This Row],[Столбец2]])</f>
        <v>2,331,17</v>
      </c>
      <c r="E132">
        <v>2.25</v>
      </c>
      <c r="F132">
        <v>1.22</v>
      </c>
      <c r="G132" t="str">
        <f>CONCATENATE(Таблица271[[#This Row],[Столбец1]],Таблица271[[#This Row],[Столбец2]])</f>
        <v>2,251,22</v>
      </c>
      <c r="I132">
        <v>2.6166666666666698</v>
      </c>
      <c r="J132">
        <v>-14.483333333333301</v>
      </c>
    </row>
    <row r="133" spans="1:10" x14ac:dyDescent="0.25">
      <c r="A133">
        <v>2.33</v>
      </c>
      <c r="B133">
        <v>1.17</v>
      </c>
      <c r="C133" t="str">
        <f>CONCATENATE(Таблица258[[#This Row],[Столбец1]],Таблица258[[#This Row],[Столбец2]])</f>
        <v>2,331,17</v>
      </c>
      <c r="E133">
        <v>2.25</v>
      </c>
      <c r="F133">
        <v>1.22</v>
      </c>
      <c r="G133" t="str">
        <f>CONCATENATE(Таблица271[[#This Row],[Столбец1]],Таблица271[[#This Row],[Столбец2]])</f>
        <v>2,251,22</v>
      </c>
      <c r="I133">
        <v>4.25</v>
      </c>
      <c r="J133">
        <v>-16.100000000000001</v>
      </c>
    </row>
    <row r="134" spans="1:10" x14ac:dyDescent="0.25">
      <c r="A134">
        <v>2.31</v>
      </c>
      <c r="B134">
        <v>1.18</v>
      </c>
      <c r="C134" t="str">
        <f>CONCATENATE(Таблица258[[#This Row],[Столбец1]],Таблица258[[#This Row],[Столбец2]])</f>
        <v>2,311,18</v>
      </c>
      <c r="E134">
        <v>2.2599999999999998</v>
      </c>
      <c r="F134">
        <v>1.22</v>
      </c>
      <c r="G134" t="str">
        <f>CONCATENATE(Таблица271[[#This Row],[Столбец1]],Таблица271[[#This Row],[Столбец2]])</f>
        <v>2,261,22</v>
      </c>
      <c r="I134">
        <v>4.30833333333333</v>
      </c>
      <c r="J134">
        <v>-16.133333333333301</v>
      </c>
    </row>
    <row r="135" spans="1:10" x14ac:dyDescent="0.25">
      <c r="A135">
        <v>2.31</v>
      </c>
      <c r="B135">
        <v>1.18</v>
      </c>
      <c r="C135" t="str">
        <f>CONCATENATE(Таблица258[[#This Row],[Столбец1]],Таблица258[[#This Row],[Столбец2]])</f>
        <v>2,311,18</v>
      </c>
      <c r="E135">
        <v>2.2599999999999998</v>
      </c>
      <c r="F135">
        <v>1.22</v>
      </c>
      <c r="G135" t="str">
        <f>CONCATENATE(Таблица271[[#This Row],[Столбец1]],Таблица271[[#This Row],[Столбец2]])</f>
        <v>2,261,22</v>
      </c>
      <c r="I135">
        <v>4.0750000000000002</v>
      </c>
      <c r="J135">
        <v>-16.033333333333299</v>
      </c>
    </row>
    <row r="136" spans="1:10" x14ac:dyDescent="0.25">
      <c r="A136">
        <v>2.31</v>
      </c>
      <c r="B136">
        <v>1.18</v>
      </c>
      <c r="C136" t="str">
        <f>CONCATENATE(Таблица258[[#This Row],[Столбец1]],Таблица258[[#This Row],[Столбец2]])</f>
        <v>2,311,18</v>
      </c>
      <c r="E136">
        <v>2.2599999999999998</v>
      </c>
      <c r="F136">
        <v>1.22</v>
      </c>
      <c r="G136" t="str">
        <f>CONCATENATE(Таблица271[[#This Row],[Столбец1]],Таблица271[[#This Row],[Столбец2]])</f>
        <v>2,261,22</v>
      </c>
      <c r="I136">
        <v>4.19166666666667</v>
      </c>
      <c r="J136">
        <v>-16.0833333333333</v>
      </c>
    </row>
    <row r="137" spans="1:10" x14ac:dyDescent="0.25">
      <c r="A137">
        <v>2.31</v>
      </c>
      <c r="B137">
        <v>1.18</v>
      </c>
      <c r="C137" t="str">
        <f>CONCATENATE(Таблица258[[#This Row],[Столбец1]],Таблица258[[#This Row],[Столбец2]])</f>
        <v>2,311,18</v>
      </c>
      <c r="E137">
        <v>2.2599999999999998</v>
      </c>
      <c r="F137">
        <v>1.22</v>
      </c>
      <c r="G137" t="str">
        <f>CONCATENATE(Таблица271[[#This Row],[Столбец1]],Таблица271[[#This Row],[Столбец2]])</f>
        <v>2,261,22</v>
      </c>
      <c r="I137">
        <v>4.1333333333333302</v>
      </c>
      <c r="J137">
        <v>-16.066666666666698</v>
      </c>
    </row>
    <row r="138" spans="1:10" x14ac:dyDescent="0.25">
      <c r="A138">
        <v>2.31</v>
      </c>
      <c r="B138">
        <v>1.18</v>
      </c>
      <c r="C138" t="str">
        <f>CONCATENATE(Таблица258[[#This Row],[Столбец1]],Таблица258[[#This Row],[Столбец2]])</f>
        <v>2,311,18</v>
      </c>
      <c r="E138">
        <v>2.2599999999999998</v>
      </c>
      <c r="F138">
        <v>1.22</v>
      </c>
      <c r="G138" t="str">
        <f>CONCATENATE(Таблица271[[#This Row],[Столбец1]],Таблица271[[#This Row],[Столбец2]])</f>
        <v>2,261,22</v>
      </c>
      <c r="I138">
        <v>7.1666666666666696</v>
      </c>
      <c r="J138">
        <v>-19.133333333333301</v>
      </c>
    </row>
    <row r="139" spans="1:10" x14ac:dyDescent="0.25">
      <c r="A139">
        <v>2.31</v>
      </c>
      <c r="B139">
        <v>1.18</v>
      </c>
      <c r="C139" t="str">
        <f>CONCATENATE(Таблица258[[#This Row],[Столбец1]],Таблица258[[#This Row],[Столбец2]])</f>
        <v>2,311,18</v>
      </c>
      <c r="E139">
        <v>2.2599999999999998</v>
      </c>
      <c r="F139">
        <v>1.22</v>
      </c>
      <c r="G139" t="str">
        <f>CONCATENATE(Таблица271[[#This Row],[Столбец1]],Таблица271[[#This Row],[Столбец2]])</f>
        <v>2,261,22</v>
      </c>
      <c r="I139">
        <v>2.55833333333333</v>
      </c>
      <c r="J139">
        <v>-14.516666666666699</v>
      </c>
    </row>
    <row r="140" spans="1:10" x14ac:dyDescent="0.25">
      <c r="A140">
        <v>2.31</v>
      </c>
      <c r="B140">
        <v>1.18</v>
      </c>
      <c r="C140" t="str">
        <f>CONCATENATE(Таблица258[[#This Row],[Столбец1]],Таблица258[[#This Row],[Столбец2]])</f>
        <v>2,311,18</v>
      </c>
      <c r="E140">
        <v>2.2400000000000002</v>
      </c>
      <c r="F140">
        <v>1.23</v>
      </c>
      <c r="G140" t="str">
        <f>CONCATENATE(Таблица271[[#This Row],[Столбец1]],Таблица271[[#This Row],[Столбец2]])</f>
        <v>2,241,23</v>
      </c>
      <c r="I140">
        <v>7.2249999999999996</v>
      </c>
      <c r="J140">
        <v>-19.1666666666667</v>
      </c>
    </row>
    <row r="141" spans="1:10" x14ac:dyDescent="0.25">
      <c r="A141">
        <v>2.2799999999999998</v>
      </c>
      <c r="B141">
        <v>1.2</v>
      </c>
      <c r="C141" t="str">
        <f>CONCATENATE(Таблица258[[#This Row],[Столбец1]],Таблица258[[#This Row],[Столбец2]])</f>
        <v>2,281,2</v>
      </c>
      <c r="E141">
        <v>2.2400000000000002</v>
      </c>
      <c r="F141">
        <v>1.23</v>
      </c>
      <c r="G141" t="str">
        <f>CONCATENATE(Таблица271[[#This Row],[Столбец1]],Таблица271[[#This Row],[Столбец2]])</f>
        <v>2,241,23</v>
      </c>
      <c r="I141">
        <v>7.05</v>
      </c>
      <c r="J141">
        <v>-19.033333333333299</v>
      </c>
    </row>
    <row r="142" spans="1:10" x14ac:dyDescent="0.25">
      <c r="A142">
        <v>2.2799999999999998</v>
      </c>
      <c r="B142">
        <v>1.2</v>
      </c>
      <c r="C142" t="str">
        <f>CONCATENATE(Таблица258[[#This Row],[Столбец1]],Таблица258[[#This Row],[Столбец2]])</f>
        <v>2,281,2</v>
      </c>
      <c r="E142">
        <v>2.2400000000000002</v>
      </c>
      <c r="F142">
        <v>1.23</v>
      </c>
      <c r="G142" t="str">
        <f>CONCATENATE(Таблица271[[#This Row],[Столбец1]],Таблица271[[#This Row],[Столбец2]])</f>
        <v>2,241,23</v>
      </c>
      <c r="I142">
        <v>6.7583333333333302</v>
      </c>
      <c r="J142">
        <v>-18.816666666666698</v>
      </c>
    </row>
    <row r="143" spans="1:10" x14ac:dyDescent="0.25">
      <c r="A143">
        <v>2.2799999999999998</v>
      </c>
      <c r="B143">
        <v>1.2</v>
      </c>
      <c r="C143" t="str">
        <f>CONCATENATE(Таблица258[[#This Row],[Столбец1]],Таблица258[[#This Row],[Столбец2]])</f>
        <v>2,281,2</v>
      </c>
      <c r="E143">
        <v>2.2400000000000002</v>
      </c>
      <c r="F143">
        <v>1.23</v>
      </c>
      <c r="G143" t="str">
        <f>CONCATENATE(Таблица271[[#This Row],[Столбец1]],Таблица271[[#This Row],[Столбец2]])</f>
        <v>2,241,23</v>
      </c>
      <c r="I143">
        <v>6.875</v>
      </c>
      <c r="J143">
        <v>-18.9166666666667</v>
      </c>
    </row>
    <row r="144" spans="1:10" x14ac:dyDescent="0.25">
      <c r="A144">
        <v>2.2799999999999998</v>
      </c>
      <c r="B144">
        <v>1.2</v>
      </c>
      <c r="C144" t="str">
        <f>CONCATENATE(Таблица258[[#This Row],[Столбец1]],Таблица258[[#This Row],[Столбец2]])</f>
        <v>2,281,2</v>
      </c>
      <c r="E144">
        <v>2.2400000000000002</v>
      </c>
      <c r="F144">
        <v>1.23</v>
      </c>
      <c r="G144" t="str">
        <f>CONCATENATE(Таблица271[[#This Row],[Столбец1]],Таблица271[[#This Row],[Столбец2]])</f>
        <v>2,241,23</v>
      </c>
      <c r="I144">
        <v>4.0166666666666702</v>
      </c>
      <c r="J144">
        <v>-16.016666666666701</v>
      </c>
    </row>
    <row r="145" spans="1:10" x14ac:dyDescent="0.25">
      <c r="A145">
        <v>2.2799999999999998</v>
      </c>
      <c r="B145">
        <v>1.2</v>
      </c>
      <c r="C145" t="str">
        <f>CONCATENATE(Таблица258[[#This Row],[Столбец1]],Таблица258[[#This Row],[Столбец2]])</f>
        <v>2,281,2</v>
      </c>
      <c r="E145">
        <v>2.2400000000000002</v>
      </c>
      <c r="F145">
        <v>1.23</v>
      </c>
      <c r="G145" t="str">
        <f>CONCATENATE(Таблица271[[#This Row],[Столбец1]],Таблица271[[#This Row],[Столбец2]])</f>
        <v>2,241,23</v>
      </c>
      <c r="I145">
        <v>6.93333333333333</v>
      </c>
      <c r="J145">
        <v>-18.95</v>
      </c>
    </row>
    <row r="146" spans="1:10" x14ac:dyDescent="0.25">
      <c r="A146">
        <v>2.2799999999999998</v>
      </c>
      <c r="B146">
        <v>1.2</v>
      </c>
      <c r="C146" t="str">
        <f>CONCATENATE(Таблица258[[#This Row],[Столбец1]],Таблица258[[#This Row],[Столбец2]])</f>
        <v>2,281,2</v>
      </c>
      <c r="E146">
        <v>2.23</v>
      </c>
      <c r="F146">
        <v>1.24</v>
      </c>
      <c r="G146" t="str">
        <f>CONCATENATE(Таблица271[[#This Row],[Столбец1]],Таблица271[[#This Row],[Столбец2]])</f>
        <v>2,231,24</v>
      </c>
      <c r="I146">
        <v>3.9583333333333299</v>
      </c>
      <c r="J146">
        <v>-16</v>
      </c>
    </row>
    <row r="147" spans="1:10" x14ac:dyDescent="0.25">
      <c r="A147">
        <v>2.27</v>
      </c>
      <c r="B147">
        <v>1.21</v>
      </c>
      <c r="C147" t="str">
        <f>CONCATENATE(Таблица258[[#This Row],[Столбец1]],Таблица258[[#This Row],[Столбец2]])</f>
        <v>2,271,21</v>
      </c>
      <c r="E147">
        <v>2.23</v>
      </c>
      <c r="F147">
        <v>1.24</v>
      </c>
      <c r="G147" t="str">
        <f>CONCATENATE(Таблица271[[#This Row],[Столбец1]],Таблица271[[#This Row],[Столбец2]])</f>
        <v>2,231,24</v>
      </c>
      <c r="I147">
        <v>2.5</v>
      </c>
      <c r="J147">
        <v>-14.533333333333299</v>
      </c>
    </row>
    <row r="148" spans="1:10" x14ac:dyDescent="0.25">
      <c r="A148">
        <v>2.27</v>
      </c>
      <c r="B148">
        <v>1.21</v>
      </c>
      <c r="C148" t="str">
        <f>CONCATENATE(Таблица258[[#This Row],[Столбец1]],Таблица258[[#This Row],[Столбец2]])</f>
        <v>2,271,21</v>
      </c>
      <c r="E148">
        <v>2.23</v>
      </c>
      <c r="F148">
        <v>1.24</v>
      </c>
      <c r="G148" t="str">
        <f>CONCATENATE(Таблица271[[#This Row],[Столбец1]],Таблица271[[#This Row],[Столбец2]])</f>
        <v>2,231,24</v>
      </c>
      <c r="I148">
        <v>2.5</v>
      </c>
      <c r="J148">
        <v>-14.533333333333299</v>
      </c>
    </row>
    <row r="149" spans="1:10" x14ac:dyDescent="0.25">
      <c r="A149">
        <v>2.27</v>
      </c>
      <c r="B149">
        <v>1.21</v>
      </c>
      <c r="C149" t="str">
        <f>CONCATENATE(Таблица258[[#This Row],[Столбец1]],Таблица258[[#This Row],[Столбец2]])</f>
        <v>2,271,21</v>
      </c>
      <c r="E149">
        <v>2.23</v>
      </c>
      <c r="F149">
        <v>1.24</v>
      </c>
      <c r="G149" t="str">
        <f>CONCATENATE(Таблица271[[#This Row],[Столбец1]],Таблица271[[#This Row],[Столбец2]])</f>
        <v>2,231,24</v>
      </c>
      <c r="I149">
        <v>7.1083333333333298</v>
      </c>
      <c r="J149">
        <v>-19.0833333333333</v>
      </c>
    </row>
    <row r="150" spans="1:10" x14ac:dyDescent="0.25">
      <c r="A150">
        <v>2.27</v>
      </c>
      <c r="B150">
        <v>1.21</v>
      </c>
      <c r="C150" t="str">
        <f>CONCATENATE(Таблица258[[#This Row],[Столбец1]],Таблица258[[#This Row],[Столбец2]])</f>
        <v>2,271,21</v>
      </c>
      <c r="E150">
        <v>2.23</v>
      </c>
      <c r="F150">
        <v>1.24</v>
      </c>
      <c r="G150" t="str">
        <f>CONCATENATE(Таблица271[[#This Row],[Столбец1]],Таблица271[[#This Row],[Столбец2]])</f>
        <v>2,231,24</v>
      </c>
      <c r="I150">
        <v>6.9916666666666698</v>
      </c>
      <c r="J150">
        <v>-19</v>
      </c>
    </row>
    <row r="151" spans="1:10" x14ac:dyDescent="0.25">
      <c r="A151">
        <v>2.27</v>
      </c>
      <c r="B151">
        <v>1.21</v>
      </c>
      <c r="C151" t="str">
        <f>CONCATENATE(Таблица258[[#This Row],[Столбец1]],Таблица258[[#This Row],[Столбец2]])</f>
        <v>2,271,21</v>
      </c>
      <c r="E151">
        <v>2.23</v>
      </c>
      <c r="F151">
        <v>1.24</v>
      </c>
      <c r="G151" t="str">
        <f>CONCATENATE(Таблица271[[#This Row],[Столбец1]],Таблица271[[#This Row],[Столбец2]])</f>
        <v>2,231,24</v>
      </c>
      <c r="I151">
        <v>6.81666666666667</v>
      </c>
      <c r="J151">
        <v>-18.866666666666699</v>
      </c>
    </row>
    <row r="152" spans="1:10" x14ac:dyDescent="0.25">
      <c r="A152">
        <v>2.27</v>
      </c>
      <c r="B152">
        <v>1.21</v>
      </c>
      <c r="C152" t="str">
        <f>CONCATENATE(Таблица258[[#This Row],[Столбец1]],Таблица258[[#This Row],[Столбец2]])</f>
        <v>2,271,21</v>
      </c>
      <c r="E152">
        <v>2.2200000000000002</v>
      </c>
      <c r="F152">
        <v>1.25</v>
      </c>
      <c r="G152" t="str">
        <f>CONCATENATE(Таблица271[[#This Row],[Столбец1]],Таблица271[[#This Row],[Столбец2]])</f>
        <v>2,221,25</v>
      </c>
      <c r="I152">
        <v>3.8416666666666699</v>
      </c>
      <c r="J152">
        <v>-15.95</v>
      </c>
    </row>
    <row r="153" spans="1:10" x14ac:dyDescent="0.25">
      <c r="A153">
        <v>2.27</v>
      </c>
      <c r="B153">
        <v>1.21</v>
      </c>
      <c r="C153" t="str">
        <f>CONCATENATE(Таблица258[[#This Row],[Столбец1]],Таблица258[[#This Row],[Столбец2]])</f>
        <v>2,271,21</v>
      </c>
      <c r="E153">
        <v>2.2200000000000002</v>
      </c>
      <c r="F153">
        <v>1.25</v>
      </c>
      <c r="G153" t="str">
        <f>CONCATENATE(Таблица271[[#This Row],[Столбец1]],Таблица271[[#This Row],[Столбец2]])</f>
        <v>2,221,25</v>
      </c>
      <c r="I153">
        <v>2.35</v>
      </c>
      <c r="J153">
        <v>-14.483333333333301</v>
      </c>
    </row>
    <row r="154" spans="1:10" x14ac:dyDescent="0.25">
      <c r="A154">
        <v>2.25</v>
      </c>
      <c r="B154">
        <v>1.22</v>
      </c>
      <c r="C154" t="str">
        <f>CONCATENATE(Таблица258[[#This Row],[Столбец1]],Таблица258[[#This Row],[Столбец2]])</f>
        <v>2,251,22</v>
      </c>
      <c r="E154">
        <v>2.2200000000000002</v>
      </c>
      <c r="F154">
        <v>1.25</v>
      </c>
      <c r="G154" t="str">
        <f>CONCATENATE(Таблица271[[#This Row],[Столбец1]],Таблица271[[#This Row],[Столбец2]])</f>
        <v>2,221,25</v>
      </c>
      <c r="I154">
        <v>3.9</v>
      </c>
      <c r="J154">
        <v>-15.983333333333301</v>
      </c>
    </row>
    <row r="155" spans="1:10" x14ac:dyDescent="0.25">
      <c r="A155">
        <v>2.2599999999999998</v>
      </c>
      <c r="B155">
        <v>1.22</v>
      </c>
      <c r="C155" t="str">
        <f>CONCATENATE(Таблица258[[#This Row],[Столбец1]],Таблица258[[#This Row],[Столбец2]])</f>
        <v>2,261,22</v>
      </c>
      <c r="E155">
        <v>2.2200000000000002</v>
      </c>
      <c r="F155">
        <v>1.25</v>
      </c>
      <c r="G155" t="str">
        <f>CONCATENATE(Таблица271[[#This Row],[Столбец1]],Таблица271[[#This Row],[Столбец2]])</f>
        <v>2,221,25</v>
      </c>
      <c r="I155">
        <v>2.4249999999999998</v>
      </c>
      <c r="J155">
        <v>-14.516666666666699</v>
      </c>
    </row>
    <row r="156" spans="1:10" x14ac:dyDescent="0.25">
      <c r="A156">
        <v>2.2599999999999998</v>
      </c>
      <c r="B156">
        <v>1.22</v>
      </c>
      <c r="C156" t="str">
        <f>CONCATENATE(Таблица258[[#This Row],[Столбец1]],Таблица258[[#This Row],[Столбец2]])</f>
        <v>2,261,22</v>
      </c>
      <c r="E156">
        <v>2.2200000000000002</v>
      </c>
      <c r="F156">
        <v>1.25</v>
      </c>
      <c r="G156" t="str">
        <f>CONCATENATE(Таблица271[[#This Row],[Столбец1]],Таблица271[[#This Row],[Столбец2]])</f>
        <v>2,221,25</v>
      </c>
      <c r="I156">
        <v>3.6666666666666701</v>
      </c>
      <c r="J156">
        <v>-15.9</v>
      </c>
    </row>
    <row r="157" spans="1:10" x14ac:dyDescent="0.25">
      <c r="A157">
        <v>2.2599999999999998</v>
      </c>
      <c r="B157">
        <v>1.22</v>
      </c>
      <c r="C157" t="str">
        <f>CONCATENATE(Таблица258[[#This Row],[Столбец1]],Таблица258[[#This Row],[Столбец2]])</f>
        <v>2,261,22</v>
      </c>
      <c r="E157">
        <v>2.2200000000000002</v>
      </c>
      <c r="F157">
        <v>1.25</v>
      </c>
      <c r="G157" t="str">
        <f>CONCATENATE(Таблица271[[#This Row],[Столбец1]],Таблица271[[#This Row],[Столбец2]])</f>
        <v>2,221,25</v>
      </c>
      <c r="I157">
        <v>3.7250000000000001</v>
      </c>
      <c r="J157">
        <v>-15.9166666666667</v>
      </c>
    </row>
    <row r="158" spans="1:10" x14ac:dyDescent="0.25">
      <c r="A158">
        <v>2.2599999999999998</v>
      </c>
      <c r="B158">
        <v>1.22</v>
      </c>
      <c r="C158" t="str">
        <f>CONCATENATE(Таблица258[[#This Row],[Столбец1]],Таблица258[[#This Row],[Столбец2]])</f>
        <v>2,261,22</v>
      </c>
      <c r="E158">
        <v>2.21</v>
      </c>
      <c r="F158">
        <v>1.27</v>
      </c>
      <c r="G158" t="str">
        <f>CONCATENATE(Таблица271[[#This Row],[Столбец1]],Таблица271[[#This Row],[Столбец2]])</f>
        <v>2,211,27</v>
      </c>
      <c r="I158">
        <v>3.7833333333333301</v>
      </c>
      <c r="J158">
        <v>-15.9333333333333</v>
      </c>
    </row>
    <row r="159" spans="1:10" x14ac:dyDescent="0.25">
      <c r="A159">
        <v>2.2599999999999998</v>
      </c>
      <c r="B159">
        <v>1.22</v>
      </c>
      <c r="C159" t="str">
        <f>CONCATENATE(Таблица258[[#This Row],[Столбец1]],Таблица258[[#This Row],[Столбец2]])</f>
        <v>2,261,22</v>
      </c>
      <c r="E159">
        <v>2.21</v>
      </c>
      <c r="F159">
        <v>1.27</v>
      </c>
      <c r="G159" t="str">
        <f>CONCATENATE(Таблица271[[#This Row],[Столбец1]],Таблица271[[#This Row],[Столбец2]])</f>
        <v>2,211,27</v>
      </c>
      <c r="I159">
        <v>2.2749999999999999</v>
      </c>
      <c r="J159">
        <v>-14.466666666666701</v>
      </c>
    </row>
    <row r="160" spans="1:10" x14ac:dyDescent="0.25">
      <c r="A160">
        <v>2.2599999999999998</v>
      </c>
      <c r="B160">
        <v>1.22</v>
      </c>
      <c r="C160" t="str">
        <f>CONCATENATE(Таблица258[[#This Row],[Столбец1]],Таблица258[[#This Row],[Столбец2]])</f>
        <v>2,261,22</v>
      </c>
      <c r="E160">
        <v>2.21</v>
      </c>
      <c r="F160">
        <v>1.27</v>
      </c>
      <c r="G160" t="str">
        <f>CONCATENATE(Таблица271[[#This Row],[Столбец1]],Таблица271[[#This Row],[Столбец2]])</f>
        <v>2,211,27</v>
      </c>
      <c r="I160">
        <v>3.55</v>
      </c>
      <c r="J160">
        <v>-15.85</v>
      </c>
    </row>
    <row r="161" spans="1:10" x14ac:dyDescent="0.25">
      <c r="A161">
        <v>2.2599999999999998</v>
      </c>
      <c r="B161">
        <v>1.22</v>
      </c>
      <c r="C161" t="str">
        <f>CONCATENATE(Таблица258[[#This Row],[Столбец1]],Таблица258[[#This Row],[Столбец2]])</f>
        <v>2,261,22</v>
      </c>
      <c r="E161">
        <v>2.21</v>
      </c>
      <c r="F161">
        <v>1.27</v>
      </c>
      <c r="G161" t="str">
        <f>CONCATENATE(Таблица271[[#This Row],[Столбец1]],Таблица271[[#This Row],[Столбец2]])</f>
        <v>2,211,27</v>
      </c>
      <c r="I161">
        <v>3.6083333333333298</v>
      </c>
      <c r="J161">
        <v>-15.866666666666699</v>
      </c>
    </row>
    <row r="162" spans="1:10" x14ac:dyDescent="0.25">
      <c r="A162">
        <v>2.2400000000000002</v>
      </c>
      <c r="B162">
        <v>1.23</v>
      </c>
      <c r="C162" t="str">
        <f>CONCATENATE(Таблица258[[#This Row],[Столбец1]],Таблица258[[#This Row],[Столбец2]])</f>
        <v>2,241,23</v>
      </c>
      <c r="E162">
        <v>2.21</v>
      </c>
      <c r="F162">
        <v>1.27</v>
      </c>
      <c r="G162" t="str">
        <f>CONCATENATE(Таблица271[[#This Row],[Столбец1]],Таблица271[[#This Row],[Столбец2]])</f>
        <v>2,211,27</v>
      </c>
      <c r="I162">
        <v>2.125</v>
      </c>
      <c r="J162">
        <v>-14.4333333333333</v>
      </c>
    </row>
    <row r="163" spans="1:10" x14ac:dyDescent="0.25">
      <c r="A163">
        <v>2.2400000000000002</v>
      </c>
      <c r="B163">
        <v>1.23</v>
      </c>
      <c r="C163" t="str">
        <f>CONCATENATE(Таблица258[[#This Row],[Столбец1]],Таблица258[[#This Row],[Столбец2]])</f>
        <v>2,241,23</v>
      </c>
      <c r="E163">
        <v>2.21</v>
      </c>
      <c r="F163">
        <v>1.27</v>
      </c>
      <c r="G163" t="str">
        <f>CONCATENATE(Таблица271[[#This Row],[Столбец1]],Таблица271[[#This Row],[Столбец2]])</f>
        <v>2,211,27</v>
      </c>
      <c r="I163">
        <v>2.2000000000000002</v>
      </c>
      <c r="J163">
        <v>-14.45</v>
      </c>
    </row>
    <row r="164" spans="1:10" x14ac:dyDescent="0.25">
      <c r="A164">
        <v>2.2400000000000002</v>
      </c>
      <c r="B164">
        <v>1.23</v>
      </c>
      <c r="C164" t="str">
        <f>CONCATENATE(Таблица258[[#This Row],[Столбец1]],Таблица258[[#This Row],[Столбец2]])</f>
        <v>2,241,23</v>
      </c>
      <c r="E164">
        <v>2.2000000000000002</v>
      </c>
      <c r="F164">
        <v>1.28</v>
      </c>
      <c r="G164" t="str">
        <f>CONCATENATE(Таблица271[[#This Row],[Столбец1]],Таблица271[[#This Row],[Столбец2]])</f>
        <v>2,21,28</v>
      </c>
      <c r="I164">
        <v>3.43333333333333</v>
      </c>
      <c r="J164">
        <v>-15.8</v>
      </c>
    </row>
    <row r="165" spans="1:10" x14ac:dyDescent="0.25">
      <c r="A165">
        <v>2.2400000000000002</v>
      </c>
      <c r="B165">
        <v>1.23</v>
      </c>
      <c r="C165" t="str">
        <f>CONCATENATE(Таблица258[[#This Row],[Столбец1]],Таблица258[[#This Row],[Столбец2]])</f>
        <v>2,241,23</v>
      </c>
      <c r="E165">
        <v>2.2000000000000002</v>
      </c>
      <c r="F165">
        <v>1.28</v>
      </c>
      <c r="G165" t="str">
        <f>CONCATENATE(Таблица271[[#This Row],[Столбец1]],Таблица271[[#This Row],[Столбец2]])</f>
        <v>2,21,28</v>
      </c>
      <c r="I165">
        <v>1.9750000000000001</v>
      </c>
      <c r="J165">
        <v>-14.383333333333301</v>
      </c>
    </row>
    <row r="166" spans="1:10" x14ac:dyDescent="0.25">
      <c r="A166">
        <v>2.2400000000000002</v>
      </c>
      <c r="B166">
        <v>1.23</v>
      </c>
      <c r="C166" t="str">
        <f>CONCATENATE(Таблица258[[#This Row],[Столбец1]],Таблица258[[#This Row],[Столбец2]])</f>
        <v>2,241,23</v>
      </c>
      <c r="E166">
        <v>2.2000000000000002</v>
      </c>
      <c r="F166">
        <v>1.28</v>
      </c>
      <c r="G166" t="str">
        <f>CONCATENATE(Таблица271[[#This Row],[Столбец1]],Таблица271[[#This Row],[Столбец2]])</f>
        <v>2,21,28</v>
      </c>
      <c r="I166">
        <v>3.4916666666666698</v>
      </c>
      <c r="J166">
        <v>-15.8333333333333</v>
      </c>
    </row>
    <row r="167" spans="1:10" x14ac:dyDescent="0.25">
      <c r="A167">
        <v>2.2400000000000002</v>
      </c>
      <c r="B167">
        <v>1.23</v>
      </c>
      <c r="C167" t="str">
        <f>CONCATENATE(Таблица258[[#This Row],[Столбец1]],Таблица258[[#This Row],[Столбец2]])</f>
        <v>2,241,23</v>
      </c>
      <c r="E167">
        <v>2.2000000000000002</v>
      </c>
      <c r="F167">
        <v>1.28</v>
      </c>
      <c r="G167" t="str">
        <f>CONCATENATE(Таблица271[[#This Row],[Столбец1]],Таблица271[[#This Row],[Столбец2]])</f>
        <v>2,21,28</v>
      </c>
      <c r="I167">
        <v>2.0499999999999998</v>
      </c>
      <c r="J167">
        <v>-14.4</v>
      </c>
    </row>
    <row r="168" spans="1:10" x14ac:dyDescent="0.25">
      <c r="A168">
        <v>2.2400000000000002</v>
      </c>
      <c r="B168">
        <v>1.23</v>
      </c>
      <c r="C168" t="str">
        <f>CONCATENATE(Таблица258[[#This Row],[Столбец1]],Таблица258[[#This Row],[Столбец2]])</f>
        <v>2,241,23</v>
      </c>
      <c r="E168">
        <v>2.2000000000000002</v>
      </c>
      <c r="F168">
        <v>1.28</v>
      </c>
      <c r="G168" t="str">
        <f>CONCATENATE(Таблица271[[#This Row],[Столбец1]],Таблица271[[#This Row],[Столбец2]])</f>
        <v>2,21,28</v>
      </c>
      <c r="I168">
        <v>3.31666666666667</v>
      </c>
      <c r="J168">
        <v>-15.766666666666699</v>
      </c>
    </row>
    <row r="169" spans="1:10" x14ac:dyDescent="0.25">
      <c r="A169">
        <v>2.23</v>
      </c>
      <c r="B169">
        <v>1.24</v>
      </c>
      <c r="C169" t="str">
        <f>CONCATENATE(Таблица258[[#This Row],[Столбец1]],Таблица258[[#This Row],[Столбец2]])</f>
        <v>2,231,24</v>
      </c>
      <c r="E169">
        <v>2.2000000000000002</v>
      </c>
      <c r="F169">
        <v>1.28</v>
      </c>
      <c r="G169" t="str">
        <f>CONCATENATE(Таблица271[[#This Row],[Столбец1]],Таблица271[[#This Row],[Столбец2]])</f>
        <v>2,21,28</v>
      </c>
      <c r="I169">
        <v>3.375</v>
      </c>
      <c r="J169">
        <v>-15.783333333333299</v>
      </c>
    </row>
    <row r="170" spans="1:10" x14ac:dyDescent="0.25">
      <c r="A170">
        <v>2.23</v>
      </c>
      <c r="B170">
        <v>1.24</v>
      </c>
      <c r="C170" t="str">
        <f>CONCATENATE(Таблица258[[#This Row],[Столбец1]],Таблица258[[#This Row],[Столбец2]])</f>
        <v>2,231,24</v>
      </c>
      <c r="E170">
        <v>2.19</v>
      </c>
      <c r="F170">
        <v>1.3</v>
      </c>
      <c r="G170" t="str">
        <f>CONCATENATE(Таблица271[[#This Row],[Столбец1]],Таблица271[[#This Row],[Столбец2]])</f>
        <v>2,191,3</v>
      </c>
      <c r="I170">
        <v>1.825</v>
      </c>
      <c r="J170">
        <v>-14.35</v>
      </c>
    </row>
    <row r="171" spans="1:10" x14ac:dyDescent="0.25">
      <c r="A171">
        <v>2.23</v>
      </c>
      <c r="B171">
        <v>1.24</v>
      </c>
      <c r="C171" t="str">
        <f>CONCATENATE(Таблица258[[#This Row],[Столбец1]],Таблица258[[#This Row],[Столбец2]])</f>
        <v>2,231,24</v>
      </c>
      <c r="E171">
        <v>2.19</v>
      </c>
      <c r="F171">
        <v>1.3</v>
      </c>
      <c r="G171" t="str">
        <f>CONCATENATE(Таблица271[[#This Row],[Столбец1]],Таблица271[[#This Row],[Столбец2]])</f>
        <v>2,191,3</v>
      </c>
      <c r="I171">
        <v>3.1416666666666702</v>
      </c>
      <c r="J171">
        <v>-15.7</v>
      </c>
    </row>
    <row r="172" spans="1:10" x14ac:dyDescent="0.25">
      <c r="A172">
        <v>2.23</v>
      </c>
      <c r="B172">
        <v>1.24</v>
      </c>
      <c r="C172" t="str">
        <f>CONCATENATE(Таблица258[[#This Row],[Столбец1]],Таблица258[[#This Row],[Столбец2]])</f>
        <v>2,231,24</v>
      </c>
      <c r="E172">
        <v>2.19</v>
      </c>
      <c r="F172">
        <v>1.3</v>
      </c>
      <c r="G172" t="str">
        <f>CONCATENATE(Таблица271[[#This Row],[Столбец1]],Таблица271[[#This Row],[Столбец2]])</f>
        <v>2,191,3</v>
      </c>
      <c r="I172">
        <v>1.9</v>
      </c>
      <c r="J172">
        <v>-14.366666666666699</v>
      </c>
    </row>
    <row r="173" spans="1:10" x14ac:dyDescent="0.25">
      <c r="A173">
        <v>2.23</v>
      </c>
      <c r="B173">
        <v>1.24</v>
      </c>
      <c r="C173" t="str">
        <f>CONCATENATE(Таблица258[[#This Row],[Столбец1]],Таблица258[[#This Row],[Столбец2]])</f>
        <v>2,231,24</v>
      </c>
      <c r="E173">
        <v>2.19</v>
      </c>
      <c r="F173">
        <v>1.3</v>
      </c>
      <c r="G173" t="str">
        <f>CONCATENATE(Таблица271[[#This Row],[Столбец1]],Таблица271[[#This Row],[Столбец2]])</f>
        <v>2,191,3</v>
      </c>
      <c r="I173">
        <v>3.2583333333333302</v>
      </c>
      <c r="J173">
        <v>-15.75</v>
      </c>
    </row>
    <row r="174" spans="1:10" x14ac:dyDescent="0.25">
      <c r="A174">
        <v>2.23</v>
      </c>
      <c r="B174">
        <v>1.24</v>
      </c>
      <c r="C174" t="str">
        <f>CONCATENATE(Таблица258[[#This Row],[Столбец1]],Таблица258[[#This Row],[Столбец2]])</f>
        <v>2,231,24</v>
      </c>
      <c r="E174">
        <v>2.19</v>
      </c>
      <c r="F174">
        <v>1.3</v>
      </c>
      <c r="G174" t="str">
        <f>CONCATENATE(Таблица271[[#This Row],[Столбец1]],Таблица271[[#This Row],[Столбец2]])</f>
        <v>2,191,3</v>
      </c>
      <c r="I174">
        <v>3.2</v>
      </c>
      <c r="J174">
        <v>-15.716666666666701</v>
      </c>
    </row>
    <row r="175" spans="1:10" x14ac:dyDescent="0.25">
      <c r="A175">
        <v>2.23</v>
      </c>
      <c r="B175">
        <v>1.24</v>
      </c>
      <c r="C175" t="str">
        <f>CONCATENATE(Таблица258[[#This Row],[Столбец1]],Таблица258[[#This Row],[Столбец2]])</f>
        <v>2,231,24</v>
      </c>
      <c r="E175">
        <v>2.19</v>
      </c>
      <c r="F175">
        <v>1.3</v>
      </c>
      <c r="G175" t="str">
        <f>CONCATENATE(Таблица271[[#This Row],[Столбец1]],Таблица271[[#This Row],[Столбец2]])</f>
        <v>2,191,3</v>
      </c>
      <c r="I175">
        <v>1.675</v>
      </c>
      <c r="J175">
        <v>-14.3</v>
      </c>
    </row>
    <row r="176" spans="1:10" x14ac:dyDescent="0.25">
      <c r="A176">
        <v>2.2200000000000002</v>
      </c>
      <c r="B176">
        <v>1.25</v>
      </c>
      <c r="C176" t="str">
        <f>CONCATENATE(Таблица258[[#This Row],[Столбец1]],Таблица258[[#This Row],[Столбец2]])</f>
        <v>2,221,25</v>
      </c>
      <c r="E176">
        <v>2.1800000000000002</v>
      </c>
      <c r="F176">
        <v>1.31</v>
      </c>
      <c r="G176" t="str">
        <f>CONCATENATE(Таблица271[[#This Row],[Столбец1]],Таблица271[[#This Row],[Столбец2]])</f>
        <v>2,181,31</v>
      </c>
      <c r="I176">
        <v>1.75</v>
      </c>
      <c r="J176">
        <v>-14.3166666666667</v>
      </c>
    </row>
    <row r="177" spans="1:10" x14ac:dyDescent="0.25">
      <c r="A177">
        <v>2.2200000000000002</v>
      </c>
      <c r="B177">
        <v>1.25</v>
      </c>
      <c r="C177" t="str">
        <f>CONCATENATE(Таблица258[[#This Row],[Столбец1]],Таблица258[[#This Row],[Столбец2]])</f>
        <v>2,221,25</v>
      </c>
      <c r="E177">
        <v>2.1800000000000002</v>
      </c>
      <c r="F177">
        <v>1.31</v>
      </c>
      <c r="G177" t="str">
        <f>CONCATENATE(Таблица271[[#This Row],[Столбец1]],Таблица271[[#This Row],[Столбец2]])</f>
        <v>2,181,31</v>
      </c>
      <c r="I177">
        <v>3.0833333333333299</v>
      </c>
      <c r="J177">
        <v>-15.6833333333333</v>
      </c>
    </row>
    <row r="178" spans="1:10" x14ac:dyDescent="0.25">
      <c r="A178">
        <v>2.2200000000000002</v>
      </c>
      <c r="B178">
        <v>1.25</v>
      </c>
      <c r="C178" t="str">
        <f>CONCATENATE(Таблица258[[#This Row],[Столбец1]],Таблица258[[#This Row],[Столбец2]])</f>
        <v>2,221,25</v>
      </c>
      <c r="E178">
        <v>2.1800000000000002</v>
      </c>
      <c r="F178">
        <v>1.31</v>
      </c>
      <c r="G178" t="str">
        <f>CONCATENATE(Таблица271[[#This Row],[Столбец1]],Таблица271[[#This Row],[Столбец2]])</f>
        <v>2,181,31</v>
      </c>
      <c r="I178">
        <v>3.0249999999999999</v>
      </c>
      <c r="J178">
        <v>-15.65</v>
      </c>
    </row>
    <row r="179" spans="1:10" x14ac:dyDescent="0.25">
      <c r="A179">
        <v>2.2200000000000002</v>
      </c>
      <c r="B179">
        <v>1.25</v>
      </c>
      <c r="C179" t="str">
        <f>CONCATENATE(Таблица258[[#This Row],[Столбец1]],Таблица258[[#This Row],[Столбец2]])</f>
        <v>2,221,25</v>
      </c>
      <c r="E179">
        <v>2.1800000000000002</v>
      </c>
      <c r="F179">
        <v>1.31</v>
      </c>
      <c r="G179" t="str">
        <f>CONCATENATE(Таблица271[[#This Row],[Столбец1]],Таблица271[[#This Row],[Столбец2]])</f>
        <v>2,181,31</v>
      </c>
      <c r="I179">
        <v>2.9083333333333301</v>
      </c>
      <c r="J179">
        <v>-15.616666666666699</v>
      </c>
    </row>
    <row r="180" spans="1:10" x14ac:dyDescent="0.25">
      <c r="A180">
        <v>2.2200000000000002</v>
      </c>
      <c r="B180">
        <v>1.25</v>
      </c>
      <c r="C180" t="str">
        <f>CONCATENATE(Таблица258[[#This Row],[Столбец1]],Таблица258[[#This Row],[Столбец2]])</f>
        <v>2,221,25</v>
      </c>
      <c r="E180">
        <v>2.1800000000000002</v>
      </c>
      <c r="F180">
        <v>1.31</v>
      </c>
      <c r="G180" t="str">
        <f>CONCATENATE(Таблица271[[#This Row],[Столбец1]],Таблица271[[#This Row],[Столбец2]])</f>
        <v>2,181,31</v>
      </c>
      <c r="I180">
        <v>2.9666666666666699</v>
      </c>
      <c r="J180">
        <v>-15.633333333333301</v>
      </c>
    </row>
    <row r="181" spans="1:10" x14ac:dyDescent="0.25">
      <c r="A181">
        <v>2.2200000000000002</v>
      </c>
      <c r="B181">
        <v>1.25</v>
      </c>
      <c r="C181" t="str">
        <f>CONCATENATE(Таблица258[[#This Row],[Столбец1]],Таблица258[[#This Row],[Столбец2]])</f>
        <v>2,221,25</v>
      </c>
      <c r="E181">
        <v>2.1800000000000002</v>
      </c>
      <c r="F181">
        <v>1.31</v>
      </c>
      <c r="G181" t="str">
        <f>CONCATENATE(Таблица271[[#This Row],[Столбец1]],Таблица271[[#This Row],[Столбец2]])</f>
        <v>2,181,31</v>
      </c>
      <c r="I181">
        <v>1.6</v>
      </c>
      <c r="J181">
        <v>-14.283333333333299</v>
      </c>
    </row>
    <row r="182" spans="1:10" x14ac:dyDescent="0.25">
      <c r="A182">
        <v>2.2200000000000002</v>
      </c>
      <c r="B182">
        <v>1.25</v>
      </c>
      <c r="C182" t="str">
        <f>CONCATENATE(Таблица258[[#This Row],[Столбец1]],Таблица258[[#This Row],[Столбец2]])</f>
        <v>2,221,25</v>
      </c>
      <c r="E182">
        <v>2.17</v>
      </c>
      <c r="F182">
        <v>1.33</v>
      </c>
      <c r="G182" t="str">
        <f>CONCATENATE(Таблица271[[#This Row],[Столбец1]],Таблица271[[#This Row],[Столбец2]])</f>
        <v>2,171,33</v>
      </c>
      <c r="I182">
        <v>2.7916666666666701</v>
      </c>
      <c r="J182">
        <v>-15.5666666666667</v>
      </c>
    </row>
    <row r="183" spans="1:10" x14ac:dyDescent="0.25">
      <c r="A183">
        <v>2.21</v>
      </c>
      <c r="B183">
        <v>1.27</v>
      </c>
      <c r="C183" t="str">
        <f>CONCATENATE(Таблица258[[#This Row],[Столбец1]],Таблица258[[#This Row],[Столбец2]])</f>
        <v>2,211,27</v>
      </c>
      <c r="E183">
        <v>2.17</v>
      </c>
      <c r="F183">
        <v>1.33</v>
      </c>
      <c r="G183" t="str">
        <f>CONCATENATE(Таблица271[[#This Row],[Столбец1]],Таблица271[[#This Row],[Столбец2]])</f>
        <v>2,171,33</v>
      </c>
      <c r="I183">
        <v>1.45</v>
      </c>
      <c r="J183">
        <v>-14.233333333333301</v>
      </c>
    </row>
    <row r="184" spans="1:10" x14ac:dyDescent="0.25">
      <c r="A184">
        <v>2.21</v>
      </c>
      <c r="B184">
        <v>1.27</v>
      </c>
      <c r="C184" t="str">
        <f>CONCATENATE(Таблица258[[#This Row],[Столбец1]],Таблица258[[#This Row],[Столбец2]])</f>
        <v>2,211,27</v>
      </c>
      <c r="E184">
        <v>2.17</v>
      </c>
      <c r="F184">
        <v>1.33</v>
      </c>
      <c r="G184" t="str">
        <f>CONCATENATE(Таблица271[[#This Row],[Столбец1]],Таблица271[[#This Row],[Столбец2]])</f>
        <v>2,171,33</v>
      </c>
      <c r="I184">
        <v>1.5249999999999999</v>
      </c>
      <c r="J184">
        <v>-14.25</v>
      </c>
    </row>
    <row r="185" spans="1:10" x14ac:dyDescent="0.25">
      <c r="A185">
        <v>2.21</v>
      </c>
      <c r="B185">
        <v>1.27</v>
      </c>
      <c r="C185" t="str">
        <f>CONCATENATE(Таблица258[[#This Row],[Столбец1]],Таблица258[[#This Row],[Столбец2]])</f>
        <v>2,211,27</v>
      </c>
      <c r="E185">
        <v>2.17</v>
      </c>
      <c r="F185">
        <v>1.33</v>
      </c>
      <c r="G185" t="str">
        <f>CONCATENATE(Таблица271[[#This Row],[Столбец1]],Таблица271[[#This Row],[Столбец2]])</f>
        <v>2,171,33</v>
      </c>
      <c r="I185">
        <v>2.85</v>
      </c>
      <c r="J185">
        <v>-15.6</v>
      </c>
    </row>
    <row r="186" spans="1:10" x14ac:dyDescent="0.25">
      <c r="A186">
        <v>2.21</v>
      </c>
      <c r="B186">
        <v>1.27</v>
      </c>
      <c r="C186" t="str">
        <f>CONCATENATE(Таблица258[[#This Row],[Столбец1]],Таблица258[[#This Row],[Столбец2]])</f>
        <v>2,211,27</v>
      </c>
      <c r="E186">
        <v>2.17</v>
      </c>
      <c r="F186">
        <v>1.33</v>
      </c>
      <c r="G186" t="str">
        <f>CONCATENATE(Таблица271[[#This Row],[Столбец1]],Таблица271[[#This Row],[Столбец2]])</f>
        <v>2,171,33</v>
      </c>
      <c r="I186">
        <v>1.375</v>
      </c>
      <c r="J186">
        <v>-14.216666666666701</v>
      </c>
    </row>
    <row r="187" spans="1:10" x14ac:dyDescent="0.25">
      <c r="A187">
        <v>2.21</v>
      </c>
      <c r="B187">
        <v>1.27</v>
      </c>
      <c r="C187" t="str">
        <f>CONCATENATE(Таблица258[[#This Row],[Столбец1]],Таблица258[[#This Row],[Столбец2]])</f>
        <v>2,211,27</v>
      </c>
      <c r="E187">
        <v>2.17</v>
      </c>
      <c r="F187">
        <v>1.33</v>
      </c>
      <c r="G187" t="str">
        <f>CONCATENATE(Таблица271[[#This Row],[Столбец1]],Таблица271[[#This Row],[Столбец2]])</f>
        <v>2,171,33</v>
      </c>
      <c r="I187">
        <v>1.3</v>
      </c>
      <c r="J187">
        <v>-14.2</v>
      </c>
    </row>
    <row r="188" spans="1:10" x14ac:dyDescent="0.25">
      <c r="A188">
        <v>2.21</v>
      </c>
      <c r="B188">
        <v>1.27</v>
      </c>
      <c r="C188" t="str">
        <f>CONCATENATE(Таблица258[[#This Row],[Столбец1]],Таблица258[[#This Row],[Столбец2]])</f>
        <v>2,211,27</v>
      </c>
      <c r="E188">
        <v>2.16</v>
      </c>
      <c r="F188">
        <v>1.34</v>
      </c>
      <c r="G188" t="str">
        <f>CONCATENATE(Таблица271[[#This Row],[Столбец1]],Таблица271[[#This Row],[Столбец2]])</f>
        <v>2,161,34</v>
      </c>
      <c r="I188">
        <v>2.6166666666666698</v>
      </c>
      <c r="J188">
        <v>-15.516666666666699</v>
      </c>
    </row>
    <row r="189" spans="1:10" x14ac:dyDescent="0.25">
      <c r="A189">
        <v>2.2000000000000002</v>
      </c>
      <c r="B189">
        <v>1.28</v>
      </c>
      <c r="C189" t="str">
        <f>CONCATENATE(Таблица258[[#This Row],[Столбец1]],Таблица258[[#This Row],[Столбец2]])</f>
        <v>2,21,28</v>
      </c>
      <c r="E189">
        <v>2.16</v>
      </c>
      <c r="F189">
        <v>1.34</v>
      </c>
      <c r="G189" t="str">
        <f>CONCATENATE(Таблица271[[#This Row],[Столбец1]],Таблица271[[#This Row],[Столбец2]])</f>
        <v>2,161,34</v>
      </c>
      <c r="I189">
        <v>2.6749999999999998</v>
      </c>
      <c r="J189">
        <v>-15.533333333333299</v>
      </c>
    </row>
    <row r="190" spans="1:10" x14ac:dyDescent="0.25">
      <c r="A190">
        <v>2.2000000000000002</v>
      </c>
      <c r="B190">
        <v>1.28</v>
      </c>
      <c r="C190" t="str">
        <f>CONCATENATE(Таблица258[[#This Row],[Столбец1]],Таблица258[[#This Row],[Столбец2]])</f>
        <v>2,21,28</v>
      </c>
      <c r="E190">
        <v>2.16</v>
      </c>
      <c r="F190">
        <v>1.34</v>
      </c>
      <c r="G190" t="str">
        <f>CONCATENATE(Таблица271[[#This Row],[Столбец1]],Таблица271[[#This Row],[Столбец2]])</f>
        <v>2,161,34</v>
      </c>
      <c r="I190">
        <v>2.7333333333333298</v>
      </c>
      <c r="J190">
        <v>-15.55</v>
      </c>
    </row>
    <row r="191" spans="1:10" x14ac:dyDescent="0.25">
      <c r="A191">
        <v>2.2000000000000002</v>
      </c>
      <c r="B191">
        <v>1.28</v>
      </c>
      <c r="C191" t="str">
        <f>CONCATENATE(Таблица258[[#This Row],[Столбец1]],Таблица258[[#This Row],[Столбец2]])</f>
        <v>2,21,28</v>
      </c>
      <c r="E191">
        <v>2.16</v>
      </c>
      <c r="F191">
        <v>1.34</v>
      </c>
      <c r="G191" t="str">
        <f>CONCATENATE(Таблица271[[#This Row],[Столбец1]],Таблица271[[#This Row],[Столбец2]])</f>
        <v>2,161,34</v>
      </c>
      <c r="I191">
        <v>2.5</v>
      </c>
      <c r="J191">
        <v>-15.466666666666701</v>
      </c>
    </row>
    <row r="192" spans="1:10" x14ac:dyDescent="0.25">
      <c r="A192">
        <v>2.2000000000000002</v>
      </c>
      <c r="B192">
        <v>1.28</v>
      </c>
      <c r="C192" t="str">
        <f>CONCATENATE(Таблица258[[#This Row],[Столбец1]],Таблица258[[#This Row],[Столбец2]])</f>
        <v>2,21,28</v>
      </c>
      <c r="E192">
        <v>2.16</v>
      </c>
      <c r="F192">
        <v>1.34</v>
      </c>
      <c r="G192" t="str">
        <f>CONCATENATE(Таблица271[[#This Row],[Столбец1]],Таблица271[[#This Row],[Столбец2]])</f>
        <v>2,161,34</v>
      </c>
      <c r="I192">
        <v>1.1499999999999999</v>
      </c>
      <c r="J192">
        <v>-14.15</v>
      </c>
    </row>
    <row r="193" spans="1:10" x14ac:dyDescent="0.25">
      <c r="A193">
        <v>2.2000000000000002</v>
      </c>
      <c r="B193">
        <v>1.28</v>
      </c>
      <c r="C193" t="str">
        <f>CONCATENATE(Таблица258[[#This Row],[Столбец1]],Таблица258[[#This Row],[Столбец2]])</f>
        <v>2,21,28</v>
      </c>
      <c r="E193">
        <v>2.16</v>
      </c>
      <c r="F193">
        <v>1.34</v>
      </c>
      <c r="G193" t="str">
        <f>CONCATENATE(Таблица271[[#This Row],[Столбец1]],Таблица271[[#This Row],[Столбец2]])</f>
        <v>2,161,34</v>
      </c>
      <c r="I193">
        <v>2.55833333333333</v>
      </c>
      <c r="J193">
        <v>-15.483333333333301</v>
      </c>
    </row>
    <row r="194" spans="1:10" x14ac:dyDescent="0.25">
      <c r="A194">
        <v>2.2000000000000002</v>
      </c>
      <c r="B194">
        <v>1.28</v>
      </c>
      <c r="C194" t="str">
        <f>CONCATENATE(Таблица258[[#This Row],[Столбец1]],Таблица258[[#This Row],[Столбец2]])</f>
        <v>2,21,28</v>
      </c>
      <c r="E194">
        <v>2.15</v>
      </c>
      <c r="F194">
        <v>1.35</v>
      </c>
      <c r="G194" t="str">
        <f>CONCATENATE(Таблица271[[#This Row],[Столбец1]],Таблица271[[#This Row],[Столбец2]])</f>
        <v>2,151,35</v>
      </c>
      <c r="I194">
        <v>1.2250000000000001</v>
      </c>
      <c r="J194">
        <v>-14.1666666666667</v>
      </c>
    </row>
    <row r="195" spans="1:10" x14ac:dyDescent="0.25">
      <c r="A195">
        <v>2.2000000000000002</v>
      </c>
      <c r="B195">
        <v>1.28</v>
      </c>
      <c r="C195" t="str">
        <f>CONCATENATE(Таблица258[[#This Row],[Столбец1]],Таблица258[[#This Row],[Столбец2]])</f>
        <v>2,21,28</v>
      </c>
      <c r="E195">
        <v>2.15</v>
      </c>
      <c r="F195">
        <v>1.35</v>
      </c>
      <c r="G195" t="str">
        <f>CONCATENATE(Таблица271[[#This Row],[Столбец1]],Таблица271[[#This Row],[Столбец2]])</f>
        <v>2,151,35</v>
      </c>
      <c r="I195">
        <v>1.075</v>
      </c>
      <c r="J195">
        <v>-14.133333333333301</v>
      </c>
    </row>
    <row r="196" spans="1:10" x14ac:dyDescent="0.25">
      <c r="A196">
        <v>2.19</v>
      </c>
      <c r="B196">
        <v>1.3</v>
      </c>
      <c r="C196" t="str">
        <f>CONCATENATE(Таблица258[[#This Row],[Столбец1]],Таблица258[[#This Row],[Столбец2]])</f>
        <v>2,191,3</v>
      </c>
      <c r="E196">
        <v>2.15</v>
      </c>
      <c r="F196">
        <v>1.35</v>
      </c>
      <c r="G196" t="str">
        <f>CONCATENATE(Таблица271[[#This Row],[Столбец1]],Таблица271[[#This Row],[Столбец2]])</f>
        <v>2,151,35</v>
      </c>
      <c r="I196">
        <v>2.4249999999999998</v>
      </c>
      <c r="J196">
        <v>-15.483333333333301</v>
      </c>
    </row>
    <row r="197" spans="1:10" x14ac:dyDescent="0.25">
      <c r="A197">
        <v>2.19</v>
      </c>
      <c r="B197">
        <v>1.3</v>
      </c>
      <c r="C197" t="str">
        <f>CONCATENATE(Таблица258[[#This Row],[Столбец1]],Таблица258[[#This Row],[Столбец2]])</f>
        <v>2,191,3</v>
      </c>
      <c r="E197">
        <v>2.15</v>
      </c>
      <c r="F197">
        <v>1.35</v>
      </c>
      <c r="G197" t="str">
        <f>CONCATENATE(Таблица271[[#This Row],[Столбец1]],Таблица271[[#This Row],[Столбец2]])</f>
        <v>2,151,35</v>
      </c>
      <c r="I197">
        <v>2.35</v>
      </c>
      <c r="J197">
        <v>-15.516666666666699</v>
      </c>
    </row>
    <row r="198" spans="1:10" x14ac:dyDescent="0.25">
      <c r="A198">
        <v>2.19</v>
      </c>
      <c r="B198">
        <v>1.3</v>
      </c>
      <c r="C198" t="str">
        <f>CONCATENATE(Таблица258[[#This Row],[Столбец1]],Таблица258[[#This Row],[Столбец2]])</f>
        <v>2,191,3</v>
      </c>
      <c r="E198">
        <v>2.15</v>
      </c>
      <c r="F198">
        <v>1.35</v>
      </c>
      <c r="G198" t="str">
        <f>CONCATENATE(Таблица271[[#This Row],[Столбец1]],Таблица271[[#This Row],[Столбец2]])</f>
        <v>2,151,35</v>
      </c>
      <c r="I198">
        <v>0.999999999999996</v>
      </c>
      <c r="J198">
        <v>-14.1</v>
      </c>
    </row>
    <row r="199" spans="1:10" x14ac:dyDescent="0.25">
      <c r="A199">
        <v>2.19</v>
      </c>
      <c r="B199">
        <v>1.3</v>
      </c>
      <c r="C199" t="str">
        <f>CONCATENATE(Таблица258[[#This Row],[Столбец1]],Таблица258[[#This Row],[Столбец2]])</f>
        <v>2,191,3</v>
      </c>
      <c r="E199">
        <v>2.15</v>
      </c>
      <c r="F199">
        <v>1.35</v>
      </c>
      <c r="G199" t="str">
        <f>CONCATENATE(Таблица271[[#This Row],[Столбец1]],Таблица271[[#This Row],[Столбец2]])</f>
        <v>2,151,35</v>
      </c>
      <c r="I199">
        <v>0.92500000000000104</v>
      </c>
      <c r="J199">
        <v>-14.0833333333333</v>
      </c>
    </row>
    <row r="200" spans="1:10" x14ac:dyDescent="0.25">
      <c r="A200">
        <v>2.19</v>
      </c>
      <c r="B200">
        <v>1.3</v>
      </c>
      <c r="C200" t="str">
        <f>CONCATENATE(Таблица258[[#This Row],[Столбец1]],Таблица258[[#This Row],[Столбец2]])</f>
        <v>2,191,3</v>
      </c>
      <c r="E200">
        <v>2.14</v>
      </c>
      <c r="F200">
        <v>1.37</v>
      </c>
      <c r="G200" t="str">
        <f>CONCATENATE(Таблица271[[#This Row],[Столбец1]],Таблица271[[#This Row],[Столбец2]])</f>
        <v>2,141,37</v>
      </c>
      <c r="I200">
        <v>0.84999999999999798</v>
      </c>
      <c r="J200">
        <v>-14.0666666666667</v>
      </c>
    </row>
    <row r="201" spans="1:10" x14ac:dyDescent="0.25">
      <c r="A201">
        <v>2.19</v>
      </c>
      <c r="B201">
        <v>1.3</v>
      </c>
      <c r="C201" t="str">
        <f>CONCATENATE(Таблица258[[#This Row],[Столбец1]],Таблица258[[#This Row],[Столбец2]])</f>
        <v>2,191,3</v>
      </c>
      <c r="E201">
        <v>2.14</v>
      </c>
      <c r="F201">
        <v>1.37</v>
      </c>
      <c r="G201" t="str">
        <f>CONCATENATE(Таблица271[[#This Row],[Столбец1]],Таблица271[[#This Row],[Столбец2]])</f>
        <v>2,141,37</v>
      </c>
      <c r="I201">
        <v>0.77499999999999902</v>
      </c>
      <c r="J201">
        <v>-14.05</v>
      </c>
    </row>
    <row r="202" spans="1:10" x14ac:dyDescent="0.25">
      <c r="A202">
        <v>2.1800000000000002</v>
      </c>
      <c r="B202">
        <v>1.31</v>
      </c>
      <c r="C202" t="str">
        <f>CONCATENATE(Таблица258[[#This Row],[Столбец1]],Таблица258[[#This Row],[Столбец2]])</f>
        <v>2,181,31</v>
      </c>
      <c r="E202">
        <v>2.14</v>
      </c>
      <c r="F202">
        <v>1.37</v>
      </c>
      <c r="G202" t="str">
        <f>CONCATENATE(Таблица271[[#This Row],[Столбец1]],Таблица271[[#This Row],[Столбец2]])</f>
        <v>2,141,37</v>
      </c>
      <c r="I202">
        <v>2.2749999999999999</v>
      </c>
      <c r="J202">
        <v>-15.533333333333299</v>
      </c>
    </row>
    <row r="203" spans="1:10" x14ac:dyDescent="0.25">
      <c r="A203">
        <v>2.1800000000000002</v>
      </c>
      <c r="B203">
        <v>1.31</v>
      </c>
      <c r="C203" t="str">
        <f>CONCATENATE(Таблица258[[#This Row],[Столбец1]],Таблица258[[#This Row],[Столбец2]])</f>
        <v>2,181,31</v>
      </c>
      <c r="E203">
        <v>2.14</v>
      </c>
      <c r="F203">
        <v>1.37</v>
      </c>
      <c r="G203" t="str">
        <f>CONCATENATE(Таблица271[[#This Row],[Столбец1]],Таблица271[[#This Row],[Столбец2]])</f>
        <v>2,141,37</v>
      </c>
      <c r="I203">
        <v>0.625</v>
      </c>
      <c r="J203">
        <v>-14</v>
      </c>
    </row>
    <row r="204" spans="1:10" x14ac:dyDescent="0.25">
      <c r="A204">
        <v>2.1800000000000002</v>
      </c>
      <c r="B204">
        <v>1.31</v>
      </c>
      <c r="C204" t="str">
        <f>CONCATENATE(Таблица258[[#This Row],[Столбец1]],Таблица258[[#This Row],[Столбец2]])</f>
        <v>2,181,31</v>
      </c>
      <c r="E204">
        <v>2.14</v>
      </c>
      <c r="F204">
        <v>1.37</v>
      </c>
      <c r="G204" t="str">
        <f>CONCATENATE(Таблица271[[#This Row],[Столбец1]],Таблица271[[#This Row],[Столбец2]])</f>
        <v>2,141,37</v>
      </c>
      <c r="I204">
        <v>0.69999999999999896</v>
      </c>
      <c r="J204">
        <v>-14.016666666666699</v>
      </c>
    </row>
    <row r="205" spans="1:10" x14ac:dyDescent="0.25">
      <c r="A205">
        <v>2.1800000000000002</v>
      </c>
      <c r="B205">
        <v>1.31</v>
      </c>
      <c r="C205" t="str">
        <f>CONCATENATE(Таблица258[[#This Row],[Столбец1]],Таблица258[[#This Row],[Столбец2]])</f>
        <v>2,181,31</v>
      </c>
      <c r="E205">
        <v>2.14</v>
      </c>
      <c r="F205">
        <v>1.37</v>
      </c>
      <c r="G205" t="str">
        <f>CONCATENATE(Таблица271[[#This Row],[Столбец1]],Таблица271[[#This Row],[Столбец2]])</f>
        <v>2,141,37</v>
      </c>
      <c r="I205">
        <v>2.2000000000000002</v>
      </c>
      <c r="J205">
        <v>-15.55</v>
      </c>
    </row>
    <row r="206" spans="1:10" x14ac:dyDescent="0.25">
      <c r="A206">
        <v>2.1800000000000002</v>
      </c>
      <c r="B206">
        <v>1.31</v>
      </c>
      <c r="C206" t="str">
        <f>CONCATENATE(Таблица258[[#This Row],[Столбец1]],Таблица258[[#This Row],[Столбец2]])</f>
        <v>2,181,31</v>
      </c>
      <c r="E206">
        <v>2.13</v>
      </c>
      <c r="F206">
        <v>1.38</v>
      </c>
      <c r="G206" t="str">
        <f>CONCATENATE(Таблица271[[#This Row],[Столбец1]],Таблица271[[#This Row],[Столбец2]])</f>
        <v>2,131,38</v>
      </c>
      <c r="I206">
        <v>2.125</v>
      </c>
      <c r="J206">
        <v>-15.5666666666667</v>
      </c>
    </row>
    <row r="207" spans="1:10" x14ac:dyDescent="0.25">
      <c r="A207">
        <v>2.1800000000000002</v>
      </c>
      <c r="B207">
        <v>1.31</v>
      </c>
      <c r="C207" t="str">
        <f>CONCATENATE(Таблица258[[#This Row],[Столбец1]],Таблица258[[#This Row],[Столбец2]])</f>
        <v>2,181,31</v>
      </c>
      <c r="E207">
        <v>2.13</v>
      </c>
      <c r="F207">
        <v>1.38</v>
      </c>
      <c r="G207" t="str">
        <f>CONCATENATE(Таблица271[[#This Row],[Столбец1]],Таблица271[[#This Row],[Столбец2]])</f>
        <v>2,131,38</v>
      </c>
      <c r="I207">
        <v>0.47500000000000098</v>
      </c>
      <c r="J207">
        <v>-13.966666666666701</v>
      </c>
    </row>
    <row r="208" spans="1:10" x14ac:dyDescent="0.25">
      <c r="A208">
        <v>2.17</v>
      </c>
      <c r="B208">
        <v>1.33</v>
      </c>
      <c r="C208" t="str">
        <f>CONCATENATE(Таблица258[[#This Row],[Столбец1]],Таблица258[[#This Row],[Столбец2]])</f>
        <v>2,171,33</v>
      </c>
      <c r="E208">
        <v>2.13</v>
      </c>
      <c r="F208">
        <v>1.38</v>
      </c>
      <c r="G208" t="str">
        <f>CONCATENATE(Таблица271[[#This Row],[Столбец1]],Таблица271[[#This Row],[Столбец2]])</f>
        <v>2,131,38</v>
      </c>
      <c r="I208">
        <v>0.55000000000000104</v>
      </c>
      <c r="J208">
        <v>-13.983333333333301</v>
      </c>
    </row>
    <row r="209" spans="1:11" x14ac:dyDescent="0.25">
      <c r="A209">
        <v>2.17</v>
      </c>
      <c r="B209">
        <v>1.33</v>
      </c>
      <c r="C209" t="str">
        <f>CONCATENATE(Таблица258[[#This Row],[Столбец1]],Таблица258[[#This Row],[Столбец2]])</f>
        <v>2,171,33</v>
      </c>
      <c r="E209">
        <v>2.13</v>
      </c>
      <c r="F209">
        <v>1.38</v>
      </c>
      <c r="G209" t="str">
        <f>CONCATENATE(Таблица271[[#This Row],[Столбец1]],Таблица271[[#This Row],[Столбец2]])</f>
        <v>2,131,38</v>
      </c>
      <c r="I209">
        <v>0.40000000000000202</v>
      </c>
      <c r="J209">
        <v>-13.9333333333333</v>
      </c>
    </row>
    <row r="210" spans="1:11" x14ac:dyDescent="0.25">
      <c r="A210">
        <v>2.17</v>
      </c>
      <c r="B210">
        <v>1.33</v>
      </c>
      <c r="C210" t="str">
        <f>CONCATENATE(Таблица258[[#This Row],[Столбец1]],Таблица258[[#This Row],[Столбец2]])</f>
        <v>2,171,33</v>
      </c>
      <c r="E210">
        <v>2.13</v>
      </c>
      <c r="F210">
        <v>1.38</v>
      </c>
      <c r="G210" t="str">
        <f>CONCATENATE(Таблица271[[#This Row],[Столбец1]],Таблица271[[#This Row],[Столбец2]])</f>
        <v>2,131,38</v>
      </c>
      <c r="I210">
        <v>1.9750000000000001</v>
      </c>
      <c r="J210">
        <v>-15.616666666666699</v>
      </c>
    </row>
    <row r="211" spans="1:11" x14ac:dyDescent="0.25">
      <c r="A211">
        <v>2.17</v>
      </c>
      <c r="B211">
        <v>1.33</v>
      </c>
      <c r="C211" t="str">
        <f>CONCATENATE(Таблица258[[#This Row],[Столбец1]],Таблица258[[#This Row],[Столбец2]])</f>
        <v>2,171,33</v>
      </c>
      <c r="E211">
        <v>2.13</v>
      </c>
      <c r="F211">
        <v>1.38</v>
      </c>
      <c r="G211" t="str">
        <f>CONCATENATE(Таблица271[[#This Row],[Столбец1]],Таблица271[[#This Row],[Столбец2]])</f>
        <v>2,131,38</v>
      </c>
      <c r="I211">
        <v>2.0499999999999998</v>
      </c>
      <c r="J211">
        <v>-15.6</v>
      </c>
    </row>
    <row r="212" spans="1:11" x14ac:dyDescent="0.25">
      <c r="A212">
        <v>2.17</v>
      </c>
      <c r="B212">
        <v>1.33</v>
      </c>
      <c r="C212" t="str">
        <f>CONCATENATE(Таблица258[[#This Row],[Столбец1]],Таблица258[[#This Row],[Столбец2]])</f>
        <v>2,171,33</v>
      </c>
      <c r="E212">
        <v>2.12</v>
      </c>
      <c r="F212">
        <v>1.4</v>
      </c>
      <c r="G212" t="str">
        <f>CONCATENATE(Таблица271[[#This Row],[Столбец1]],Таблица271[[#This Row],[Столбец2]])</f>
        <v>2,121,4</v>
      </c>
      <c r="I212">
        <v>0.32499999999999901</v>
      </c>
      <c r="J212">
        <v>-13.9166666666667</v>
      </c>
    </row>
    <row r="213" spans="1:11" x14ac:dyDescent="0.25">
      <c r="A213">
        <v>2.17</v>
      </c>
      <c r="B213">
        <v>1.33</v>
      </c>
      <c r="C213" t="str">
        <f>CONCATENATE(Таблица258[[#This Row],[Столбец1]],Таблица258[[#This Row],[Столбец2]])</f>
        <v>2,171,33</v>
      </c>
      <c r="E213">
        <v>2.12</v>
      </c>
      <c r="F213">
        <v>1.4</v>
      </c>
      <c r="G213" t="str">
        <f>CONCATENATE(Таблица271[[#This Row],[Столбец1]],Таблица271[[#This Row],[Столбец2]])</f>
        <v>2,121,4</v>
      </c>
      <c r="I213">
        <v>0.25</v>
      </c>
      <c r="J213">
        <v>-13.9</v>
      </c>
    </row>
    <row r="214" spans="1:11" x14ac:dyDescent="0.25">
      <c r="A214">
        <v>2.16</v>
      </c>
      <c r="B214">
        <v>1.34</v>
      </c>
      <c r="C214" t="str">
        <f>CONCATENATE(Таблица258[[#This Row],[Столбец1]],Таблица258[[#This Row],[Столбец2]])</f>
        <v>2,161,34</v>
      </c>
      <c r="E214">
        <v>2.12</v>
      </c>
      <c r="F214">
        <v>1.4</v>
      </c>
      <c r="G214" t="str">
        <f>CONCATENATE(Таблица271[[#This Row],[Столбец1]],Таблица271[[#This Row],[Столбец2]])</f>
        <v>2,121,4</v>
      </c>
      <c r="I214">
        <v>0.17499999999999699</v>
      </c>
      <c r="J214">
        <v>-13.866666666666699</v>
      </c>
    </row>
    <row r="215" spans="1:11" x14ac:dyDescent="0.25">
      <c r="A215">
        <v>2.16</v>
      </c>
      <c r="B215">
        <v>1.34</v>
      </c>
      <c r="C215" t="str">
        <f>CONCATENATE(Таблица258[[#This Row],[Столбец1]],Таблица258[[#This Row],[Столбец2]])</f>
        <v>2,161,34</v>
      </c>
      <c r="E215">
        <v>2.12</v>
      </c>
      <c r="F215">
        <v>1.4</v>
      </c>
      <c r="G215" t="str">
        <f>CONCATENATE(Таблица271[[#This Row],[Столбец1]],Таблица271[[#This Row],[Столбец2]])</f>
        <v>2,121,4</v>
      </c>
      <c r="I215">
        <v>0.100000000000001</v>
      </c>
      <c r="J215">
        <v>-13.85</v>
      </c>
    </row>
    <row r="216" spans="1:11" x14ac:dyDescent="0.25">
      <c r="A216">
        <v>2.16</v>
      </c>
      <c r="B216">
        <v>1.34</v>
      </c>
      <c r="C216" t="str">
        <f>CONCATENATE(Таблица258[[#This Row],[Столбец1]],Таблица258[[#This Row],[Столбец2]])</f>
        <v>2,161,34</v>
      </c>
      <c r="E216">
        <v>2.12</v>
      </c>
      <c r="F216">
        <v>1.4</v>
      </c>
      <c r="G216" t="str">
        <f>CONCATENATE(Таблица271[[#This Row],[Столбец1]],Таблица271[[#This Row],[Столбец2]])</f>
        <v>2,121,4</v>
      </c>
      <c r="I216">
        <v>1.9</v>
      </c>
      <c r="J216">
        <v>-15.633333333333301</v>
      </c>
    </row>
    <row r="217" spans="1:11" x14ac:dyDescent="0.25">
      <c r="A217">
        <v>2.16</v>
      </c>
      <c r="B217">
        <v>1.34</v>
      </c>
      <c r="C217" t="str">
        <f>CONCATENATE(Таблица258[[#This Row],[Столбец1]],Таблица258[[#This Row],[Столбец2]])</f>
        <v>2,161,34</v>
      </c>
      <c r="E217">
        <v>2.12</v>
      </c>
      <c r="F217">
        <v>1.4</v>
      </c>
      <c r="G217" t="str">
        <f>CONCATENATE(Таблица271[[#This Row],[Столбец1]],Таблица271[[#This Row],[Столбец2]])</f>
        <v>2,121,4</v>
      </c>
      <c r="I217">
        <v>1.825</v>
      </c>
      <c r="J217">
        <v>-15.65</v>
      </c>
    </row>
    <row r="218" spans="1:11" x14ac:dyDescent="0.25">
      <c r="A218">
        <v>2.16</v>
      </c>
      <c r="B218">
        <v>1.34</v>
      </c>
      <c r="C218" t="str">
        <f>CONCATENATE(Таблица258[[#This Row],[Столбец1]],Таблица258[[#This Row],[Столбец2]])</f>
        <v>2,161,34</v>
      </c>
      <c r="E218">
        <v>2.11</v>
      </c>
      <c r="F218">
        <v>1.41</v>
      </c>
      <c r="G218" t="str">
        <f>CONCATENATE(Таблица271[[#This Row],[Столбец1]],Таблица271[[#This Row],[Столбец2]])</f>
        <v>2,111,41</v>
      </c>
      <c r="I218" s="234">
        <v>-4.9999999999997199E-2</v>
      </c>
      <c r="J218">
        <v>-13.8333333333333</v>
      </c>
      <c r="K218" s="234"/>
    </row>
    <row r="219" spans="1:11" x14ac:dyDescent="0.25">
      <c r="A219">
        <v>2.16</v>
      </c>
      <c r="B219">
        <v>1.34</v>
      </c>
      <c r="C219" t="str">
        <f>CONCATENATE(Таблица258[[#This Row],[Столбец1]],Таблица258[[#This Row],[Столбец2]])</f>
        <v>2,161,34</v>
      </c>
      <c r="E219">
        <v>2.11</v>
      </c>
      <c r="F219">
        <v>1.41</v>
      </c>
      <c r="G219" t="str">
        <f>CONCATENATE(Таблица271[[#This Row],[Столбец1]],Таблица271[[#This Row],[Столбец2]])</f>
        <v>2,111,41</v>
      </c>
      <c r="I219" s="234">
        <v>2.49999999999986E-2</v>
      </c>
      <c r="J219">
        <v>-13.8333333333333</v>
      </c>
      <c r="K219" s="234"/>
    </row>
    <row r="220" spans="1:11" x14ac:dyDescent="0.25">
      <c r="A220">
        <v>2.15</v>
      </c>
      <c r="B220">
        <v>1.35</v>
      </c>
      <c r="C220" t="str">
        <f>CONCATENATE(Таблица258[[#This Row],[Столбец1]],Таблица258[[#This Row],[Столбец2]])</f>
        <v>2,151,35</v>
      </c>
      <c r="E220">
        <v>2.11</v>
      </c>
      <c r="F220">
        <v>1.41</v>
      </c>
      <c r="G220" t="str">
        <f>CONCATENATE(Таблица271[[#This Row],[Столбец1]],Таблица271[[#This Row],[Столбец2]])</f>
        <v>2,111,41</v>
      </c>
      <c r="I220">
        <v>1.75</v>
      </c>
      <c r="J220">
        <v>-15.6833333333333</v>
      </c>
    </row>
    <row r="221" spans="1:11" x14ac:dyDescent="0.25">
      <c r="A221">
        <v>2.15</v>
      </c>
      <c r="B221">
        <v>1.35</v>
      </c>
      <c r="C221" t="str">
        <f>CONCATENATE(Таблица258[[#This Row],[Столбец1]],Таблица258[[#This Row],[Столбец2]])</f>
        <v>2,151,35</v>
      </c>
      <c r="E221">
        <v>2.11</v>
      </c>
      <c r="F221">
        <v>1.41</v>
      </c>
      <c r="G221" t="str">
        <f>CONCATENATE(Таблица271[[#This Row],[Столбец1]],Таблица271[[#This Row],[Столбец2]])</f>
        <v>2,111,41</v>
      </c>
      <c r="I221">
        <v>-0.125</v>
      </c>
      <c r="J221">
        <v>-13.8166666666667</v>
      </c>
    </row>
    <row r="222" spans="1:11" x14ac:dyDescent="0.25">
      <c r="A222">
        <v>2.15</v>
      </c>
      <c r="B222">
        <v>1.35</v>
      </c>
      <c r="C222" t="str">
        <f>CONCATENATE(Таблица258[[#This Row],[Столбец1]],Таблица258[[#This Row],[Столбец2]])</f>
        <v>2,151,35</v>
      </c>
      <c r="E222">
        <v>2.11</v>
      </c>
      <c r="F222">
        <v>1.41</v>
      </c>
      <c r="G222" t="str">
        <f>CONCATENATE(Таблица271[[#This Row],[Столбец1]],Таблица271[[#This Row],[Столбец2]])</f>
        <v>2,111,41</v>
      </c>
      <c r="I222">
        <v>1.675</v>
      </c>
      <c r="J222">
        <v>-15.7</v>
      </c>
    </row>
    <row r="223" spans="1:11" x14ac:dyDescent="0.25">
      <c r="A223">
        <v>2.15</v>
      </c>
      <c r="B223">
        <v>1.35</v>
      </c>
      <c r="C223" t="str">
        <f>CONCATENATE(Таблица258[[#This Row],[Столбец1]],Таблица258[[#This Row],[Столбец2]])</f>
        <v>2,151,35</v>
      </c>
      <c r="E223">
        <v>2.11</v>
      </c>
      <c r="F223">
        <v>1.41</v>
      </c>
      <c r="G223" t="str">
        <f>CONCATENATE(Таблица271[[#This Row],[Столбец1]],Таблица271[[#This Row],[Столбец2]])</f>
        <v>2,111,41</v>
      </c>
      <c r="I223">
        <v>-0.27500000000000202</v>
      </c>
      <c r="J223">
        <v>-13.783333333333299</v>
      </c>
    </row>
    <row r="224" spans="1:11" x14ac:dyDescent="0.25">
      <c r="A224">
        <v>2.15</v>
      </c>
      <c r="B224">
        <v>1.35</v>
      </c>
      <c r="C224" t="str">
        <f>CONCATENATE(Таблица258[[#This Row],[Столбец1]],Таблица258[[#This Row],[Столбец2]])</f>
        <v>2,151,35</v>
      </c>
      <c r="E224">
        <v>2.1</v>
      </c>
      <c r="F224">
        <v>1.43</v>
      </c>
      <c r="G224" t="str">
        <f>CONCATENATE(Таблица271[[#This Row],[Столбец1]],Таблица271[[#This Row],[Столбец2]])</f>
        <v>2,11,43</v>
      </c>
      <c r="I224">
        <v>-0.19999999999999901</v>
      </c>
      <c r="J224">
        <v>-13.8</v>
      </c>
    </row>
    <row r="225" spans="1:10" x14ac:dyDescent="0.25">
      <c r="A225">
        <v>2.15</v>
      </c>
      <c r="B225">
        <v>1.35</v>
      </c>
      <c r="C225" t="str">
        <f>CONCATENATE(Таблица258[[#This Row],[Столбец1]],Таблица258[[#This Row],[Столбец2]])</f>
        <v>2,151,35</v>
      </c>
      <c r="E225">
        <v>2.1</v>
      </c>
      <c r="F225">
        <v>1.43</v>
      </c>
      <c r="G225" t="str">
        <f>CONCATENATE(Таблица271[[#This Row],[Столбец1]],Таблица271[[#This Row],[Столбец2]])</f>
        <v>2,11,43</v>
      </c>
      <c r="I225">
        <v>1.6</v>
      </c>
      <c r="J225">
        <v>-15.716666666666701</v>
      </c>
    </row>
    <row r="226" spans="1:10" x14ac:dyDescent="0.25">
      <c r="A226">
        <v>2.14</v>
      </c>
      <c r="B226">
        <v>1.37</v>
      </c>
      <c r="C226" t="str">
        <f>CONCATENATE(Таблица258[[#This Row],[Столбец1]],Таблица258[[#This Row],[Столбец2]])</f>
        <v>2,141,37</v>
      </c>
      <c r="E226">
        <v>2.1</v>
      </c>
      <c r="F226">
        <v>1.43</v>
      </c>
      <c r="G226" t="str">
        <f>CONCATENATE(Таблица271[[#This Row],[Столбец1]],Таблица271[[#This Row],[Столбец2]])</f>
        <v>2,11,43</v>
      </c>
      <c r="I226">
        <v>-0.42500000000000099</v>
      </c>
      <c r="J226">
        <v>-13.766666666666699</v>
      </c>
    </row>
    <row r="227" spans="1:10" x14ac:dyDescent="0.25">
      <c r="A227">
        <v>2.14</v>
      </c>
      <c r="B227">
        <v>1.37</v>
      </c>
      <c r="C227" t="str">
        <f>CONCATENATE(Таблица258[[#This Row],[Столбец1]],Таблица258[[#This Row],[Столбец2]])</f>
        <v>2,141,37</v>
      </c>
      <c r="E227">
        <v>2.1</v>
      </c>
      <c r="F227">
        <v>1.43</v>
      </c>
      <c r="G227" t="str">
        <f>CONCATENATE(Таблица271[[#This Row],[Столбец1]],Таблица271[[#This Row],[Столбец2]])</f>
        <v>2,11,43</v>
      </c>
      <c r="I227">
        <v>-0.34999999999999798</v>
      </c>
      <c r="J227">
        <v>-13.783333333333299</v>
      </c>
    </row>
    <row r="228" spans="1:10" x14ac:dyDescent="0.25">
      <c r="A228">
        <v>2.14</v>
      </c>
      <c r="B228">
        <v>1.37</v>
      </c>
      <c r="C228" t="str">
        <f>CONCATENATE(Таблица258[[#This Row],[Столбец1]],Таблица258[[#This Row],[Столбец2]])</f>
        <v>2,141,37</v>
      </c>
      <c r="E228">
        <v>2.1</v>
      </c>
      <c r="F228">
        <v>1.43</v>
      </c>
      <c r="G228" t="str">
        <f>CONCATENATE(Таблица271[[#This Row],[Столбец1]],Таблица271[[#This Row],[Столбец2]])</f>
        <v>2,11,43</v>
      </c>
      <c r="I228">
        <v>-0.5</v>
      </c>
      <c r="J228">
        <v>-13.75</v>
      </c>
    </row>
    <row r="229" spans="1:10" x14ac:dyDescent="0.25">
      <c r="A229">
        <v>2.14</v>
      </c>
      <c r="B229">
        <v>1.37</v>
      </c>
      <c r="C229" t="str">
        <f>CONCATENATE(Таблица258[[#This Row],[Столбец1]],Таблица258[[#This Row],[Столбец2]])</f>
        <v>2,141,37</v>
      </c>
      <c r="E229">
        <v>2.1</v>
      </c>
      <c r="F229">
        <v>1.43</v>
      </c>
      <c r="G229" t="str">
        <f>CONCATENATE(Таблица271[[#This Row],[Столбец1]],Таблица271[[#This Row],[Столбец2]])</f>
        <v>2,11,43</v>
      </c>
      <c r="I229">
        <v>1.5249999999999999</v>
      </c>
      <c r="J229">
        <v>-15.75</v>
      </c>
    </row>
    <row r="230" spans="1:10" x14ac:dyDescent="0.25">
      <c r="A230">
        <v>2.14</v>
      </c>
      <c r="B230">
        <v>1.37</v>
      </c>
      <c r="C230" t="str">
        <f>CONCATENATE(Таблица258[[#This Row],[Столбец1]],Таблица258[[#This Row],[Столбец2]])</f>
        <v>2,141,37</v>
      </c>
      <c r="E230">
        <v>2.09</v>
      </c>
      <c r="F230">
        <v>1.44</v>
      </c>
      <c r="G230" t="str">
        <f>CONCATENATE(Таблица271[[#This Row],[Столбец1]],Таблица271[[#This Row],[Столбец2]])</f>
        <v>2,091,44</v>
      </c>
      <c r="I230">
        <v>-0.57500000000000295</v>
      </c>
      <c r="J230">
        <v>-13.733333333333301</v>
      </c>
    </row>
    <row r="231" spans="1:10" x14ac:dyDescent="0.25">
      <c r="A231">
        <v>2.14</v>
      </c>
      <c r="B231">
        <v>1.37</v>
      </c>
      <c r="C231" t="str">
        <f>CONCATENATE(Таблица258[[#This Row],[Столбец1]],Таблица258[[#This Row],[Столбец2]])</f>
        <v>2,141,37</v>
      </c>
      <c r="E231">
        <v>2.09</v>
      </c>
      <c r="F231">
        <v>1.44</v>
      </c>
      <c r="G231" t="str">
        <f>CONCATENATE(Таблица271[[#This Row],[Столбец1]],Таблица271[[#This Row],[Столбец2]])</f>
        <v>2,091,44</v>
      </c>
      <c r="I231">
        <v>1.45</v>
      </c>
      <c r="J231">
        <v>-15.766666666666699</v>
      </c>
    </row>
    <row r="232" spans="1:10" x14ac:dyDescent="0.25">
      <c r="A232">
        <v>2.13</v>
      </c>
      <c r="B232">
        <v>1.38</v>
      </c>
      <c r="C232" t="str">
        <f>CONCATENATE(Таблица258[[#This Row],[Столбец1]],Таблица258[[#This Row],[Столбец2]])</f>
        <v>2,131,38</v>
      </c>
      <c r="E232">
        <v>2.09</v>
      </c>
      <c r="F232">
        <v>1.44</v>
      </c>
      <c r="G232" t="str">
        <f>CONCATENATE(Таблица271[[#This Row],[Столбец1]],Таблица271[[#This Row],[Столбец2]])</f>
        <v>2,091,44</v>
      </c>
      <c r="I232">
        <v>-0.72500000000000098</v>
      </c>
      <c r="J232">
        <v>-13.716666666666701</v>
      </c>
    </row>
    <row r="233" spans="1:10" x14ac:dyDescent="0.25">
      <c r="A233">
        <v>2.13</v>
      </c>
      <c r="B233">
        <v>1.38</v>
      </c>
      <c r="C233" t="str">
        <f>CONCATENATE(Таблица258[[#This Row],[Столбец1]],Таблица258[[#This Row],[Столбец2]])</f>
        <v>2,131,38</v>
      </c>
      <c r="E233">
        <v>2.09</v>
      </c>
      <c r="F233">
        <v>1.44</v>
      </c>
      <c r="G233" t="str">
        <f>CONCATENATE(Таблица271[[#This Row],[Столбец1]],Таблица271[[#This Row],[Столбец2]])</f>
        <v>2,091,44</v>
      </c>
      <c r="I233">
        <v>-0.64999999999999902</v>
      </c>
      <c r="J233">
        <v>-13.716666666666701</v>
      </c>
    </row>
    <row r="234" spans="1:10" x14ac:dyDescent="0.25">
      <c r="A234">
        <v>2.13</v>
      </c>
      <c r="B234">
        <v>1.38</v>
      </c>
      <c r="C234" t="str">
        <f>CONCATENATE(Таблица258[[#This Row],[Столбец1]],Таблица258[[#This Row],[Столбец2]])</f>
        <v>2,131,38</v>
      </c>
      <c r="E234">
        <v>2.09</v>
      </c>
      <c r="F234">
        <v>1.44</v>
      </c>
      <c r="G234" t="str">
        <f>CONCATENATE(Таблица271[[#This Row],[Столбец1]],Таблица271[[#This Row],[Столбец2]])</f>
        <v>2,091,44</v>
      </c>
      <c r="I234">
        <v>1.3</v>
      </c>
      <c r="J234">
        <v>-15.8</v>
      </c>
    </row>
    <row r="235" spans="1:10" x14ac:dyDescent="0.25">
      <c r="A235">
        <v>2.13</v>
      </c>
      <c r="B235">
        <v>1.38</v>
      </c>
      <c r="C235" t="str">
        <f>CONCATENATE(Таблица258[[#This Row],[Столбец1]],Таблица258[[#This Row],[Столбец2]])</f>
        <v>2,131,38</v>
      </c>
      <c r="E235">
        <v>2.09</v>
      </c>
      <c r="F235">
        <v>1.44</v>
      </c>
      <c r="G235" t="str">
        <f>CONCATENATE(Таблица271[[#This Row],[Столбец1]],Таблица271[[#This Row],[Столбец2]])</f>
        <v>2,091,44</v>
      </c>
      <c r="I235">
        <v>1.375</v>
      </c>
      <c r="J235">
        <v>-15.783333333333299</v>
      </c>
    </row>
    <row r="236" spans="1:10" x14ac:dyDescent="0.25">
      <c r="A236">
        <v>2.13</v>
      </c>
      <c r="B236">
        <v>1.38</v>
      </c>
      <c r="C236" t="str">
        <f>CONCATENATE(Таблица258[[#This Row],[Столбец1]],Таблица258[[#This Row],[Столбец2]])</f>
        <v>2,131,38</v>
      </c>
      <c r="E236">
        <v>2.08</v>
      </c>
      <c r="F236">
        <v>1.46</v>
      </c>
      <c r="G236" t="str">
        <f>CONCATENATE(Таблица271[[#This Row],[Столбец1]],Таблица271[[#This Row],[Столбец2]])</f>
        <v>2,081,46</v>
      </c>
      <c r="I236">
        <v>-0.79999999999999705</v>
      </c>
      <c r="J236">
        <v>-13.7</v>
      </c>
    </row>
    <row r="237" spans="1:10" x14ac:dyDescent="0.25">
      <c r="A237">
        <v>2.13</v>
      </c>
      <c r="B237">
        <v>1.38</v>
      </c>
      <c r="C237" t="str">
        <f>CONCATENATE(Таблица258[[#This Row],[Столбец1]],Таблица258[[#This Row],[Столбец2]])</f>
        <v>2,131,38</v>
      </c>
      <c r="E237">
        <v>2.08</v>
      </c>
      <c r="F237">
        <v>1.46</v>
      </c>
      <c r="G237" t="str">
        <f>CONCATENATE(Таблица271[[#This Row],[Столбец1]],Таблица271[[#This Row],[Столбец2]])</f>
        <v>2,081,46</v>
      </c>
      <c r="I237">
        <v>-0.875</v>
      </c>
      <c r="J237">
        <v>-13.6833333333333</v>
      </c>
    </row>
    <row r="238" spans="1:10" x14ac:dyDescent="0.25">
      <c r="A238">
        <v>2.12</v>
      </c>
      <c r="B238">
        <v>1.4</v>
      </c>
      <c r="C238" t="str">
        <f>CONCATENATE(Таблица258[[#This Row],[Столбец1]],Таблица258[[#This Row],[Столбец2]])</f>
        <v>2,121,4</v>
      </c>
      <c r="E238">
        <v>2.08</v>
      </c>
      <c r="F238">
        <v>1.46</v>
      </c>
      <c r="G238" t="str">
        <f>CONCATENATE(Таблица271[[#This Row],[Столбец1]],Таблица271[[#This Row],[Столбец2]])</f>
        <v>2,081,46</v>
      </c>
      <c r="I238">
        <v>-0.94999999999999896</v>
      </c>
      <c r="J238">
        <v>-13.6666666666667</v>
      </c>
    </row>
    <row r="239" spans="1:10" x14ac:dyDescent="0.25">
      <c r="A239">
        <v>2.12</v>
      </c>
      <c r="B239">
        <v>1.4</v>
      </c>
      <c r="C239" t="str">
        <f>CONCATENATE(Таблица258[[#This Row],[Столбец1]],Таблица258[[#This Row],[Столбец2]])</f>
        <v>2,121,4</v>
      </c>
      <c r="E239">
        <v>2.08</v>
      </c>
      <c r="F239">
        <v>1.46</v>
      </c>
      <c r="G239" t="str">
        <f>CONCATENATE(Таблица271[[#This Row],[Столбец1]],Таблица271[[#This Row],[Столбец2]])</f>
        <v>2,081,46</v>
      </c>
      <c r="I239">
        <v>1.1499999999999999</v>
      </c>
      <c r="J239">
        <v>-15.85</v>
      </c>
    </row>
    <row r="240" spans="1:10" x14ac:dyDescent="0.25">
      <c r="A240">
        <v>2.12</v>
      </c>
      <c r="B240">
        <v>1.4</v>
      </c>
      <c r="C240" t="str">
        <f>CONCATENATE(Таблица258[[#This Row],[Столбец1]],Таблица258[[#This Row],[Столбец2]])</f>
        <v>2,121,4</v>
      </c>
      <c r="E240">
        <v>2.08</v>
      </c>
      <c r="F240">
        <v>1.46</v>
      </c>
      <c r="G240" t="str">
        <f>CONCATENATE(Таблица271[[#This Row],[Столбец1]],Таблица271[[#This Row],[Столбец2]])</f>
        <v>2,081,46</v>
      </c>
      <c r="I240">
        <v>1.2250000000000001</v>
      </c>
      <c r="J240">
        <v>-15.8333333333333</v>
      </c>
    </row>
    <row r="241" spans="1:10" x14ac:dyDescent="0.25">
      <c r="A241">
        <v>2.12</v>
      </c>
      <c r="B241">
        <v>1.4</v>
      </c>
      <c r="C241" t="str">
        <f>CONCATENATE(Таблица258[[#This Row],[Столбец1]],Таблица258[[#This Row],[Столбец2]])</f>
        <v>2,121,4</v>
      </c>
      <c r="E241">
        <v>2.08</v>
      </c>
      <c r="F241">
        <v>1.46</v>
      </c>
      <c r="G241" t="str">
        <f>CONCATENATE(Таблица271[[#This Row],[Столбец1]],Таблица271[[#This Row],[Столбец2]])</f>
        <v>2,081,46</v>
      </c>
      <c r="I241">
        <v>-1.1000000000000001</v>
      </c>
      <c r="J241">
        <v>-13.65</v>
      </c>
    </row>
    <row r="242" spans="1:10" x14ac:dyDescent="0.25">
      <c r="A242">
        <v>2.12</v>
      </c>
      <c r="B242">
        <v>1.4</v>
      </c>
      <c r="C242" t="str">
        <f>CONCATENATE(Таблица258[[#This Row],[Столбец1]],Таблица258[[#This Row],[Столбец2]])</f>
        <v>2,121,4</v>
      </c>
      <c r="E242">
        <v>2.0699999999999998</v>
      </c>
      <c r="F242">
        <v>1.47</v>
      </c>
      <c r="G242" t="str">
        <f>CONCATENATE(Таблица271[[#This Row],[Столбец1]],Таблица271[[#This Row],[Столбец2]])</f>
        <v>2,071,47</v>
      </c>
      <c r="I242">
        <v>-1.25</v>
      </c>
      <c r="J242">
        <v>-13.616666666666699</v>
      </c>
    </row>
    <row r="243" spans="1:10" x14ac:dyDescent="0.25">
      <c r="A243">
        <v>2.12</v>
      </c>
      <c r="B243">
        <v>1.4</v>
      </c>
      <c r="C243" t="str">
        <f>CONCATENATE(Таблица258[[#This Row],[Столбец1]],Таблица258[[#This Row],[Столбец2]])</f>
        <v>2,121,4</v>
      </c>
      <c r="E243">
        <v>2.0699999999999998</v>
      </c>
      <c r="F243">
        <v>1.47</v>
      </c>
      <c r="G243" t="str">
        <f>CONCATENATE(Таблица271[[#This Row],[Столбец1]],Таблица271[[#This Row],[Столбец2]])</f>
        <v>2,071,47</v>
      </c>
      <c r="I243">
        <v>1.075</v>
      </c>
      <c r="J243">
        <v>-15.866666666666699</v>
      </c>
    </row>
    <row r="244" spans="1:10" x14ac:dyDescent="0.25">
      <c r="A244">
        <v>2.11</v>
      </c>
      <c r="B244">
        <v>1.41</v>
      </c>
      <c r="C244" t="str">
        <f>CONCATENATE(Таблица258[[#This Row],[Столбец1]],Таблица258[[#This Row],[Столбец2]])</f>
        <v>2,111,41</v>
      </c>
      <c r="E244">
        <v>2.0699999999999998</v>
      </c>
      <c r="F244">
        <v>1.47</v>
      </c>
      <c r="G244" t="str">
        <f>CONCATENATE(Таблица271[[#This Row],[Столбец1]],Таблица271[[#This Row],[Столбец2]])</f>
        <v>2,071,47</v>
      </c>
      <c r="I244">
        <v>-1.175</v>
      </c>
      <c r="J244">
        <v>-13.633333333333301</v>
      </c>
    </row>
    <row r="245" spans="1:10" x14ac:dyDescent="0.25">
      <c r="A245">
        <v>2.11</v>
      </c>
      <c r="B245">
        <v>1.41</v>
      </c>
      <c r="C245" t="str">
        <f>CONCATENATE(Таблица258[[#This Row],[Столбец1]],Таблица258[[#This Row],[Столбец2]])</f>
        <v>2,111,41</v>
      </c>
      <c r="E245">
        <v>2.0699999999999998</v>
      </c>
      <c r="F245">
        <v>1.47</v>
      </c>
      <c r="G245" t="str">
        <f>CONCATENATE(Таблица271[[#This Row],[Столбец1]],Таблица271[[#This Row],[Столбец2]])</f>
        <v>2,071,47</v>
      </c>
      <c r="I245">
        <v>-1.4</v>
      </c>
      <c r="J245">
        <v>-13.6</v>
      </c>
    </row>
    <row r="246" spans="1:10" x14ac:dyDescent="0.25">
      <c r="A246">
        <v>2.11</v>
      </c>
      <c r="B246">
        <v>1.41</v>
      </c>
      <c r="C246" t="str">
        <f>CONCATENATE(Таблица258[[#This Row],[Столбец1]],Таблица258[[#This Row],[Столбец2]])</f>
        <v>2,111,41</v>
      </c>
      <c r="E246">
        <v>2.0699999999999998</v>
      </c>
      <c r="F246">
        <v>1.47</v>
      </c>
      <c r="G246" t="str">
        <f>CONCATENATE(Таблица271[[#This Row],[Столбец1]],Таблица271[[#This Row],[Столбец2]])</f>
        <v>2,071,47</v>
      </c>
      <c r="I246">
        <v>-1.325</v>
      </c>
      <c r="J246">
        <v>-13.6</v>
      </c>
    </row>
    <row r="247" spans="1:10" x14ac:dyDescent="0.25">
      <c r="A247">
        <v>2.11</v>
      </c>
      <c r="B247">
        <v>1.41</v>
      </c>
      <c r="C247" t="str">
        <f>CONCATENATE(Таблица258[[#This Row],[Столбец1]],Таблица258[[#This Row],[Столбец2]])</f>
        <v>2,111,41</v>
      </c>
      <c r="E247">
        <v>2.0699999999999998</v>
      </c>
      <c r="F247">
        <v>1.47</v>
      </c>
      <c r="G247" t="str">
        <f>CONCATENATE(Таблица271[[#This Row],[Столбец1]],Таблица271[[#This Row],[Столбец2]])</f>
        <v>2,071,47</v>
      </c>
      <c r="I247">
        <v>0.999999999999996</v>
      </c>
      <c r="J247">
        <v>-15.9</v>
      </c>
    </row>
    <row r="248" spans="1:10" x14ac:dyDescent="0.25">
      <c r="A248">
        <v>2.11</v>
      </c>
      <c r="B248">
        <v>1.41</v>
      </c>
      <c r="C248" t="str">
        <f>CONCATENATE(Таблица258[[#This Row],[Столбец1]],Таблица258[[#This Row],[Столбец2]])</f>
        <v>2,111,41</v>
      </c>
      <c r="E248">
        <v>2.06</v>
      </c>
      <c r="F248">
        <v>1.48</v>
      </c>
      <c r="G248" t="str">
        <f>CONCATENATE(Таблица271[[#This Row],[Столбец1]],Таблица271[[#This Row],[Столбец2]])</f>
        <v>2,061,48</v>
      </c>
      <c r="I248">
        <v>0.92500000000000104</v>
      </c>
      <c r="J248">
        <v>-15.9166666666667</v>
      </c>
    </row>
    <row r="249" spans="1:10" x14ac:dyDescent="0.25">
      <c r="A249">
        <v>2.11</v>
      </c>
      <c r="B249">
        <v>1.41</v>
      </c>
      <c r="C249" t="str">
        <f>CONCATENATE(Таблица258[[#This Row],[Столбец1]],Таблица258[[#This Row],[Столбец2]])</f>
        <v>2,111,41</v>
      </c>
      <c r="E249">
        <v>2.06</v>
      </c>
      <c r="F249">
        <v>1.48</v>
      </c>
      <c r="G249" t="str">
        <f>CONCATENATE(Таблица271[[#This Row],[Столбец1]],Таблица271[[#This Row],[Столбец2]])</f>
        <v>2,061,48</v>
      </c>
      <c r="I249">
        <v>-1.4750000000000001</v>
      </c>
      <c r="J249">
        <v>-13.5833333333333</v>
      </c>
    </row>
    <row r="250" spans="1:10" x14ac:dyDescent="0.25">
      <c r="A250">
        <v>2.1</v>
      </c>
      <c r="B250">
        <v>1.43</v>
      </c>
      <c r="C250" t="str">
        <f>CONCATENATE(Таблица258[[#This Row],[Столбец1]],Таблица258[[#This Row],[Столбец2]])</f>
        <v>2,11,43</v>
      </c>
      <c r="E250">
        <v>2.06</v>
      </c>
      <c r="F250">
        <v>1.48</v>
      </c>
      <c r="G250" t="str">
        <f>CONCATENATE(Таблица271[[#This Row],[Столбец1]],Таблица271[[#This Row],[Столбец2]])</f>
        <v>2,061,48</v>
      </c>
      <c r="I250">
        <v>0.84999999999999798</v>
      </c>
      <c r="J250">
        <v>-15.9333333333333</v>
      </c>
    </row>
    <row r="251" spans="1:10" x14ac:dyDescent="0.25">
      <c r="A251">
        <v>2.1</v>
      </c>
      <c r="B251">
        <v>1.43</v>
      </c>
      <c r="C251" t="str">
        <f>CONCATENATE(Таблица258[[#This Row],[Столбец1]],Таблица258[[#This Row],[Столбец2]])</f>
        <v>2,11,43</v>
      </c>
      <c r="E251">
        <v>2.06</v>
      </c>
      <c r="F251">
        <v>1.48</v>
      </c>
      <c r="G251" t="str">
        <f>CONCATENATE(Таблица271[[#This Row],[Столбец1]],Таблица271[[#This Row],[Столбец2]])</f>
        <v>2,061,48</v>
      </c>
      <c r="I251">
        <v>0.77499999999999902</v>
      </c>
      <c r="J251">
        <v>-15.95</v>
      </c>
    </row>
    <row r="252" spans="1:10" x14ac:dyDescent="0.25">
      <c r="A252">
        <v>2.1</v>
      </c>
      <c r="B252">
        <v>1.43</v>
      </c>
      <c r="C252" t="str">
        <f>CONCATENATE(Таблица258[[#This Row],[Столбец1]],Таблица258[[#This Row],[Столбец2]])</f>
        <v>2,11,43</v>
      </c>
      <c r="E252">
        <v>2.06</v>
      </c>
      <c r="F252">
        <v>1.48</v>
      </c>
      <c r="G252" t="str">
        <f>CONCATENATE(Таблица271[[#This Row],[Столбец1]],Таблица271[[#This Row],[Столбец2]])</f>
        <v>2,061,48</v>
      </c>
      <c r="I252">
        <v>-1.55</v>
      </c>
      <c r="J252">
        <v>-13.5666666666667</v>
      </c>
    </row>
    <row r="253" spans="1:10" x14ac:dyDescent="0.25">
      <c r="A253">
        <v>2.1</v>
      </c>
      <c r="B253">
        <v>1.43</v>
      </c>
      <c r="C253" t="str">
        <f>CONCATENATE(Таблица258[[#This Row],[Столбец1]],Таблица258[[#This Row],[Столбец2]])</f>
        <v>2,11,43</v>
      </c>
      <c r="E253">
        <v>2.06</v>
      </c>
      <c r="F253">
        <v>1.48</v>
      </c>
      <c r="G253" t="str">
        <f>CONCATENATE(Таблица271[[#This Row],[Столбец1]],Таблица271[[#This Row],[Столбец2]])</f>
        <v>2,061,48</v>
      </c>
      <c r="I253">
        <v>-1.625</v>
      </c>
      <c r="J253">
        <v>-13.55</v>
      </c>
    </row>
    <row r="254" spans="1:10" x14ac:dyDescent="0.25">
      <c r="A254">
        <v>2.1</v>
      </c>
      <c r="B254">
        <v>1.43</v>
      </c>
      <c r="C254" t="str">
        <f>CONCATENATE(Таблица258[[#This Row],[Столбец1]],Таблица258[[#This Row],[Столбец2]])</f>
        <v>2,11,43</v>
      </c>
      <c r="E254">
        <v>2.0499999999999998</v>
      </c>
      <c r="F254">
        <v>1.5</v>
      </c>
      <c r="G254" t="str">
        <f>CONCATENATE(Таблица271[[#This Row],[Столбец1]],Таблица271[[#This Row],[Столбец2]])</f>
        <v>2,051,5</v>
      </c>
      <c r="I254">
        <v>-1.7749999999999999</v>
      </c>
      <c r="J254">
        <v>-13.533333333333299</v>
      </c>
    </row>
    <row r="255" spans="1:10" x14ac:dyDescent="0.25">
      <c r="A255">
        <v>2.1</v>
      </c>
      <c r="B255">
        <v>1.43</v>
      </c>
      <c r="C255" t="str">
        <f>CONCATENATE(Таблица258[[#This Row],[Столбец1]],Таблица258[[#This Row],[Столбец2]])</f>
        <v>2,11,43</v>
      </c>
      <c r="E255">
        <v>2.0499999999999998</v>
      </c>
      <c r="F255">
        <v>1.5</v>
      </c>
      <c r="G255" t="str">
        <f>CONCATENATE(Таблица271[[#This Row],[Столбец1]],Таблица271[[#This Row],[Столбец2]])</f>
        <v>2,051,5</v>
      </c>
      <c r="I255">
        <v>0.69999999999999896</v>
      </c>
      <c r="J255">
        <v>-15.983333333333301</v>
      </c>
    </row>
    <row r="256" spans="1:10" x14ac:dyDescent="0.25">
      <c r="A256">
        <v>2.09</v>
      </c>
      <c r="B256">
        <v>1.44</v>
      </c>
      <c r="C256" t="str">
        <f>CONCATENATE(Таблица258[[#This Row],[Столбец1]],Таблица258[[#This Row],[Столбец2]])</f>
        <v>2,091,44</v>
      </c>
      <c r="E256">
        <v>2.0499999999999998</v>
      </c>
      <c r="F256">
        <v>1.5</v>
      </c>
      <c r="G256" t="str">
        <f>CONCATENATE(Таблица271[[#This Row],[Столбец1]],Таблица271[[#This Row],[Столбец2]])</f>
        <v>2,051,5</v>
      </c>
      <c r="I256">
        <v>0.625</v>
      </c>
      <c r="J256">
        <v>-16</v>
      </c>
    </row>
    <row r="257" spans="1:10" x14ac:dyDescent="0.25">
      <c r="A257">
        <v>2.09</v>
      </c>
      <c r="B257">
        <v>1.44</v>
      </c>
      <c r="C257" t="str">
        <f>CONCATENATE(Таблица258[[#This Row],[Столбец1]],Таблица258[[#This Row],[Столбец2]])</f>
        <v>2,091,44</v>
      </c>
      <c r="E257">
        <v>2.0499999999999998</v>
      </c>
      <c r="F257">
        <v>1.5</v>
      </c>
      <c r="G257" t="str">
        <f>CONCATENATE(Таблица271[[#This Row],[Столбец1]],Таблица271[[#This Row],[Столбец2]])</f>
        <v>2,051,5</v>
      </c>
      <c r="I257">
        <v>-1.925</v>
      </c>
      <c r="J257">
        <v>-13.5</v>
      </c>
    </row>
    <row r="258" spans="1:10" x14ac:dyDescent="0.25">
      <c r="A258">
        <v>2.09</v>
      </c>
      <c r="B258">
        <v>1.44</v>
      </c>
      <c r="C258" t="str">
        <f>CONCATENATE(Таблица258[[#This Row],[Столбец1]],Таблица258[[#This Row],[Столбец2]])</f>
        <v>2,091,44</v>
      </c>
      <c r="E258">
        <v>2.0499999999999998</v>
      </c>
      <c r="F258">
        <v>1.5</v>
      </c>
      <c r="G258" t="str">
        <f>CONCATENATE(Таблица271[[#This Row],[Столбец1]],Таблица271[[#This Row],[Столбец2]])</f>
        <v>2,051,5</v>
      </c>
      <c r="I258">
        <v>-1.85</v>
      </c>
      <c r="J258">
        <v>-13.516666666666699</v>
      </c>
    </row>
    <row r="259" spans="1:10" x14ac:dyDescent="0.25">
      <c r="A259">
        <v>2.09</v>
      </c>
      <c r="B259">
        <v>1.44</v>
      </c>
      <c r="C259" t="str">
        <f>CONCATENATE(Таблица258[[#This Row],[Столбец1]],Таблица258[[#This Row],[Столбец2]])</f>
        <v>2,091,44</v>
      </c>
      <c r="E259">
        <v>2.0499999999999998</v>
      </c>
      <c r="F259">
        <v>1.5</v>
      </c>
      <c r="G259" t="str">
        <f>CONCATENATE(Таблица271[[#This Row],[Столбец1]],Таблица271[[#This Row],[Столбец2]])</f>
        <v>2,051,5</v>
      </c>
      <c r="I259">
        <v>0.55000000000000104</v>
      </c>
      <c r="J259">
        <v>-16.016666666666701</v>
      </c>
    </row>
    <row r="260" spans="1:10" x14ac:dyDescent="0.25">
      <c r="A260">
        <v>2.09</v>
      </c>
      <c r="B260">
        <v>1.44</v>
      </c>
      <c r="C260" t="str">
        <f>CONCATENATE(Таблица258[[#This Row],[Столбец1]],Таблица258[[#This Row],[Столбец2]])</f>
        <v>2,091,44</v>
      </c>
      <c r="E260">
        <v>2.04</v>
      </c>
      <c r="F260">
        <v>1.51</v>
      </c>
      <c r="G260" t="str">
        <f>CONCATENATE(Таблица271[[#This Row],[Столбец1]],Таблица271[[#This Row],[Столбец2]])</f>
        <v>2,041,51</v>
      </c>
      <c r="I260">
        <v>-2</v>
      </c>
      <c r="J260">
        <v>-13.483333333333301</v>
      </c>
    </row>
    <row r="261" spans="1:10" x14ac:dyDescent="0.25">
      <c r="A261">
        <v>2.09</v>
      </c>
      <c r="B261">
        <v>1.44</v>
      </c>
      <c r="C261" t="str">
        <f>CONCATENATE(Таблица258[[#This Row],[Столбец1]],Таблица258[[#This Row],[Столбец2]])</f>
        <v>2,091,44</v>
      </c>
      <c r="E261">
        <v>2.04</v>
      </c>
      <c r="F261">
        <v>1.51</v>
      </c>
      <c r="G261" t="str">
        <f>CONCATENATE(Таблица271[[#This Row],[Столбец1]],Таблица271[[#This Row],[Столбец2]])</f>
        <v>2,041,51</v>
      </c>
      <c r="I261">
        <v>0.47500000000000098</v>
      </c>
      <c r="J261">
        <v>-16.033333333333299</v>
      </c>
    </row>
    <row r="262" spans="1:10" x14ac:dyDescent="0.25">
      <c r="A262">
        <v>2.08</v>
      </c>
      <c r="B262">
        <v>1.46</v>
      </c>
      <c r="C262" t="str">
        <f>CONCATENATE(Таблица258[[#This Row],[Столбец1]],Таблица258[[#This Row],[Столбец2]])</f>
        <v>2,081,46</v>
      </c>
      <c r="E262">
        <v>2.04</v>
      </c>
      <c r="F262">
        <v>1.51</v>
      </c>
      <c r="G262" t="str">
        <f>CONCATENATE(Таблица271[[#This Row],[Столбец1]],Таблица271[[#This Row],[Столбец2]])</f>
        <v>2,041,51</v>
      </c>
      <c r="I262">
        <v>-2.15</v>
      </c>
      <c r="J262">
        <v>-13.466666666666701</v>
      </c>
    </row>
    <row r="263" spans="1:10" x14ac:dyDescent="0.25">
      <c r="A263">
        <v>2.08</v>
      </c>
      <c r="B263">
        <v>1.46</v>
      </c>
      <c r="C263" t="str">
        <f>CONCATENATE(Таблица258[[#This Row],[Столбец1]],Таблица258[[#This Row],[Столбец2]])</f>
        <v>2,081,46</v>
      </c>
      <c r="E263">
        <v>2.04</v>
      </c>
      <c r="F263">
        <v>1.51</v>
      </c>
      <c r="G263" t="str">
        <f>CONCATENATE(Таблица271[[#This Row],[Столбец1]],Таблица271[[#This Row],[Столбец2]])</f>
        <v>2,041,51</v>
      </c>
      <c r="I263">
        <v>-2.0750000000000002</v>
      </c>
      <c r="J263">
        <v>-13.483333333333301</v>
      </c>
    </row>
    <row r="264" spans="1:10" x14ac:dyDescent="0.25">
      <c r="A264">
        <v>2.08</v>
      </c>
      <c r="B264">
        <v>1.46</v>
      </c>
      <c r="C264" t="str">
        <f>CONCATENATE(Таблица258[[#This Row],[Столбец1]],Таблица258[[#This Row],[Столбец2]])</f>
        <v>2,081,46</v>
      </c>
      <c r="E264">
        <v>2.04</v>
      </c>
      <c r="F264">
        <v>1.51</v>
      </c>
      <c r="G264" t="str">
        <f>CONCATENATE(Таблица271[[#This Row],[Столбец1]],Таблица271[[#This Row],[Столбец2]])</f>
        <v>2,041,51</v>
      </c>
      <c r="I264">
        <v>0.40000000000000202</v>
      </c>
      <c r="J264">
        <v>-16.066666666666698</v>
      </c>
    </row>
    <row r="265" spans="1:10" x14ac:dyDescent="0.25">
      <c r="A265">
        <v>2.08</v>
      </c>
      <c r="B265">
        <v>1.46</v>
      </c>
      <c r="C265" t="str">
        <f>CONCATENATE(Таблица258[[#This Row],[Столбец1]],Таблица258[[#This Row],[Столбец2]])</f>
        <v>2,081,46</v>
      </c>
      <c r="E265">
        <v>2.04</v>
      </c>
      <c r="F265">
        <v>1.51</v>
      </c>
      <c r="G265" t="str">
        <f>CONCATENATE(Таблица271[[#This Row],[Столбец1]],Таблица271[[#This Row],[Столбец2]])</f>
        <v>2,041,51</v>
      </c>
      <c r="I265">
        <v>-2.2250000000000001</v>
      </c>
      <c r="J265">
        <v>-13.45</v>
      </c>
    </row>
    <row r="266" spans="1:10" x14ac:dyDescent="0.25">
      <c r="A266">
        <v>2.08</v>
      </c>
      <c r="B266">
        <v>1.46</v>
      </c>
      <c r="C266" t="str">
        <f>CONCATENATE(Таблица258[[#This Row],[Столбец1]],Таблица258[[#This Row],[Столбец2]])</f>
        <v>2,081,46</v>
      </c>
      <c r="E266">
        <v>2.0299999999999998</v>
      </c>
      <c r="F266">
        <v>1.53</v>
      </c>
      <c r="G266" t="str">
        <f>CONCATENATE(Таблица271[[#This Row],[Столбец1]],Таблица271[[#This Row],[Столбец2]])</f>
        <v>2,031,53</v>
      </c>
      <c r="I266">
        <v>-2.2999999999999998</v>
      </c>
      <c r="J266">
        <v>-13.4333333333333</v>
      </c>
    </row>
    <row r="267" spans="1:10" x14ac:dyDescent="0.25">
      <c r="A267">
        <v>2.08</v>
      </c>
      <c r="B267">
        <v>1.46</v>
      </c>
      <c r="C267" t="str">
        <f>CONCATENATE(Таблица258[[#This Row],[Столбец1]],Таблица258[[#This Row],[Столбец2]])</f>
        <v>2,081,46</v>
      </c>
      <c r="E267">
        <v>2.0299999999999998</v>
      </c>
      <c r="F267">
        <v>1.53</v>
      </c>
      <c r="G267" t="str">
        <f>CONCATENATE(Таблица271[[#This Row],[Столбец1]],Таблица271[[#This Row],[Столбец2]])</f>
        <v>2,031,53</v>
      </c>
      <c r="I267">
        <v>-3.125</v>
      </c>
      <c r="J267">
        <v>-12.75</v>
      </c>
    </row>
    <row r="268" spans="1:10" x14ac:dyDescent="0.25">
      <c r="A268">
        <v>2.0699999999999998</v>
      </c>
      <c r="B268">
        <v>1.47</v>
      </c>
      <c r="C268" t="str">
        <f>CONCATENATE(Таблица258[[#This Row],[Столбец1]],Таблица258[[#This Row],[Столбец2]])</f>
        <v>2,071,47</v>
      </c>
      <c r="E268">
        <v>2.0299999999999998</v>
      </c>
      <c r="F268">
        <v>1.53</v>
      </c>
      <c r="G268" t="str">
        <f>CONCATENATE(Таблица271[[#This Row],[Столбец1]],Таблица271[[#This Row],[Столбец2]])</f>
        <v>2,031,53</v>
      </c>
      <c r="I268">
        <v>-2.4500000000000002</v>
      </c>
      <c r="J268">
        <v>-13.4166666666667</v>
      </c>
    </row>
    <row r="269" spans="1:10" x14ac:dyDescent="0.25">
      <c r="A269">
        <v>2.0699999999999998</v>
      </c>
      <c r="B269">
        <v>1.47</v>
      </c>
      <c r="C269" t="str">
        <f>CONCATENATE(Таблица258[[#This Row],[Столбец1]],Таблица258[[#This Row],[Столбец2]])</f>
        <v>2,071,47</v>
      </c>
      <c r="E269">
        <v>2.0299999999999998</v>
      </c>
      <c r="F269">
        <v>1.53</v>
      </c>
      <c r="G269" t="str">
        <f>CONCATENATE(Таблица271[[#This Row],[Столбец1]],Таблица271[[#This Row],[Столбец2]])</f>
        <v>2,031,53</v>
      </c>
      <c r="I269">
        <v>-2.9750000000000001</v>
      </c>
      <c r="J269">
        <v>-12.85</v>
      </c>
    </row>
    <row r="270" spans="1:10" x14ac:dyDescent="0.25">
      <c r="A270">
        <v>2.0699999999999998</v>
      </c>
      <c r="B270">
        <v>1.47</v>
      </c>
      <c r="C270" t="str">
        <f>CONCATENATE(Таблица258[[#This Row],[Столбец1]],Таблица258[[#This Row],[Столбец2]])</f>
        <v>2,071,47</v>
      </c>
      <c r="E270">
        <v>2.0299999999999998</v>
      </c>
      <c r="F270">
        <v>1.53</v>
      </c>
      <c r="G270" t="str">
        <f>CONCATENATE(Таблица271[[#This Row],[Столбец1]],Таблица271[[#This Row],[Столбец2]])</f>
        <v>2,031,53</v>
      </c>
      <c r="I270">
        <v>0.32499999999999901</v>
      </c>
      <c r="J270">
        <v>-16.0833333333333</v>
      </c>
    </row>
    <row r="271" spans="1:10" x14ac:dyDescent="0.25">
      <c r="A271">
        <v>2.0699999999999998</v>
      </c>
      <c r="B271">
        <v>1.47</v>
      </c>
      <c r="C271" t="str">
        <f>CONCATENATE(Таблица258[[#This Row],[Столбец1]],Таблица258[[#This Row],[Столбец2]])</f>
        <v>2,071,47</v>
      </c>
      <c r="E271">
        <v>2.0299999999999998</v>
      </c>
      <c r="F271">
        <v>1.53</v>
      </c>
      <c r="G271" t="str">
        <f>CONCATENATE(Таблица271[[#This Row],[Столбец1]],Таблица271[[#This Row],[Столбец2]])</f>
        <v>2,031,53</v>
      </c>
      <c r="I271">
        <v>0.25</v>
      </c>
      <c r="J271">
        <v>-16.100000000000001</v>
      </c>
    </row>
    <row r="272" spans="1:10" x14ac:dyDescent="0.25">
      <c r="A272">
        <v>2.0699999999999998</v>
      </c>
      <c r="B272">
        <v>1.47</v>
      </c>
      <c r="C272" t="str">
        <f>CONCATENATE(Таблица258[[#This Row],[Столбец1]],Таблица258[[#This Row],[Столбец2]])</f>
        <v>2,071,47</v>
      </c>
      <c r="E272">
        <v>2.02</v>
      </c>
      <c r="F272">
        <v>1.54</v>
      </c>
      <c r="G272" t="str">
        <f>CONCATENATE(Таблица271[[#This Row],[Столбец1]],Таблица271[[#This Row],[Столбец2]])</f>
        <v>2,021,54</v>
      </c>
      <c r="I272">
        <v>-3.05</v>
      </c>
      <c r="J272">
        <v>-12.8</v>
      </c>
    </row>
    <row r="273" spans="1:11" x14ac:dyDescent="0.25">
      <c r="A273">
        <v>2.0699999999999998</v>
      </c>
      <c r="B273">
        <v>1.47</v>
      </c>
      <c r="C273" t="str">
        <f>CONCATENATE(Таблица258[[#This Row],[Столбец1]],Таблица258[[#This Row],[Столбец2]])</f>
        <v>2,071,47</v>
      </c>
      <c r="E273">
        <v>2.02</v>
      </c>
      <c r="F273">
        <v>1.54</v>
      </c>
      <c r="G273" t="str">
        <f>CONCATENATE(Таблица271[[#This Row],[Столбец1]],Таблица271[[#This Row],[Столбец2]])</f>
        <v>2,021,54</v>
      </c>
      <c r="I273">
        <v>-2.5249999999999999</v>
      </c>
      <c r="J273">
        <v>-13.4</v>
      </c>
    </row>
    <row r="274" spans="1:11" x14ac:dyDescent="0.25">
      <c r="A274">
        <v>2.0699999999999998</v>
      </c>
      <c r="B274">
        <v>1.47</v>
      </c>
      <c r="C274" t="str">
        <f>CONCATENATE(Таблица258[[#This Row],[Столбец1]],Таблица258[[#This Row],[Столбец2]])</f>
        <v>2,071,47</v>
      </c>
      <c r="E274">
        <v>2.02</v>
      </c>
      <c r="F274">
        <v>1.54</v>
      </c>
      <c r="G274" t="str">
        <f>CONCATENATE(Таблица271[[#This Row],[Столбец1]],Таблица271[[#This Row],[Столбец2]])</f>
        <v>2,021,54</v>
      </c>
      <c r="I274">
        <v>-3.2</v>
      </c>
      <c r="J274">
        <v>-12.716666666666701</v>
      </c>
    </row>
    <row r="275" spans="1:11" x14ac:dyDescent="0.25">
      <c r="A275">
        <v>2.06</v>
      </c>
      <c r="B275">
        <v>1.48</v>
      </c>
      <c r="C275" t="str">
        <f>CONCATENATE(Таблица258[[#This Row],[Столбец1]],Таблица258[[#This Row],[Столбец2]])</f>
        <v>2,061,48</v>
      </c>
      <c r="E275">
        <v>2.02</v>
      </c>
      <c r="F275">
        <v>1.54</v>
      </c>
      <c r="G275" t="str">
        <f>CONCATENATE(Таблица271[[#This Row],[Столбец1]],Таблица271[[#This Row],[Столбец2]])</f>
        <v>2,021,54</v>
      </c>
      <c r="I275">
        <v>-3.35</v>
      </c>
      <c r="J275">
        <v>-12.633333333333301</v>
      </c>
    </row>
    <row r="276" spans="1:11" x14ac:dyDescent="0.25">
      <c r="A276">
        <v>2.06</v>
      </c>
      <c r="B276">
        <v>1.48</v>
      </c>
      <c r="C276" t="str">
        <f>CONCATENATE(Таблица258[[#This Row],[Столбец1]],Таблица258[[#This Row],[Столбец2]])</f>
        <v>2,061,48</v>
      </c>
      <c r="E276">
        <v>2.02</v>
      </c>
      <c r="F276">
        <v>1.54</v>
      </c>
      <c r="G276" t="str">
        <f>CONCATENATE(Таблица271[[#This Row],[Столбец1]],Таблица271[[#This Row],[Столбец2]])</f>
        <v>2,021,54</v>
      </c>
      <c r="I276">
        <v>-3.5</v>
      </c>
      <c r="J276">
        <v>-12.533333333333299</v>
      </c>
    </row>
    <row r="277" spans="1:11" x14ac:dyDescent="0.25">
      <c r="A277">
        <v>2.06</v>
      </c>
      <c r="B277">
        <v>1.48</v>
      </c>
      <c r="C277" t="str">
        <f>CONCATENATE(Таблица258[[#This Row],[Столбец1]],Таблица258[[#This Row],[Столбец2]])</f>
        <v>2,061,48</v>
      </c>
      <c r="E277">
        <v>2.02</v>
      </c>
      <c r="F277">
        <v>1.54</v>
      </c>
      <c r="G277" t="str">
        <f>CONCATENATE(Таблица271[[#This Row],[Столбец1]],Таблица271[[#This Row],[Столбец2]])</f>
        <v>2,021,54</v>
      </c>
      <c r="I277">
        <v>0.100000000000001</v>
      </c>
      <c r="J277">
        <v>-16.149999999999999</v>
      </c>
    </row>
    <row r="278" spans="1:11" x14ac:dyDescent="0.25">
      <c r="A278">
        <v>2.06</v>
      </c>
      <c r="B278">
        <v>1.48</v>
      </c>
      <c r="C278" t="str">
        <f>CONCATENATE(Таблица258[[#This Row],[Столбец1]],Таблица258[[#This Row],[Столбец2]])</f>
        <v>2,061,48</v>
      </c>
      <c r="E278">
        <v>2.0099999999999998</v>
      </c>
      <c r="F278">
        <v>1.56</v>
      </c>
      <c r="G278" t="str">
        <f>CONCATENATE(Таблица271[[#This Row],[Столбец1]],Таблица271[[#This Row],[Столбец2]])</f>
        <v>2,011,56</v>
      </c>
      <c r="I278">
        <v>-3.2749999999999999</v>
      </c>
      <c r="J278">
        <v>-12.6666666666667</v>
      </c>
    </row>
    <row r="279" spans="1:11" x14ac:dyDescent="0.25">
      <c r="A279">
        <v>2.06</v>
      </c>
      <c r="B279">
        <v>1.48</v>
      </c>
      <c r="C279" t="str">
        <f>CONCATENATE(Таблица258[[#This Row],[Столбец1]],Таблица258[[#This Row],[Столбец2]])</f>
        <v>2,061,48</v>
      </c>
      <c r="E279">
        <v>2.0099999999999998</v>
      </c>
      <c r="F279">
        <v>1.56</v>
      </c>
      <c r="G279" t="str">
        <f>CONCATENATE(Таблица271[[#This Row],[Столбец1]],Таблица271[[#This Row],[Столбец2]])</f>
        <v>2,011,56</v>
      </c>
      <c r="I279">
        <v>0.17499999999999699</v>
      </c>
      <c r="J279">
        <v>-16.133333333333301</v>
      </c>
    </row>
    <row r="280" spans="1:11" x14ac:dyDescent="0.25">
      <c r="A280">
        <v>2.06</v>
      </c>
      <c r="B280">
        <v>1.48</v>
      </c>
      <c r="C280" t="str">
        <f>CONCATENATE(Таблица258[[#This Row],[Столбец1]],Таблица258[[#This Row],[Столбец2]])</f>
        <v>2,061,48</v>
      </c>
      <c r="E280">
        <v>2.0099999999999998</v>
      </c>
      <c r="F280">
        <v>1.56</v>
      </c>
      <c r="G280" t="str">
        <f>CONCATENATE(Таблица271[[#This Row],[Столбец1]],Таблица271[[#This Row],[Столбец2]])</f>
        <v>2,011,56</v>
      </c>
      <c r="I280">
        <v>-2.6749999999999998</v>
      </c>
      <c r="J280">
        <v>-13.366666666666699</v>
      </c>
    </row>
    <row r="281" spans="1:11" x14ac:dyDescent="0.25">
      <c r="A281">
        <v>2.06</v>
      </c>
      <c r="B281">
        <v>1.48</v>
      </c>
      <c r="C281" t="str">
        <f>CONCATENATE(Таблица258[[#This Row],[Столбец1]],Таблица258[[#This Row],[Столбец2]])</f>
        <v>2,061,48</v>
      </c>
      <c r="E281">
        <v>2.0099999999999998</v>
      </c>
      <c r="F281">
        <v>1.56</v>
      </c>
      <c r="G281" t="str">
        <f>CONCATENATE(Таблица271[[#This Row],[Столбец1]],Таблица271[[#This Row],[Столбец2]])</f>
        <v>2,011,56</v>
      </c>
      <c r="I281">
        <v>-2.6</v>
      </c>
      <c r="J281">
        <v>-13.383333333333301</v>
      </c>
    </row>
    <row r="282" spans="1:11" x14ac:dyDescent="0.25">
      <c r="A282">
        <v>2.0499999999999998</v>
      </c>
      <c r="B282">
        <v>1.5</v>
      </c>
      <c r="C282" t="str">
        <f>CONCATENATE(Таблица258[[#This Row],[Столбец1]],Таблица258[[#This Row],[Столбец2]])</f>
        <v>2,051,5</v>
      </c>
      <c r="E282">
        <v>2.0099999999999998</v>
      </c>
      <c r="F282">
        <v>1.56</v>
      </c>
      <c r="G282" t="str">
        <f>CONCATENATE(Таблица271[[#This Row],[Столбец1]],Таблица271[[#This Row],[Столбец2]])</f>
        <v>2,011,56</v>
      </c>
      <c r="I282">
        <v>-3.4249999999999998</v>
      </c>
      <c r="J282">
        <v>-12.5833333333333</v>
      </c>
    </row>
    <row r="283" spans="1:11" x14ac:dyDescent="0.25">
      <c r="A283">
        <v>2.0499999999999998</v>
      </c>
      <c r="B283">
        <v>1.5</v>
      </c>
      <c r="C283" t="str">
        <f>CONCATENATE(Таблица258[[#This Row],[Столбец1]],Таблица258[[#This Row],[Столбец2]])</f>
        <v>2,051,5</v>
      </c>
      <c r="E283">
        <v>2.0099999999999998</v>
      </c>
      <c r="F283">
        <v>1.56</v>
      </c>
      <c r="G283" t="str">
        <f>CONCATENATE(Таблица271[[#This Row],[Столбец1]],Таблица271[[#This Row],[Столбец2]])</f>
        <v>2,011,56</v>
      </c>
      <c r="I283">
        <v>-3.5750000000000002</v>
      </c>
      <c r="J283">
        <v>-12.5</v>
      </c>
    </row>
    <row r="284" spans="1:11" x14ac:dyDescent="0.25">
      <c r="A284">
        <v>2.0499999999999998</v>
      </c>
      <c r="B284">
        <v>1.5</v>
      </c>
      <c r="C284" t="str">
        <f>CONCATENATE(Таблица258[[#This Row],[Столбец1]],Таблица258[[#This Row],[Столбец2]])</f>
        <v>2,051,5</v>
      </c>
      <c r="E284">
        <v>1.57</v>
      </c>
      <c r="F284">
        <v>1.57</v>
      </c>
      <c r="G284" t="str">
        <f>CONCATENATE(Таблица271[[#This Row],[Столбец1]],Таблица271[[#This Row],[Столбец2]])</f>
        <v>1,571,57</v>
      </c>
      <c r="I284">
        <v>-2.8250000000000002</v>
      </c>
      <c r="J284">
        <v>-13.35</v>
      </c>
    </row>
    <row r="285" spans="1:11" x14ac:dyDescent="0.25">
      <c r="A285">
        <v>2.0499999999999998</v>
      </c>
      <c r="B285">
        <v>1.5</v>
      </c>
      <c r="C285" t="str">
        <f>CONCATENATE(Таблица258[[#This Row],[Столбец1]],Таблица258[[#This Row],[Столбец2]])</f>
        <v>2,051,5</v>
      </c>
      <c r="E285">
        <v>1.57</v>
      </c>
      <c r="F285">
        <v>1.57</v>
      </c>
      <c r="G285" t="str">
        <f>CONCATENATE(Таблица271[[#This Row],[Столбец1]],Таблица271[[#This Row],[Столбец2]])</f>
        <v>1,571,57</v>
      </c>
      <c r="I285" s="234">
        <v>2.49999999999986E-2</v>
      </c>
      <c r="J285">
        <v>-16.1666666666667</v>
      </c>
      <c r="K285" s="234"/>
    </row>
    <row r="286" spans="1:11" x14ac:dyDescent="0.25">
      <c r="A286">
        <v>2.0499999999999998</v>
      </c>
      <c r="B286">
        <v>1.5</v>
      </c>
      <c r="C286" t="str">
        <f>CONCATENATE(Таблица258[[#This Row],[Столбец1]],Таблица258[[#This Row],[Столбец2]])</f>
        <v>2,051,5</v>
      </c>
      <c r="E286">
        <v>1.57</v>
      </c>
      <c r="F286">
        <v>1.57</v>
      </c>
      <c r="G286" t="str">
        <f>CONCATENATE(Таблица271[[#This Row],[Столбец1]],Таблица271[[#This Row],[Столбец2]])</f>
        <v>1,571,57</v>
      </c>
      <c r="I286" s="234">
        <v>-4.9999999999997199E-2</v>
      </c>
      <c r="J286">
        <v>-16.1666666666667</v>
      </c>
      <c r="K286" s="234"/>
    </row>
    <row r="287" spans="1:11" x14ac:dyDescent="0.25">
      <c r="A287">
        <v>2.0499999999999998</v>
      </c>
      <c r="B287">
        <v>1.5</v>
      </c>
      <c r="C287" t="str">
        <f>CONCATENATE(Таблица258[[#This Row],[Столбец1]],Таблица258[[#This Row],[Столбец2]])</f>
        <v>2,051,5</v>
      </c>
      <c r="E287">
        <v>1.57</v>
      </c>
      <c r="F287">
        <v>1.57</v>
      </c>
      <c r="G287" t="str">
        <f>CONCATENATE(Таблица271[[#This Row],[Столбец1]],Таблица271[[#This Row],[Столбец2]])</f>
        <v>1,571,57</v>
      </c>
      <c r="I287">
        <v>-2.9</v>
      </c>
      <c r="J287">
        <v>-13.3333333333333</v>
      </c>
    </row>
    <row r="288" spans="1:11" x14ac:dyDescent="0.25">
      <c r="A288">
        <v>2.04</v>
      </c>
      <c r="B288">
        <v>1.51</v>
      </c>
      <c r="C288" t="str">
        <f>CONCATENATE(Таблица258[[#This Row],[Столбец1]],Таблица258[[#This Row],[Столбец2]])</f>
        <v>2,041,51</v>
      </c>
      <c r="E288">
        <v>1.57</v>
      </c>
      <c r="F288">
        <v>1.57</v>
      </c>
      <c r="G288" t="str">
        <f>CONCATENATE(Таблица271[[#This Row],[Столбец1]],Таблица271[[#This Row],[Столбец2]])</f>
        <v>1,571,57</v>
      </c>
      <c r="I288">
        <v>-2.9</v>
      </c>
      <c r="J288">
        <v>-11.6666666666667</v>
      </c>
    </row>
    <row r="289" spans="1:10" x14ac:dyDescent="0.25">
      <c r="A289">
        <v>2.04</v>
      </c>
      <c r="B289">
        <v>1.51</v>
      </c>
      <c r="C289" t="str">
        <f>CONCATENATE(Таблица258[[#This Row],[Столбец1]],Таблица258[[#This Row],[Столбец2]])</f>
        <v>2,041,51</v>
      </c>
      <c r="E289">
        <v>1.57</v>
      </c>
      <c r="F289">
        <v>1.57</v>
      </c>
      <c r="G289" t="str">
        <f>CONCATENATE(Таблица271[[#This Row],[Столбец1]],Таблица271[[#This Row],[Столбец2]])</f>
        <v>1,571,57</v>
      </c>
      <c r="I289">
        <v>-0.125</v>
      </c>
      <c r="J289">
        <v>-16.183333333333302</v>
      </c>
    </row>
    <row r="290" spans="1:10" x14ac:dyDescent="0.25">
      <c r="A290">
        <v>2.04</v>
      </c>
      <c r="B290">
        <v>1.51</v>
      </c>
      <c r="C290" t="str">
        <f>CONCATENATE(Таблица258[[#This Row],[Столбец1]],Таблица258[[#This Row],[Столбец2]])</f>
        <v>2,041,51</v>
      </c>
      <c r="E290">
        <v>1.58</v>
      </c>
      <c r="F290">
        <v>1.57</v>
      </c>
      <c r="G290" t="str">
        <f>CONCATENATE(Таблица271[[#This Row],[Столбец1]],Таблица271[[#This Row],[Столбец2]])</f>
        <v>1,581,57</v>
      </c>
      <c r="I290">
        <v>-0.27500000000000202</v>
      </c>
      <c r="J290">
        <v>-16.216666666666701</v>
      </c>
    </row>
    <row r="291" spans="1:10" x14ac:dyDescent="0.25">
      <c r="A291">
        <v>2.04</v>
      </c>
      <c r="B291">
        <v>1.51</v>
      </c>
      <c r="C291" t="str">
        <f>CONCATENATE(Таблица258[[#This Row],[Столбец1]],Таблица258[[#This Row],[Столбец2]])</f>
        <v>2,041,51</v>
      </c>
      <c r="E291">
        <v>1.58</v>
      </c>
      <c r="F291">
        <v>1.57</v>
      </c>
      <c r="G291" t="str">
        <f>CONCATENATE(Таблица271[[#This Row],[Столбец1]],Таблица271[[#This Row],[Столбец2]])</f>
        <v>1,581,57</v>
      </c>
      <c r="I291">
        <v>-0.19999999999999901</v>
      </c>
      <c r="J291">
        <v>-16.2</v>
      </c>
    </row>
    <row r="292" spans="1:10" x14ac:dyDescent="0.25">
      <c r="A292">
        <v>2.04</v>
      </c>
      <c r="B292">
        <v>1.51</v>
      </c>
      <c r="C292" t="str">
        <f>CONCATENATE(Таблица258[[#This Row],[Столбец1]],Таблица258[[#This Row],[Столбец2]])</f>
        <v>2,041,51</v>
      </c>
      <c r="E292">
        <v>1.58</v>
      </c>
      <c r="F292">
        <v>1.57</v>
      </c>
      <c r="G292" t="str">
        <f>CONCATENATE(Таблица271[[#This Row],[Столбец1]],Таблица271[[#This Row],[Столбец2]])</f>
        <v>1,581,57</v>
      </c>
      <c r="I292">
        <v>-0.34999999999999798</v>
      </c>
      <c r="J292">
        <v>-16.216666666666701</v>
      </c>
    </row>
    <row r="293" spans="1:10" x14ac:dyDescent="0.25">
      <c r="A293">
        <v>2.04</v>
      </c>
      <c r="B293">
        <v>1.51</v>
      </c>
      <c r="C293" t="str">
        <f>CONCATENATE(Таблица258[[#This Row],[Столбец1]],Таблица258[[#This Row],[Столбец2]])</f>
        <v>2,041,51</v>
      </c>
      <c r="E293">
        <v>1.58</v>
      </c>
      <c r="F293">
        <v>1.57</v>
      </c>
      <c r="G293" t="str">
        <f>CONCATENATE(Таблица271[[#This Row],[Столбец1]],Таблица271[[#This Row],[Столбец2]])</f>
        <v>1,581,57</v>
      </c>
      <c r="I293">
        <v>-0.42500000000000099</v>
      </c>
      <c r="J293">
        <v>-16.233333333333299</v>
      </c>
    </row>
    <row r="294" spans="1:10" x14ac:dyDescent="0.25">
      <c r="A294">
        <v>2.0299999999999998</v>
      </c>
      <c r="B294">
        <v>1.53</v>
      </c>
      <c r="C294" t="str">
        <f>CONCATENATE(Таблица258[[#This Row],[Столбец1]],Таблица258[[#This Row],[Столбец2]])</f>
        <v>2,031,53</v>
      </c>
      <c r="E294">
        <v>1.58</v>
      </c>
      <c r="F294">
        <v>1.57</v>
      </c>
      <c r="G294" t="str">
        <f>CONCATENATE(Таблица271[[#This Row],[Столбец1]],Таблица271[[#This Row],[Столбец2]])</f>
        <v>1,581,57</v>
      </c>
      <c r="I294">
        <v>-2.9750000000000001</v>
      </c>
      <c r="J294">
        <v>-11.1833333333333</v>
      </c>
    </row>
    <row r="295" spans="1:10" x14ac:dyDescent="0.25">
      <c r="A295">
        <v>2.0299999999999998</v>
      </c>
      <c r="B295">
        <v>1.53</v>
      </c>
      <c r="C295" t="str">
        <f>CONCATENATE(Таблица258[[#This Row],[Столбец1]],Таблица258[[#This Row],[Столбец2]])</f>
        <v>2,031,53</v>
      </c>
      <c r="E295">
        <v>1.58</v>
      </c>
      <c r="F295">
        <v>1.57</v>
      </c>
      <c r="G295" t="str">
        <f>CONCATENATE(Таблица271[[#This Row],[Столбец1]],Таблица271[[#This Row],[Столбец2]])</f>
        <v>1,581,57</v>
      </c>
      <c r="I295">
        <v>-0.5</v>
      </c>
      <c r="J295">
        <v>-16.25</v>
      </c>
    </row>
    <row r="296" spans="1:10" x14ac:dyDescent="0.25">
      <c r="A296">
        <v>2.0299999999999998</v>
      </c>
      <c r="B296">
        <v>1.53</v>
      </c>
      <c r="C296" t="str">
        <f>CONCATENATE(Таблица258[[#This Row],[Столбец1]],Таблица258[[#This Row],[Столбец2]])</f>
        <v>2,031,53</v>
      </c>
      <c r="E296">
        <v>1.59</v>
      </c>
      <c r="F296">
        <v>1.57</v>
      </c>
      <c r="G296" t="str">
        <f>CONCATENATE(Таблица271[[#This Row],[Столбец1]],Таблица271[[#This Row],[Столбец2]])</f>
        <v>1,591,57</v>
      </c>
      <c r="I296">
        <v>-0.57500000000000295</v>
      </c>
      <c r="J296">
        <v>-16.266666666666701</v>
      </c>
    </row>
    <row r="297" spans="1:10" x14ac:dyDescent="0.25">
      <c r="A297">
        <v>2.0299999999999998</v>
      </c>
      <c r="B297">
        <v>1.53</v>
      </c>
      <c r="C297" t="str">
        <f>CONCATENATE(Таблица258[[#This Row],[Столбец1]],Таблица258[[#This Row],[Столбец2]])</f>
        <v>2,031,53</v>
      </c>
      <c r="E297">
        <v>1.59</v>
      </c>
      <c r="F297">
        <v>1.57</v>
      </c>
      <c r="G297" t="str">
        <f>CONCATENATE(Таблица271[[#This Row],[Столбец1]],Таблица271[[#This Row],[Столбец2]])</f>
        <v>1,591,57</v>
      </c>
      <c r="I297">
        <v>-3.05</v>
      </c>
      <c r="J297">
        <v>-11.133333333333301</v>
      </c>
    </row>
    <row r="298" spans="1:10" x14ac:dyDescent="0.25">
      <c r="A298">
        <v>2.0299999999999998</v>
      </c>
      <c r="B298">
        <v>1.53</v>
      </c>
      <c r="C298" t="str">
        <f>CONCATENATE(Таблица258[[#This Row],[Столбец1]],Таблица258[[#This Row],[Столбец2]])</f>
        <v>2,031,53</v>
      </c>
      <c r="E298">
        <v>1.59</v>
      </c>
      <c r="F298">
        <v>1.57</v>
      </c>
      <c r="G298" t="str">
        <f>CONCATENATE(Таблица271[[#This Row],[Столбец1]],Таблица271[[#This Row],[Столбец2]])</f>
        <v>1,591,57</v>
      </c>
      <c r="I298">
        <v>-0.64999999999999902</v>
      </c>
      <c r="J298">
        <v>-16.283333333333299</v>
      </c>
    </row>
    <row r="299" spans="1:10" x14ac:dyDescent="0.25">
      <c r="A299">
        <v>2.0299999999999998</v>
      </c>
      <c r="B299">
        <v>1.53</v>
      </c>
      <c r="C299" t="str">
        <f>CONCATENATE(Таблица258[[#This Row],[Столбец1]],Таблица258[[#This Row],[Столбец2]])</f>
        <v>2,031,53</v>
      </c>
      <c r="E299">
        <v>1.59</v>
      </c>
      <c r="F299">
        <v>1.57</v>
      </c>
      <c r="G299" t="str">
        <f>CONCATENATE(Таблица271[[#This Row],[Столбец1]],Таблица271[[#This Row],[Столбец2]])</f>
        <v>1,591,57</v>
      </c>
      <c r="I299">
        <v>-0.72500000000000098</v>
      </c>
      <c r="J299">
        <v>-16.283333333333299</v>
      </c>
    </row>
    <row r="300" spans="1:10" x14ac:dyDescent="0.25">
      <c r="A300">
        <v>2.02</v>
      </c>
      <c r="B300">
        <v>1.54</v>
      </c>
      <c r="C300" t="str">
        <f>CONCATENATE(Таблица258[[#This Row],[Столбец1]],Таблица258[[#This Row],[Столбец2]])</f>
        <v>2,021,54</v>
      </c>
      <c r="E300">
        <v>1.59</v>
      </c>
      <c r="F300">
        <v>1.57</v>
      </c>
      <c r="G300" t="str">
        <f>CONCATENATE(Таблица271[[#This Row],[Столбец1]],Таблица271[[#This Row],[Столбец2]])</f>
        <v>1,591,57</v>
      </c>
      <c r="I300">
        <v>-3.125</v>
      </c>
      <c r="J300">
        <v>-11.0833333333333</v>
      </c>
    </row>
    <row r="301" spans="1:10" x14ac:dyDescent="0.25">
      <c r="A301">
        <v>2.02</v>
      </c>
      <c r="B301">
        <v>1.54</v>
      </c>
      <c r="C301" t="str">
        <f>CONCATENATE(Таблица258[[#This Row],[Столбец1]],Таблица258[[#This Row],[Столбец2]])</f>
        <v>2,021,54</v>
      </c>
      <c r="E301">
        <v>1.59</v>
      </c>
      <c r="F301">
        <v>1.57</v>
      </c>
      <c r="G301" t="str">
        <f>CONCATENATE(Таблица271[[#This Row],[Столбец1]],Таблица271[[#This Row],[Столбец2]])</f>
        <v>1,591,57</v>
      </c>
      <c r="I301">
        <v>-0.79999999999999705</v>
      </c>
      <c r="J301">
        <v>-16.3</v>
      </c>
    </row>
    <row r="302" spans="1:10" x14ac:dyDescent="0.25">
      <c r="A302">
        <v>2.02</v>
      </c>
      <c r="B302">
        <v>1.54</v>
      </c>
      <c r="C302" t="str">
        <f>CONCATENATE(Таблица258[[#This Row],[Столбец1]],Таблица258[[#This Row],[Столбец2]])</f>
        <v>2,021,54</v>
      </c>
      <c r="E302">
        <v>1.6</v>
      </c>
      <c r="F302">
        <v>1.57</v>
      </c>
      <c r="G302" t="str">
        <f>CONCATENATE(Таблица271[[#This Row],[Столбец1]],Таблица271[[#This Row],[Столбец2]])</f>
        <v>1,61,57</v>
      </c>
      <c r="I302">
        <v>-3.2</v>
      </c>
      <c r="J302">
        <v>-11.05</v>
      </c>
    </row>
    <row r="303" spans="1:10" x14ac:dyDescent="0.25">
      <c r="A303">
        <v>2.02</v>
      </c>
      <c r="B303">
        <v>1.54</v>
      </c>
      <c r="C303" t="str">
        <f>CONCATENATE(Таблица258[[#This Row],[Столбец1]],Таблица258[[#This Row],[Столбец2]])</f>
        <v>2,021,54</v>
      </c>
      <c r="E303">
        <v>1.6</v>
      </c>
      <c r="F303">
        <v>1.57</v>
      </c>
      <c r="G303" t="str">
        <f>CONCATENATE(Таблица271[[#This Row],[Столбец1]],Таблица271[[#This Row],[Столбец2]])</f>
        <v>1,61,57</v>
      </c>
      <c r="I303">
        <v>-0.875</v>
      </c>
      <c r="J303">
        <v>-16.316666666666698</v>
      </c>
    </row>
    <row r="304" spans="1:10" x14ac:dyDescent="0.25">
      <c r="A304">
        <v>2.02</v>
      </c>
      <c r="B304">
        <v>1.54</v>
      </c>
      <c r="C304" t="str">
        <f>CONCATENATE(Таблица258[[#This Row],[Столбец1]],Таблица258[[#This Row],[Столбец2]])</f>
        <v>2,021,54</v>
      </c>
      <c r="E304">
        <v>1.6</v>
      </c>
      <c r="F304">
        <v>1.57</v>
      </c>
      <c r="G304" t="str">
        <f>CONCATENATE(Таблица271[[#This Row],[Столбец1]],Таблица271[[#This Row],[Столбец2]])</f>
        <v>1,61,57</v>
      </c>
      <c r="I304">
        <v>-0.94999999999999896</v>
      </c>
      <c r="J304">
        <v>-16.3333333333333</v>
      </c>
    </row>
    <row r="305" spans="1:10" x14ac:dyDescent="0.25">
      <c r="A305">
        <v>2.02</v>
      </c>
      <c r="B305">
        <v>1.54</v>
      </c>
      <c r="C305" t="str">
        <f>CONCATENATE(Таблица258[[#This Row],[Столбец1]],Таблица258[[#This Row],[Столбец2]])</f>
        <v>2,021,54</v>
      </c>
      <c r="E305">
        <v>1.6</v>
      </c>
      <c r="F305">
        <v>1.57</v>
      </c>
      <c r="G305" t="str">
        <f>CONCATENATE(Таблица271[[#This Row],[Столбец1]],Таблица271[[#This Row],[Столбец2]])</f>
        <v>1,61,57</v>
      </c>
      <c r="I305">
        <v>-3.2749999999999999</v>
      </c>
      <c r="J305">
        <v>-11</v>
      </c>
    </row>
    <row r="306" spans="1:10" x14ac:dyDescent="0.25">
      <c r="A306">
        <v>2.0099999999999998</v>
      </c>
      <c r="B306">
        <v>1.56</v>
      </c>
      <c r="C306" t="str">
        <f>CONCATENATE(Таблица258[[#This Row],[Столбец1]],Таблица258[[#This Row],[Столбец2]])</f>
        <v>2,011,56</v>
      </c>
      <c r="E306">
        <v>1.6</v>
      </c>
      <c r="F306">
        <v>1.57</v>
      </c>
      <c r="G306" t="str">
        <f>CONCATENATE(Таблица271[[#This Row],[Столбец1]],Таблица271[[#This Row],[Столбец2]])</f>
        <v>1,61,57</v>
      </c>
      <c r="I306">
        <v>-3.35</v>
      </c>
      <c r="J306">
        <v>-10.966666666666701</v>
      </c>
    </row>
    <row r="307" spans="1:10" x14ac:dyDescent="0.25">
      <c r="A307">
        <v>2.0099999999999998</v>
      </c>
      <c r="B307">
        <v>1.56</v>
      </c>
      <c r="C307" t="str">
        <f>CONCATENATE(Таблица258[[#This Row],[Столбец1]],Таблица258[[#This Row],[Столбец2]])</f>
        <v>2,011,56</v>
      </c>
      <c r="E307">
        <v>1.6</v>
      </c>
      <c r="F307">
        <v>1.57</v>
      </c>
      <c r="G307" t="str">
        <f>CONCATENATE(Таблица271[[#This Row],[Столбец1]],Таблица271[[#This Row],[Столбец2]])</f>
        <v>1,61,57</v>
      </c>
      <c r="I307">
        <v>-1.1000000000000001</v>
      </c>
      <c r="J307">
        <v>-16.350000000000001</v>
      </c>
    </row>
    <row r="308" spans="1:10" x14ac:dyDescent="0.25">
      <c r="A308">
        <v>2.0099999999999998</v>
      </c>
      <c r="B308">
        <v>1.56</v>
      </c>
      <c r="C308" t="str">
        <f>CONCATENATE(Таблица258[[#This Row],[Столбец1]],Таблица258[[#This Row],[Столбец2]])</f>
        <v>2,011,56</v>
      </c>
      <c r="E308">
        <v>1.61</v>
      </c>
      <c r="F308">
        <v>1.57</v>
      </c>
      <c r="G308" t="str">
        <f>CONCATENATE(Таблица271[[#This Row],[Столбец1]],Таблица271[[#This Row],[Столбец2]])</f>
        <v>1,611,57</v>
      </c>
      <c r="I308">
        <v>-3.4249999999999998</v>
      </c>
      <c r="J308">
        <v>-10.9166666666667</v>
      </c>
    </row>
    <row r="309" spans="1:10" x14ac:dyDescent="0.25">
      <c r="A309">
        <v>2.0099999999999998</v>
      </c>
      <c r="B309">
        <v>1.56</v>
      </c>
      <c r="C309" t="str">
        <f>CONCATENATE(Таблица258[[#This Row],[Столбец1]],Таблица258[[#This Row],[Столбец2]])</f>
        <v>2,011,56</v>
      </c>
      <c r="E309">
        <v>1.61</v>
      </c>
      <c r="F309">
        <v>1.57</v>
      </c>
      <c r="G309" t="str">
        <f>CONCATENATE(Таблица271[[#This Row],[Столбец1]],Таблица271[[#This Row],[Столбец2]])</f>
        <v>1,611,57</v>
      </c>
      <c r="I309">
        <v>-1.25</v>
      </c>
      <c r="J309">
        <v>-16.383333333333301</v>
      </c>
    </row>
    <row r="310" spans="1:10" x14ac:dyDescent="0.25">
      <c r="A310">
        <v>2.0099999999999998</v>
      </c>
      <c r="B310">
        <v>1.56</v>
      </c>
      <c r="C310" t="str">
        <f>CONCATENATE(Таблица258[[#This Row],[Столбец1]],Таблица258[[#This Row],[Столбец2]])</f>
        <v>2,011,56</v>
      </c>
      <c r="E310">
        <v>1.61</v>
      </c>
      <c r="F310">
        <v>1.57</v>
      </c>
      <c r="G310" t="str">
        <f>CONCATENATE(Таблица271[[#This Row],[Столбец1]],Таблица271[[#This Row],[Столбец2]])</f>
        <v>1,611,57</v>
      </c>
      <c r="I310">
        <v>-1.175</v>
      </c>
      <c r="J310">
        <v>-16.366666666666699</v>
      </c>
    </row>
    <row r="311" spans="1:10" x14ac:dyDescent="0.25">
      <c r="A311">
        <v>2.0099999999999998</v>
      </c>
      <c r="B311">
        <v>1.56</v>
      </c>
      <c r="C311" t="str">
        <f>CONCATENATE(Таблица258[[#This Row],[Столбец1]],Таблица258[[#This Row],[Столбец2]])</f>
        <v>2,011,56</v>
      </c>
      <c r="E311">
        <v>1.61</v>
      </c>
      <c r="F311">
        <v>1.57</v>
      </c>
      <c r="G311" t="str">
        <f>CONCATENATE(Таблица271[[#This Row],[Столбец1]],Таблица271[[#This Row],[Столбец2]])</f>
        <v>1,611,57</v>
      </c>
      <c r="I311">
        <v>-3.5</v>
      </c>
      <c r="J311">
        <v>-10.866666666666699</v>
      </c>
    </row>
    <row r="312" spans="1:10" x14ac:dyDescent="0.25">
      <c r="A312">
        <v>1.57</v>
      </c>
      <c r="B312">
        <v>1.57</v>
      </c>
      <c r="C312" t="str">
        <f>CONCATENATE(Таблица258[[#This Row],[Столбец1]],Таблица258[[#This Row],[Столбец2]])</f>
        <v>1,571,57</v>
      </c>
      <c r="E312">
        <v>1.61</v>
      </c>
      <c r="F312">
        <v>1.57</v>
      </c>
      <c r="G312" t="str">
        <f>CONCATENATE(Таблица271[[#This Row],[Столбец1]],Таблица271[[#This Row],[Столбец2]])</f>
        <v>1,611,57</v>
      </c>
      <c r="I312">
        <v>-1.325</v>
      </c>
      <c r="J312">
        <v>-16.399999999999999</v>
      </c>
    </row>
    <row r="313" spans="1:10" x14ac:dyDescent="0.25">
      <c r="A313">
        <v>1.57</v>
      </c>
      <c r="B313">
        <v>1.57</v>
      </c>
      <c r="C313" t="str">
        <f>CONCATENATE(Таблица258[[#This Row],[Столбец1]],Таблица258[[#This Row],[Столбец2]])</f>
        <v>1,571,57</v>
      </c>
      <c r="E313">
        <v>1.61</v>
      </c>
      <c r="F313">
        <v>1.57</v>
      </c>
      <c r="G313" t="str">
        <f>CONCATENATE(Таблица271[[#This Row],[Столбец1]],Таблица271[[#This Row],[Столбец2]])</f>
        <v>1,611,57</v>
      </c>
      <c r="I313">
        <v>-1.4</v>
      </c>
      <c r="J313">
        <v>-16.399999999999999</v>
      </c>
    </row>
    <row r="314" spans="1:10" x14ac:dyDescent="0.25">
      <c r="A314">
        <v>1.57</v>
      </c>
      <c r="B314">
        <v>1.57</v>
      </c>
      <c r="C314" t="str">
        <f>CONCATENATE(Таблица258[[#This Row],[Столбец1]],Таблица258[[#This Row],[Столбец2]])</f>
        <v>1,571,57</v>
      </c>
      <c r="E314">
        <v>1.62</v>
      </c>
      <c r="F314">
        <v>1.57</v>
      </c>
      <c r="G314" t="str">
        <f>CONCATENATE(Таблица271[[#This Row],[Столбец1]],Таблица271[[#This Row],[Столбец2]])</f>
        <v>1,621,57</v>
      </c>
      <c r="I314">
        <v>-3.5750000000000002</v>
      </c>
      <c r="J314">
        <v>-10.8333333333333</v>
      </c>
    </row>
    <row r="315" spans="1:10" x14ac:dyDescent="0.25">
      <c r="A315">
        <v>1.57</v>
      </c>
      <c r="B315">
        <v>1.57</v>
      </c>
      <c r="C315" t="str">
        <f>CONCATENATE(Таблица258[[#This Row],[Столбец1]],Таблица258[[#This Row],[Столбец2]])</f>
        <v>1,571,57</v>
      </c>
      <c r="E315">
        <v>1.62</v>
      </c>
      <c r="F315">
        <v>1.57</v>
      </c>
      <c r="G315" t="str">
        <f>CONCATENATE(Таблица271[[#This Row],[Столбец1]],Таблица271[[#This Row],[Столбец2]])</f>
        <v>1,621,57</v>
      </c>
      <c r="I315">
        <v>-1.4750000000000001</v>
      </c>
      <c r="J315">
        <v>-16.4166666666667</v>
      </c>
    </row>
    <row r="316" spans="1:10" x14ac:dyDescent="0.25">
      <c r="A316">
        <v>1.57</v>
      </c>
      <c r="B316">
        <v>1.57</v>
      </c>
      <c r="C316" t="str">
        <f>CONCATENATE(Таблица258[[#This Row],[Столбец1]],Таблица258[[#This Row],[Столбец2]])</f>
        <v>1,571,57</v>
      </c>
      <c r="E316">
        <v>1.62</v>
      </c>
      <c r="F316">
        <v>1.57</v>
      </c>
      <c r="G316" t="str">
        <f>CONCATENATE(Таблица271[[#This Row],[Столбец1]],Таблица271[[#This Row],[Столбец2]])</f>
        <v>1,621,57</v>
      </c>
      <c r="I316">
        <v>-1.625</v>
      </c>
      <c r="J316">
        <v>-16.45</v>
      </c>
    </row>
    <row r="317" spans="1:10" x14ac:dyDescent="0.25">
      <c r="A317">
        <v>1.57</v>
      </c>
      <c r="B317">
        <v>1.57</v>
      </c>
      <c r="C317" t="str">
        <f>CONCATENATE(Таблица258[[#This Row],[Столбец1]],Таблица258[[#This Row],[Столбец2]])</f>
        <v>1,571,57</v>
      </c>
      <c r="E317">
        <v>1.62</v>
      </c>
      <c r="F317">
        <v>1.57</v>
      </c>
      <c r="G317" t="str">
        <f>CONCATENATE(Таблица271[[#This Row],[Столбец1]],Таблица271[[#This Row],[Столбец2]])</f>
        <v>1,621,57</v>
      </c>
      <c r="I317">
        <v>-1.55</v>
      </c>
      <c r="J317">
        <v>-16.433333333333302</v>
      </c>
    </row>
    <row r="318" spans="1:10" x14ac:dyDescent="0.25">
      <c r="A318">
        <v>1.58</v>
      </c>
      <c r="B318">
        <v>1.57</v>
      </c>
      <c r="C318" t="str">
        <f>CONCATENATE(Таблица258[[#This Row],[Столбец1]],Таблица258[[#This Row],[Столбец2]])</f>
        <v>1,581,57</v>
      </c>
      <c r="E318">
        <v>1.62</v>
      </c>
      <c r="F318">
        <v>1.57</v>
      </c>
      <c r="G318" t="str">
        <f>CONCATENATE(Таблица271[[#This Row],[Столбец1]],Таблица271[[#This Row],[Столбец2]])</f>
        <v>1,621,57</v>
      </c>
      <c r="I318">
        <v>-1.7749999999999999</v>
      </c>
      <c r="J318">
        <v>-16.466666666666701</v>
      </c>
    </row>
    <row r="319" spans="1:10" x14ac:dyDescent="0.25">
      <c r="A319">
        <v>1.58</v>
      </c>
      <c r="B319">
        <v>1.57</v>
      </c>
      <c r="C319" t="str">
        <f>CONCATENATE(Таблица258[[#This Row],[Столбец1]],Таблица258[[#This Row],[Столбец2]])</f>
        <v>1,581,57</v>
      </c>
      <c r="E319">
        <v>1.62</v>
      </c>
      <c r="F319">
        <v>1.57</v>
      </c>
      <c r="G319" t="str">
        <f>CONCATENATE(Таблица271[[#This Row],[Столбец1]],Таблица271[[#This Row],[Столбец2]])</f>
        <v>1,621,57</v>
      </c>
      <c r="I319">
        <v>-1.85</v>
      </c>
      <c r="J319">
        <v>-16.483333333333299</v>
      </c>
    </row>
    <row r="320" spans="1:10" x14ac:dyDescent="0.25">
      <c r="A320">
        <v>1.58</v>
      </c>
      <c r="B320">
        <v>1.57</v>
      </c>
      <c r="C320" t="str">
        <f>CONCATENATE(Таблица258[[#This Row],[Столбец1]],Таблица258[[#This Row],[Столбец2]])</f>
        <v>1,581,57</v>
      </c>
      <c r="E320">
        <v>1.63</v>
      </c>
      <c r="F320">
        <v>1.57</v>
      </c>
      <c r="G320" t="str">
        <f>CONCATENATE(Таблица271[[#This Row],[Столбец1]],Таблица271[[#This Row],[Столбец2]])</f>
        <v>1,631,57</v>
      </c>
      <c r="I320">
        <v>-1.925</v>
      </c>
      <c r="J320">
        <v>-16.5</v>
      </c>
    </row>
    <row r="321" spans="1:10" x14ac:dyDescent="0.25">
      <c r="A321">
        <v>1.58</v>
      </c>
      <c r="B321">
        <v>1.57</v>
      </c>
      <c r="C321" t="str">
        <f>CONCATENATE(Таблица258[[#This Row],[Столбец1]],Таблица258[[#This Row],[Столбец2]])</f>
        <v>1,581,57</v>
      </c>
      <c r="E321">
        <v>1.63</v>
      </c>
      <c r="F321">
        <v>1.57</v>
      </c>
      <c r="G321" t="str">
        <f>CONCATENATE(Таблица271[[#This Row],[Столбец1]],Таблица271[[#This Row],[Столбец2]])</f>
        <v>1,631,57</v>
      </c>
      <c r="I321">
        <v>-2</v>
      </c>
      <c r="J321">
        <v>-16.516666666666701</v>
      </c>
    </row>
    <row r="322" spans="1:10" x14ac:dyDescent="0.25">
      <c r="A322">
        <v>1.58</v>
      </c>
      <c r="B322">
        <v>1.57</v>
      </c>
      <c r="C322" t="str">
        <f>CONCATENATE(Таблица258[[#This Row],[Столбец1]],Таблица258[[#This Row],[Столбец2]])</f>
        <v>1,581,57</v>
      </c>
      <c r="E322">
        <v>1.63</v>
      </c>
      <c r="F322">
        <v>1.57</v>
      </c>
      <c r="G322" t="str">
        <f>CONCATENATE(Таблица271[[#This Row],[Столбец1]],Таблица271[[#This Row],[Столбец2]])</f>
        <v>1,631,57</v>
      </c>
      <c r="I322">
        <v>-2.0750000000000002</v>
      </c>
      <c r="J322">
        <v>-16.516666666666701</v>
      </c>
    </row>
    <row r="323" spans="1:10" x14ac:dyDescent="0.25">
      <c r="A323">
        <v>1.58</v>
      </c>
      <c r="B323">
        <v>1.57</v>
      </c>
      <c r="C323" t="str">
        <f>CONCATENATE(Таблица258[[#This Row],[Столбец1]],Таблица258[[#This Row],[Столбец2]])</f>
        <v>1,581,57</v>
      </c>
      <c r="E323">
        <v>1.63</v>
      </c>
      <c r="F323">
        <v>1.57</v>
      </c>
      <c r="G323" t="str">
        <f>CONCATENATE(Таблица271[[#This Row],[Столбец1]],Таблица271[[#This Row],[Столбец2]])</f>
        <v>1,631,57</v>
      </c>
      <c r="I323">
        <v>-2.15</v>
      </c>
      <c r="J323">
        <v>-16.533333333333299</v>
      </c>
    </row>
    <row r="324" spans="1:10" x14ac:dyDescent="0.25">
      <c r="A324">
        <v>1.59</v>
      </c>
      <c r="B324">
        <v>1.57</v>
      </c>
      <c r="C324" t="str">
        <f>CONCATENATE(Таблица258[[#This Row],[Столбец1]],Таблица258[[#This Row],[Столбец2]])</f>
        <v>1,591,57</v>
      </c>
      <c r="E324">
        <v>1.63</v>
      </c>
      <c r="F324">
        <v>1.57</v>
      </c>
      <c r="G324" t="str">
        <f>CONCATENATE(Таблица271[[#This Row],[Столбец1]],Таблица271[[#This Row],[Столбец2]])</f>
        <v>1,631,57</v>
      </c>
      <c r="I324">
        <v>-2.2999999999999998</v>
      </c>
      <c r="J324">
        <v>-16.566666666666698</v>
      </c>
    </row>
    <row r="325" spans="1:10" x14ac:dyDescent="0.25">
      <c r="A325">
        <v>1.59</v>
      </c>
      <c r="B325">
        <v>1.57</v>
      </c>
      <c r="C325" t="str">
        <f>CONCATENATE(Таблица258[[#This Row],[Столбец1]],Таблица258[[#This Row],[Столбец2]])</f>
        <v>1,591,57</v>
      </c>
      <c r="E325">
        <v>1.63</v>
      </c>
      <c r="F325">
        <v>1.57</v>
      </c>
      <c r="G325" t="str">
        <f>CONCATENATE(Таблица271[[#This Row],[Столбец1]],Таблица271[[#This Row],[Столбец2]])</f>
        <v>1,631,57</v>
      </c>
      <c r="I325">
        <v>-2.2250000000000001</v>
      </c>
      <c r="J325">
        <v>-16.55</v>
      </c>
    </row>
    <row r="326" spans="1:10" x14ac:dyDescent="0.25">
      <c r="A326">
        <v>1.59</v>
      </c>
      <c r="B326">
        <v>1.57</v>
      </c>
      <c r="C326" t="str">
        <f>CONCATENATE(Таблица258[[#This Row],[Столбец1]],Таблица258[[#This Row],[Столбец2]])</f>
        <v>1,591,57</v>
      </c>
      <c r="E326">
        <v>1.64</v>
      </c>
      <c r="F326">
        <v>1.57</v>
      </c>
      <c r="G326" t="str">
        <f>CONCATENATE(Таблица271[[#This Row],[Столбец1]],Таблица271[[#This Row],[Столбец2]])</f>
        <v>1,641,57</v>
      </c>
      <c r="I326">
        <v>-2.4500000000000002</v>
      </c>
      <c r="J326">
        <v>-16.5833333333333</v>
      </c>
    </row>
    <row r="327" spans="1:10" x14ac:dyDescent="0.25">
      <c r="A327">
        <v>1.59</v>
      </c>
      <c r="B327">
        <v>1.57</v>
      </c>
      <c r="C327" t="str">
        <f>CONCATENATE(Таблица258[[#This Row],[Столбец1]],Таблица258[[#This Row],[Столбец2]])</f>
        <v>1,591,57</v>
      </c>
      <c r="E327">
        <v>1.64</v>
      </c>
      <c r="F327">
        <v>1.57</v>
      </c>
      <c r="G327" t="str">
        <f>CONCATENATE(Таблица271[[#This Row],[Столбец1]],Таблица271[[#This Row],[Столбец2]])</f>
        <v>1,641,57</v>
      </c>
      <c r="I327">
        <v>-2.5249999999999999</v>
      </c>
      <c r="J327">
        <v>-16.600000000000001</v>
      </c>
    </row>
    <row r="328" spans="1:10" x14ac:dyDescent="0.25">
      <c r="A328">
        <v>1.59</v>
      </c>
      <c r="B328">
        <v>1.57</v>
      </c>
      <c r="C328" t="str">
        <f>CONCATENATE(Таблица258[[#This Row],[Столбец1]],Таблица258[[#This Row],[Столбец2]])</f>
        <v>1,591,57</v>
      </c>
      <c r="E328">
        <v>1.64</v>
      </c>
      <c r="F328">
        <v>1.57</v>
      </c>
      <c r="G328" t="str">
        <f>CONCATENATE(Таблица271[[#This Row],[Столбец1]],Таблица271[[#This Row],[Столбец2]])</f>
        <v>1,641,57</v>
      </c>
      <c r="I328">
        <v>-2.6749999999999998</v>
      </c>
      <c r="J328">
        <v>-16.633333333333301</v>
      </c>
    </row>
    <row r="329" spans="1:10" x14ac:dyDescent="0.25">
      <c r="A329">
        <v>1.59</v>
      </c>
      <c r="B329">
        <v>1.57</v>
      </c>
      <c r="C329" t="str">
        <f>CONCATENATE(Таблица258[[#This Row],[Столбец1]],Таблица258[[#This Row],[Столбец2]])</f>
        <v>1,591,57</v>
      </c>
      <c r="E329">
        <v>1.64</v>
      </c>
      <c r="F329">
        <v>1.57</v>
      </c>
      <c r="G329" t="str">
        <f>CONCATENATE(Таблица271[[#This Row],[Столбец1]],Таблица271[[#This Row],[Столбец2]])</f>
        <v>1,641,57</v>
      </c>
      <c r="I329">
        <v>-2.6</v>
      </c>
      <c r="J329">
        <v>-16.616666666666699</v>
      </c>
    </row>
    <row r="330" spans="1:10" x14ac:dyDescent="0.25">
      <c r="A330">
        <v>1.6</v>
      </c>
      <c r="B330">
        <v>1.57</v>
      </c>
      <c r="C330" t="str">
        <f>CONCATENATE(Таблица258[[#This Row],[Столбец1]],Таблица258[[#This Row],[Столбец2]])</f>
        <v>1,61,57</v>
      </c>
      <c r="E330">
        <v>1.64</v>
      </c>
      <c r="F330">
        <v>1.57</v>
      </c>
      <c r="G330" t="str">
        <f>CONCATENATE(Таблица271[[#This Row],[Столбец1]],Таблица271[[#This Row],[Столбец2]])</f>
        <v>1,641,57</v>
      </c>
      <c r="I330">
        <v>-2.8250000000000002</v>
      </c>
      <c r="J330">
        <v>-16.649999999999999</v>
      </c>
    </row>
    <row r="331" spans="1:10" x14ac:dyDescent="0.25">
      <c r="A331">
        <v>1.6</v>
      </c>
      <c r="B331">
        <v>1.57</v>
      </c>
      <c r="C331" t="str">
        <f>CONCATENATE(Таблица258[[#This Row],[Столбец1]],Таблица258[[#This Row],[Столбец2]])</f>
        <v>1,61,57</v>
      </c>
      <c r="E331">
        <v>1.64</v>
      </c>
      <c r="F331">
        <v>1.57</v>
      </c>
      <c r="G331" t="str">
        <f>CONCATENATE(Таблица271[[#This Row],[Столбец1]],Таблица271[[#This Row],[Столбец2]])</f>
        <v>1,641,57</v>
      </c>
      <c r="I331">
        <v>-2.9</v>
      </c>
      <c r="J331">
        <v>-16.6666666666667</v>
      </c>
    </row>
    <row r="332" spans="1:10" x14ac:dyDescent="0.25">
      <c r="A332">
        <v>1.6</v>
      </c>
      <c r="B332">
        <v>1.57</v>
      </c>
      <c r="C332" t="str">
        <f>CONCATENATE(Таблица258[[#This Row],[Столбец1]],Таблица258[[#This Row],[Столбец2]])</f>
        <v>1,61,57</v>
      </c>
      <c r="E332">
        <v>1.65</v>
      </c>
      <c r="F332">
        <v>1.57</v>
      </c>
      <c r="G332" t="str">
        <f>CONCATENATE(Таблица271[[#This Row],[Столбец1]],Таблица271[[#This Row],[Столбец2]])</f>
        <v>1,651,57</v>
      </c>
      <c r="I332">
        <v>-2.9750000000000001</v>
      </c>
      <c r="J332">
        <v>-17.149999999999999</v>
      </c>
    </row>
    <row r="333" spans="1:10" x14ac:dyDescent="0.25">
      <c r="A333">
        <v>1.6</v>
      </c>
      <c r="B333">
        <v>1.57</v>
      </c>
      <c r="C333" t="str">
        <f>CONCATENATE(Таблица258[[#This Row],[Столбец1]],Таблица258[[#This Row],[Столбец2]])</f>
        <v>1,61,57</v>
      </c>
      <c r="E333">
        <v>1.65</v>
      </c>
      <c r="F333">
        <v>1.57</v>
      </c>
      <c r="G333" t="str">
        <f>CONCATENATE(Таблица271[[#This Row],[Столбец1]],Таблица271[[#This Row],[Столбец2]])</f>
        <v>1,651,57</v>
      </c>
      <c r="I333">
        <v>-3.05</v>
      </c>
      <c r="J333">
        <v>-17.2</v>
      </c>
    </row>
    <row r="334" spans="1:10" x14ac:dyDescent="0.25">
      <c r="A334">
        <v>1.6</v>
      </c>
      <c r="B334">
        <v>1.57</v>
      </c>
      <c r="C334" t="str">
        <f>CONCATENATE(Таблица258[[#This Row],[Столбец1]],Таблица258[[#This Row],[Столбец2]])</f>
        <v>1,61,57</v>
      </c>
      <c r="E334">
        <v>1.65</v>
      </c>
      <c r="F334">
        <v>1.57</v>
      </c>
      <c r="G334" t="str">
        <f>CONCATENATE(Таблица271[[#This Row],[Столбец1]],Таблица271[[#This Row],[Столбец2]])</f>
        <v>1,651,57</v>
      </c>
      <c r="I334">
        <v>-3.125</v>
      </c>
      <c r="J334">
        <v>-17.25</v>
      </c>
    </row>
    <row r="335" spans="1:10" x14ac:dyDescent="0.25">
      <c r="A335">
        <v>1.6</v>
      </c>
      <c r="B335">
        <v>1.57</v>
      </c>
      <c r="C335" t="str">
        <f>CONCATENATE(Таблица258[[#This Row],[Столбец1]],Таблица258[[#This Row],[Столбец2]])</f>
        <v>1,61,57</v>
      </c>
      <c r="E335">
        <v>1.65</v>
      </c>
      <c r="F335">
        <v>1.57</v>
      </c>
      <c r="G335" t="str">
        <f>CONCATENATE(Таблица271[[#This Row],[Столбец1]],Таблица271[[#This Row],[Столбец2]])</f>
        <v>1,651,57</v>
      </c>
      <c r="I335">
        <v>-3.2</v>
      </c>
      <c r="J335">
        <v>-17.283333333333299</v>
      </c>
    </row>
    <row r="336" spans="1:10" x14ac:dyDescent="0.25">
      <c r="A336">
        <v>1.61</v>
      </c>
      <c r="B336">
        <v>1.57</v>
      </c>
      <c r="C336" t="str">
        <f>CONCATENATE(Таблица258[[#This Row],[Столбец1]],Таблица258[[#This Row],[Столбец2]])</f>
        <v>1,611,57</v>
      </c>
      <c r="E336">
        <v>1.65</v>
      </c>
      <c r="F336">
        <v>1.57</v>
      </c>
      <c r="G336" t="str">
        <f>CONCATENATE(Таблица271[[#This Row],[Столбец1]],Таблица271[[#This Row],[Столбец2]])</f>
        <v>1,651,57</v>
      </c>
      <c r="I336">
        <v>-3.2749999999999999</v>
      </c>
      <c r="J336">
        <v>-17.3333333333333</v>
      </c>
    </row>
    <row r="337" spans="1:10" x14ac:dyDescent="0.25">
      <c r="A337">
        <v>1.61</v>
      </c>
      <c r="B337">
        <v>1.57</v>
      </c>
      <c r="C337" t="str">
        <f>CONCATENATE(Таблица258[[#This Row],[Столбец1]],Таблица258[[#This Row],[Столбец2]])</f>
        <v>1,611,57</v>
      </c>
      <c r="E337">
        <v>1.65</v>
      </c>
      <c r="F337">
        <v>1.57</v>
      </c>
      <c r="G337" t="str">
        <f>CONCATENATE(Таблица271[[#This Row],[Столбец1]],Таблица271[[#This Row],[Столбец2]])</f>
        <v>1,651,57</v>
      </c>
      <c r="I337">
        <v>-3.35</v>
      </c>
      <c r="J337">
        <v>-17.366666666666699</v>
      </c>
    </row>
    <row r="338" spans="1:10" x14ac:dyDescent="0.25">
      <c r="A338">
        <v>1.61</v>
      </c>
      <c r="B338">
        <v>1.57</v>
      </c>
      <c r="C338" t="str">
        <f>CONCATENATE(Таблица258[[#This Row],[Столбец1]],Таблица258[[#This Row],[Столбец2]])</f>
        <v>1,611,57</v>
      </c>
      <c r="E338">
        <v>1.66</v>
      </c>
      <c r="F338">
        <v>1.57</v>
      </c>
      <c r="G338" t="str">
        <f>CONCATENATE(Таблица271[[#This Row],[Столбец1]],Таблица271[[#This Row],[Столбец2]])</f>
        <v>1,661,57</v>
      </c>
      <c r="I338">
        <v>-3.4249999999999998</v>
      </c>
      <c r="J338">
        <v>-17.4166666666667</v>
      </c>
    </row>
    <row r="339" spans="1:10" x14ac:dyDescent="0.25">
      <c r="A339">
        <v>1.61</v>
      </c>
      <c r="B339">
        <v>1.57</v>
      </c>
      <c r="C339" t="str">
        <f>CONCATENATE(Таблица258[[#This Row],[Столбец1]],Таблица258[[#This Row],[Столбец2]])</f>
        <v>1,611,57</v>
      </c>
      <c r="E339">
        <v>1.66</v>
      </c>
      <c r="F339">
        <v>1.57</v>
      </c>
      <c r="G339" t="str">
        <f>CONCATENATE(Таблица271[[#This Row],[Столбец1]],Таблица271[[#This Row],[Столбец2]])</f>
        <v>1,661,57</v>
      </c>
      <c r="I339">
        <v>-3.5</v>
      </c>
      <c r="J339">
        <v>-17.466666666666701</v>
      </c>
    </row>
    <row r="340" spans="1:10" x14ac:dyDescent="0.25">
      <c r="A340">
        <v>1.61</v>
      </c>
      <c r="B340">
        <v>1.57</v>
      </c>
      <c r="C340" t="str">
        <f>CONCATENATE(Таблица258[[#This Row],[Столбец1]],Таблица258[[#This Row],[Столбец2]])</f>
        <v>1,611,57</v>
      </c>
      <c r="E340">
        <v>1.66</v>
      </c>
      <c r="F340">
        <v>1.57</v>
      </c>
      <c r="G340" t="str">
        <f>CONCATENATE(Таблица271[[#This Row],[Столбец1]],Таблица271[[#This Row],[Столбец2]])</f>
        <v>1,661,57</v>
      </c>
      <c r="I340">
        <v>-3.5750000000000002</v>
      </c>
      <c r="J340">
        <v>-17.5</v>
      </c>
    </row>
    <row r="341" spans="1:10" x14ac:dyDescent="0.25">
      <c r="A341">
        <v>1.61</v>
      </c>
      <c r="B341">
        <v>1.57</v>
      </c>
      <c r="C341" t="str">
        <f>CONCATENATE(Таблица258[[#This Row],[Столбец1]],Таблица258[[#This Row],[Столбец2]])</f>
        <v>1,611,57</v>
      </c>
      <c r="E341">
        <v>1.66</v>
      </c>
      <c r="F341">
        <v>1.57</v>
      </c>
      <c r="G341" t="str">
        <f>CONCATENATE(Таблица271[[#This Row],[Столбец1]],Таблица271[[#This Row],[Столбец2]])</f>
        <v>1,661,57</v>
      </c>
      <c r="I341">
        <v>-2.9</v>
      </c>
      <c r="J341">
        <v>-18.3333333333333</v>
      </c>
    </row>
    <row r="342" spans="1:10" x14ac:dyDescent="0.25">
      <c r="A342">
        <v>1.62</v>
      </c>
      <c r="B342">
        <v>1.57</v>
      </c>
      <c r="C342" t="str">
        <f>CONCATENATE(Таблица258[[#This Row],[Столбец1]],Таблица258[[#This Row],[Столбец2]])</f>
        <v>1,621,57</v>
      </c>
      <c r="E342">
        <v>1.66</v>
      </c>
      <c r="F342">
        <v>1.57</v>
      </c>
      <c r="G342" t="str">
        <f>CONCATENATE(Таблица271[[#This Row],[Столбец1]],Таблица271[[#This Row],[Столбец2]])</f>
        <v>1,661,57</v>
      </c>
      <c r="I342">
        <v>-2.9750000000000001</v>
      </c>
      <c r="J342">
        <v>-18.816666666666698</v>
      </c>
    </row>
    <row r="343" spans="1:10" x14ac:dyDescent="0.25">
      <c r="A343">
        <v>1.62</v>
      </c>
      <c r="B343">
        <v>1.57</v>
      </c>
      <c r="C343" t="str">
        <f>CONCATENATE(Таблица258[[#This Row],[Столбец1]],Таблица258[[#This Row],[Столбец2]])</f>
        <v>1,621,57</v>
      </c>
      <c r="E343">
        <v>1.66</v>
      </c>
      <c r="F343">
        <v>1.57</v>
      </c>
      <c r="G343" t="str">
        <f>CONCATENATE(Таблица271[[#This Row],[Столбец1]],Таблица271[[#This Row],[Столбец2]])</f>
        <v>1,661,57</v>
      </c>
      <c r="I343">
        <v>-3.05</v>
      </c>
      <c r="J343">
        <v>-18.866666666666699</v>
      </c>
    </row>
    <row r="344" spans="1:10" x14ac:dyDescent="0.25">
      <c r="A344">
        <v>1.62</v>
      </c>
      <c r="B344">
        <v>1.57</v>
      </c>
      <c r="C344" t="str">
        <f>CONCATENATE(Таблица258[[#This Row],[Столбец1]],Таблица258[[#This Row],[Столбец2]])</f>
        <v>1,621,57</v>
      </c>
      <c r="E344">
        <v>1.67</v>
      </c>
      <c r="F344">
        <v>1.57</v>
      </c>
      <c r="G344" t="str">
        <f>CONCATENATE(Таблица271[[#This Row],[Столбец1]],Таблица271[[#This Row],[Столбец2]])</f>
        <v>1,671,57</v>
      </c>
      <c r="I344">
        <v>-3.125</v>
      </c>
      <c r="J344">
        <v>-18.9166666666667</v>
      </c>
    </row>
    <row r="345" spans="1:10" x14ac:dyDescent="0.25">
      <c r="A345">
        <v>1.62</v>
      </c>
      <c r="B345">
        <v>1.57</v>
      </c>
      <c r="C345" t="str">
        <f>CONCATENATE(Таблица258[[#This Row],[Столбец1]],Таблица258[[#This Row],[Столбец2]])</f>
        <v>1,621,57</v>
      </c>
      <c r="E345">
        <v>1.67</v>
      </c>
      <c r="F345">
        <v>1.57</v>
      </c>
      <c r="G345" t="str">
        <f>CONCATENATE(Таблица271[[#This Row],[Столбец1]],Таблица271[[#This Row],[Столбец2]])</f>
        <v>1,671,57</v>
      </c>
      <c r="I345">
        <v>-3.2</v>
      </c>
      <c r="J345">
        <v>-18.95</v>
      </c>
    </row>
    <row r="346" spans="1:10" x14ac:dyDescent="0.25">
      <c r="A346">
        <v>1.62</v>
      </c>
      <c r="B346">
        <v>1.57</v>
      </c>
      <c r="C346" t="str">
        <f>CONCATENATE(Таблица258[[#This Row],[Столбец1]],Таблица258[[#This Row],[Столбец2]])</f>
        <v>1,621,57</v>
      </c>
      <c r="E346">
        <v>1.67</v>
      </c>
      <c r="F346">
        <v>1.57</v>
      </c>
      <c r="G346" t="str">
        <f>CONCATENATE(Таблица271[[#This Row],[Столбец1]],Таблица271[[#This Row],[Столбец2]])</f>
        <v>1,671,57</v>
      </c>
      <c r="I346">
        <v>-3.2749999999999999</v>
      </c>
      <c r="J346">
        <v>-19</v>
      </c>
    </row>
    <row r="347" spans="1:10" x14ac:dyDescent="0.25">
      <c r="A347">
        <v>1.62</v>
      </c>
      <c r="B347">
        <v>1.57</v>
      </c>
      <c r="C347" t="str">
        <f>CONCATENATE(Таблица258[[#This Row],[Столбец1]],Таблица258[[#This Row],[Столбец2]])</f>
        <v>1,621,57</v>
      </c>
      <c r="E347">
        <v>1.67</v>
      </c>
      <c r="F347">
        <v>1.57</v>
      </c>
      <c r="G347" t="str">
        <f>CONCATENATE(Таблица271[[#This Row],[Столбец1]],Таблица271[[#This Row],[Столбец2]])</f>
        <v>1,671,57</v>
      </c>
      <c r="I347">
        <v>-3.35</v>
      </c>
      <c r="J347">
        <v>-19.033333333333299</v>
      </c>
    </row>
    <row r="348" spans="1:10" x14ac:dyDescent="0.25">
      <c r="A348">
        <v>1.63</v>
      </c>
      <c r="B348">
        <v>1.57</v>
      </c>
      <c r="C348" t="str">
        <f>CONCATENATE(Таблица258[[#This Row],[Столбец1]],Таблица258[[#This Row],[Столбец2]])</f>
        <v>1,631,57</v>
      </c>
      <c r="E348">
        <v>1.67</v>
      </c>
      <c r="F348">
        <v>1.57</v>
      </c>
      <c r="G348" t="str">
        <f>CONCATENATE(Таблица271[[#This Row],[Столбец1]],Таблица271[[#This Row],[Столбец2]])</f>
        <v>1,671,57</v>
      </c>
      <c r="I348">
        <v>-3.4249999999999998</v>
      </c>
      <c r="J348">
        <v>-19.0833333333333</v>
      </c>
    </row>
    <row r="349" spans="1:10" x14ac:dyDescent="0.25">
      <c r="A349">
        <v>1.63</v>
      </c>
      <c r="B349">
        <v>1.57</v>
      </c>
      <c r="C349" t="str">
        <f>CONCATENATE(Таблица258[[#This Row],[Столбец1]],Таблица258[[#This Row],[Столбец2]])</f>
        <v>1,631,57</v>
      </c>
      <c r="E349">
        <v>1.67</v>
      </c>
      <c r="F349">
        <v>1.57</v>
      </c>
      <c r="G349" t="str">
        <f>CONCATENATE(Таблица271[[#This Row],[Столбец1]],Таблица271[[#This Row],[Столбец2]])</f>
        <v>1,671,57</v>
      </c>
      <c r="I349">
        <v>-3.5</v>
      </c>
      <c r="J349">
        <v>-19.133333333333301</v>
      </c>
    </row>
    <row r="350" spans="1:10" x14ac:dyDescent="0.25">
      <c r="A350">
        <v>1.63</v>
      </c>
      <c r="B350">
        <v>1.57</v>
      </c>
      <c r="C350" t="str">
        <f>CONCATENATE(Таблица258[[#This Row],[Столбец1]],Таблица258[[#This Row],[Столбец2]])</f>
        <v>1,631,57</v>
      </c>
      <c r="E350">
        <v>1.68</v>
      </c>
      <c r="F350">
        <v>1.57</v>
      </c>
      <c r="G350" t="str">
        <f>CONCATENATE(Таблица271[[#This Row],[Столбец1]],Таблица271[[#This Row],[Столбец2]])</f>
        <v>1,681,57</v>
      </c>
    </row>
    <row r="351" spans="1:10" x14ac:dyDescent="0.25">
      <c r="A351">
        <v>1.63</v>
      </c>
      <c r="B351">
        <v>1.57</v>
      </c>
      <c r="C351" t="str">
        <f>CONCATENATE(Таблица258[[#This Row],[Столбец1]],Таблица258[[#This Row],[Столбец2]])</f>
        <v>1,631,57</v>
      </c>
      <c r="E351">
        <v>1.68</v>
      </c>
      <c r="F351">
        <v>1.57</v>
      </c>
      <c r="G351" t="str">
        <f>CONCATENATE(Таблица271[[#This Row],[Столбец1]],Таблица271[[#This Row],[Столбец2]])</f>
        <v>1,681,57</v>
      </c>
    </row>
    <row r="352" spans="1:10" x14ac:dyDescent="0.25">
      <c r="A352">
        <v>1.63</v>
      </c>
      <c r="B352">
        <v>1.57</v>
      </c>
      <c r="C352" t="str">
        <f>CONCATENATE(Таблица258[[#This Row],[Столбец1]],Таблица258[[#This Row],[Столбец2]])</f>
        <v>1,631,57</v>
      </c>
      <c r="E352">
        <v>1.68</v>
      </c>
      <c r="F352">
        <v>1.57</v>
      </c>
      <c r="G352" t="str">
        <f>CONCATENATE(Таблица271[[#This Row],[Столбец1]],Таблица271[[#This Row],[Столбец2]])</f>
        <v>1,681,57</v>
      </c>
    </row>
    <row r="353" spans="1:7" x14ac:dyDescent="0.25">
      <c r="A353">
        <v>1.63</v>
      </c>
      <c r="B353">
        <v>1.57</v>
      </c>
      <c r="C353" t="str">
        <f>CONCATENATE(Таблица258[[#This Row],[Столбец1]],Таблица258[[#This Row],[Столбец2]])</f>
        <v>1,631,57</v>
      </c>
      <c r="E353">
        <v>1.68</v>
      </c>
      <c r="F353">
        <v>1.57</v>
      </c>
      <c r="G353" t="str">
        <f>CONCATENATE(Таблица271[[#This Row],[Столбец1]],Таблица271[[#This Row],[Столбец2]])</f>
        <v>1,681,57</v>
      </c>
    </row>
    <row r="354" spans="1:7" x14ac:dyDescent="0.25">
      <c r="A354">
        <v>1.64</v>
      </c>
      <c r="B354">
        <v>1.57</v>
      </c>
      <c r="C354" t="str">
        <f>CONCATENATE(Таблица258[[#This Row],[Столбец1]],Таблица258[[#This Row],[Столбец2]])</f>
        <v>1,641,57</v>
      </c>
      <c r="E354">
        <v>1.68</v>
      </c>
      <c r="F354">
        <v>1.57</v>
      </c>
      <c r="G354" t="str">
        <f>CONCATENATE(Таблица271[[#This Row],[Столбец1]],Таблица271[[#This Row],[Столбец2]])</f>
        <v>1,681,57</v>
      </c>
    </row>
    <row r="355" spans="1:7" x14ac:dyDescent="0.25">
      <c r="A355">
        <v>1.64</v>
      </c>
      <c r="B355">
        <v>1.57</v>
      </c>
      <c r="C355" t="str">
        <f>CONCATENATE(Таблица258[[#This Row],[Столбец1]],Таблица258[[#This Row],[Столбец2]])</f>
        <v>1,641,57</v>
      </c>
      <c r="E355">
        <v>1.68</v>
      </c>
      <c r="F355">
        <v>1.57</v>
      </c>
      <c r="G355" t="str">
        <f>CONCATENATE(Таблица271[[#This Row],[Столбец1]],Таблица271[[#This Row],[Столбец2]])</f>
        <v>1,681,57</v>
      </c>
    </row>
    <row r="356" spans="1:7" x14ac:dyDescent="0.25">
      <c r="A356">
        <v>1.64</v>
      </c>
      <c r="B356">
        <v>1.57</v>
      </c>
      <c r="C356" t="str">
        <f>CONCATENATE(Таблица258[[#This Row],[Столбец1]],Таблица258[[#This Row],[Столбец2]])</f>
        <v>1,641,57</v>
      </c>
      <c r="E356">
        <v>1.69</v>
      </c>
      <c r="F356">
        <v>1.57</v>
      </c>
      <c r="G356" t="str">
        <f>CONCATENATE(Таблица271[[#This Row],[Столбец1]],Таблица271[[#This Row],[Столбец2]])</f>
        <v>1,691,57</v>
      </c>
    </row>
    <row r="357" spans="1:7" x14ac:dyDescent="0.25">
      <c r="A357">
        <v>1.64</v>
      </c>
      <c r="B357">
        <v>1.57</v>
      </c>
      <c r="C357" t="str">
        <f>CONCATENATE(Таблица258[[#This Row],[Столбец1]],Таблица258[[#This Row],[Столбец2]])</f>
        <v>1,641,57</v>
      </c>
      <c r="E357">
        <v>1.69</v>
      </c>
      <c r="F357">
        <v>1.57</v>
      </c>
      <c r="G357" t="str">
        <f>CONCATENATE(Таблица271[[#This Row],[Столбец1]],Таблица271[[#This Row],[Столбец2]])</f>
        <v>1,691,57</v>
      </c>
    </row>
    <row r="358" spans="1:7" x14ac:dyDescent="0.25">
      <c r="A358">
        <v>1.64</v>
      </c>
      <c r="B358">
        <v>1.57</v>
      </c>
      <c r="C358" t="str">
        <f>CONCATENATE(Таблица258[[#This Row],[Столбец1]],Таблица258[[#This Row],[Столбец2]])</f>
        <v>1,641,57</v>
      </c>
      <c r="E358">
        <v>1.69</v>
      </c>
      <c r="F358">
        <v>1.57</v>
      </c>
      <c r="G358" t="str">
        <f>CONCATENATE(Таблица271[[#This Row],[Столбец1]],Таблица271[[#This Row],[Столбец2]])</f>
        <v>1,691,57</v>
      </c>
    </row>
    <row r="359" spans="1:7" x14ac:dyDescent="0.25">
      <c r="A359">
        <v>1.64</v>
      </c>
      <c r="B359">
        <v>1.57</v>
      </c>
      <c r="C359" t="str">
        <f>CONCATENATE(Таблица258[[#This Row],[Столбец1]],Таблица258[[#This Row],[Столбец2]])</f>
        <v>1,641,57</v>
      </c>
      <c r="E359">
        <v>1.69</v>
      </c>
      <c r="F359">
        <v>1.57</v>
      </c>
      <c r="G359" t="str">
        <f>CONCATENATE(Таблица271[[#This Row],[Столбец1]],Таблица271[[#This Row],[Столбец2]])</f>
        <v>1,691,57</v>
      </c>
    </row>
    <row r="360" spans="1:7" x14ac:dyDescent="0.25">
      <c r="A360">
        <v>1.65</v>
      </c>
      <c r="B360">
        <v>1.57</v>
      </c>
      <c r="C360" t="str">
        <f>CONCATENATE(Таблица258[[#This Row],[Столбец1]],Таблица258[[#This Row],[Столбец2]])</f>
        <v>1,651,57</v>
      </c>
      <c r="E360">
        <v>1.69</v>
      </c>
      <c r="F360">
        <v>1.57</v>
      </c>
      <c r="G360" t="str">
        <f>CONCATENATE(Таблица271[[#This Row],[Столбец1]],Таблица271[[#This Row],[Столбец2]])</f>
        <v>1,691,57</v>
      </c>
    </row>
    <row r="361" spans="1:7" x14ac:dyDescent="0.25">
      <c r="A361">
        <v>1.65</v>
      </c>
      <c r="B361">
        <v>1.57</v>
      </c>
      <c r="C361" t="str">
        <f>CONCATENATE(Таблица258[[#This Row],[Столбец1]],Таблица258[[#This Row],[Столбец2]])</f>
        <v>1,651,57</v>
      </c>
      <c r="E361">
        <v>1.69</v>
      </c>
      <c r="F361">
        <v>1.57</v>
      </c>
      <c r="G361" t="str">
        <f>CONCATENATE(Таблица271[[#This Row],[Столбец1]],Таблица271[[#This Row],[Столбец2]])</f>
        <v>1,691,57</v>
      </c>
    </row>
    <row r="362" spans="1:7" x14ac:dyDescent="0.25">
      <c r="A362">
        <v>1.65</v>
      </c>
      <c r="B362">
        <v>1.57</v>
      </c>
      <c r="C362" t="str">
        <f>CONCATENATE(Таблица258[[#This Row],[Столбец1]],Таблица258[[#This Row],[Столбец2]])</f>
        <v>1,651,57</v>
      </c>
      <c r="E362">
        <v>1.7</v>
      </c>
      <c r="F362">
        <v>1.57</v>
      </c>
      <c r="G362" t="str">
        <f>CONCATENATE(Таблица271[[#This Row],[Столбец1]],Таблица271[[#This Row],[Столбец2]])</f>
        <v>1,71,57</v>
      </c>
    </row>
    <row r="363" spans="1:7" x14ac:dyDescent="0.25">
      <c r="A363">
        <v>1.65</v>
      </c>
      <c r="B363">
        <v>1.57</v>
      </c>
      <c r="C363" t="str">
        <f>CONCATENATE(Таблица258[[#This Row],[Столбец1]],Таблица258[[#This Row],[Столбец2]])</f>
        <v>1,651,57</v>
      </c>
      <c r="E363">
        <v>1.7</v>
      </c>
      <c r="F363">
        <v>1.57</v>
      </c>
      <c r="G363" t="str">
        <f>CONCATENATE(Таблица271[[#This Row],[Столбец1]],Таблица271[[#This Row],[Столбец2]])</f>
        <v>1,71,57</v>
      </c>
    </row>
    <row r="364" spans="1:7" x14ac:dyDescent="0.25">
      <c r="A364">
        <v>1.65</v>
      </c>
      <c r="B364">
        <v>1.57</v>
      </c>
      <c r="C364" t="str">
        <f>CONCATENATE(Таблица258[[#This Row],[Столбец1]],Таблица258[[#This Row],[Столбец2]])</f>
        <v>1,651,57</v>
      </c>
      <c r="E364">
        <v>1.7</v>
      </c>
      <c r="F364">
        <v>1.57</v>
      </c>
      <c r="G364" t="str">
        <f>CONCATENATE(Таблица271[[#This Row],[Столбец1]],Таблица271[[#This Row],[Столбец2]])</f>
        <v>1,71,57</v>
      </c>
    </row>
    <row r="365" spans="1:7" x14ac:dyDescent="0.25">
      <c r="A365">
        <v>1.65</v>
      </c>
      <c r="B365">
        <v>1.57</v>
      </c>
      <c r="C365" t="str">
        <f>CONCATENATE(Таблица258[[#This Row],[Столбец1]],Таблица258[[#This Row],[Столбец2]])</f>
        <v>1,651,57</v>
      </c>
      <c r="E365">
        <v>1.7</v>
      </c>
      <c r="F365">
        <v>1.57</v>
      </c>
      <c r="G365" t="str">
        <f>CONCATENATE(Таблица271[[#This Row],[Столбец1]],Таблица271[[#This Row],[Столбец2]])</f>
        <v>1,71,57</v>
      </c>
    </row>
    <row r="366" spans="1:7" x14ac:dyDescent="0.25">
      <c r="A366">
        <v>1.66</v>
      </c>
      <c r="B366">
        <v>1.57</v>
      </c>
      <c r="C366" t="str">
        <f>CONCATENATE(Таблица258[[#This Row],[Столбец1]],Таблица258[[#This Row],[Столбец2]])</f>
        <v>1,661,57</v>
      </c>
      <c r="E366">
        <v>1.7</v>
      </c>
      <c r="F366">
        <v>1.57</v>
      </c>
      <c r="G366" t="str">
        <f>CONCATENATE(Таблица271[[#This Row],[Столбец1]],Таблица271[[#This Row],[Столбец2]])</f>
        <v>1,71,57</v>
      </c>
    </row>
    <row r="367" spans="1:7" x14ac:dyDescent="0.25">
      <c r="A367">
        <v>1.66</v>
      </c>
      <c r="B367">
        <v>1.57</v>
      </c>
      <c r="C367" t="str">
        <f>CONCATENATE(Таблица258[[#This Row],[Столбец1]],Таблица258[[#This Row],[Столбец2]])</f>
        <v>1,661,57</v>
      </c>
      <c r="E367">
        <v>1.7</v>
      </c>
      <c r="F367">
        <v>1.57</v>
      </c>
      <c r="G367" t="str">
        <f>CONCATENATE(Таблица271[[#This Row],[Столбец1]],Таблица271[[#This Row],[Столбец2]])</f>
        <v>1,71,57</v>
      </c>
    </row>
    <row r="368" spans="1:7" x14ac:dyDescent="0.25">
      <c r="A368">
        <v>1.66</v>
      </c>
      <c r="B368">
        <v>1.57</v>
      </c>
      <c r="C368" t="str">
        <f>CONCATENATE(Таблица258[[#This Row],[Столбец1]],Таблица258[[#This Row],[Столбец2]])</f>
        <v>1,661,57</v>
      </c>
      <c r="E368">
        <v>1.71</v>
      </c>
      <c r="F368">
        <v>1.57</v>
      </c>
      <c r="G368" t="str">
        <f>CONCATENATE(Таблица271[[#This Row],[Столбец1]],Таблица271[[#This Row],[Столбец2]])</f>
        <v>1,711,57</v>
      </c>
    </row>
    <row r="369" spans="1:7" x14ac:dyDescent="0.25">
      <c r="A369">
        <v>1.66</v>
      </c>
      <c r="B369">
        <v>1.57</v>
      </c>
      <c r="C369" t="str">
        <f>CONCATENATE(Таблица258[[#This Row],[Столбец1]],Таблица258[[#This Row],[Столбец2]])</f>
        <v>1,661,57</v>
      </c>
      <c r="E369">
        <v>1.71</v>
      </c>
      <c r="F369">
        <v>1.57</v>
      </c>
      <c r="G369" t="str">
        <f>CONCATENATE(Таблица271[[#This Row],[Столбец1]],Таблица271[[#This Row],[Столбец2]])</f>
        <v>1,711,57</v>
      </c>
    </row>
    <row r="370" spans="1:7" x14ac:dyDescent="0.25">
      <c r="A370">
        <v>1.66</v>
      </c>
      <c r="B370">
        <v>1.57</v>
      </c>
      <c r="C370" t="str">
        <f>CONCATENATE(Таблица258[[#This Row],[Столбец1]],Таблица258[[#This Row],[Столбец2]])</f>
        <v>1,661,57</v>
      </c>
      <c r="E370">
        <v>1.71</v>
      </c>
      <c r="F370">
        <v>1.57</v>
      </c>
      <c r="G370" t="str">
        <f>CONCATENATE(Таблица271[[#This Row],[Столбец1]],Таблица271[[#This Row],[Столбец2]])</f>
        <v>1,711,57</v>
      </c>
    </row>
    <row r="371" spans="1:7" x14ac:dyDescent="0.25">
      <c r="A371">
        <v>1.66</v>
      </c>
      <c r="B371">
        <v>1.57</v>
      </c>
      <c r="C371" t="str">
        <f>CONCATENATE(Таблица258[[#This Row],[Столбец1]],Таблица258[[#This Row],[Столбец2]])</f>
        <v>1,661,57</v>
      </c>
      <c r="E371">
        <v>1.71</v>
      </c>
      <c r="F371">
        <v>1.57</v>
      </c>
      <c r="G371" t="str">
        <f>CONCATENATE(Таблица271[[#This Row],[Столбец1]],Таблица271[[#This Row],[Столбец2]])</f>
        <v>1,711,57</v>
      </c>
    </row>
    <row r="372" spans="1:7" x14ac:dyDescent="0.25">
      <c r="A372">
        <v>1.67</v>
      </c>
      <c r="B372">
        <v>1.57</v>
      </c>
      <c r="C372" t="str">
        <f>CONCATENATE(Таблица258[[#This Row],[Столбец1]],Таблица258[[#This Row],[Столбец2]])</f>
        <v>1,671,57</v>
      </c>
      <c r="E372">
        <v>1.71</v>
      </c>
      <c r="F372">
        <v>1.57</v>
      </c>
      <c r="G372" t="str">
        <f>CONCATENATE(Таблица271[[#This Row],[Столбец1]],Таблица271[[#This Row],[Столбец2]])</f>
        <v>1,711,57</v>
      </c>
    </row>
    <row r="373" spans="1:7" x14ac:dyDescent="0.25">
      <c r="A373">
        <v>1.67</v>
      </c>
      <c r="B373">
        <v>1.57</v>
      </c>
      <c r="C373" t="str">
        <f>CONCATENATE(Таблица258[[#This Row],[Столбец1]],Таблица258[[#This Row],[Столбец2]])</f>
        <v>1,671,57</v>
      </c>
      <c r="E373">
        <v>1.71</v>
      </c>
      <c r="F373">
        <v>1.57</v>
      </c>
      <c r="G373" t="str">
        <f>CONCATENATE(Таблица271[[#This Row],[Столбец1]],Таблица271[[#This Row],[Столбец2]])</f>
        <v>1,711,57</v>
      </c>
    </row>
    <row r="374" spans="1:7" x14ac:dyDescent="0.25">
      <c r="A374">
        <v>1.67</v>
      </c>
      <c r="B374">
        <v>1.57</v>
      </c>
      <c r="C374" t="str">
        <f>CONCATENATE(Таблица258[[#This Row],[Столбец1]],Таблица258[[#This Row],[Столбец2]])</f>
        <v>1,671,57</v>
      </c>
      <c r="E374">
        <v>1.72</v>
      </c>
      <c r="F374">
        <v>1.57</v>
      </c>
      <c r="G374" t="str">
        <f>CONCATENATE(Таблица271[[#This Row],[Столбец1]],Таблица271[[#This Row],[Столбец2]])</f>
        <v>1,721,57</v>
      </c>
    </row>
    <row r="375" spans="1:7" x14ac:dyDescent="0.25">
      <c r="A375">
        <v>1.67</v>
      </c>
      <c r="B375">
        <v>1.57</v>
      </c>
      <c r="C375" t="str">
        <f>CONCATENATE(Таблица258[[#This Row],[Столбец1]],Таблица258[[#This Row],[Столбец2]])</f>
        <v>1,671,57</v>
      </c>
      <c r="E375">
        <v>1.72</v>
      </c>
      <c r="F375">
        <v>1.57</v>
      </c>
      <c r="G375" t="str">
        <f>CONCATENATE(Таблица271[[#This Row],[Столбец1]],Таблица271[[#This Row],[Столбец2]])</f>
        <v>1,721,57</v>
      </c>
    </row>
    <row r="376" spans="1:7" x14ac:dyDescent="0.25">
      <c r="A376">
        <v>1.67</v>
      </c>
      <c r="B376">
        <v>1.57</v>
      </c>
      <c r="C376" t="str">
        <f>CONCATENATE(Таблица258[[#This Row],[Столбец1]],Таблица258[[#This Row],[Столбец2]])</f>
        <v>1,671,57</v>
      </c>
      <c r="E376">
        <v>1.72</v>
      </c>
      <c r="F376">
        <v>1.57</v>
      </c>
      <c r="G376" t="str">
        <f>CONCATENATE(Таблица271[[#This Row],[Столбец1]],Таблица271[[#This Row],[Столбец2]])</f>
        <v>1,721,57</v>
      </c>
    </row>
    <row r="377" spans="1:7" x14ac:dyDescent="0.25">
      <c r="A377">
        <v>1.67</v>
      </c>
      <c r="B377">
        <v>1.57</v>
      </c>
      <c r="C377" t="str">
        <f>CONCATENATE(Таблица258[[#This Row],[Столбец1]],Таблица258[[#This Row],[Столбец2]])</f>
        <v>1,671,57</v>
      </c>
      <c r="E377">
        <v>1.72</v>
      </c>
      <c r="F377">
        <v>1.57</v>
      </c>
      <c r="G377" t="str">
        <f>CONCATENATE(Таблица271[[#This Row],[Столбец1]],Таблица271[[#This Row],[Столбец2]])</f>
        <v>1,721,57</v>
      </c>
    </row>
    <row r="378" spans="1:7" x14ac:dyDescent="0.25">
      <c r="A378">
        <v>1.68</v>
      </c>
      <c r="B378">
        <v>1.57</v>
      </c>
      <c r="C378" t="str">
        <f>CONCATENATE(Таблица258[[#This Row],[Столбец1]],Таблица258[[#This Row],[Столбец2]])</f>
        <v>1,681,57</v>
      </c>
      <c r="E378">
        <v>1.72</v>
      </c>
      <c r="F378">
        <v>1.57</v>
      </c>
      <c r="G378" t="str">
        <f>CONCATENATE(Таблица271[[#This Row],[Столбец1]],Таблица271[[#This Row],[Столбец2]])</f>
        <v>1,721,57</v>
      </c>
    </row>
    <row r="379" spans="1:7" x14ac:dyDescent="0.25">
      <c r="A379">
        <v>1.68</v>
      </c>
      <c r="B379">
        <v>1.57</v>
      </c>
      <c r="C379" t="str">
        <f>CONCATENATE(Таблица258[[#This Row],[Столбец1]],Таблица258[[#This Row],[Столбец2]])</f>
        <v>1,681,57</v>
      </c>
      <c r="E379">
        <v>1.72</v>
      </c>
      <c r="F379">
        <v>1.57</v>
      </c>
      <c r="G379" t="str">
        <f>CONCATENATE(Таблица271[[#This Row],[Столбец1]],Таблица271[[#This Row],[Столбец2]])</f>
        <v>1,721,57</v>
      </c>
    </row>
    <row r="380" spans="1:7" x14ac:dyDescent="0.25">
      <c r="A380">
        <v>1.68</v>
      </c>
      <c r="B380">
        <v>1.57</v>
      </c>
      <c r="C380" t="str">
        <f>CONCATENATE(Таблица258[[#This Row],[Столбец1]],Таблица258[[#This Row],[Столбец2]])</f>
        <v>1,681,57</v>
      </c>
      <c r="E380">
        <v>1.73</v>
      </c>
      <c r="F380">
        <v>1.57</v>
      </c>
      <c r="G380" t="str">
        <f>CONCATENATE(Таблица271[[#This Row],[Столбец1]],Таблица271[[#This Row],[Столбец2]])</f>
        <v>1,731,57</v>
      </c>
    </row>
    <row r="381" spans="1:7" x14ac:dyDescent="0.25">
      <c r="A381">
        <v>1.68</v>
      </c>
      <c r="B381">
        <v>1.57</v>
      </c>
      <c r="C381" t="str">
        <f>CONCATENATE(Таблица258[[#This Row],[Столбец1]],Таблица258[[#This Row],[Столбец2]])</f>
        <v>1,681,57</v>
      </c>
      <c r="E381">
        <v>1.73</v>
      </c>
      <c r="F381">
        <v>1.57</v>
      </c>
      <c r="G381" t="str">
        <f>CONCATENATE(Таблица271[[#This Row],[Столбец1]],Таблица271[[#This Row],[Столбец2]])</f>
        <v>1,731,57</v>
      </c>
    </row>
    <row r="382" spans="1:7" x14ac:dyDescent="0.25">
      <c r="A382">
        <v>1.68</v>
      </c>
      <c r="B382">
        <v>1.57</v>
      </c>
      <c r="C382" t="str">
        <f>CONCATENATE(Таблица258[[#This Row],[Столбец1]],Таблица258[[#This Row],[Столбец2]])</f>
        <v>1,681,57</v>
      </c>
      <c r="E382">
        <v>1.73</v>
      </c>
      <c r="F382">
        <v>1.57</v>
      </c>
      <c r="G382" t="str">
        <f>CONCATENATE(Таблица271[[#This Row],[Столбец1]],Таблица271[[#This Row],[Столбец2]])</f>
        <v>1,731,57</v>
      </c>
    </row>
    <row r="383" spans="1:7" x14ac:dyDescent="0.25">
      <c r="A383">
        <v>1.68</v>
      </c>
      <c r="B383">
        <v>1.57</v>
      </c>
      <c r="C383" t="str">
        <f>CONCATENATE(Таблица258[[#This Row],[Столбец1]],Таблица258[[#This Row],[Столбец2]])</f>
        <v>1,681,57</v>
      </c>
      <c r="E383">
        <v>1.73</v>
      </c>
      <c r="F383">
        <v>1.57</v>
      </c>
      <c r="G383" t="str">
        <f>CONCATENATE(Таблица271[[#This Row],[Столбец1]],Таблица271[[#This Row],[Столбец2]])</f>
        <v>1,731,57</v>
      </c>
    </row>
    <row r="384" spans="1:7" x14ac:dyDescent="0.25">
      <c r="A384">
        <v>1.69</v>
      </c>
      <c r="B384">
        <v>1.57</v>
      </c>
      <c r="C384" t="str">
        <f>CONCATENATE(Таблица258[[#This Row],[Столбец1]],Таблица258[[#This Row],[Столбец2]])</f>
        <v>1,691,57</v>
      </c>
      <c r="E384">
        <v>1.73</v>
      </c>
      <c r="F384">
        <v>1.57</v>
      </c>
      <c r="G384" t="str">
        <f>CONCATENATE(Таблица271[[#This Row],[Столбец1]],Таблица271[[#This Row],[Столбец2]])</f>
        <v>1,731,57</v>
      </c>
    </row>
    <row r="385" spans="1:7" x14ac:dyDescent="0.25">
      <c r="A385">
        <v>1.69</v>
      </c>
      <c r="B385">
        <v>1.57</v>
      </c>
      <c r="C385" t="str">
        <f>CONCATENATE(Таблица258[[#This Row],[Столбец1]],Таблица258[[#This Row],[Столбец2]])</f>
        <v>1,691,57</v>
      </c>
      <c r="E385">
        <v>1.73</v>
      </c>
      <c r="F385">
        <v>1.57</v>
      </c>
      <c r="G385" t="str">
        <f>CONCATENATE(Таблица271[[#This Row],[Столбец1]],Таблица271[[#This Row],[Столбец2]])</f>
        <v>1,731,57</v>
      </c>
    </row>
    <row r="386" spans="1:7" x14ac:dyDescent="0.25">
      <c r="A386">
        <v>1.69</v>
      </c>
      <c r="B386">
        <v>1.57</v>
      </c>
      <c r="C386" t="str">
        <f>CONCATENATE(Таблица258[[#This Row],[Столбец1]],Таблица258[[#This Row],[Столбец2]])</f>
        <v>1,691,57</v>
      </c>
      <c r="E386">
        <v>1.74</v>
      </c>
      <c r="F386">
        <v>1.57</v>
      </c>
      <c r="G386" t="str">
        <f>CONCATENATE(Таблица271[[#This Row],[Столбец1]],Таблица271[[#This Row],[Столбец2]])</f>
        <v>1,741,57</v>
      </c>
    </row>
    <row r="387" spans="1:7" x14ac:dyDescent="0.25">
      <c r="A387">
        <v>1.69</v>
      </c>
      <c r="B387">
        <v>1.57</v>
      </c>
      <c r="C387" t="str">
        <f>CONCATENATE(Таблица258[[#This Row],[Столбец1]],Таблица258[[#This Row],[Столбец2]])</f>
        <v>1,691,57</v>
      </c>
      <c r="E387">
        <v>1.74</v>
      </c>
      <c r="F387">
        <v>1.57</v>
      </c>
      <c r="G387" t="str">
        <f>CONCATENATE(Таблица271[[#This Row],[Столбец1]],Таблица271[[#This Row],[Столбец2]])</f>
        <v>1,741,57</v>
      </c>
    </row>
    <row r="388" spans="1:7" x14ac:dyDescent="0.25">
      <c r="A388">
        <v>1.69</v>
      </c>
      <c r="B388">
        <v>1.57</v>
      </c>
      <c r="C388" t="str">
        <f>CONCATENATE(Таблица258[[#This Row],[Столбец1]],Таблица258[[#This Row],[Столбец2]])</f>
        <v>1,691,57</v>
      </c>
      <c r="E388">
        <v>1.74</v>
      </c>
      <c r="F388">
        <v>1.57</v>
      </c>
      <c r="G388" t="str">
        <f>CONCATENATE(Таблица271[[#This Row],[Столбец1]],Таблица271[[#This Row],[Столбец2]])</f>
        <v>1,741,57</v>
      </c>
    </row>
    <row r="389" spans="1:7" x14ac:dyDescent="0.25">
      <c r="A389">
        <v>1.69</v>
      </c>
      <c r="B389">
        <v>1.57</v>
      </c>
      <c r="C389" t="str">
        <f>CONCATENATE(Таблица258[[#This Row],[Столбец1]],Таблица258[[#This Row],[Столбец2]])</f>
        <v>1,691,57</v>
      </c>
      <c r="E389">
        <v>1.74</v>
      </c>
      <c r="F389">
        <v>1.57</v>
      </c>
      <c r="G389" t="str">
        <f>CONCATENATE(Таблица271[[#This Row],[Столбец1]],Таблица271[[#This Row],[Столбец2]])</f>
        <v>1,741,57</v>
      </c>
    </row>
    <row r="390" spans="1:7" x14ac:dyDescent="0.25">
      <c r="A390">
        <v>1.7</v>
      </c>
      <c r="B390">
        <v>1.57</v>
      </c>
      <c r="C390" t="str">
        <f>CONCATENATE(Таблица258[[#This Row],[Столбец1]],Таблица258[[#This Row],[Столбец2]])</f>
        <v>1,71,57</v>
      </c>
      <c r="E390">
        <v>1.74</v>
      </c>
      <c r="F390">
        <v>1.57</v>
      </c>
      <c r="G390" t="str">
        <f>CONCATENATE(Таблица271[[#This Row],[Столбец1]],Таблица271[[#This Row],[Столбец2]])</f>
        <v>1,741,57</v>
      </c>
    </row>
    <row r="391" spans="1:7" x14ac:dyDescent="0.25">
      <c r="A391">
        <v>1.7</v>
      </c>
      <c r="B391">
        <v>1.57</v>
      </c>
      <c r="C391" t="str">
        <f>CONCATENATE(Таблица258[[#This Row],[Столбец1]],Таблица258[[#This Row],[Столбец2]])</f>
        <v>1,71,57</v>
      </c>
      <c r="E391">
        <v>1.74</v>
      </c>
      <c r="F391">
        <v>1.57</v>
      </c>
      <c r="G391" t="str">
        <f>CONCATENATE(Таблица271[[#This Row],[Столбец1]],Таблица271[[#This Row],[Столбец2]])</f>
        <v>1,741,57</v>
      </c>
    </row>
    <row r="392" spans="1:7" x14ac:dyDescent="0.25">
      <c r="A392">
        <v>1.7</v>
      </c>
      <c r="B392">
        <v>1.57</v>
      </c>
      <c r="C392" t="str">
        <f>CONCATENATE(Таблица258[[#This Row],[Столбец1]],Таблица258[[#This Row],[Столбец2]])</f>
        <v>1,71,57</v>
      </c>
      <c r="E392">
        <v>1.75</v>
      </c>
      <c r="F392">
        <v>1.57</v>
      </c>
      <c r="G392" t="str">
        <f>CONCATENATE(Таблица271[[#This Row],[Столбец1]],Таблица271[[#This Row],[Столбец2]])</f>
        <v>1,751,57</v>
      </c>
    </row>
    <row r="393" spans="1:7" x14ac:dyDescent="0.25">
      <c r="A393">
        <v>1.7</v>
      </c>
      <c r="B393">
        <v>1.57</v>
      </c>
      <c r="C393" t="str">
        <f>CONCATENATE(Таблица258[[#This Row],[Столбец1]],Таблица258[[#This Row],[Столбец2]])</f>
        <v>1,71,57</v>
      </c>
      <c r="E393">
        <v>1.75</v>
      </c>
      <c r="F393">
        <v>1.57</v>
      </c>
      <c r="G393" t="str">
        <f>CONCATENATE(Таблица271[[#This Row],[Столбец1]],Таблица271[[#This Row],[Столбец2]])</f>
        <v>1,751,57</v>
      </c>
    </row>
    <row r="394" spans="1:7" x14ac:dyDescent="0.25">
      <c r="A394">
        <v>1.7</v>
      </c>
      <c r="B394">
        <v>1.57</v>
      </c>
      <c r="C394" t="str">
        <f>CONCATENATE(Таблица258[[#This Row],[Столбец1]],Таблица258[[#This Row],[Столбец2]])</f>
        <v>1,71,57</v>
      </c>
      <c r="E394">
        <v>1.75</v>
      </c>
      <c r="F394">
        <v>1.57</v>
      </c>
      <c r="G394" t="str">
        <f>CONCATENATE(Таблица271[[#This Row],[Столбец1]],Таблица271[[#This Row],[Столбец2]])</f>
        <v>1,751,57</v>
      </c>
    </row>
    <row r="395" spans="1:7" x14ac:dyDescent="0.25">
      <c r="A395">
        <v>1.7</v>
      </c>
      <c r="B395">
        <v>1.57</v>
      </c>
      <c r="C395" t="str">
        <f>CONCATENATE(Таблица258[[#This Row],[Столбец1]],Таблица258[[#This Row],[Столбец2]])</f>
        <v>1,71,57</v>
      </c>
      <c r="E395">
        <v>1.75</v>
      </c>
      <c r="F395">
        <v>1.57</v>
      </c>
      <c r="G395" t="str">
        <f>CONCATENATE(Таблица271[[#This Row],[Столбец1]],Таблица271[[#This Row],[Столбец2]])</f>
        <v>1,751,57</v>
      </c>
    </row>
    <row r="396" spans="1:7" x14ac:dyDescent="0.25">
      <c r="A396">
        <v>1.71</v>
      </c>
      <c r="B396">
        <v>1.57</v>
      </c>
      <c r="C396" t="str">
        <f>CONCATENATE(Таблица258[[#This Row],[Столбец1]],Таблица258[[#This Row],[Столбец2]])</f>
        <v>1,711,57</v>
      </c>
      <c r="E396">
        <v>1.75</v>
      </c>
      <c r="F396">
        <v>1.57</v>
      </c>
      <c r="G396" t="str">
        <f>CONCATENATE(Таблица271[[#This Row],[Столбец1]],Таблица271[[#This Row],[Столбец2]])</f>
        <v>1,751,57</v>
      </c>
    </row>
    <row r="397" spans="1:7" x14ac:dyDescent="0.25">
      <c r="A397">
        <v>1.71</v>
      </c>
      <c r="B397">
        <v>1.57</v>
      </c>
      <c r="C397" t="str">
        <f>CONCATENATE(Таблица258[[#This Row],[Столбец1]],Таблица258[[#This Row],[Столбец2]])</f>
        <v>1,711,57</v>
      </c>
      <c r="E397">
        <v>1.75</v>
      </c>
      <c r="F397">
        <v>1.57</v>
      </c>
      <c r="G397" t="str">
        <f>CONCATENATE(Таблица271[[#This Row],[Столбец1]],Таблица271[[#This Row],[Столбец2]])</f>
        <v>1,751,57</v>
      </c>
    </row>
    <row r="398" spans="1:7" x14ac:dyDescent="0.25">
      <c r="A398">
        <v>1.71</v>
      </c>
      <c r="B398">
        <v>1.57</v>
      </c>
      <c r="C398" t="str">
        <f>CONCATENATE(Таблица258[[#This Row],[Столбец1]],Таблица258[[#This Row],[Столбец2]])</f>
        <v>1,711,57</v>
      </c>
      <c r="E398">
        <v>1.76</v>
      </c>
      <c r="F398">
        <v>1.57</v>
      </c>
      <c r="G398" t="str">
        <f>CONCATENATE(Таблица271[[#This Row],[Столбец1]],Таблица271[[#This Row],[Столбец2]])</f>
        <v>1,761,57</v>
      </c>
    </row>
    <row r="399" spans="1:7" x14ac:dyDescent="0.25">
      <c r="A399">
        <v>1.71</v>
      </c>
      <c r="B399">
        <v>1.57</v>
      </c>
      <c r="C399" t="str">
        <f>CONCATENATE(Таблица258[[#This Row],[Столбец1]],Таблица258[[#This Row],[Столбец2]])</f>
        <v>1,711,57</v>
      </c>
      <c r="E399">
        <v>1.76</v>
      </c>
      <c r="F399">
        <v>1.57</v>
      </c>
      <c r="G399" t="str">
        <f>CONCATENATE(Таблица271[[#This Row],[Столбец1]],Таблица271[[#This Row],[Столбец2]])</f>
        <v>1,761,57</v>
      </c>
    </row>
    <row r="400" spans="1:7" x14ac:dyDescent="0.25">
      <c r="A400">
        <v>1.71</v>
      </c>
      <c r="B400">
        <v>1.57</v>
      </c>
      <c r="C400" t="str">
        <f>CONCATENATE(Таблица258[[#This Row],[Столбец1]],Таблица258[[#This Row],[Столбец2]])</f>
        <v>1,711,57</v>
      </c>
      <c r="E400">
        <v>1.76</v>
      </c>
      <c r="F400">
        <v>1.57</v>
      </c>
      <c r="G400" t="str">
        <f>CONCATENATE(Таблица271[[#This Row],[Столбец1]],Таблица271[[#This Row],[Столбец2]])</f>
        <v>1,761,57</v>
      </c>
    </row>
    <row r="401" spans="1:7" x14ac:dyDescent="0.25">
      <c r="A401">
        <v>1.71</v>
      </c>
      <c r="B401">
        <v>1.57</v>
      </c>
      <c r="C401" t="str">
        <f>CONCATENATE(Таблица258[[#This Row],[Столбец1]],Таблица258[[#This Row],[Столбец2]])</f>
        <v>1,711,57</v>
      </c>
      <c r="E401">
        <v>1.76</v>
      </c>
      <c r="F401">
        <v>1.57</v>
      </c>
      <c r="G401" t="str">
        <f>CONCATENATE(Таблица271[[#This Row],[Столбец1]],Таблица271[[#This Row],[Столбец2]])</f>
        <v>1,761,57</v>
      </c>
    </row>
    <row r="402" spans="1:7" x14ac:dyDescent="0.25">
      <c r="A402">
        <v>1.72</v>
      </c>
      <c r="B402">
        <v>1.57</v>
      </c>
      <c r="C402" t="str">
        <f>CONCATENATE(Таблица258[[#This Row],[Столбец1]],Таблица258[[#This Row],[Столбец2]])</f>
        <v>1,721,57</v>
      </c>
      <c r="E402">
        <v>1.76</v>
      </c>
      <c r="F402">
        <v>1.57</v>
      </c>
      <c r="G402" t="str">
        <f>CONCATENATE(Таблица271[[#This Row],[Столбец1]],Таблица271[[#This Row],[Столбец2]])</f>
        <v>1,761,57</v>
      </c>
    </row>
    <row r="403" spans="1:7" x14ac:dyDescent="0.25">
      <c r="A403">
        <v>1.72</v>
      </c>
      <c r="B403">
        <v>1.57</v>
      </c>
      <c r="C403" t="str">
        <f>CONCATENATE(Таблица258[[#This Row],[Столбец1]],Таблица258[[#This Row],[Столбец2]])</f>
        <v>1,721,57</v>
      </c>
      <c r="E403">
        <v>1.76</v>
      </c>
      <c r="F403">
        <v>1.57</v>
      </c>
      <c r="G403" t="str">
        <f>CONCATENATE(Таблица271[[#This Row],[Столбец1]],Таблица271[[#This Row],[Столбец2]])</f>
        <v>1,761,57</v>
      </c>
    </row>
    <row r="404" spans="1:7" x14ac:dyDescent="0.25">
      <c r="A404">
        <v>1.72</v>
      </c>
      <c r="B404">
        <v>1.57</v>
      </c>
      <c r="C404" t="str">
        <f>CONCATENATE(Таблица258[[#This Row],[Столбец1]],Таблица258[[#This Row],[Столбец2]])</f>
        <v>1,721,57</v>
      </c>
      <c r="E404">
        <v>1.77</v>
      </c>
      <c r="F404">
        <v>1.57</v>
      </c>
      <c r="G404" t="str">
        <f>CONCATENATE(Таблица271[[#This Row],[Столбец1]],Таблица271[[#This Row],[Столбец2]])</f>
        <v>1,771,57</v>
      </c>
    </row>
    <row r="405" spans="1:7" x14ac:dyDescent="0.25">
      <c r="A405">
        <v>1.72</v>
      </c>
      <c r="B405">
        <v>1.57</v>
      </c>
      <c r="C405" t="str">
        <f>CONCATENATE(Таблица258[[#This Row],[Столбец1]],Таблица258[[#This Row],[Столбец2]])</f>
        <v>1,721,57</v>
      </c>
      <c r="E405">
        <v>1.77</v>
      </c>
      <c r="F405">
        <v>1.57</v>
      </c>
      <c r="G405" t="str">
        <f>CONCATENATE(Таблица271[[#This Row],[Столбец1]],Таблица271[[#This Row],[Столбец2]])</f>
        <v>1,771,57</v>
      </c>
    </row>
    <row r="406" spans="1:7" x14ac:dyDescent="0.25">
      <c r="A406">
        <v>1.72</v>
      </c>
      <c r="B406">
        <v>1.57</v>
      </c>
      <c r="C406" t="str">
        <f>CONCATENATE(Таблица258[[#This Row],[Столбец1]],Таблица258[[#This Row],[Столбец2]])</f>
        <v>1,721,57</v>
      </c>
      <c r="E406">
        <v>1.77</v>
      </c>
      <c r="F406">
        <v>1.57</v>
      </c>
      <c r="G406" t="str">
        <f>CONCATENATE(Таблица271[[#This Row],[Столбец1]],Таблица271[[#This Row],[Столбец2]])</f>
        <v>1,771,57</v>
      </c>
    </row>
    <row r="407" spans="1:7" x14ac:dyDescent="0.25">
      <c r="A407">
        <v>1.72</v>
      </c>
      <c r="B407">
        <v>1.57</v>
      </c>
      <c r="C407" t="str">
        <f>CONCATENATE(Таблица258[[#This Row],[Столбец1]],Таблица258[[#This Row],[Столбец2]])</f>
        <v>1,721,57</v>
      </c>
      <c r="E407">
        <v>1.77</v>
      </c>
      <c r="F407">
        <v>1.57</v>
      </c>
      <c r="G407" t="str">
        <f>CONCATENATE(Таблица271[[#This Row],[Столбец1]],Таблица271[[#This Row],[Столбец2]])</f>
        <v>1,771,57</v>
      </c>
    </row>
    <row r="408" spans="1:7" x14ac:dyDescent="0.25">
      <c r="A408">
        <v>1.73</v>
      </c>
      <c r="B408">
        <v>1.57</v>
      </c>
      <c r="C408" t="str">
        <f>CONCATENATE(Таблица258[[#This Row],[Столбец1]],Таблица258[[#This Row],[Столбец2]])</f>
        <v>1,731,57</v>
      </c>
      <c r="E408">
        <v>1.77</v>
      </c>
      <c r="F408">
        <v>1.57</v>
      </c>
      <c r="G408" t="str">
        <f>CONCATENATE(Таблица271[[#This Row],[Столбец1]],Таблица271[[#This Row],[Столбец2]])</f>
        <v>1,771,57</v>
      </c>
    </row>
    <row r="409" spans="1:7" x14ac:dyDescent="0.25">
      <c r="A409">
        <v>1.73</v>
      </c>
      <c r="B409">
        <v>1.57</v>
      </c>
      <c r="C409" t="str">
        <f>CONCATENATE(Таблица258[[#This Row],[Столбец1]],Таблица258[[#This Row],[Столбец2]])</f>
        <v>1,731,57</v>
      </c>
      <c r="E409">
        <v>1.77</v>
      </c>
      <c r="F409">
        <v>1.57</v>
      </c>
      <c r="G409" t="str">
        <f>CONCATENATE(Таблица271[[#This Row],[Столбец1]],Таблица271[[#This Row],[Столбец2]])</f>
        <v>1,771,57</v>
      </c>
    </row>
    <row r="410" spans="1:7" x14ac:dyDescent="0.25">
      <c r="A410">
        <v>1.73</v>
      </c>
      <c r="B410">
        <v>1.57</v>
      </c>
      <c r="C410" t="str">
        <f>CONCATENATE(Таблица258[[#This Row],[Столбец1]],Таблица258[[#This Row],[Столбец2]])</f>
        <v>1,731,57</v>
      </c>
      <c r="E410">
        <v>1.78</v>
      </c>
      <c r="F410">
        <v>1.57</v>
      </c>
      <c r="G410" t="str">
        <f>CONCATENATE(Таблица271[[#This Row],[Столбец1]],Таблица271[[#This Row],[Столбец2]])</f>
        <v>1,781,57</v>
      </c>
    </row>
    <row r="411" spans="1:7" x14ac:dyDescent="0.25">
      <c r="A411">
        <v>1.73</v>
      </c>
      <c r="B411">
        <v>1.57</v>
      </c>
      <c r="C411" t="str">
        <f>CONCATENATE(Таблица258[[#This Row],[Столбец1]],Таблица258[[#This Row],[Столбец2]])</f>
        <v>1,731,57</v>
      </c>
      <c r="E411">
        <v>1.78</v>
      </c>
      <c r="F411">
        <v>1.57</v>
      </c>
      <c r="G411" t="str">
        <f>CONCATENATE(Таблица271[[#This Row],[Столбец1]],Таблица271[[#This Row],[Столбец2]])</f>
        <v>1,781,57</v>
      </c>
    </row>
    <row r="412" spans="1:7" x14ac:dyDescent="0.25">
      <c r="A412">
        <v>1.73</v>
      </c>
      <c r="B412">
        <v>1.57</v>
      </c>
      <c r="C412" t="str">
        <f>CONCATENATE(Таблица258[[#This Row],[Столбец1]],Таблица258[[#This Row],[Столбец2]])</f>
        <v>1,731,57</v>
      </c>
      <c r="E412">
        <v>1.78</v>
      </c>
      <c r="F412">
        <v>1.57</v>
      </c>
      <c r="G412" t="str">
        <f>CONCATENATE(Таблица271[[#This Row],[Столбец1]],Таблица271[[#This Row],[Столбец2]])</f>
        <v>1,781,57</v>
      </c>
    </row>
    <row r="413" spans="1:7" x14ac:dyDescent="0.25">
      <c r="A413">
        <v>1.73</v>
      </c>
      <c r="B413">
        <v>1.57</v>
      </c>
      <c r="C413" t="str">
        <f>CONCATENATE(Таблица258[[#This Row],[Столбец1]],Таблица258[[#This Row],[Столбец2]])</f>
        <v>1,731,57</v>
      </c>
      <c r="E413">
        <v>1.78</v>
      </c>
      <c r="F413">
        <v>1.57</v>
      </c>
      <c r="G413" t="str">
        <f>CONCATENATE(Таблица271[[#This Row],[Столбец1]],Таблица271[[#This Row],[Столбец2]])</f>
        <v>1,781,57</v>
      </c>
    </row>
    <row r="414" spans="1:7" x14ac:dyDescent="0.25">
      <c r="A414">
        <v>1.74</v>
      </c>
      <c r="B414">
        <v>1.57</v>
      </c>
      <c r="C414" t="str">
        <f>CONCATENATE(Таблица258[[#This Row],[Столбец1]],Таблица258[[#This Row],[Столбец2]])</f>
        <v>1,741,57</v>
      </c>
      <c r="E414">
        <v>1.78</v>
      </c>
      <c r="F414">
        <v>1.57</v>
      </c>
      <c r="G414" t="str">
        <f>CONCATENATE(Таблица271[[#This Row],[Столбец1]],Таблица271[[#This Row],[Столбец2]])</f>
        <v>1,781,57</v>
      </c>
    </row>
    <row r="415" spans="1:7" x14ac:dyDescent="0.25">
      <c r="A415">
        <v>1.74</v>
      </c>
      <c r="B415">
        <v>1.57</v>
      </c>
      <c r="C415" t="str">
        <f>CONCATENATE(Таблица258[[#This Row],[Столбец1]],Таблица258[[#This Row],[Столбец2]])</f>
        <v>1,741,57</v>
      </c>
      <c r="E415">
        <v>1.78</v>
      </c>
      <c r="F415">
        <v>1.57</v>
      </c>
      <c r="G415" t="str">
        <f>CONCATENATE(Таблица271[[#This Row],[Столбец1]],Таблица271[[#This Row],[Столбец2]])</f>
        <v>1,781,57</v>
      </c>
    </row>
    <row r="416" spans="1:7" x14ac:dyDescent="0.25">
      <c r="A416">
        <v>1.74</v>
      </c>
      <c r="B416">
        <v>1.57</v>
      </c>
      <c r="C416" t="str">
        <f>CONCATENATE(Таблица258[[#This Row],[Столбец1]],Таблица258[[#This Row],[Столбец2]])</f>
        <v>1,741,57</v>
      </c>
      <c r="E416">
        <v>1.79</v>
      </c>
      <c r="F416">
        <v>1.57</v>
      </c>
      <c r="G416" t="str">
        <f>CONCATENATE(Таблица271[[#This Row],[Столбец1]],Таблица271[[#This Row],[Столбец2]])</f>
        <v>1,791,57</v>
      </c>
    </row>
    <row r="417" spans="1:7" x14ac:dyDescent="0.25">
      <c r="A417">
        <v>1.74</v>
      </c>
      <c r="B417">
        <v>1.57</v>
      </c>
      <c r="C417" t="str">
        <f>CONCATENATE(Таблица258[[#This Row],[Столбец1]],Таблица258[[#This Row],[Столбец2]])</f>
        <v>1,741,57</v>
      </c>
      <c r="E417">
        <v>1.79</v>
      </c>
      <c r="F417">
        <v>1.57</v>
      </c>
      <c r="G417" t="str">
        <f>CONCATENATE(Таблица271[[#This Row],[Столбец1]],Таблица271[[#This Row],[Столбец2]])</f>
        <v>1,791,57</v>
      </c>
    </row>
    <row r="418" spans="1:7" x14ac:dyDescent="0.25">
      <c r="A418">
        <v>1.74</v>
      </c>
      <c r="B418">
        <v>1.57</v>
      </c>
      <c r="C418" t="str">
        <f>CONCATENATE(Таблица258[[#This Row],[Столбец1]],Таблица258[[#This Row],[Столбец2]])</f>
        <v>1,741,57</v>
      </c>
      <c r="E418">
        <v>1.79</v>
      </c>
      <c r="F418">
        <v>1.57</v>
      </c>
      <c r="G418" t="str">
        <f>CONCATENATE(Таблица271[[#This Row],[Столбец1]],Таблица271[[#This Row],[Столбец2]])</f>
        <v>1,791,57</v>
      </c>
    </row>
    <row r="419" spans="1:7" x14ac:dyDescent="0.25">
      <c r="A419">
        <v>1.74</v>
      </c>
      <c r="B419">
        <v>1.57</v>
      </c>
      <c r="C419" t="str">
        <f>CONCATENATE(Таблица258[[#This Row],[Столбец1]],Таблица258[[#This Row],[Столбец2]])</f>
        <v>1,741,57</v>
      </c>
      <c r="E419">
        <v>1.79</v>
      </c>
      <c r="F419">
        <v>1.57</v>
      </c>
      <c r="G419" t="str">
        <f>CONCATENATE(Таблица271[[#This Row],[Столбец1]],Таблица271[[#This Row],[Столбец2]])</f>
        <v>1,791,57</v>
      </c>
    </row>
    <row r="420" spans="1:7" x14ac:dyDescent="0.25">
      <c r="A420">
        <v>1.75</v>
      </c>
      <c r="B420">
        <v>1.57</v>
      </c>
      <c r="C420" t="str">
        <f>CONCATENATE(Таблица258[[#This Row],[Столбец1]],Таблица258[[#This Row],[Столбец2]])</f>
        <v>1,751,57</v>
      </c>
      <c r="E420">
        <v>1.79</v>
      </c>
      <c r="F420">
        <v>1.57</v>
      </c>
      <c r="G420" t="str">
        <f>CONCATENATE(Таблица271[[#This Row],[Столбец1]],Таблица271[[#This Row],[Столбец2]])</f>
        <v>1,791,57</v>
      </c>
    </row>
    <row r="421" spans="1:7" x14ac:dyDescent="0.25">
      <c r="A421">
        <v>1.75</v>
      </c>
      <c r="B421">
        <v>1.57</v>
      </c>
      <c r="C421" t="str">
        <f>CONCATENATE(Таблица258[[#This Row],[Столбец1]],Таблица258[[#This Row],[Столбец2]])</f>
        <v>1,751,57</v>
      </c>
      <c r="E421">
        <v>1.79</v>
      </c>
      <c r="F421">
        <v>1.57</v>
      </c>
      <c r="G421" t="str">
        <f>CONCATENATE(Таблица271[[#This Row],[Столбец1]],Таблица271[[#This Row],[Столбец2]])</f>
        <v>1,791,57</v>
      </c>
    </row>
    <row r="422" spans="1:7" x14ac:dyDescent="0.25">
      <c r="A422">
        <v>1.75</v>
      </c>
      <c r="B422">
        <v>1.57</v>
      </c>
      <c r="C422" t="str">
        <f>CONCATENATE(Таблица258[[#This Row],[Столбец1]],Таблица258[[#This Row],[Столбец2]])</f>
        <v>1,751,57</v>
      </c>
      <c r="E422">
        <v>1.8</v>
      </c>
      <c r="F422">
        <v>1.57</v>
      </c>
      <c r="G422" t="str">
        <f>CONCATENATE(Таблица271[[#This Row],[Столбец1]],Таблица271[[#This Row],[Столбец2]])</f>
        <v>1,81,57</v>
      </c>
    </row>
    <row r="423" spans="1:7" x14ac:dyDescent="0.25">
      <c r="A423">
        <v>1.75</v>
      </c>
      <c r="B423">
        <v>1.57</v>
      </c>
      <c r="C423" t="str">
        <f>CONCATENATE(Таблица258[[#This Row],[Столбец1]],Таблица258[[#This Row],[Столбец2]])</f>
        <v>1,751,57</v>
      </c>
      <c r="E423">
        <v>1.8</v>
      </c>
      <c r="F423">
        <v>1.57</v>
      </c>
      <c r="G423" t="str">
        <f>CONCATENATE(Таблица271[[#This Row],[Столбец1]],Таблица271[[#This Row],[Столбец2]])</f>
        <v>1,81,57</v>
      </c>
    </row>
    <row r="424" spans="1:7" x14ac:dyDescent="0.25">
      <c r="A424">
        <v>1.75</v>
      </c>
      <c r="B424">
        <v>1.57</v>
      </c>
      <c r="C424" t="str">
        <f>CONCATENATE(Таблица258[[#This Row],[Столбец1]],Таблица258[[#This Row],[Столбец2]])</f>
        <v>1,751,57</v>
      </c>
      <c r="E424">
        <v>1.8</v>
      </c>
      <c r="F424">
        <v>1.57</v>
      </c>
      <c r="G424" t="str">
        <f>CONCATENATE(Таблица271[[#This Row],[Столбец1]],Таблица271[[#This Row],[Столбец2]])</f>
        <v>1,81,57</v>
      </c>
    </row>
    <row r="425" spans="1:7" x14ac:dyDescent="0.25">
      <c r="A425">
        <v>1.75</v>
      </c>
      <c r="B425">
        <v>1.57</v>
      </c>
      <c r="C425" t="str">
        <f>CONCATENATE(Таблица258[[#This Row],[Столбец1]],Таблица258[[#This Row],[Столбец2]])</f>
        <v>1,751,57</v>
      </c>
      <c r="E425">
        <v>1.8</v>
      </c>
      <c r="F425">
        <v>1.57</v>
      </c>
      <c r="G425" t="str">
        <f>CONCATENATE(Таблица271[[#This Row],[Столбец1]],Таблица271[[#This Row],[Столбец2]])</f>
        <v>1,81,57</v>
      </c>
    </row>
    <row r="426" spans="1:7" x14ac:dyDescent="0.25">
      <c r="A426">
        <v>1.76</v>
      </c>
      <c r="B426">
        <v>1.57</v>
      </c>
      <c r="C426" t="str">
        <f>CONCATENATE(Таблица258[[#This Row],[Столбец1]],Таблица258[[#This Row],[Столбец2]])</f>
        <v>1,761,57</v>
      </c>
      <c r="E426">
        <v>1.8</v>
      </c>
      <c r="F426">
        <v>1.57</v>
      </c>
      <c r="G426" t="str">
        <f>CONCATENATE(Таблица271[[#This Row],[Столбец1]],Таблица271[[#This Row],[Столбец2]])</f>
        <v>1,81,57</v>
      </c>
    </row>
    <row r="427" spans="1:7" x14ac:dyDescent="0.25">
      <c r="A427">
        <v>1.76</v>
      </c>
      <c r="B427">
        <v>1.57</v>
      </c>
      <c r="C427" t="str">
        <f>CONCATENATE(Таблица258[[#This Row],[Столбец1]],Таблица258[[#This Row],[Столбец2]])</f>
        <v>1,761,57</v>
      </c>
      <c r="E427">
        <v>1.8</v>
      </c>
      <c r="F427">
        <v>1.57</v>
      </c>
      <c r="G427" t="str">
        <f>CONCATENATE(Таблица271[[#This Row],[Столбец1]],Таблица271[[#This Row],[Столбец2]])</f>
        <v>1,81,57</v>
      </c>
    </row>
    <row r="428" spans="1:7" x14ac:dyDescent="0.25">
      <c r="A428">
        <v>1.76</v>
      </c>
      <c r="B428">
        <v>1.57</v>
      </c>
      <c r="C428" t="str">
        <f>CONCATENATE(Таблица258[[#This Row],[Столбец1]],Таблица258[[#This Row],[Столбец2]])</f>
        <v>1,761,57</v>
      </c>
      <c r="E428">
        <v>1.81</v>
      </c>
      <c r="F428">
        <v>1.57</v>
      </c>
      <c r="G428" t="str">
        <f>CONCATENATE(Таблица271[[#This Row],[Столбец1]],Таблица271[[#This Row],[Столбец2]])</f>
        <v>1,811,57</v>
      </c>
    </row>
    <row r="429" spans="1:7" x14ac:dyDescent="0.25">
      <c r="A429">
        <v>1.76</v>
      </c>
      <c r="B429">
        <v>1.57</v>
      </c>
      <c r="C429" t="str">
        <f>CONCATENATE(Таблица258[[#This Row],[Столбец1]],Таблица258[[#This Row],[Столбец2]])</f>
        <v>1,761,57</v>
      </c>
      <c r="E429">
        <v>1.81</v>
      </c>
      <c r="F429">
        <v>1.57</v>
      </c>
      <c r="G429" t="str">
        <f>CONCATENATE(Таблица271[[#This Row],[Столбец1]],Таблица271[[#This Row],[Столбец2]])</f>
        <v>1,811,57</v>
      </c>
    </row>
    <row r="430" spans="1:7" x14ac:dyDescent="0.25">
      <c r="A430">
        <v>1.76</v>
      </c>
      <c r="B430">
        <v>1.57</v>
      </c>
      <c r="C430" t="str">
        <f>CONCATENATE(Таблица258[[#This Row],[Столбец1]],Таблица258[[#This Row],[Столбец2]])</f>
        <v>1,761,57</v>
      </c>
      <c r="E430">
        <v>1.81</v>
      </c>
      <c r="F430">
        <v>1.57</v>
      </c>
      <c r="G430" t="str">
        <f>CONCATENATE(Таблица271[[#This Row],[Столбец1]],Таблица271[[#This Row],[Столбец2]])</f>
        <v>1,811,57</v>
      </c>
    </row>
    <row r="431" spans="1:7" x14ac:dyDescent="0.25">
      <c r="A431">
        <v>1.76</v>
      </c>
      <c r="B431">
        <v>1.57</v>
      </c>
      <c r="C431" t="str">
        <f>CONCATENATE(Таблица258[[#This Row],[Столбец1]],Таблица258[[#This Row],[Столбец2]])</f>
        <v>1,761,57</v>
      </c>
      <c r="E431">
        <v>1.81</v>
      </c>
      <c r="F431">
        <v>1.57</v>
      </c>
      <c r="G431" t="str">
        <f>CONCATENATE(Таблица271[[#This Row],[Столбец1]],Таблица271[[#This Row],[Столбец2]])</f>
        <v>1,811,57</v>
      </c>
    </row>
    <row r="432" spans="1:7" x14ac:dyDescent="0.25">
      <c r="A432">
        <v>1.77</v>
      </c>
      <c r="B432">
        <v>1.57</v>
      </c>
      <c r="C432" t="str">
        <f>CONCATENATE(Таблица258[[#This Row],[Столбец1]],Таблица258[[#This Row],[Столбец2]])</f>
        <v>1,771,57</v>
      </c>
      <c r="E432">
        <v>1.81</v>
      </c>
      <c r="F432">
        <v>1.57</v>
      </c>
      <c r="G432" t="str">
        <f>CONCATENATE(Таблица271[[#This Row],[Столбец1]],Таблица271[[#This Row],[Столбец2]])</f>
        <v>1,811,57</v>
      </c>
    </row>
    <row r="433" spans="1:7" x14ac:dyDescent="0.25">
      <c r="A433">
        <v>1.77</v>
      </c>
      <c r="B433">
        <v>1.57</v>
      </c>
      <c r="C433" t="str">
        <f>CONCATENATE(Таблица258[[#This Row],[Столбец1]],Таблица258[[#This Row],[Столбец2]])</f>
        <v>1,771,57</v>
      </c>
      <c r="E433">
        <v>1.81</v>
      </c>
      <c r="F433">
        <v>1.57</v>
      </c>
      <c r="G433" t="str">
        <f>CONCATENATE(Таблица271[[#This Row],[Столбец1]],Таблица271[[#This Row],[Столбец2]])</f>
        <v>1,811,57</v>
      </c>
    </row>
    <row r="434" spans="1:7" x14ac:dyDescent="0.25">
      <c r="A434">
        <v>1.77</v>
      </c>
      <c r="B434">
        <v>1.57</v>
      </c>
      <c r="C434" t="str">
        <f>CONCATENATE(Таблица258[[#This Row],[Столбец1]],Таблица258[[#This Row],[Столбец2]])</f>
        <v>1,771,57</v>
      </c>
      <c r="E434">
        <v>1.82</v>
      </c>
      <c r="F434">
        <v>1.57</v>
      </c>
      <c r="G434" t="str">
        <f>CONCATENATE(Таблица271[[#This Row],[Столбец1]],Таблица271[[#This Row],[Столбец2]])</f>
        <v>1,821,57</v>
      </c>
    </row>
    <row r="435" spans="1:7" x14ac:dyDescent="0.25">
      <c r="A435">
        <v>1.77</v>
      </c>
      <c r="B435">
        <v>1.57</v>
      </c>
      <c r="C435" t="str">
        <f>CONCATENATE(Таблица258[[#This Row],[Столбец1]],Таблица258[[#This Row],[Столбец2]])</f>
        <v>1,771,57</v>
      </c>
      <c r="E435">
        <v>1.82</v>
      </c>
      <c r="F435">
        <v>1.57</v>
      </c>
      <c r="G435" t="str">
        <f>CONCATENATE(Таблица271[[#This Row],[Столбец1]],Таблица271[[#This Row],[Столбец2]])</f>
        <v>1,821,57</v>
      </c>
    </row>
    <row r="436" spans="1:7" x14ac:dyDescent="0.25">
      <c r="A436">
        <v>1.77</v>
      </c>
      <c r="B436">
        <v>1.57</v>
      </c>
      <c r="C436" t="str">
        <f>CONCATENATE(Таблица258[[#This Row],[Столбец1]],Таблица258[[#This Row],[Столбец2]])</f>
        <v>1,771,57</v>
      </c>
      <c r="E436">
        <v>1.82</v>
      </c>
      <c r="F436">
        <v>1.57</v>
      </c>
      <c r="G436" t="str">
        <f>CONCATENATE(Таблица271[[#This Row],[Столбец1]],Таблица271[[#This Row],[Столбец2]])</f>
        <v>1,821,57</v>
      </c>
    </row>
    <row r="437" spans="1:7" x14ac:dyDescent="0.25">
      <c r="A437">
        <v>1.77</v>
      </c>
      <c r="B437">
        <v>1.57</v>
      </c>
      <c r="C437" t="str">
        <f>CONCATENATE(Таблица258[[#This Row],[Столбец1]],Таблица258[[#This Row],[Столбец2]])</f>
        <v>1,771,57</v>
      </c>
      <c r="E437">
        <v>1.82</v>
      </c>
      <c r="F437">
        <v>1.57</v>
      </c>
      <c r="G437" t="str">
        <f>CONCATENATE(Таблица271[[#This Row],[Столбец1]],Таблица271[[#This Row],[Столбец2]])</f>
        <v>1,821,57</v>
      </c>
    </row>
    <row r="438" spans="1:7" x14ac:dyDescent="0.25">
      <c r="A438">
        <v>1.78</v>
      </c>
      <c r="B438">
        <v>1.57</v>
      </c>
      <c r="C438" t="str">
        <f>CONCATENATE(Таблица258[[#This Row],[Столбец1]],Таблица258[[#This Row],[Столбец2]])</f>
        <v>1,781,57</v>
      </c>
      <c r="E438">
        <v>1.82</v>
      </c>
      <c r="F438">
        <v>1.57</v>
      </c>
      <c r="G438" t="str">
        <f>CONCATENATE(Таблица271[[#This Row],[Столбец1]],Таблица271[[#This Row],[Столбец2]])</f>
        <v>1,821,57</v>
      </c>
    </row>
    <row r="439" spans="1:7" x14ac:dyDescent="0.25">
      <c r="A439">
        <v>1.78</v>
      </c>
      <c r="B439">
        <v>1.57</v>
      </c>
      <c r="C439" t="str">
        <f>CONCATENATE(Таблица258[[#This Row],[Столбец1]],Таблица258[[#This Row],[Столбец2]])</f>
        <v>1,781,57</v>
      </c>
      <c r="E439">
        <v>1.82</v>
      </c>
      <c r="F439">
        <v>1.57</v>
      </c>
      <c r="G439" t="str">
        <f>CONCATENATE(Таблица271[[#This Row],[Столбец1]],Таблица271[[#This Row],[Столбец2]])</f>
        <v>1,821,57</v>
      </c>
    </row>
    <row r="440" spans="1:7" x14ac:dyDescent="0.25">
      <c r="A440">
        <v>1.78</v>
      </c>
      <c r="B440">
        <v>1.57</v>
      </c>
      <c r="C440" t="str">
        <f>CONCATENATE(Таблица258[[#This Row],[Столбец1]],Таблица258[[#This Row],[Столбец2]])</f>
        <v>1,781,57</v>
      </c>
      <c r="E440">
        <v>1.83</v>
      </c>
      <c r="F440">
        <v>1.57</v>
      </c>
      <c r="G440" t="str">
        <f>CONCATENATE(Таблица271[[#This Row],[Столбец1]],Таблица271[[#This Row],[Столбец2]])</f>
        <v>1,831,57</v>
      </c>
    </row>
    <row r="441" spans="1:7" x14ac:dyDescent="0.25">
      <c r="A441">
        <v>1.78</v>
      </c>
      <c r="B441">
        <v>1.57</v>
      </c>
      <c r="C441" t="str">
        <f>CONCATENATE(Таблица258[[#This Row],[Столбец1]],Таблица258[[#This Row],[Столбец2]])</f>
        <v>1,781,57</v>
      </c>
      <c r="E441">
        <v>1.83</v>
      </c>
      <c r="F441">
        <v>1.57</v>
      </c>
      <c r="G441" t="str">
        <f>CONCATENATE(Таблица271[[#This Row],[Столбец1]],Таблица271[[#This Row],[Столбец2]])</f>
        <v>1,831,57</v>
      </c>
    </row>
    <row r="442" spans="1:7" x14ac:dyDescent="0.25">
      <c r="A442">
        <v>1.78</v>
      </c>
      <c r="B442">
        <v>1.57</v>
      </c>
      <c r="C442" t="str">
        <f>CONCATENATE(Таблица258[[#This Row],[Столбец1]],Таблица258[[#This Row],[Столбец2]])</f>
        <v>1,781,57</v>
      </c>
      <c r="E442">
        <v>1.83</v>
      </c>
      <c r="F442">
        <v>1.57</v>
      </c>
      <c r="G442" t="str">
        <f>CONCATENATE(Таблица271[[#This Row],[Столбец1]],Таблица271[[#This Row],[Столбец2]])</f>
        <v>1,831,57</v>
      </c>
    </row>
    <row r="443" spans="1:7" x14ac:dyDescent="0.25">
      <c r="A443">
        <v>1.78</v>
      </c>
      <c r="B443">
        <v>1.57</v>
      </c>
      <c r="C443" t="str">
        <f>CONCATENATE(Таблица258[[#This Row],[Столбец1]],Таблица258[[#This Row],[Столбец2]])</f>
        <v>1,781,57</v>
      </c>
      <c r="E443">
        <v>1.83</v>
      </c>
      <c r="F443">
        <v>1.57</v>
      </c>
      <c r="G443" t="str">
        <f>CONCATENATE(Таблица271[[#This Row],[Столбец1]],Таблица271[[#This Row],[Столбец2]])</f>
        <v>1,831,57</v>
      </c>
    </row>
    <row r="444" spans="1:7" x14ac:dyDescent="0.25">
      <c r="A444">
        <v>1.79</v>
      </c>
      <c r="B444">
        <v>1.57</v>
      </c>
      <c r="C444" t="str">
        <f>CONCATENATE(Таблица258[[#This Row],[Столбец1]],Таблица258[[#This Row],[Столбец2]])</f>
        <v>1,791,57</v>
      </c>
      <c r="E444">
        <v>1.83</v>
      </c>
      <c r="F444">
        <v>1.57</v>
      </c>
      <c r="G444" t="str">
        <f>CONCATENATE(Таблица271[[#This Row],[Столбец1]],Таблица271[[#This Row],[Столбец2]])</f>
        <v>1,831,57</v>
      </c>
    </row>
    <row r="445" spans="1:7" x14ac:dyDescent="0.25">
      <c r="A445">
        <v>1.79</v>
      </c>
      <c r="B445">
        <v>1.57</v>
      </c>
      <c r="C445" t="str">
        <f>CONCATENATE(Таблица258[[#This Row],[Столбец1]],Таблица258[[#This Row],[Столбец2]])</f>
        <v>1,791,57</v>
      </c>
      <c r="E445">
        <v>1.83</v>
      </c>
      <c r="F445">
        <v>1.57</v>
      </c>
      <c r="G445" t="str">
        <f>CONCATENATE(Таблица271[[#This Row],[Столбец1]],Таблица271[[#This Row],[Столбец2]])</f>
        <v>1,831,57</v>
      </c>
    </row>
    <row r="446" spans="1:7" x14ac:dyDescent="0.25">
      <c r="A446">
        <v>1.79</v>
      </c>
      <c r="B446">
        <v>1.57</v>
      </c>
      <c r="C446" t="str">
        <f>CONCATENATE(Таблица258[[#This Row],[Столбец1]],Таблица258[[#This Row],[Столбец2]])</f>
        <v>1,791,57</v>
      </c>
      <c r="E446">
        <v>1.84</v>
      </c>
      <c r="F446">
        <v>1.57</v>
      </c>
      <c r="G446" t="str">
        <f>CONCATENATE(Таблица271[[#This Row],[Столбец1]],Таблица271[[#This Row],[Столбец2]])</f>
        <v>1,841,57</v>
      </c>
    </row>
    <row r="447" spans="1:7" x14ac:dyDescent="0.25">
      <c r="A447">
        <v>1.79</v>
      </c>
      <c r="B447">
        <v>1.57</v>
      </c>
      <c r="C447" t="str">
        <f>CONCATENATE(Таблица258[[#This Row],[Столбец1]],Таблица258[[#This Row],[Столбец2]])</f>
        <v>1,791,57</v>
      </c>
      <c r="E447">
        <v>1.84</v>
      </c>
      <c r="F447">
        <v>1.57</v>
      </c>
      <c r="G447" t="str">
        <f>CONCATENATE(Таблица271[[#This Row],[Столбец1]],Таблица271[[#This Row],[Столбец2]])</f>
        <v>1,841,57</v>
      </c>
    </row>
    <row r="448" spans="1:7" x14ac:dyDescent="0.25">
      <c r="A448">
        <v>1.79</v>
      </c>
      <c r="B448">
        <v>1.57</v>
      </c>
      <c r="C448" t="str">
        <f>CONCATENATE(Таблица258[[#This Row],[Столбец1]],Таблица258[[#This Row],[Столбец2]])</f>
        <v>1,791,57</v>
      </c>
      <c r="E448">
        <v>1.84</v>
      </c>
      <c r="F448">
        <v>1.57</v>
      </c>
      <c r="G448" t="str">
        <f>CONCATENATE(Таблица271[[#This Row],[Столбец1]],Таблица271[[#This Row],[Столбец2]])</f>
        <v>1,841,57</v>
      </c>
    </row>
    <row r="449" spans="1:7" x14ac:dyDescent="0.25">
      <c r="A449">
        <v>1.79</v>
      </c>
      <c r="B449">
        <v>1.57</v>
      </c>
      <c r="C449" t="str">
        <f>CONCATENATE(Таблица258[[#This Row],[Столбец1]],Таблица258[[#This Row],[Столбец2]])</f>
        <v>1,791,57</v>
      </c>
      <c r="E449">
        <v>1.84</v>
      </c>
      <c r="F449">
        <v>1.57</v>
      </c>
      <c r="G449" t="str">
        <f>CONCATENATE(Таблица271[[#This Row],[Столбец1]],Таблица271[[#This Row],[Столбец2]])</f>
        <v>1,841,57</v>
      </c>
    </row>
    <row r="450" spans="1:7" x14ac:dyDescent="0.25">
      <c r="A450">
        <v>1.8</v>
      </c>
      <c r="B450">
        <v>1.57</v>
      </c>
      <c r="C450" t="str">
        <f>CONCATENATE(Таблица258[[#This Row],[Столбец1]],Таблица258[[#This Row],[Столбец2]])</f>
        <v>1,81,57</v>
      </c>
      <c r="E450">
        <v>1.84</v>
      </c>
      <c r="F450">
        <v>1.57</v>
      </c>
      <c r="G450" t="str">
        <f>CONCATENATE(Таблица271[[#This Row],[Столбец1]],Таблица271[[#This Row],[Столбец2]])</f>
        <v>1,841,57</v>
      </c>
    </row>
    <row r="451" spans="1:7" x14ac:dyDescent="0.25">
      <c r="A451">
        <v>1.8</v>
      </c>
      <c r="B451">
        <v>1.57</v>
      </c>
      <c r="C451" t="str">
        <f>CONCATENATE(Таблица258[[#This Row],[Столбец1]],Таблица258[[#This Row],[Столбец2]])</f>
        <v>1,81,57</v>
      </c>
      <c r="E451">
        <v>1.84</v>
      </c>
      <c r="F451">
        <v>1.57</v>
      </c>
      <c r="G451" t="str">
        <f>CONCATENATE(Таблица271[[#This Row],[Столбец1]],Таблица271[[#This Row],[Столбец2]])</f>
        <v>1,841,57</v>
      </c>
    </row>
    <row r="452" spans="1:7" x14ac:dyDescent="0.25">
      <c r="A452">
        <v>1.8</v>
      </c>
      <c r="B452">
        <v>1.57</v>
      </c>
      <c r="C452" t="str">
        <f>CONCATENATE(Таблица258[[#This Row],[Столбец1]],Таблица258[[#This Row],[Столбец2]])</f>
        <v>1,81,57</v>
      </c>
      <c r="E452">
        <v>1.85</v>
      </c>
      <c r="F452">
        <v>1.57</v>
      </c>
      <c r="G452" t="str">
        <f>CONCATENATE(Таблица271[[#This Row],[Столбец1]],Таблица271[[#This Row],[Столбец2]])</f>
        <v>1,851,57</v>
      </c>
    </row>
    <row r="453" spans="1:7" x14ac:dyDescent="0.25">
      <c r="A453">
        <v>1.8</v>
      </c>
      <c r="B453">
        <v>1.57</v>
      </c>
      <c r="C453" t="str">
        <f>CONCATENATE(Таблица258[[#This Row],[Столбец1]],Таблица258[[#This Row],[Столбец2]])</f>
        <v>1,81,57</v>
      </c>
      <c r="E453">
        <v>1.85</v>
      </c>
      <c r="F453">
        <v>1.57</v>
      </c>
      <c r="G453" t="str">
        <f>CONCATENATE(Таблица271[[#This Row],[Столбец1]],Таблица271[[#This Row],[Столбец2]])</f>
        <v>1,851,57</v>
      </c>
    </row>
    <row r="454" spans="1:7" x14ac:dyDescent="0.25">
      <c r="A454">
        <v>1.8</v>
      </c>
      <c r="B454">
        <v>1.57</v>
      </c>
      <c r="C454" t="str">
        <f>CONCATENATE(Таблица258[[#This Row],[Столбец1]],Таблица258[[#This Row],[Столбец2]])</f>
        <v>1,81,57</v>
      </c>
      <c r="E454">
        <v>1.85</v>
      </c>
      <c r="F454">
        <v>1.57</v>
      </c>
      <c r="G454" t="str">
        <f>CONCATENATE(Таблица271[[#This Row],[Столбец1]],Таблица271[[#This Row],[Столбец2]])</f>
        <v>1,851,57</v>
      </c>
    </row>
    <row r="455" spans="1:7" x14ac:dyDescent="0.25">
      <c r="A455">
        <v>1.8</v>
      </c>
      <c r="B455">
        <v>1.57</v>
      </c>
      <c r="C455" t="str">
        <f>CONCATENATE(Таблица258[[#This Row],[Столбец1]],Таблица258[[#This Row],[Столбец2]])</f>
        <v>1,81,57</v>
      </c>
      <c r="E455">
        <v>1.85</v>
      </c>
      <c r="F455">
        <v>1.57</v>
      </c>
      <c r="G455" t="str">
        <f>CONCATENATE(Таблица271[[#This Row],[Столбец1]],Таблица271[[#This Row],[Столбец2]])</f>
        <v>1,851,57</v>
      </c>
    </row>
    <row r="456" spans="1:7" x14ac:dyDescent="0.25">
      <c r="A456">
        <v>1.81</v>
      </c>
      <c r="B456">
        <v>1.57</v>
      </c>
      <c r="C456" t="str">
        <f>CONCATENATE(Таблица258[[#This Row],[Столбец1]],Таблица258[[#This Row],[Столбец2]])</f>
        <v>1,811,57</v>
      </c>
      <c r="E456">
        <v>1.85</v>
      </c>
      <c r="F456">
        <v>1.57</v>
      </c>
      <c r="G456" t="str">
        <f>CONCATENATE(Таблица271[[#This Row],[Столбец1]],Таблица271[[#This Row],[Столбец2]])</f>
        <v>1,851,57</v>
      </c>
    </row>
    <row r="457" spans="1:7" x14ac:dyDescent="0.25">
      <c r="A457">
        <v>1.81</v>
      </c>
      <c r="B457">
        <v>1.57</v>
      </c>
      <c r="C457" t="str">
        <f>CONCATENATE(Таблица258[[#This Row],[Столбец1]],Таблица258[[#This Row],[Столбец2]])</f>
        <v>1,811,57</v>
      </c>
      <c r="E457">
        <v>1.85</v>
      </c>
      <c r="F457">
        <v>1.57</v>
      </c>
      <c r="G457" t="str">
        <f>CONCATENATE(Таблица271[[#This Row],[Столбец1]],Таблица271[[#This Row],[Столбец2]])</f>
        <v>1,851,57</v>
      </c>
    </row>
    <row r="458" spans="1:7" x14ac:dyDescent="0.25">
      <c r="A458">
        <v>1.81</v>
      </c>
      <c r="B458">
        <v>1.57</v>
      </c>
      <c r="C458" t="str">
        <f>CONCATENATE(Таблица258[[#This Row],[Столбец1]],Таблица258[[#This Row],[Столбец2]])</f>
        <v>1,811,57</v>
      </c>
      <c r="E458">
        <v>1.86</v>
      </c>
      <c r="F458">
        <v>1.57</v>
      </c>
      <c r="G458" t="str">
        <f>CONCATENATE(Таблица271[[#This Row],[Столбец1]],Таблица271[[#This Row],[Столбец2]])</f>
        <v>1,861,57</v>
      </c>
    </row>
    <row r="459" spans="1:7" x14ac:dyDescent="0.25">
      <c r="A459">
        <v>1.81</v>
      </c>
      <c r="B459">
        <v>1.57</v>
      </c>
      <c r="C459" t="str">
        <f>CONCATENATE(Таблица258[[#This Row],[Столбец1]],Таблица258[[#This Row],[Столбец2]])</f>
        <v>1,811,57</v>
      </c>
      <c r="E459">
        <v>1.86</v>
      </c>
      <c r="F459">
        <v>1.57</v>
      </c>
      <c r="G459" t="str">
        <f>CONCATENATE(Таблица271[[#This Row],[Столбец1]],Таблица271[[#This Row],[Столбец2]])</f>
        <v>1,861,57</v>
      </c>
    </row>
    <row r="460" spans="1:7" x14ac:dyDescent="0.25">
      <c r="A460">
        <v>1.81</v>
      </c>
      <c r="B460">
        <v>1.57</v>
      </c>
      <c r="C460" t="str">
        <f>CONCATENATE(Таблица258[[#This Row],[Столбец1]],Таблица258[[#This Row],[Столбец2]])</f>
        <v>1,811,57</v>
      </c>
      <c r="E460">
        <v>1.86</v>
      </c>
      <c r="F460">
        <v>1.57</v>
      </c>
      <c r="G460" t="str">
        <f>CONCATENATE(Таблица271[[#This Row],[Столбец1]],Таблица271[[#This Row],[Столбец2]])</f>
        <v>1,861,57</v>
      </c>
    </row>
    <row r="461" spans="1:7" x14ac:dyDescent="0.25">
      <c r="A461">
        <v>1.81</v>
      </c>
      <c r="B461">
        <v>1.57</v>
      </c>
      <c r="C461" t="str">
        <f>CONCATENATE(Таблица258[[#This Row],[Столбец1]],Таблица258[[#This Row],[Столбец2]])</f>
        <v>1,811,57</v>
      </c>
      <c r="E461">
        <v>1.86</v>
      </c>
      <c r="F461">
        <v>1.57</v>
      </c>
      <c r="G461" t="str">
        <f>CONCATENATE(Таблица271[[#This Row],[Столбец1]],Таблица271[[#This Row],[Столбец2]])</f>
        <v>1,861,57</v>
      </c>
    </row>
    <row r="462" spans="1:7" x14ac:dyDescent="0.25">
      <c r="A462">
        <v>1.82</v>
      </c>
      <c r="B462">
        <v>1.57</v>
      </c>
      <c r="C462" t="str">
        <f>CONCATENATE(Таблица258[[#This Row],[Столбец1]],Таблица258[[#This Row],[Столбец2]])</f>
        <v>1,821,57</v>
      </c>
      <c r="E462">
        <v>1.86</v>
      </c>
      <c r="F462">
        <v>1.57</v>
      </c>
      <c r="G462" t="str">
        <f>CONCATENATE(Таблица271[[#This Row],[Столбец1]],Таблица271[[#This Row],[Столбец2]])</f>
        <v>1,861,57</v>
      </c>
    </row>
    <row r="463" spans="1:7" x14ac:dyDescent="0.25">
      <c r="A463">
        <v>1.82</v>
      </c>
      <c r="B463">
        <v>1.57</v>
      </c>
      <c r="C463" t="str">
        <f>CONCATENATE(Таблица258[[#This Row],[Столбец1]],Таблица258[[#This Row],[Столбец2]])</f>
        <v>1,821,57</v>
      </c>
      <c r="E463">
        <v>1.86</v>
      </c>
      <c r="F463">
        <v>1.57</v>
      </c>
      <c r="G463" t="str">
        <f>CONCATENATE(Таблица271[[#This Row],[Столбец1]],Таблица271[[#This Row],[Столбец2]])</f>
        <v>1,861,57</v>
      </c>
    </row>
    <row r="464" spans="1:7" x14ac:dyDescent="0.25">
      <c r="A464">
        <v>1.82</v>
      </c>
      <c r="B464">
        <v>1.57</v>
      </c>
      <c r="C464" t="str">
        <f>CONCATENATE(Таблица258[[#This Row],[Столбец1]],Таблица258[[#This Row],[Столбец2]])</f>
        <v>1,821,57</v>
      </c>
      <c r="E464">
        <v>1.87</v>
      </c>
      <c r="F464">
        <v>1.57</v>
      </c>
      <c r="G464" t="str">
        <f>CONCATENATE(Таблица271[[#This Row],[Столбец1]],Таблица271[[#This Row],[Столбец2]])</f>
        <v>1,871,57</v>
      </c>
    </row>
    <row r="465" spans="1:7" x14ac:dyDescent="0.25">
      <c r="A465">
        <v>1.82</v>
      </c>
      <c r="B465">
        <v>1.57</v>
      </c>
      <c r="C465" t="str">
        <f>CONCATENATE(Таблица258[[#This Row],[Столбец1]],Таблица258[[#This Row],[Столбец2]])</f>
        <v>1,821,57</v>
      </c>
      <c r="E465">
        <v>1.87</v>
      </c>
      <c r="F465">
        <v>1.57</v>
      </c>
      <c r="G465" t="str">
        <f>CONCATENATE(Таблица271[[#This Row],[Столбец1]],Таблица271[[#This Row],[Столбец2]])</f>
        <v>1,871,57</v>
      </c>
    </row>
    <row r="466" spans="1:7" x14ac:dyDescent="0.25">
      <c r="A466">
        <v>1.82</v>
      </c>
      <c r="B466">
        <v>1.57</v>
      </c>
      <c r="C466" t="str">
        <f>CONCATENATE(Таблица258[[#This Row],[Столбец1]],Таблица258[[#This Row],[Столбец2]])</f>
        <v>1,821,57</v>
      </c>
      <c r="E466">
        <v>1.87</v>
      </c>
      <c r="F466">
        <v>1.57</v>
      </c>
      <c r="G466" t="str">
        <f>CONCATENATE(Таблица271[[#This Row],[Столбец1]],Таблица271[[#This Row],[Столбец2]])</f>
        <v>1,871,57</v>
      </c>
    </row>
    <row r="467" spans="1:7" x14ac:dyDescent="0.25">
      <c r="A467">
        <v>1.82</v>
      </c>
      <c r="B467">
        <v>1.57</v>
      </c>
      <c r="C467" t="str">
        <f>CONCATENATE(Таблица258[[#This Row],[Столбец1]],Таблица258[[#This Row],[Столбец2]])</f>
        <v>1,821,57</v>
      </c>
      <c r="E467">
        <v>1.87</v>
      </c>
      <c r="F467">
        <v>1.57</v>
      </c>
      <c r="G467" t="str">
        <f>CONCATENATE(Таблица271[[#This Row],[Столбец1]],Таблица271[[#This Row],[Столбец2]])</f>
        <v>1,871,57</v>
      </c>
    </row>
    <row r="468" spans="1:7" x14ac:dyDescent="0.25">
      <c r="A468">
        <v>1.83</v>
      </c>
      <c r="B468">
        <v>1.57</v>
      </c>
      <c r="C468" t="str">
        <f>CONCATENATE(Таблица258[[#This Row],[Столбец1]],Таблица258[[#This Row],[Столбец2]])</f>
        <v>1,831,57</v>
      </c>
      <c r="E468">
        <v>1.87</v>
      </c>
      <c r="F468">
        <v>1.57</v>
      </c>
      <c r="G468" t="str">
        <f>CONCATENATE(Таблица271[[#This Row],[Столбец1]],Таблица271[[#This Row],[Столбец2]])</f>
        <v>1,871,57</v>
      </c>
    </row>
    <row r="469" spans="1:7" x14ac:dyDescent="0.25">
      <c r="A469">
        <v>1.83</v>
      </c>
      <c r="B469">
        <v>1.57</v>
      </c>
      <c r="C469" t="str">
        <f>CONCATENATE(Таблица258[[#This Row],[Столбец1]],Таблица258[[#This Row],[Столбец2]])</f>
        <v>1,831,57</v>
      </c>
      <c r="E469">
        <v>1.87</v>
      </c>
      <c r="F469">
        <v>1.57</v>
      </c>
      <c r="G469" t="str">
        <f>CONCATENATE(Таблица271[[#This Row],[Столбец1]],Таблица271[[#This Row],[Столбец2]])</f>
        <v>1,871,57</v>
      </c>
    </row>
    <row r="470" spans="1:7" x14ac:dyDescent="0.25">
      <c r="A470">
        <v>1.83</v>
      </c>
      <c r="B470">
        <v>1.57</v>
      </c>
      <c r="C470" t="str">
        <f>CONCATENATE(Таблица258[[#This Row],[Столбец1]],Таблица258[[#This Row],[Столбец2]])</f>
        <v>1,831,57</v>
      </c>
      <c r="E470">
        <v>1.88</v>
      </c>
      <c r="F470">
        <v>1.57</v>
      </c>
      <c r="G470" t="str">
        <f>CONCATENATE(Таблица271[[#This Row],[Столбец1]],Таблица271[[#This Row],[Столбец2]])</f>
        <v>1,881,57</v>
      </c>
    </row>
    <row r="471" spans="1:7" x14ac:dyDescent="0.25">
      <c r="A471">
        <v>1.83</v>
      </c>
      <c r="B471">
        <v>1.57</v>
      </c>
      <c r="C471" t="str">
        <f>CONCATENATE(Таблица258[[#This Row],[Столбец1]],Таблица258[[#This Row],[Столбец2]])</f>
        <v>1,831,57</v>
      </c>
      <c r="E471">
        <v>1.88</v>
      </c>
      <c r="F471">
        <v>1.57</v>
      </c>
      <c r="G471" t="str">
        <f>CONCATENATE(Таблица271[[#This Row],[Столбец1]],Таблица271[[#This Row],[Столбец2]])</f>
        <v>1,881,57</v>
      </c>
    </row>
    <row r="472" spans="1:7" x14ac:dyDescent="0.25">
      <c r="A472">
        <v>1.83</v>
      </c>
      <c r="B472">
        <v>1.57</v>
      </c>
      <c r="C472" t="str">
        <f>CONCATENATE(Таблица258[[#This Row],[Столбец1]],Таблица258[[#This Row],[Столбец2]])</f>
        <v>1,831,57</v>
      </c>
      <c r="E472">
        <v>1.88</v>
      </c>
      <c r="F472">
        <v>1.57</v>
      </c>
      <c r="G472" t="str">
        <f>CONCATENATE(Таблица271[[#This Row],[Столбец1]],Таблица271[[#This Row],[Столбец2]])</f>
        <v>1,881,57</v>
      </c>
    </row>
    <row r="473" spans="1:7" x14ac:dyDescent="0.25">
      <c r="A473">
        <v>1.83</v>
      </c>
      <c r="B473">
        <v>1.57</v>
      </c>
      <c r="C473" t="str">
        <f>CONCATENATE(Таблица258[[#This Row],[Столбец1]],Таблица258[[#This Row],[Столбец2]])</f>
        <v>1,831,57</v>
      </c>
      <c r="E473">
        <v>1.88</v>
      </c>
      <c r="F473">
        <v>1.57</v>
      </c>
      <c r="G473" t="str">
        <f>CONCATENATE(Таблица271[[#This Row],[Столбец1]],Таблица271[[#This Row],[Столбец2]])</f>
        <v>1,881,57</v>
      </c>
    </row>
    <row r="474" spans="1:7" x14ac:dyDescent="0.25">
      <c r="A474">
        <v>1.84</v>
      </c>
      <c r="B474">
        <v>1.57</v>
      </c>
      <c r="C474" t="str">
        <f>CONCATENATE(Таблица258[[#This Row],[Столбец1]],Таблица258[[#This Row],[Столбец2]])</f>
        <v>1,841,57</v>
      </c>
      <c r="E474">
        <v>1.88</v>
      </c>
      <c r="F474">
        <v>1.57</v>
      </c>
      <c r="G474" t="str">
        <f>CONCATENATE(Таблица271[[#This Row],[Столбец1]],Таблица271[[#This Row],[Столбец2]])</f>
        <v>1,881,57</v>
      </c>
    </row>
    <row r="475" spans="1:7" x14ac:dyDescent="0.25">
      <c r="A475">
        <v>1.84</v>
      </c>
      <c r="B475">
        <v>1.57</v>
      </c>
      <c r="C475" t="str">
        <f>CONCATENATE(Таблица258[[#This Row],[Столбец1]],Таблица258[[#This Row],[Столбец2]])</f>
        <v>1,841,57</v>
      </c>
      <c r="E475">
        <v>1.88</v>
      </c>
      <c r="F475">
        <v>1.57</v>
      </c>
      <c r="G475" t="str">
        <f>CONCATENATE(Таблица271[[#This Row],[Столбец1]],Таблица271[[#This Row],[Столбец2]])</f>
        <v>1,881,57</v>
      </c>
    </row>
    <row r="476" spans="1:7" x14ac:dyDescent="0.25">
      <c r="A476">
        <v>1.84</v>
      </c>
      <c r="B476">
        <v>1.57</v>
      </c>
      <c r="C476" t="str">
        <f>CONCATENATE(Таблица258[[#This Row],[Столбец1]],Таблица258[[#This Row],[Столбец2]])</f>
        <v>1,841,57</v>
      </c>
      <c r="E476">
        <v>1.89</v>
      </c>
      <c r="F476">
        <v>1.57</v>
      </c>
      <c r="G476" t="str">
        <f>CONCATENATE(Таблица271[[#This Row],[Столбец1]],Таблица271[[#This Row],[Столбец2]])</f>
        <v>1,891,57</v>
      </c>
    </row>
    <row r="477" spans="1:7" x14ac:dyDescent="0.25">
      <c r="A477">
        <v>1.84</v>
      </c>
      <c r="B477">
        <v>1.57</v>
      </c>
      <c r="C477" t="str">
        <f>CONCATENATE(Таблица258[[#This Row],[Столбец1]],Таблица258[[#This Row],[Столбец2]])</f>
        <v>1,841,57</v>
      </c>
      <c r="E477">
        <v>1.89</v>
      </c>
      <c r="F477">
        <v>1.57</v>
      </c>
      <c r="G477" t="str">
        <f>CONCATENATE(Таблица271[[#This Row],[Столбец1]],Таблица271[[#This Row],[Столбец2]])</f>
        <v>1,891,57</v>
      </c>
    </row>
    <row r="478" spans="1:7" x14ac:dyDescent="0.25">
      <c r="A478">
        <v>1.84</v>
      </c>
      <c r="B478">
        <v>1.57</v>
      </c>
      <c r="C478" t="str">
        <f>CONCATENATE(Таблица258[[#This Row],[Столбец1]],Таблица258[[#This Row],[Столбец2]])</f>
        <v>1,841,57</v>
      </c>
      <c r="E478">
        <v>1.89</v>
      </c>
      <c r="F478">
        <v>1.57</v>
      </c>
      <c r="G478" t="str">
        <f>CONCATENATE(Таблица271[[#This Row],[Столбец1]],Таблица271[[#This Row],[Столбец2]])</f>
        <v>1,891,57</v>
      </c>
    </row>
    <row r="479" spans="1:7" x14ac:dyDescent="0.25">
      <c r="A479">
        <v>1.84</v>
      </c>
      <c r="B479">
        <v>1.57</v>
      </c>
      <c r="C479" t="str">
        <f>CONCATENATE(Таблица258[[#This Row],[Столбец1]],Таблица258[[#This Row],[Столбец2]])</f>
        <v>1,841,57</v>
      </c>
      <c r="E479">
        <v>1.89</v>
      </c>
      <c r="F479">
        <v>1.57</v>
      </c>
      <c r="G479" t="str">
        <f>CONCATENATE(Таблица271[[#This Row],[Столбец1]],Таблица271[[#This Row],[Столбец2]])</f>
        <v>1,891,57</v>
      </c>
    </row>
    <row r="480" spans="1:7" x14ac:dyDescent="0.25">
      <c r="A480">
        <v>1.85</v>
      </c>
      <c r="B480">
        <v>1.57</v>
      </c>
      <c r="C480" t="str">
        <f>CONCATENATE(Таблица258[[#This Row],[Столбец1]],Таблица258[[#This Row],[Столбец2]])</f>
        <v>1,851,57</v>
      </c>
      <c r="E480">
        <v>1.89</v>
      </c>
      <c r="F480">
        <v>1.57</v>
      </c>
      <c r="G480" t="str">
        <f>CONCATENATE(Таблица271[[#This Row],[Столбец1]],Таблица271[[#This Row],[Столбец2]])</f>
        <v>1,891,57</v>
      </c>
    </row>
    <row r="481" spans="1:7" x14ac:dyDescent="0.25">
      <c r="A481">
        <v>1.85</v>
      </c>
      <c r="B481">
        <v>1.57</v>
      </c>
      <c r="C481" t="str">
        <f>CONCATENATE(Таблица258[[#This Row],[Столбец1]],Таблица258[[#This Row],[Столбец2]])</f>
        <v>1,851,57</v>
      </c>
      <c r="E481">
        <v>1.89</v>
      </c>
      <c r="F481">
        <v>1.57</v>
      </c>
      <c r="G481" t="str">
        <f>CONCATENATE(Таблица271[[#This Row],[Столбец1]],Таблица271[[#This Row],[Столбец2]])</f>
        <v>1,891,57</v>
      </c>
    </row>
    <row r="482" spans="1:7" x14ac:dyDescent="0.25">
      <c r="A482">
        <v>1.85</v>
      </c>
      <c r="B482">
        <v>1.57</v>
      </c>
      <c r="C482" t="str">
        <f>CONCATENATE(Таблица258[[#This Row],[Столбец1]],Таблица258[[#This Row],[Столбец2]])</f>
        <v>1,851,57</v>
      </c>
      <c r="E482">
        <v>1.9</v>
      </c>
      <c r="F482">
        <v>1.57</v>
      </c>
      <c r="G482" t="str">
        <f>CONCATENATE(Таблица271[[#This Row],[Столбец1]],Таблица271[[#This Row],[Столбец2]])</f>
        <v>1,91,57</v>
      </c>
    </row>
    <row r="483" spans="1:7" x14ac:dyDescent="0.25">
      <c r="A483">
        <v>1.85</v>
      </c>
      <c r="B483">
        <v>1.57</v>
      </c>
      <c r="C483" t="str">
        <f>CONCATENATE(Таблица258[[#This Row],[Столбец1]],Таблица258[[#This Row],[Столбец2]])</f>
        <v>1,851,57</v>
      </c>
      <c r="E483">
        <v>1.9</v>
      </c>
      <c r="F483">
        <v>1.57</v>
      </c>
      <c r="G483" t="str">
        <f>CONCATENATE(Таблица271[[#This Row],[Столбец1]],Таблица271[[#This Row],[Столбец2]])</f>
        <v>1,91,57</v>
      </c>
    </row>
    <row r="484" spans="1:7" x14ac:dyDescent="0.25">
      <c r="A484">
        <v>1.85</v>
      </c>
      <c r="B484">
        <v>1.57</v>
      </c>
      <c r="C484" t="str">
        <f>CONCATENATE(Таблица258[[#This Row],[Столбец1]],Таблица258[[#This Row],[Столбец2]])</f>
        <v>1,851,57</v>
      </c>
      <c r="E484">
        <v>1.9</v>
      </c>
      <c r="F484">
        <v>1.57</v>
      </c>
      <c r="G484" t="str">
        <f>CONCATENATE(Таблица271[[#This Row],[Столбец1]],Таблица271[[#This Row],[Столбец2]])</f>
        <v>1,91,57</v>
      </c>
    </row>
    <row r="485" spans="1:7" x14ac:dyDescent="0.25">
      <c r="A485">
        <v>1.85</v>
      </c>
      <c r="B485">
        <v>1.57</v>
      </c>
      <c r="C485" t="str">
        <f>CONCATENATE(Таблица258[[#This Row],[Столбец1]],Таблица258[[#This Row],[Столбец2]])</f>
        <v>1,851,57</v>
      </c>
      <c r="E485">
        <v>1.9</v>
      </c>
      <c r="F485">
        <v>1.57</v>
      </c>
      <c r="G485" t="str">
        <f>CONCATENATE(Таблица271[[#This Row],[Столбец1]],Таблица271[[#This Row],[Столбец2]])</f>
        <v>1,91,57</v>
      </c>
    </row>
    <row r="486" spans="1:7" x14ac:dyDescent="0.25">
      <c r="A486">
        <v>1.86</v>
      </c>
      <c r="B486">
        <v>1.57</v>
      </c>
      <c r="C486" t="str">
        <f>CONCATENATE(Таблица258[[#This Row],[Столбец1]],Таблица258[[#This Row],[Столбец2]])</f>
        <v>1,861,57</v>
      </c>
      <c r="E486">
        <v>1.9</v>
      </c>
      <c r="F486">
        <v>1.57</v>
      </c>
      <c r="G486" t="str">
        <f>CONCATENATE(Таблица271[[#This Row],[Столбец1]],Таблица271[[#This Row],[Столбец2]])</f>
        <v>1,91,57</v>
      </c>
    </row>
    <row r="487" spans="1:7" x14ac:dyDescent="0.25">
      <c r="A487">
        <v>1.86</v>
      </c>
      <c r="B487">
        <v>1.57</v>
      </c>
      <c r="C487" t="str">
        <f>CONCATENATE(Таблица258[[#This Row],[Столбец1]],Таблица258[[#This Row],[Столбец2]])</f>
        <v>1,861,57</v>
      </c>
      <c r="E487">
        <v>1.9</v>
      </c>
      <c r="F487">
        <v>1.57</v>
      </c>
      <c r="G487" t="str">
        <f>CONCATENATE(Таблица271[[#This Row],[Столбец1]],Таблица271[[#This Row],[Столбец2]])</f>
        <v>1,91,57</v>
      </c>
    </row>
    <row r="488" spans="1:7" x14ac:dyDescent="0.25">
      <c r="A488">
        <v>1.86</v>
      </c>
      <c r="B488">
        <v>1.57</v>
      </c>
      <c r="C488" t="str">
        <f>CONCATENATE(Таблица258[[#This Row],[Столбец1]],Таблица258[[#This Row],[Столбец2]])</f>
        <v>1,861,57</v>
      </c>
      <c r="E488">
        <v>1.91</v>
      </c>
      <c r="F488">
        <v>1.57</v>
      </c>
      <c r="G488" t="str">
        <f>CONCATENATE(Таблица271[[#This Row],[Столбец1]],Таблица271[[#This Row],[Столбец2]])</f>
        <v>1,911,57</v>
      </c>
    </row>
    <row r="489" spans="1:7" x14ac:dyDescent="0.25">
      <c r="A489">
        <v>1.86</v>
      </c>
      <c r="B489">
        <v>1.57</v>
      </c>
      <c r="C489" t="str">
        <f>CONCATENATE(Таблица258[[#This Row],[Столбец1]],Таблица258[[#This Row],[Столбец2]])</f>
        <v>1,861,57</v>
      </c>
      <c r="E489">
        <v>1.91</v>
      </c>
      <c r="F489">
        <v>1.57</v>
      </c>
      <c r="G489" t="str">
        <f>CONCATENATE(Таблица271[[#This Row],[Столбец1]],Таблица271[[#This Row],[Столбец2]])</f>
        <v>1,911,57</v>
      </c>
    </row>
    <row r="490" spans="1:7" x14ac:dyDescent="0.25">
      <c r="A490">
        <v>1.86</v>
      </c>
      <c r="B490">
        <v>1.57</v>
      </c>
      <c r="C490" t="str">
        <f>CONCATENATE(Таблица258[[#This Row],[Столбец1]],Таблица258[[#This Row],[Столбец2]])</f>
        <v>1,861,57</v>
      </c>
      <c r="E490">
        <v>1.91</v>
      </c>
      <c r="F490">
        <v>1.57</v>
      </c>
      <c r="G490" t="str">
        <f>CONCATENATE(Таблица271[[#This Row],[Столбец1]],Таблица271[[#This Row],[Столбец2]])</f>
        <v>1,911,57</v>
      </c>
    </row>
    <row r="491" spans="1:7" x14ac:dyDescent="0.25">
      <c r="A491">
        <v>1.86</v>
      </c>
      <c r="B491">
        <v>1.57</v>
      </c>
      <c r="C491" t="str">
        <f>CONCATENATE(Таблица258[[#This Row],[Столбец1]],Таблица258[[#This Row],[Столбец2]])</f>
        <v>1,861,57</v>
      </c>
      <c r="E491">
        <v>1.91</v>
      </c>
      <c r="F491">
        <v>1.57</v>
      </c>
      <c r="G491" t="str">
        <f>CONCATENATE(Таблица271[[#This Row],[Столбец1]],Таблица271[[#This Row],[Столбец2]])</f>
        <v>1,911,57</v>
      </c>
    </row>
    <row r="492" spans="1:7" x14ac:dyDescent="0.25">
      <c r="A492">
        <v>1.87</v>
      </c>
      <c r="B492">
        <v>1.57</v>
      </c>
      <c r="C492" t="str">
        <f>CONCATENATE(Таблица258[[#This Row],[Столбец1]],Таблица258[[#This Row],[Столбец2]])</f>
        <v>1,871,57</v>
      </c>
      <c r="E492">
        <v>1.91</v>
      </c>
      <c r="F492">
        <v>1.57</v>
      </c>
      <c r="G492" t="str">
        <f>CONCATENATE(Таблица271[[#This Row],[Столбец1]],Таблица271[[#This Row],[Столбец2]])</f>
        <v>1,911,57</v>
      </c>
    </row>
    <row r="493" spans="1:7" x14ac:dyDescent="0.25">
      <c r="A493">
        <v>1.87</v>
      </c>
      <c r="B493">
        <v>1.57</v>
      </c>
      <c r="C493" t="str">
        <f>CONCATENATE(Таблица258[[#This Row],[Столбец1]],Таблица258[[#This Row],[Столбец2]])</f>
        <v>1,871,57</v>
      </c>
      <c r="E493">
        <v>1.91</v>
      </c>
      <c r="F493">
        <v>1.57</v>
      </c>
      <c r="G493" t="str">
        <f>CONCATENATE(Таблица271[[#This Row],[Столбец1]],Таблица271[[#This Row],[Столбец2]])</f>
        <v>1,911,57</v>
      </c>
    </row>
    <row r="494" spans="1:7" x14ac:dyDescent="0.25">
      <c r="A494">
        <v>1.87</v>
      </c>
      <c r="B494">
        <v>1.57</v>
      </c>
      <c r="C494" t="str">
        <f>CONCATENATE(Таблица258[[#This Row],[Столбец1]],Таблица258[[#This Row],[Столбец2]])</f>
        <v>1,871,57</v>
      </c>
      <c r="E494">
        <v>1.92</v>
      </c>
      <c r="F494">
        <v>1.57</v>
      </c>
      <c r="G494" t="str">
        <f>CONCATENATE(Таблица271[[#This Row],[Столбец1]],Таблица271[[#This Row],[Столбец2]])</f>
        <v>1,921,57</v>
      </c>
    </row>
    <row r="495" spans="1:7" x14ac:dyDescent="0.25">
      <c r="A495">
        <v>1.87</v>
      </c>
      <c r="B495">
        <v>1.57</v>
      </c>
      <c r="C495" t="str">
        <f>CONCATENATE(Таблица258[[#This Row],[Столбец1]],Таблица258[[#This Row],[Столбец2]])</f>
        <v>1,871,57</v>
      </c>
      <c r="E495">
        <v>1.92</v>
      </c>
      <c r="F495">
        <v>1.57</v>
      </c>
      <c r="G495" t="str">
        <f>CONCATENATE(Таблица271[[#This Row],[Столбец1]],Таблица271[[#This Row],[Столбец2]])</f>
        <v>1,921,57</v>
      </c>
    </row>
    <row r="496" spans="1:7" x14ac:dyDescent="0.25">
      <c r="A496">
        <v>1.87</v>
      </c>
      <c r="B496">
        <v>1.57</v>
      </c>
      <c r="C496" t="str">
        <f>CONCATENATE(Таблица258[[#This Row],[Столбец1]],Таблица258[[#This Row],[Столбец2]])</f>
        <v>1,871,57</v>
      </c>
      <c r="E496">
        <v>1.92</v>
      </c>
      <c r="F496">
        <v>1.57</v>
      </c>
      <c r="G496" t="str">
        <f>CONCATENATE(Таблица271[[#This Row],[Столбец1]],Таблица271[[#This Row],[Столбец2]])</f>
        <v>1,921,57</v>
      </c>
    </row>
    <row r="497" spans="1:7" x14ac:dyDescent="0.25">
      <c r="A497">
        <v>1.87</v>
      </c>
      <c r="B497">
        <v>1.57</v>
      </c>
      <c r="C497" t="str">
        <f>CONCATENATE(Таблица258[[#This Row],[Столбец1]],Таблица258[[#This Row],[Столбец2]])</f>
        <v>1,871,57</v>
      </c>
      <c r="E497">
        <v>1.92</v>
      </c>
      <c r="F497">
        <v>1.57</v>
      </c>
      <c r="G497" t="str">
        <f>CONCATENATE(Таблица271[[#This Row],[Столбец1]],Таблица271[[#This Row],[Столбец2]])</f>
        <v>1,921,57</v>
      </c>
    </row>
    <row r="498" spans="1:7" x14ac:dyDescent="0.25">
      <c r="A498">
        <v>1.88</v>
      </c>
      <c r="B498">
        <v>1.57</v>
      </c>
      <c r="C498" t="str">
        <f>CONCATENATE(Таблица258[[#This Row],[Столбец1]],Таблица258[[#This Row],[Столбец2]])</f>
        <v>1,881,57</v>
      </c>
      <c r="E498">
        <v>1.92</v>
      </c>
      <c r="F498">
        <v>1.57</v>
      </c>
      <c r="G498" t="str">
        <f>CONCATENATE(Таблица271[[#This Row],[Столбец1]],Таблица271[[#This Row],[Столбец2]])</f>
        <v>1,921,57</v>
      </c>
    </row>
    <row r="499" spans="1:7" x14ac:dyDescent="0.25">
      <c r="A499">
        <v>1.88</v>
      </c>
      <c r="B499">
        <v>1.57</v>
      </c>
      <c r="C499" t="str">
        <f>CONCATENATE(Таблица258[[#This Row],[Столбец1]],Таблица258[[#This Row],[Столбец2]])</f>
        <v>1,881,57</v>
      </c>
      <c r="E499">
        <v>1.92</v>
      </c>
      <c r="F499">
        <v>1.57</v>
      </c>
      <c r="G499" t="str">
        <f>CONCATENATE(Таблица271[[#This Row],[Столбец1]],Таблица271[[#This Row],[Столбец2]])</f>
        <v>1,921,57</v>
      </c>
    </row>
    <row r="500" spans="1:7" x14ac:dyDescent="0.25">
      <c r="A500">
        <v>1.88</v>
      </c>
      <c r="B500">
        <v>1.57</v>
      </c>
      <c r="C500" t="str">
        <f>CONCATENATE(Таблица258[[#This Row],[Столбец1]],Таблица258[[#This Row],[Столбец2]])</f>
        <v>1,881,57</v>
      </c>
      <c r="E500">
        <v>1.93</v>
      </c>
      <c r="F500">
        <v>1.57</v>
      </c>
      <c r="G500" t="str">
        <f>CONCATENATE(Таблица271[[#This Row],[Столбец1]],Таблица271[[#This Row],[Столбец2]])</f>
        <v>1,931,57</v>
      </c>
    </row>
    <row r="501" spans="1:7" x14ac:dyDescent="0.25">
      <c r="A501">
        <v>1.88</v>
      </c>
      <c r="B501">
        <v>1.57</v>
      </c>
      <c r="C501" t="str">
        <f>CONCATENATE(Таблица258[[#This Row],[Столбец1]],Таблица258[[#This Row],[Столбец2]])</f>
        <v>1,881,57</v>
      </c>
      <c r="E501">
        <v>1.93</v>
      </c>
      <c r="F501">
        <v>1.57</v>
      </c>
      <c r="G501" t="str">
        <f>CONCATENATE(Таблица271[[#This Row],[Столбец1]],Таблица271[[#This Row],[Столбец2]])</f>
        <v>1,931,57</v>
      </c>
    </row>
    <row r="502" spans="1:7" x14ac:dyDescent="0.25">
      <c r="A502">
        <v>1.88</v>
      </c>
      <c r="B502">
        <v>1.57</v>
      </c>
      <c r="C502" t="str">
        <f>CONCATENATE(Таблица258[[#This Row],[Столбец1]],Таблица258[[#This Row],[Столбец2]])</f>
        <v>1,881,57</v>
      </c>
      <c r="E502">
        <v>1.93</v>
      </c>
      <c r="F502">
        <v>1.57</v>
      </c>
      <c r="G502" t="str">
        <f>CONCATENATE(Таблица271[[#This Row],[Столбец1]],Таблица271[[#This Row],[Столбец2]])</f>
        <v>1,931,57</v>
      </c>
    </row>
    <row r="503" spans="1:7" x14ac:dyDescent="0.25">
      <c r="A503">
        <v>1.88</v>
      </c>
      <c r="B503">
        <v>1.57</v>
      </c>
      <c r="C503" t="str">
        <f>CONCATENATE(Таблица258[[#This Row],[Столбец1]],Таблица258[[#This Row],[Столбец2]])</f>
        <v>1,881,57</v>
      </c>
      <c r="E503">
        <v>1.93</v>
      </c>
      <c r="F503">
        <v>1.57</v>
      </c>
      <c r="G503" t="str">
        <f>CONCATENATE(Таблица271[[#This Row],[Столбец1]],Таблица271[[#This Row],[Столбец2]])</f>
        <v>1,931,57</v>
      </c>
    </row>
    <row r="504" spans="1:7" x14ac:dyDescent="0.25">
      <c r="A504">
        <v>1.89</v>
      </c>
      <c r="B504">
        <v>1.57</v>
      </c>
      <c r="C504" t="str">
        <f>CONCATENATE(Таблица258[[#This Row],[Столбец1]],Таблица258[[#This Row],[Столбец2]])</f>
        <v>1,891,57</v>
      </c>
      <c r="E504">
        <v>1.93</v>
      </c>
      <c r="F504">
        <v>1.57</v>
      </c>
      <c r="G504" t="str">
        <f>CONCATENATE(Таблица271[[#This Row],[Столбец1]],Таблица271[[#This Row],[Столбец2]])</f>
        <v>1,931,57</v>
      </c>
    </row>
    <row r="505" spans="1:7" x14ac:dyDescent="0.25">
      <c r="A505">
        <v>1.89</v>
      </c>
      <c r="B505">
        <v>1.57</v>
      </c>
      <c r="C505" t="str">
        <f>CONCATENATE(Таблица258[[#This Row],[Столбец1]],Таблица258[[#This Row],[Столбец2]])</f>
        <v>1,891,57</v>
      </c>
      <c r="E505">
        <v>1.93</v>
      </c>
      <c r="F505">
        <v>1.57</v>
      </c>
      <c r="G505" t="str">
        <f>CONCATENATE(Таблица271[[#This Row],[Столбец1]],Таблица271[[#This Row],[Столбец2]])</f>
        <v>1,931,57</v>
      </c>
    </row>
    <row r="506" spans="1:7" x14ac:dyDescent="0.25">
      <c r="A506">
        <v>1.89</v>
      </c>
      <c r="B506">
        <v>1.57</v>
      </c>
      <c r="C506" t="str">
        <f>CONCATENATE(Таблица258[[#This Row],[Столбец1]],Таблица258[[#This Row],[Столбец2]])</f>
        <v>1,891,57</v>
      </c>
      <c r="E506">
        <v>1.94</v>
      </c>
      <c r="F506">
        <v>1.57</v>
      </c>
      <c r="G506" t="str">
        <f>CONCATENATE(Таблица271[[#This Row],[Столбец1]],Таблица271[[#This Row],[Столбец2]])</f>
        <v>1,941,57</v>
      </c>
    </row>
    <row r="507" spans="1:7" x14ac:dyDescent="0.25">
      <c r="A507">
        <v>1.89</v>
      </c>
      <c r="B507">
        <v>1.57</v>
      </c>
      <c r="C507" t="str">
        <f>CONCATENATE(Таблица258[[#This Row],[Столбец1]],Таблица258[[#This Row],[Столбец2]])</f>
        <v>1,891,57</v>
      </c>
      <c r="E507">
        <v>1.94</v>
      </c>
      <c r="F507">
        <v>1.57</v>
      </c>
      <c r="G507" t="str">
        <f>CONCATENATE(Таблица271[[#This Row],[Столбец1]],Таблица271[[#This Row],[Столбец2]])</f>
        <v>1,941,57</v>
      </c>
    </row>
    <row r="508" spans="1:7" x14ac:dyDescent="0.25">
      <c r="A508">
        <v>1.89</v>
      </c>
      <c r="B508">
        <v>1.57</v>
      </c>
      <c r="C508" t="str">
        <f>CONCATENATE(Таблица258[[#This Row],[Столбец1]],Таблица258[[#This Row],[Столбец2]])</f>
        <v>1,891,57</v>
      </c>
      <c r="E508">
        <v>1.94</v>
      </c>
      <c r="F508">
        <v>1.57</v>
      </c>
      <c r="G508" t="str">
        <f>CONCATENATE(Таблица271[[#This Row],[Столбец1]],Таблица271[[#This Row],[Столбец2]])</f>
        <v>1,941,57</v>
      </c>
    </row>
    <row r="509" spans="1:7" x14ac:dyDescent="0.25">
      <c r="A509">
        <v>1.89</v>
      </c>
      <c r="B509">
        <v>1.57</v>
      </c>
      <c r="C509" t="str">
        <f>CONCATENATE(Таблица258[[#This Row],[Столбец1]],Таблица258[[#This Row],[Столбец2]])</f>
        <v>1,891,57</v>
      </c>
      <c r="E509">
        <v>1.94</v>
      </c>
      <c r="F509">
        <v>1.57</v>
      </c>
      <c r="G509" t="str">
        <f>CONCATENATE(Таблица271[[#This Row],[Столбец1]],Таблица271[[#This Row],[Столбец2]])</f>
        <v>1,941,57</v>
      </c>
    </row>
    <row r="510" spans="1:7" x14ac:dyDescent="0.25">
      <c r="A510">
        <v>1.9</v>
      </c>
      <c r="B510">
        <v>1.57</v>
      </c>
      <c r="C510" t="str">
        <f>CONCATENATE(Таблица258[[#This Row],[Столбец1]],Таблица258[[#This Row],[Столбец2]])</f>
        <v>1,91,57</v>
      </c>
      <c r="E510">
        <v>1.94</v>
      </c>
      <c r="F510">
        <v>1.57</v>
      </c>
      <c r="G510" t="str">
        <f>CONCATENATE(Таблица271[[#This Row],[Столбец1]],Таблица271[[#This Row],[Столбец2]])</f>
        <v>1,941,57</v>
      </c>
    </row>
    <row r="511" spans="1:7" x14ac:dyDescent="0.25">
      <c r="A511">
        <v>1.9</v>
      </c>
      <c r="B511">
        <v>1.57</v>
      </c>
      <c r="C511" t="str">
        <f>CONCATENATE(Таблица258[[#This Row],[Столбец1]],Таблица258[[#This Row],[Столбец2]])</f>
        <v>1,91,57</v>
      </c>
      <c r="E511">
        <v>1.94</v>
      </c>
      <c r="F511">
        <v>1.57</v>
      </c>
      <c r="G511" t="str">
        <f>CONCATENATE(Таблица271[[#This Row],[Столбец1]],Таблица271[[#This Row],[Столбец2]])</f>
        <v>1,941,57</v>
      </c>
    </row>
    <row r="512" spans="1:7" x14ac:dyDescent="0.25">
      <c r="A512">
        <v>1.9</v>
      </c>
      <c r="B512">
        <v>1.57</v>
      </c>
      <c r="C512" t="str">
        <f>CONCATENATE(Таблица258[[#This Row],[Столбец1]],Таблица258[[#This Row],[Столбец2]])</f>
        <v>1,91,57</v>
      </c>
      <c r="E512">
        <v>1.95</v>
      </c>
      <c r="F512">
        <v>1.57</v>
      </c>
      <c r="G512" t="str">
        <f>CONCATENATE(Таблица271[[#This Row],[Столбец1]],Таблица271[[#This Row],[Столбец2]])</f>
        <v>1,951,57</v>
      </c>
    </row>
    <row r="513" spans="1:7" x14ac:dyDescent="0.25">
      <c r="A513">
        <v>1.9</v>
      </c>
      <c r="B513">
        <v>1.57</v>
      </c>
      <c r="C513" t="str">
        <f>CONCATENATE(Таблица258[[#This Row],[Столбец1]],Таблица258[[#This Row],[Столбец2]])</f>
        <v>1,91,57</v>
      </c>
      <c r="E513">
        <v>1.95</v>
      </c>
      <c r="F513">
        <v>1.57</v>
      </c>
      <c r="G513" t="str">
        <f>CONCATENATE(Таблица271[[#This Row],[Столбец1]],Таблица271[[#This Row],[Столбец2]])</f>
        <v>1,951,57</v>
      </c>
    </row>
    <row r="514" spans="1:7" x14ac:dyDescent="0.25">
      <c r="A514">
        <v>1.9</v>
      </c>
      <c r="B514">
        <v>1.57</v>
      </c>
      <c r="C514" t="str">
        <f>CONCATENATE(Таблица258[[#This Row],[Столбец1]],Таблица258[[#This Row],[Столбец2]])</f>
        <v>1,91,57</v>
      </c>
      <c r="E514">
        <v>1.95</v>
      </c>
      <c r="F514">
        <v>1.57</v>
      </c>
      <c r="G514" t="str">
        <f>CONCATENATE(Таблица271[[#This Row],[Столбец1]],Таблица271[[#This Row],[Столбец2]])</f>
        <v>1,951,57</v>
      </c>
    </row>
    <row r="515" spans="1:7" x14ac:dyDescent="0.25">
      <c r="A515">
        <v>1.9</v>
      </c>
      <c r="B515">
        <v>1.57</v>
      </c>
      <c r="C515" t="str">
        <f>CONCATENATE(Таблица258[[#This Row],[Столбец1]],Таблица258[[#This Row],[Столбец2]])</f>
        <v>1,91,57</v>
      </c>
      <c r="E515">
        <v>1.95</v>
      </c>
      <c r="F515">
        <v>1.57</v>
      </c>
      <c r="G515" t="str">
        <f>CONCATENATE(Таблица271[[#This Row],[Столбец1]],Таблица271[[#This Row],[Столбец2]])</f>
        <v>1,951,57</v>
      </c>
    </row>
    <row r="516" spans="1:7" x14ac:dyDescent="0.25">
      <c r="A516">
        <v>1.91</v>
      </c>
      <c r="B516">
        <v>1.57</v>
      </c>
      <c r="C516" t="str">
        <f>CONCATENATE(Таблица258[[#This Row],[Столбец1]],Таблица258[[#This Row],[Столбец2]])</f>
        <v>1,911,57</v>
      </c>
      <c r="E516">
        <v>1.95</v>
      </c>
      <c r="F516">
        <v>1.57</v>
      </c>
      <c r="G516" t="str">
        <f>CONCATENATE(Таблица271[[#This Row],[Столбец1]],Таблица271[[#This Row],[Столбец2]])</f>
        <v>1,951,57</v>
      </c>
    </row>
    <row r="517" spans="1:7" x14ac:dyDescent="0.25">
      <c r="A517">
        <v>1.91</v>
      </c>
      <c r="B517">
        <v>1.57</v>
      </c>
      <c r="C517" t="str">
        <f>CONCATENATE(Таблица258[[#This Row],[Столбец1]],Таблица258[[#This Row],[Столбец2]])</f>
        <v>1,911,57</v>
      </c>
      <c r="E517">
        <v>1.95</v>
      </c>
      <c r="F517">
        <v>1.57</v>
      </c>
      <c r="G517" t="str">
        <f>CONCATENATE(Таблица271[[#This Row],[Столбец1]],Таблица271[[#This Row],[Столбец2]])</f>
        <v>1,951,57</v>
      </c>
    </row>
    <row r="518" spans="1:7" x14ac:dyDescent="0.25">
      <c r="A518">
        <v>1.91</v>
      </c>
      <c r="B518">
        <v>1.57</v>
      </c>
      <c r="C518" t="str">
        <f>CONCATENATE(Таблица258[[#This Row],[Столбец1]],Таблица258[[#This Row],[Столбец2]])</f>
        <v>1,911,57</v>
      </c>
      <c r="E518">
        <v>1.96</v>
      </c>
      <c r="F518">
        <v>1.57</v>
      </c>
      <c r="G518" t="str">
        <f>CONCATENATE(Таблица271[[#This Row],[Столбец1]],Таблица271[[#This Row],[Столбец2]])</f>
        <v>1,961,57</v>
      </c>
    </row>
    <row r="519" spans="1:7" x14ac:dyDescent="0.25">
      <c r="A519">
        <v>1.91</v>
      </c>
      <c r="B519">
        <v>1.57</v>
      </c>
      <c r="C519" t="str">
        <f>CONCATENATE(Таблица258[[#This Row],[Столбец1]],Таблица258[[#This Row],[Столбец2]])</f>
        <v>1,911,57</v>
      </c>
      <c r="E519">
        <v>1.96</v>
      </c>
      <c r="F519">
        <v>1.57</v>
      </c>
      <c r="G519" t="str">
        <f>CONCATENATE(Таблица271[[#This Row],[Столбец1]],Таблица271[[#This Row],[Столбец2]])</f>
        <v>1,961,57</v>
      </c>
    </row>
    <row r="520" spans="1:7" x14ac:dyDescent="0.25">
      <c r="A520">
        <v>1.91</v>
      </c>
      <c r="B520">
        <v>1.57</v>
      </c>
      <c r="C520" t="str">
        <f>CONCATENATE(Таблица258[[#This Row],[Столбец1]],Таблица258[[#This Row],[Столбец2]])</f>
        <v>1,911,57</v>
      </c>
      <c r="E520">
        <v>1.96</v>
      </c>
      <c r="F520">
        <v>1.57</v>
      </c>
      <c r="G520" t="str">
        <f>CONCATENATE(Таблица271[[#This Row],[Столбец1]],Таблица271[[#This Row],[Столбец2]])</f>
        <v>1,961,57</v>
      </c>
    </row>
    <row r="521" spans="1:7" x14ac:dyDescent="0.25">
      <c r="A521">
        <v>1.91</v>
      </c>
      <c r="B521">
        <v>1.57</v>
      </c>
      <c r="C521" t="str">
        <f>CONCATENATE(Таблица258[[#This Row],[Столбец1]],Таблица258[[#This Row],[Столбец2]])</f>
        <v>1,911,57</v>
      </c>
      <c r="E521">
        <v>1.96</v>
      </c>
      <c r="F521">
        <v>1.57</v>
      </c>
      <c r="G521" t="str">
        <f>CONCATENATE(Таблица271[[#This Row],[Столбец1]],Таблица271[[#This Row],[Столбец2]])</f>
        <v>1,961,57</v>
      </c>
    </row>
    <row r="522" spans="1:7" x14ac:dyDescent="0.25">
      <c r="A522">
        <v>1.92</v>
      </c>
      <c r="B522">
        <v>1.57</v>
      </c>
      <c r="C522" t="str">
        <f>CONCATENATE(Таблица258[[#This Row],[Столбец1]],Таблица258[[#This Row],[Столбец2]])</f>
        <v>1,921,57</v>
      </c>
      <c r="E522">
        <v>1.96</v>
      </c>
      <c r="F522">
        <v>1.57</v>
      </c>
      <c r="G522" t="str">
        <f>CONCATENATE(Таблица271[[#This Row],[Столбец1]],Таблица271[[#This Row],[Столбец2]])</f>
        <v>1,961,57</v>
      </c>
    </row>
    <row r="523" spans="1:7" x14ac:dyDescent="0.25">
      <c r="A523">
        <v>1.92</v>
      </c>
      <c r="B523">
        <v>1.57</v>
      </c>
      <c r="C523" t="str">
        <f>CONCATENATE(Таблица258[[#This Row],[Столбец1]],Таблица258[[#This Row],[Столбец2]])</f>
        <v>1,921,57</v>
      </c>
      <c r="E523">
        <v>1.96</v>
      </c>
      <c r="F523">
        <v>1.57</v>
      </c>
      <c r="G523" t="str">
        <f>CONCATENATE(Таблица271[[#This Row],[Столбец1]],Таблица271[[#This Row],[Столбец2]])</f>
        <v>1,961,57</v>
      </c>
    </row>
    <row r="524" spans="1:7" x14ac:dyDescent="0.25">
      <c r="A524">
        <v>1.92</v>
      </c>
      <c r="B524">
        <v>1.57</v>
      </c>
      <c r="C524" t="str">
        <f>CONCATENATE(Таблица258[[#This Row],[Столбец1]],Таблица258[[#This Row],[Столбец2]])</f>
        <v>1,921,57</v>
      </c>
      <c r="E524">
        <v>1.97</v>
      </c>
      <c r="F524">
        <v>1.57</v>
      </c>
      <c r="G524" t="str">
        <f>CONCATENATE(Таблица271[[#This Row],[Столбец1]],Таблица271[[#This Row],[Столбец2]])</f>
        <v>1,971,57</v>
      </c>
    </row>
    <row r="525" spans="1:7" x14ac:dyDescent="0.25">
      <c r="A525">
        <v>1.92</v>
      </c>
      <c r="B525">
        <v>1.57</v>
      </c>
      <c r="C525" t="str">
        <f>CONCATENATE(Таблица258[[#This Row],[Столбец1]],Таблица258[[#This Row],[Столбец2]])</f>
        <v>1,921,57</v>
      </c>
      <c r="E525">
        <v>1.97</v>
      </c>
      <c r="F525">
        <v>1.57</v>
      </c>
      <c r="G525" t="str">
        <f>CONCATENATE(Таблица271[[#This Row],[Столбец1]],Таблица271[[#This Row],[Столбец2]])</f>
        <v>1,971,57</v>
      </c>
    </row>
    <row r="526" spans="1:7" x14ac:dyDescent="0.25">
      <c r="A526">
        <v>1.92</v>
      </c>
      <c r="B526">
        <v>1.57</v>
      </c>
      <c r="C526" t="str">
        <f>CONCATENATE(Таблица258[[#This Row],[Столбец1]],Таблица258[[#This Row],[Столбец2]])</f>
        <v>1,921,57</v>
      </c>
      <c r="E526">
        <v>1.97</v>
      </c>
      <c r="F526">
        <v>1.57</v>
      </c>
      <c r="G526" t="str">
        <f>CONCATENATE(Таблица271[[#This Row],[Столбец1]],Таблица271[[#This Row],[Столбец2]])</f>
        <v>1,971,57</v>
      </c>
    </row>
    <row r="527" spans="1:7" x14ac:dyDescent="0.25">
      <c r="A527">
        <v>1.92</v>
      </c>
      <c r="B527">
        <v>1.57</v>
      </c>
      <c r="C527" t="str">
        <f>CONCATENATE(Таблица258[[#This Row],[Столбец1]],Таблица258[[#This Row],[Столбец2]])</f>
        <v>1,921,57</v>
      </c>
      <c r="E527">
        <v>1.97</v>
      </c>
      <c r="F527">
        <v>1.57</v>
      </c>
      <c r="G527" t="str">
        <f>CONCATENATE(Таблица271[[#This Row],[Столбец1]],Таблица271[[#This Row],[Столбец2]])</f>
        <v>1,971,57</v>
      </c>
    </row>
    <row r="528" spans="1:7" x14ac:dyDescent="0.25">
      <c r="A528">
        <v>1.93</v>
      </c>
      <c r="B528">
        <v>1.57</v>
      </c>
      <c r="C528" t="str">
        <f>CONCATENATE(Таблица258[[#This Row],[Столбец1]],Таблица258[[#This Row],[Столбец2]])</f>
        <v>1,931,57</v>
      </c>
      <c r="E528">
        <v>1.97</v>
      </c>
      <c r="F528">
        <v>1.57</v>
      </c>
      <c r="G528" t="str">
        <f>CONCATENATE(Таблица271[[#This Row],[Столбец1]],Таблица271[[#This Row],[Столбец2]])</f>
        <v>1,971,57</v>
      </c>
    </row>
    <row r="529" spans="1:7" x14ac:dyDescent="0.25">
      <c r="A529">
        <v>1.93</v>
      </c>
      <c r="B529">
        <v>1.57</v>
      </c>
      <c r="C529" t="str">
        <f>CONCATENATE(Таблица258[[#This Row],[Столбец1]],Таблица258[[#This Row],[Столбец2]])</f>
        <v>1,931,57</v>
      </c>
      <c r="E529">
        <v>1.97</v>
      </c>
      <c r="F529">
        <v>1.57</v>
      </c>
      <c r="G529" t="str">
        <f>CONCATENATE(Таблица271[[#This Row],[Столбец1]],Таблица271[[#This Row],[Столбец2]])</f>
        <v>1,971,57</v>
      </c>
    </row>
    <row r="530" spans="1:7" x14ac:dyDescent="0.25">
      <c r="A530">
        <v>1.93</v>
      </c>
      <c r="B530">
        <v>1.57</v>
      </c>
      <c r="C530" t="str">
        <f>CONCATENATE(Таблица258[[#This Row],[Столбец1]],Таблица258[[#This Row],[Столбец2]])</f>
        <v>1,931,57</v>
      </c>
      <c r="E530">
        <v>1.98</v>
      </c>
      <c r="F530">
        <v>1.57</v>
      </c>
      <c r="G530" t="str">
        <f>CONCATENATE(Таблица271[[#This Row],[Столбец1]],Таблица271[[#This Row],[Столбец2]])</f>
        <v>1,981,57</v>
      </c>
    </row>
    <row r="531" spans="1:7" x14ac:dyDescent="0.25">
      <c r="A531">
        <v>1.93</v>
      </c>
      <c r="B531">
        <v>1.57</v>
      </c>
      <c r="C531" t="str">
        <f>CONCATENATE(Таблица258[[#This Row],[Столбец1]],Таблица258[[#This Row],[Столбец2]])</f>
        <v>1,931,57</v>
      </c>
      <c r="E531">
        <v>1.98</v>
      </c>
      <c r="F531">
        <v>1.57</v>
      </c>
      <c r="G531" t="str">
        <f>CONCATENATE(Таблица271[[#This Row],[Столбец1]],Таблица271[[#This Row],[Столбец2]])</f>
        <v>1,981,57</v>
      </c>
    </row>
    <row r="532" spans="1:7" x14ac:dyDescent="0.25">
      <c r="A532">
        <v>1.93</v>
      </c>
      <c r="B532">
        <v>1.57</v>
      </c>
      <c r="C532" t="str">
        <f>CONCATENATE(Таблица258[[#This Row],[Столбец1]],Таблица258[[#This Row],[Столбец2]])</f>
        <v>1,931,57</v>
      </c>
      <c r="E532">
        <v>1.98</v>
      </c>
      <c r="F532">
        <v>1.57</v>
      </c>
      <c r="G532" t="str">
        <f>CONCATENATE(Таблица271[[#This Row],[Столбец1]],Таблица271[[#This Row],[Столбец2]])</f>
        <v>1,981,57</v>
      </c>
    </row>
    <row r="533" spans="1:7" x14ac:dyDescent="0.25">
      <c r="A533">
        <v>1.93</v>
      </c>
      <c r="B533">
        <v>1.57</v>
      </c>
      <c r="C533" t="str">
        <f>CONCATENATE(Таблица258[[#This Row],[Столбец1]],Таблица258[[#This Row],[Столбец2]])</f>
        <v>1,931,57</v>
      </c>
      <c r="E533">
        <v>1.98</v>
      </c>
      <c r="F533">
        <v>1.57</v>
      </c>
      <c r="G533" t="str">
        <f>CONCATENATE(Таблица271[[#This Row],[Столбец1]],Таблица271[[#This Row],[Столбец2]])</f>
        <v>1,981,57</v>
      </c>
    </row>
    <row r="534" spans="1:7" x14ac:dyDescent="0.25">
      <c r="A534">
        <v>1.94</v>
      </c>
      <c r="B534">
        <v>1.57</v>
      </c>
      <c r="C534" t="str">
        <f>CONCATENATE(Таблица258[[#This Row],[Столбец1]],Таблица258[[#This Row],[Столбец2]])</f>
        <v>1,941,57</v>
      </c>
      <c r="E534">
        <v>1.98</v>
      </c>
      <c r="F534">
        <v>1.57</v>
      </c>
      <c r="G534" t="str">
        <f>CONCATENATE(Таблица271[[#This Row],[Столбец1]],Таблица271[[#This Row],[Столбец2]])</f>
        <v>1,981,57</v>
      </c>
    </row>
    <row r="535" spans="1:7" x14ac:dyDescent="0.25">
      <c r="A535">
        <v>1.94</v>
      </c>
      <c r="B535">
        <v>1.57</v>
      </c>
      <c r="C535" t="str">
        <f>CONCATENATE(Таблица258[[#This Row],[Столбец1]],Таблица258[[#This Row],[Столбец2]])</f>
        <v>1,941,57</v>
      </c>
      <c r="E535">
        <v>1.98</v>
      </c>
      <c r="F535">
        <v>1.57</v>
      </c>
      <c r="G535" t="str">
        <f>CONCATENATE(Таблица271[[#This Row],[Столбец1]],Таблица271[[#This Row],[Столбец2]])</f>
        <v>1,981,57</v>
      </c>
    </row>
    <row r="536" spans="1:7" x14ac:dyDescent="0.25">
      <c r="A536">
        <v>1.94</v>
      </c>
      <c r="B536">
        <v>1.57</v>
      </c>
      <c r="C536" t="str">
        <f>CONCATENATE(Таблица258[[#This Row],[Столбец1]],Таблица258[[#This Row],[Столбец2]])</f>
        <v>1,941,57</v>
      </c>
      <c r="E536">
        <v>1.99</v>
      </c>
      <c r="F536">
        <v>1.57</v>
      </c>
      <c r="G536" t="str">
        <f>CONCATENATE(Таблица271[[#This Row],[Столбец1]],Таблица271[[#This Row],[Столбец2]])</f>
        <v>1,991,57</v>
      </c>
    </row>
    <row r="537" spans="1:7" x14ac:dyDescent="0.25">
      <c r="A537">
        <v>1.94</v>
      </c>
      <c r="B537">
        <v>1.57</v>
      </c>
      <c r="C537" t="str">
        <f>CONCATENATE(Таблица258[[#This Row],[Столбец1]],Таблица258[[#This Row],[Столбец2]])</f>
        <v>1,941,57</v>
      </c>
      <c r="E537">
        <v>1.99</v>
      </c>
      <c r="F537">
        <v>1.57</v>
      </c>
      <c r="G537" t="str">
        <f>CONCATENATE(Таблица271[[#This Row],[Столбец1]],Таблица271[[#This Row],[Столбец2]])</f>
        <v>1,991,57</v>
      </c>
    </row>
    <row r="538" spans="1:7" x14ac:dyDescent="0.25">
      <c r="A538">
        <v>1.94</v>
      </c>
      <c r="B538">
        <v>1.57</v>
      </c>
      <c r="C538" t="str">
        <f>CONCATENATE(Таблица258[[#This Row],[Столбец1]],Таблица258[[#This Row],[Столбец2]])</f>
        <v>1,941,57</v>
      </c>
      <c r="E538">
        <v>1.99</v>
      </c>
      <c r="F538">
        <v>1.57</v>
      </c>
      <c r="G538" t="str">
        <f>CONCATENATE(Таблица271[[#This Row],[Столбец1]],Таблица271[[#This Row],[Столбец2]])</f>
        <v>1,991,57</v>
      </c>
    </row>
    <row r="539" spans="1:7" x14ac:dyDescent="0.25">
      <c r="A539">
        <v>1.94</v>
      </c>
      <c r="B539">
        <v>1.57</v>
      </c>
      <c r="C539" t="str">
        <f>CONCATENATE(Таблица258[[#This Row],[Столбец1]],Таблица258[[#This Row],[Столбец2]])</f>
        <v>1,941,57</v>
      </c>
      <c r="E539">
        <v>1.99</v>
      </c>
      <c r="F539">
        <v>1.57</v>
      </c>
      <c r="G539" t="str">
        <f>CONCATENATE(Таблица271[[#This Row],[Столбец1]],Таблица271[[#This Row],[Столбец2]])</f>
        <v>1,991,57</v>
      </c>
    </row>
    <row r="540" spans="1:7" x14ac:dyDescent="0.25">
      <c r="A540">
        <v>1.95</v>
      </c>
      <c r="B540">
        <v>1.57</v>
      </c>
      <c r="C540" t="str">
        <f>CONCATENATE(Таблица258[[#This Row],[Столбец1]],Таблица258[[#This Row],[Столбец2]])</f>
        <v>1,951,57</v>
      </c>
      <c r="E540">
        <v>1.99</v>
      </c>
      <c r="F540">
        <v>1.57</v>
      </c>
      <c r="G540" t="str">
        <f>CONCATENATE(Таблица271[[#This Row],[Столбец1]],Таблица271[[#This Row],[Столбец2]])</f>
        <v>1,991,57</v>
      </c>
    </row>
    <row r="541" spans="1:7" x14ac:dyDescent="0.25">
      <c r="A541">
        <v>1.95</v>
      </c>
      <c r="B541">
        <v>1.57</v>
      </c>
      <c r="C541" t="str">
        <f>CONCATENATE(Таблица258[[#This Row],[Столбец1]],Таблица258[[#This Row],[Столбец2]])</f>
        <v>1,951,57</v>
      </c>
      <c r="E541">
        <v>1.99</v>
      </c>
      <c r="F541">
        <v>1.57</v>
      </c>
      <c r="G541" t="str">
        <f>CONCATENATE(Таблица271[[#This Row],[Столбец1]],Таблица271[[#This Row],[Столбец2]])</f>
        <v>1,991,57</v>
      </c>
    </row>
    <row r="542" spans="1:7" x14ac:dyDescent="0.25">
      <c r="A542">
        <v>1.95</v>
      </c>
      <c r="B542">
        <v>1.57</v>
      </c>
      <c r="C542" t="str">
        <f>CONCATENATE(Таблица258[[#This Row],[Столбец1]],Таблица258[[#This Row],[Столбец2]])</f>
        <v>1,951,57</v>
      </c>
      <c r="E542">
        <v>2</v>
      </c>
      <c r="F542">
        <v>1.57</v>
      </c>
      <c r="G542" t="str">
        <f>CONCATENATE(Таблица271[[#This Row],[Столбец1]],Таблица271[[#This Row],[Столбец2]])</f>
        <v>21,57</v>
      </c>
    </row>
    <row r="543" spans="1:7" x14ac:dyDescent="0.25">
      <c r="A543">
        <v>1.95</v>
      </c>
      <c r="B543">
        <v>1.57</v>
      </c>
      <c r="C543" t="str">
        <f>CONCATENATE(Таблица258[[#This Row],[Столбец1]],Таблица258[[#This Row],[Столбец2]])</f>
        <v>1,951,57</v>
      </c>
      <c r="E543">
        <v>2</v>
      </c>
      <c r="F543">
        <v>1.57</v>
      </c>
      <c r="G543" t="str">
        <f>CONCATENATE(Таблица271[[#This Row],[Столбец1]],Таблица271[[#This Row],[Столбец2]])</f>
        <v>21,57</v>
      </c>
    </row>
    <row r="544" spans="1:7" x14ac:dyDescent="0.25">
      <c r="A544">
        <v>1.95</v>
      </c>
      <c r="B544">
        <v>1.57</v>
      </c>
      <c r="C544" t="str">
        <f>CONCATENATE(Таблица258[[#This Row],[Столбец1]],Таблица258[[#This Row],[Столбец2]])</f>
        <v>1,951,57</v>
      </c>
      <c r="E544">
        <v>2</v>
      </c>
      <c r="F544">
        <v>1.57</v>
      </c>
      <c r="G544" t="str">
        <f>CONCATENATE(Таблица271[[#This Row],[Столбец1]],Таблица271[[#This Row],[Столбец2]])</f>
        <v>21,57</v>
      </c>
    </row>
    <row r="545" spans="1:7" x14ac:dyDescent="0.25">
      <c r="A545">
        <v>1.95</v>
      </c>
      <c r="B545">
        <v>1.57</v>
      </c>
      <c r="C545" t="str">
        <f>CONCATENATE(Таблица258[[#This Row],[Столбец1]],Таблица258[[#This Row],[Столбец2]])</f>
        <v>1,951,57</v>
      </c>
      <c r="E545">
        <v>2</v>
      </c>
      <c r="F545">
        <v>1.57</v>
      </c>
      <c r="G545" t="str">
        <f>CONCATENATE(Таблица271[[#This Row],[Столбец1]],Таблица271[[#This Row],[Столбец2]])</f>
        <v>21,57</v>
      </c>
    </row>
    <row r="546" spans="1:7" x14ac:dyDescent="0.25">
      <c r="A546">
        <v>1.96</v>
      </c>
      <c r="B546">
        <v>1.57</v>
      </c>
      <c r="C546" t="str">
        <f>CONCATENATE(Таблица258[[#This Row],[Столбец1]],Таблица258[[#This Row],[Столбец2]])</f>
        <v>1,961,57</v>
      </c>
      <c r="E546">
        <v>2</v>
      </c>
      <c r="F546">
        <v>1.57</v>
      </c>
      <c r="G546" t="str">
        <f>CONCATENATE(Таблица271[[#This Row],[Столбец1]],Таблица271[[#This Row],[Столбец2]])</f>
        <v>21,57</v>
      </c>
    </row>
    <row r="547" spans="1:7" x14ac:dyDescent="0.25">
      <c r="A547">
        <v>1.96</v>
      </c>
      <c r="B547">
        <v>1.57</v>
      </c>
      <c r="C547" t="str">
        <f>CONCATENATE(Таблица258[[#This Row],[Столбец1]],Таблица258[[#This Row],[Столбец2]])</f>
        <v>1,961,57</v>
      </c>
      <c r="E547">
        <v>2</v>
      </c>
      <c r="F547">
        <v>1.57</v>
      </c>
      <c r="G547" t="str">
        <f>CONCATENATE(Таблица271[[#This Row],[Столбец1]],Таблица271[[#This Row],[Столбец2]])</f>
        <v>21,57</v>
      </c>
    </row>
    <row r="548" spans="1:7" x14ac:dyDescent="0.25">
      <c r="A548">
        <v>1.96</v>
      </c>
      <c r="B548">
        <v>1.57</v>
      </c>
      <c r="C548" t="str">
        <f>CONCATENATE(Таблица258[[#This Row],[Столбец1]],Таблица258[[#This Row],[Столбец2]])</f>
        <v>1,961,57</v>
      </c>
      <c r="E548">
        <v>2</v>
      </c>
      <c r="F548">
        <v>1.57</v>
      </c>
      <c r="G548" t="str">
        <f>CONCATENATE(Таблица271[[#This Row],[Столбец1]],Таблица271[[#This Row],[Столбец2]])</f>
        <v>21,57</v>
      </c>
    </row>
    <row r="549" spans="1:7" x14ac:dyDescent="0.25">
      <c r="A549">
        <v>1.96</v>
      </c>
      <c r="B549">
        <v>1.57</v>
      </c>
      <c r="C549" t="str">
        <f>CONCATENATE(Таблица258[[#This Row],[Столбец1]],Таблица258[[#This Row],[Столбец2]])</f>
        <v>1,961,57</v>
      </c>
      <c r="E549">
        <v>2</v>
      </c>
      <c r="F549">
        <v>1.57</v>
      </c>
      <c r="G549" t="str">
        <f>CONCATENATE(Таблица271[[#This Row],[Столбец1]],Таблица271[[#This Row],[Столбец2]])</f>
        <v>21,57</v>
      </c>
    </row>
    <row r="550" spans="1:7" x14ac:dyDescent="0.25">
      <c r="A550">
        <v>1.96</v>
      </c>
      <c r="B550">
        <v>1.57</v>
      </c>
      <c r="C550" t="str">
        <f>CONCATENATE(Таблица258[[#This Row],[Столбец1]],Таблица258[[#This Row],[Столбец2]])</f>
        <v>1,961,57</v>
      </c>
      <c r="E550">
        <v>2</v>
      </c>
      <c r="F550">
        <v>1.57</v>
      </c>
      <c r="G550" t="str">
        <f>CONCATENATE(Таблица271[[#This Row],[Столбец1]],Таблица271[[#This Row],[Столбец2]])</f>
        <v>21,57</v>
      </c>
    </row>
    <row r="551" spans="1:7" x14ac:dyDescent="0.25">
      <c r="A551">
        <v>1.96</v>
      </c>
      <c r="B551">
        <v>1.57</v>
      </c>
      <c r="C551" t="str">
        <f>CONCATENATE(Таблица258[[#This Row],[Столбец1]],Таблица258[[#This Row],[Столбец2]])</f>
        <v>1,961,57</v>
      </c>
      <c r="E551">
        <v>2</v>
      </c>
      <c r="F551">
        <v>1.57</v>
      </c>
      <c r="G551" t="str">
        <f>CONCATENATE(Таблица271[[#This Row],[Столбец1]],Таблица271[[#This Row],[Столбец2]])</f>
        <v>21,57</v>
      </c>
    </row>
    <row r="552" spans="1:7" x14ac:dyDescent="0.25">
      <c r="A552">
        <v>1.97</v>
      </c>
      <c r="B552">
        <v>1.57</v>
      </c>
      <c r="C552" t="str">
        <f>CONCATENATE(Таблица258[[#This Row],[Столбец1]],Таблица258[[#This Row],[Столбец2]])</f>
        <v>1,971,57</v>
      </c>
      <c r="E552">
        <v>2</v>
      </c>
      <c r="F552">
        <v>1.57</v>
      </c>
      <c r="G552" t="str">
        <f>CONCATENATE(Таблица271[[#This Row],[Столбец1]],Таблица271[[#This Row],[Столбец2]])</f>
        <v>21,57</v>
      </c>
    </row>
    <row r="553" spans="1:7" x14ac:dyDescent="0.25">
      <c r="A553">
        <v>1.97</v>
      </c>
      <c r="B553">
        <v>1.57</v>
      </c>
      <c r="C553" t="str">
        <f>CONCATENATE(Таблица258[[#This Row],[Столбец1]],Таблица258[[#This Row],[Столбец2]])</f>
        <v>1,971,57</v>
      </c>
      <c r="E553">
        <v>2</v>
      </c>
      <c r="F553">
        <v>1.57</v>
      </c>
      <c r="G553" t="str">
        <f>CONCATENATE(Таблица271[[#This Row],[Столбец1]],Таблица271[[#This Row],[Столбец2]])</f>
        <v>21,57</v>
      </c>
    </row>
    <row r="554" spans="1:7" x14ac:dyDescent="0.25">
      <c r="A554">
        <v>1.97</v>
      </c>
      <c r="B554">
        <v>1.57</v>
      </c>
      <c r="C554" t="str">
        <f>CONCATENATE(Таблица258[[#This Row],[Столбец1]],Таблица258[[#This Row],[Столбец2]])</f>
        <v>1,971,57</v>
      </c>
      <c r="E554">
        <v>1.57</v>
      </c>
      <c r="F554">
        <v>2</v>
      </c>
      <c r="G554" t="str">
        <f>CONCATENATE(Таблица271[[#This Row],[Столбец1]],Таблица271[[#This Row],[Столбец2]])</f>
        <v>1,572</v>
      </c>
    </row>
    <row r="555" spans="1:7" x14ac:dyDescent="0.25">
      <c r="A555">
        <v>1.97</v>
      </c>
      <c r="B555">
        <v>1.57</v>
      </c>
      <c r="C555" t="str">
        <f>CONCATENATE(Таблица258[[#This Row],[Столбец1]],Таблица258[[#This Row],[Столбец2]])</f>
        <v>1,971,57</v>
      </c>
      <c r="E555">
        <v>1.57</v>
      </c>
      <c r="F555">
        <v>2</v>
      </c>
      <c r="G555" t="str">
        <f>CONCATENATE(Таблица271[[#This Row],[Столбец1]],Таблица271[[#This Row],[Столбец2]])</f>
        <v>1,572</v>
      </c>
    </row>
    <row r="556" spans="1:7" x14ac:dyDescent="0.25">
      <c r="A556">
        <v>1.97</v>
      </c>
      <c r="B556">
        <v>1.57</v>
      </c>
      <c r="C556" t="str">
        <f>CONCATENATE(Таблица258[[#This Row],[Столбец1]],Таблица258[[#This Row],[Столбец2]])</f>
        <v>1,971,57</v>
      </c>
      <c r="E556">
        <v>1.57</v>
      </c>
      <c r="F556">
        <v>2</v>
      </c>
      <c r="G556" t="str">
        <f>CONCATENATE(Таблица271[[#This Row],[Столбец1]],Таблица271[[#This Row],[Столбец2]])</f>
        <v>1,572</v>
      </c>
    </row>
    <row r="557" spans="1:7" x14ac:dyDescent="0.25">
      <c r="A557">
        <v>1.97</v>
      </c>
      <c r="B557">
        <v>1.57</v>
      </c>
      <c r="C557" t="str">
        <f>CONCATENATE(Таблица258[[#This Row],[Столбец1]],Таблица258[[#This Row],[Столбец2]])</f>
        <v>1,971,57</v>
      </c>
      <c r="E557">
        <v>1.57</v>
      </c>
      <c r="F557">
        <v>2</v>
      </c>
      <c r="G557" t="str">
        <f>CONCATENATE(Таблица271[[#This Row],[Столбец1]],Таблица271[[#This Row],[Столбец2]])</f>
        <v>1,572</v>
      </c>
    </row>
    <row r="558" spans="1:7" x14ac:dyDescent="0.25">
      <c r="A558">
        <v>1.98</v>
      </c>
      <c r="B558">
        <v>1.57</v>
      </c>
      <c r="C558" t="str">
        <f>CONCATENATE(Таблица258[[#This Row],[Столбец1]],Таблица258[[#This Row],[Столбец2]])</f>
        <v>1,981,57</v>
      </c>
      <c r="E558">
        <v>1.57</v>
      </c>
      <c r="F558">
        <v>2</v>
      </c>
      <c r="G558" t="str">
        <f>CONCATENATE(Таблица271[[#This Row],[Столбец1]],Таблица271[[#This Row],[Столбец2]])</f>
        <v>1,572</v>
      </c>
    </row>
    <row r="559" spans="1:7" x14ac:dyDescent="0.25">
      <c r="A559">
        <v>1.98</v>
      </c>
      <c r="B559">
        <v>1.57</v>
      </c>
      <c r="C559" t="str">
        <f>CONCATENATE(Таблица258[[#This Row],[Столбец1]],Таблица258[[#This Row],[Столбец2]])</f>
        <v>1,981,57</v>
      </c>
      <c r="E559">
        <v>1.57</v>
      </c>
      <c r="F559">
        <v>2</v>
      </c>
      <c r="G559" t="str">
        <f>CONCATENATE(Таблица271[[#This Row],[Столбец1]],Таблица271[[#This Row],[Столбец2]])</f>
        <v>1,572</v>
      </c>
    </row>
    <row r="560" spans="1:7" x14ac:dyDescent="0.25">
      <c r="A560">
        <v>1.98</v>
      </c>
      <c r="B560">
        <v>1.57</v>
      </c>
      <c r="C560" t="str">
        <f>CONCATENATE(Таблица258[[#This Row],[Столбец1]],Таблица258[[#This Row],[Столбец2]])</f>
        <v>1,981,57</v>
      </c>
      <c r="E560">
        <v>1.58</v>
      </c>
      <c r="F560">
        <v>2.44</v>
      </c>
      <c r="G560" t="str">
        <f>CONCATENATE(Таблица271[[#This Row],[Столбец1]],Таблица271[[#This Row],[Столбец2]])</f>
        <v>1,582,44</v>
      </c>
    </row>
    <row r="561" spans="1:7" x14ac:dyDescent="0.25">
      <c r="A561">
        <v>1.98</v>
      </c>
      <c r="B561">
        <v>1.57</v>
      </c>
      <c r="C561" t="str">
        <f>CONCATENATE(Таблица258[[#This Row],[Столбец1]],Таблица258[[#This Row],[Столбец2]])</f>
        <v>1,981,57</v>
      </c>
      <c r="E561">
        <v>1.58</v>
      </c>
      <c r="F561">
        <v>2.44</v>
      </c>
      <c r="G561" t="str">
        <f>CONCATENATE(Таблица271[[#This Row],[Столбец1]],Таблица271[[#This Row],[Столбец2]])</f>
        <v>1,582,44</v>
      </c>
    </row>
    <row r="562" spans="1:7" x14ac:dyDescent="0.25">
      <c r="A562">
        <v>1.98</v>
      </c>
      <c r="B562">
        <v>1.57</v>
      </c>
      <c r="C562" t="str">
        <f>CONCATENATE(Таблица258[[#This Row],[Столбец1]],Таблица258[[#This Row],[Столбец2]])</f>
        <v>1,981,57</v>
      </c>
      <c r="E562">
        <v>1.58</v>
      </c>
      <c r="F562">
        <v>2.44</v>
      </c>
      <c r="G562" t="str">
        <f>CONCATENATE(Таблица271[[#This Row],[Столбец1]],Таблица271[[#This Row],[Столбец2]])</f>
        <v>1,582,44</v>
      </c>
    </row>
    <row r="563" spans="1:7" x14ac:dyDescent="0.25">
      <c r="A563">
        <v>1.98</v>
      </c>
      <c r="B563">
        <v>1.57</v>
      </c>
      <c r="C563" t="str">
        <f>CONCATENATE(Таблица258[[#This Row],[Столбец1]],Таблица258[[#This Row],[Столбец2]])</f>
        <v>1,981,57</v>
      </c>
      <c r="E563">
        <v>1.58</v>
      </c>
      <c r="F563">
        <v>2.44</v>
      </c>
      <c r="G563" t="str">
        <f>CONCATENATE(Таблица271[[#This Row],[Столбец1]],Таблица271[[#This Row],[Столбец2]])</f>
        <v>1,582,44</v>
      </c>
    </row>
    <row r="564" spans="1:7" x14ac:dyDescent="0.25">
      <c r="A564">
        <v>1.99</v>
      </c>
      <c r="B564">
        <v>1.57</v>
      </c>
      <c r="C564" t="str">
        <f>CONCATENATE(Таблица258[[#This Row],[Столбец1]],Таблица258[[#This Row],[Столбец2]])</f>
        <v>1,991,57</v>
      </c>
      <c r="E564">
        <v>1.58</v>
      </c>
      <c r="F564">
        <v>2.44</v>
      </c>
      <c r="G564" t="str">
        <f>CONCATENATE(Таблица271[[#This Row],[Столбец1]],Таблица271[[#This Row],[Столбец2]])</f>
        <v>1,582,44</v>
      </c>
    </row>
    <row r="565" spans="1:7" x14ac:dyDescent="0.25">
      <c r="A565">
        <v>1.99</v>
      </c>
      <c r="B565">
        <v>1.57</v>
      </c>
      <c r="C565" t="str">
        <f>CONCATENATE(Таблица258[[#This Row],[Столбец1]],Таблица258[[#This Row],[Столбец2]])</f>
        <v>1,991,57</v>
      </c>
      <c r="E565">
        <v>1.58</v>
      </c>
      <c r="F565">
        <v>2.44</v>
      </c>
      <c r="G565" t="str">
        <f>CONCATENATE(Таблица271[[#This Row],[Столбец1]],Таблица271[[#This Row],[Столбец2]])</f>
        <v>1,582,44</v>
      </c>
    </row>
    <row r="566" spans="1:7" x14ac:dyDescent="0.25">
      <c r="A566">
        <v>1.99</v>
      </c>
      <c r="B566">
        <v>1.57</v>
      </c>
      <c r="C566" t="str">
        <f>CONCATENATE(Таблица258[[#This Row],[Столбец1]],Таблица258[[#This Row],[Столбец2]])</f>
        <v>1,991,57</v>
      </c>
      <c r="E566">
        <v>1.59</v>
      </c>
      <c r="F566">
        <v>2.4500000000000002</v>
      </c>
      <c r="G566" t="str">
        <f>CONCATENATE(Таблица271[[#This Row],[Столбец1]],Таблица271[[#This Row],[Столбец2]])</f>
        <v>1,592,45</v>
      </c>
    </row>
    <row r="567" spans="1:7" x14ac:dyDescent="0.25">
      <c r="A567">
        <v>1.99</v>
      </c>
      <c r="B567">
        <v>1.57</v>
      </c>
      <c r="C567" t="str">
        <f>CONCATENATE(Таблица258[[#This Row],[Столбец1]],Таблица258[[#This Row],[Столбец2]])</f>
        <v>1,991,57</v>
      </c>
      <c r="E567">
        <v>1.59</v>
      </c>
      <c r="F567">
        <v>2.4500000000000002</v>
      </c>
      <c r="G567" t="str">
        <f>CONCATENATE(Таблица271[[#This Row],[Столбец1]],Таблица271[[#This Row],[Столбец2]])</f>
        <v>1,592,45</v>
      </c>
    </row>
    <row r="568" spans="1:7" x14ac:dyDescent="0.25">
      <c r="A568">
        <v>1.99</v>
      </c>
      <c r="B568">
        <v>1.57</v>
      </c>
      <c r="C568" t="str">
        <f>CONCATENATE(Таблица258[[#This Row],[Столбец1]],Таблица258[[#This Row],[Столбец2]])</f>
        <v>1,991,57</v>
      </c>
      <c r="E568">
        <v>1.59</v>
      </c>
      <c r="F568">
        <v>2.4500000000000002</v>
      </c>
      <c r="G568" t="str">
        <f>CONCATENATE(Таблица271[[#This Row],[Столбец1]],Таблица271[[#This Row],[Столбец2]])</f>
        <v>1,592,45</v>
      </c>
    </row>
    <row r="569" spans="1:7" x14ac:dyDescent="0.25">
      <c r="A569">
        <v>1.99</v>
      </c>
      <c r="B569">
        <v>1.57</v>
      </c>
      <c r="C569" t="str">
        <f>CONCATENATE(Таблица258[[#This Row],[Столбец1]],Таблица258[[#This Row],[Столбец2]])</f>
        <v>1,991,57</v>
      </c>
      <c r="E569">
        <v>1.59</v>
      </c>
      <c r="F569">
        <v>2.4500000000000002</v>
      </c>
      <c r="G569" t="str">
        <f>CONCATENATE(Таблица271[[#This Row],[Столбец1]],Таблица271[[#This Row],[Столбец2]])</f>
        <v>1,592,45</v>
      </c>
    </row>
    <row r="570" spans="1:7" x14ac:dyDescent="0.25">
      <c r="A570">
        <v>2</v>
      </c>
      <c r="B570">
        <v>1.57</v>
      </c>
      <c r="C570" t="str">
        <f>CONCATENATE(Таблица258[[#This Row],[Столбец1]],Таблица258[[#This Row],[Столбец2]])</f>
        <v>21,57</v>
      </c>
      <c r="E570">
        <v>1.59</v>
      </c>
      <c r="F570">
        <v>2.4500000000000002</v>
      </c>
      <c r="G570" t="str">
        <f>CONCATENATE(Таблица271[[#This Row],[Столбец1]],Таблица271[[#This Row],[Столбец2]])</f>
        <v>1,592,45</v>
      </c>
    </row>
    <row r="571" spans="1:7" x14ac:dyDescent="0.25">
      <c r="A571">
        <v>2</v>
      </c>
      <c r="B571">
        <v>1.57</v>
      </c>
      <c r="C571" t="str">
        <f>CONCATENATE(Таблица258[[#This Row],[Столбец1]],Таблица258[[#This Row],[Столбец2]])</f>
        <v>21,57</v>
      </c>
      <c r="E571">
        <v>1.59</v>
      </c>
      <c r="F571">
        <v>2.4500000000000002</v>
      </c>
      <c r="G571" t="str">
        <f>CONCATENATE(Таблица271[[#This Row],[Столбец1]],Таблица271[[#This Row],[Столбец2]])</f>
        <v>1,592,45</v>
      </c>
    </row>
    <row r="572" spans="1:7" x14ac:dyDescent="0.25">
      <c r="A572">
        <v>2</v>
      </c>
      <c r="B572">
        <v>1.57</v>
      </c>
      <c r="C572" t="str">
        <f>CONCATENATE(Таблица258[[#This Row],[Столбец1]],Таблица258[[#This Row],[Столбец2]])</f>
        <v>21,57</v>
      </c>
      <c r="E572">
        <v>1.6</v>
      </c>
      <c r="F572">
        <v>2.46</v>
      </c>
      <c r="G572" t="str">
        <f>CONCATENATE(Таблица271[[#This Row],[Столбец1]],Таблица271[[#This Row],[Столбец2]])</f>
        <v>1,62,46</v>
      </c>
    </row>
    <row r="573" spans="1:7" x14ac:dyDescent="0.25">
      <c r="A573">
        <v>2</v>
      </c>
      <c r="B573">
        <v>1.57</v>
      </c>
      <c r="C573" t="str">
        <f>CONCATENATE(Таблица258[[#This Row],[Столбец1]],Таблица258[[#This Row],[Столбец2]])</f>
        <v>21,57</v>
      </c>
      <c r="E573">
        <v>1.6</v>
      </c>
      <c r="F573">
        <v>2.46</v>
      </c>
      <c r="G573" t="str">
        <f>CONCATENATE(Таблица271[[#This Row],[Столбец1]],Таблица271[[#This Row],[Столбец2]])</f>
        <v>1,62,46</v>
      </c>
    </row>
    <row r="574" spans="1:7" x14ac:dyDescent="0.25">
      <c r="A574">
        <v>2</v>
      </c>
      <c r="B574">
        <v>1.57</v>
      </c>
      <c r="C574" t="str">
        <f>CONCATENATE(Таблица258[[#This Row],[Столбец1]],Таблица258[[#This Row],[Столбец2]])</f>
        <v>21,57</v>
      </c>
      <c r="E574">
        <v>1.6</v>
      </c>
      <c r="F574">
        <v>2.46</v>
      </c>
      <c r="G574" t="str">
        <f>CONCATENATE(Таблица271[[#This Row],[Столбец1]],Таблица271[[#This Row],[Столбец2]])</f>
        <v>1,62,46</v>
      </c>
    </row>
    <row r="575" spans="1:7" x14ac:dyDescent="0.25">
      <c r="A575">
        <v>2</v>
      </c>
      <c r="B575">
        <v>1.57</v>
      </c>
      <c r="C575" t="str">
        <f>CONCATENATE(Таблица258[[#This Row],[Столбец1]],Таблица258[[#This Row],[Столбец2]])</f>
        <v>21,57</v>
      </c>
      <c r="E575">
        <v>1.6</v>
      </c>
      <c r="F575">
        <v>2.46</v>
      </c>
      <c r="G575" t="str">
        <f>CONCATENATE(Таблица271[[#This Row],[Столбец1]],Таблица271[[#This Row],[Столбец2]])</f>
        <v>1,62,46</v>
      </c>
    </row>
    <row r="576" spans="1:7" x14ac:dyDescent="0.25">
      <c r="A576">
        <v>2</v>
      </c>
      <c r="B576">
        <v>1.57</v>
      </c>
      <c r="C576" t="str">
        <f>CONCATENATE(Таблица258[[#This Row],[Столбец1]],Таблица258[[#This Row],[Столбец2]])</f>
        <v>21,57</v>
      </c>
      <c r="E576">
        <v>1.6</v>
      </c>
      <c r="F576">
        <v>2.46</v>
      </c>
      <c r="G576" t="str">
        <f>CONCATENATE(Таблица271[[#This Row],[Столбец1]],Таблица271[[#This Row],[Столбец2]])</f>
        <v>1,62,46</v>
      </c>
    </row>
    <row r="577" spans="1:7" x14ac:dyDescent="0.25">
      <c r="A577">
        <v>2</v>
      </c>
      <c r="B577">
        <v>1.57</v>
      </c>
      <c r="C577" t="str">
        <f>CONCATENATE(Таблица258[[#This Row],[Столбец1]],Таблица258[[#This Row],[Столбец2]])</f>
        <v>21,57</v>
      </c>
      <c r="E577">
        <v>1.6</v>
      </c>
      <c r="F577">
        <v>2.46</v>
      </c>
      <c r="G577" t="str">
        <f>CONCATENATE(Таблица271[[#This Row],[Столбец1]],Таблица271[[#This Row],[Столбец2]])</f>
        <v>1,62,46</v>
      </c>
    </row>
    <row r="578" spans="1:7" x14ac:dyDescent="0.25">
      <c r="A578">
        <v>2</v>
      </c>
      <c r="B578">
        <v>1.57</v>
      </c>
      <c r="C578" t="str">
        <f>CONCATENATE(Таблица258[[#This Row],[Столбец1]],Таблица258[[#This Row],[Столбец2]])</f>
        <v>21,57</v>
      </c>
      <c r="E578">
        <v>1.61</v>
      </c>
      <c r="F578">
        <v>2.48</v>
      </c>
      <c r="G578" t="str">
        <f>CONCATENATE(Таблица271[[#This Row],[Столбец1]],Таблица271[[#This Row],[Столбец2]])</f>
        <v>1,612,48</v>
      </c>
    </row>
    <row r="579" spans="1:7" x14ac:dyDescent="0.25">
      <c r="A579">
        <v>2</v>
      </c>
      <c r="B579">
        <v>1.57</v>
      </c>
      <c r="C579" t="str">
        <f>CONCATENATE(Таблица258[[#This Row],[Столбец1]],Таблица258[[#This Row],[Столбец2]])</f>
        <v>21,57</v>
      </c>
      <c r="E579">
        <v>1.61</v>
      </c>
      <c r="F579">
        <v>2.48</v>
      </c>
      <c r="G579" t="str">
        <f>CONCATENATE(Таблица271[[#This Row],[Столбец1]],Таблица271[[#This Row],[Столбец2]])</f>
        <v>1,612,48</v>
      </c>
    </row>
    <row r="580" spans="1:7" x14ac:dyDescent="0.25">
      <c r="A580">
        <v>2</v>
      </c>
      <c r="B580">
        <v>1.57</v>
      </c>
      <c r="C580" t="str">
        <f>CONCATENATE(Таблица258[[#This Row],[Столбец1]],Таблица258[[#This Row],[Столбец2]])</f>
        <v>21,57</v>
      </c>
      <c r="E580">
        <v>1.61</v>
      </c>
      <c r="F580">
        <v>2.48</v>
      </c>
      <c r="G580" t="str">
        <f>CONCATENATE(Таблица271[[#This Row],[Столбец1]],Таблица271[[#This Row],[Столбец2]])</f>
        <v>1,612,48</v>
      </c>
    </row>
    <row r="581" spans="1:7" x14ac:dyDescent="0.25">
      <c r="A581">
        <v>2</v>
      </c>
      <c r="B581">
        <v>1.57</v>
      </c>
      <c r="C581" t="str">
        <f>CONCATENATE(Таблица258[[#This Row],[Столбец1]],Таблица258[[#This Row],[Столбец2]])</f>
        <v>21,57</v>
      </c>
      <c r="E581">
        <v>1.61</v>
      </c>
      <c r="F581">
        <v>2.48</v>
      </c>
      <c r="G581" t="str">
        <f>CONCATENATE(Таблица271[[#This Row],[Столбец1]],Таблица271[[#This Row],[Столбец2]])</f>
        <v>1,612,48</v>
      </c>
    </row>
    <row r="582" spans="1:7" x14ac:dyDescent="0.25">
      <c r="A582">
        <v>1.57</v>
      </c>
      <c r="B582">
        <v>2</v>
      </c>
      <c r="C582" t="str">
        <f>CONCATENATE(Таблица258[[#This Row],[Столбец1]],Таблица258[[#This Row],[Столбец2]])</f>
        <v>1,572</v>
      </c>
      <c r="E582">
        <v>1.61</v>
      </c>
      <c r="F582">
        <v>2.48</v>
      </c>
      <c r="G582" t="str">
        <f>CONCATENATE(Таблица271[[#This Row],[Столбец1]],Таблица271[[#This Row],[Столбец2]])</f>
        <v>1,612,48</v>
      </c>
    </row>
    <row r="583" spans="1:7" x14ac:dyDescent="0.25">
      <c r="A583">
        <v>1.57</v>
      </c>
      <c r="B583">
        <v>2</v>
      </c>
      <c r="C583" t="str">
        <f>CONCATENATE(Таблица258[[#This Row],[Столбец1]],Таблица258[[#This Row],[Столбец2]])</f>
        <v>1,572</v>
      </c>
      <c r="E583">
        <v>1.61</v>
      </c>
      <c r="F583">
        <v>2.48</v>
      </c>
      <c r="G583" t="str">
        <f>CONCATENATE(Таблица271[[#This Row],[Столбец1]],Таблица271[[#This Row],[Столбец2]])</f>
        <v>1,612,48</v>
      </c>
    </row>
    <row r="584" spans="1:7" x14ac:dyDescent="0.25">
      <c r="A584">
        <v>1.57</v>
      </c>
      <c r="B584">
        <v>2</v>
      </c>
      <c r="C584" t="str">
        <f>CONCATENATE(Таблица258[[#This Row],[Столбец1]],Таблица258[[#This Row],[Столбец2]])</f>
        <v>1,572</v>
      </c>
      <c r="E584">
        <v>1.62</v>
      </c>
      <c r="F584">
        <v>2.4900000000000002</v>
      </c>
      <c r="G584" t="str">
        <f>CONCATENATE(Таблица271[[#This Row],[Столбец1]],Таблица271[[#This Row],[Столбец2]])</f>
        <v>1,622,49</v>
      </c>
    </row>
    <row r="585" spans="1:7" x14ac:dyDescent="0.25">
      <c r="A585">
        <v>1.57</v>
      </c>
      <c r="B585">
        <v>2</v>
      </c>
      <c r="C585" t="str">
        <f>CONCATENATE(Таблица258[[#This Row],[Столбец1]],Таблица258[[#This Row],[Столбец2]])</f>
        <v>1,572</v>
      </c>
      <c r="E585">
        <v>1.62</v>
      </c>
      <c r="F585">
        <v>2.4900000000000002</v>
      </c>
      <c r="G585" t="str">
        <f>CONCATENATE(Таблица271[[#This Row],[Столбец1]],Таблица271[[#This Row],[Столбец2]])</f>
        <v>1,622,49</v>
      </c>
    </row>
    <row r="586" spans="1:7" x14ac:dyDescent="0.25">
      <c r="A586">
        <v>1.57</v>
      </c>
      <c r="B586">
        <v>2</v>
      </c>
      <c r="C586" t="str">
        <f>CONCATENATE(Таблица258[[#This Row],[Столбец1]],Таблица258[[#This Row],[Столбец2]])</f>
        <v>1,572</v>
      </c>
      <c r="E586">
        <v>1.62</v>
      </c>
      <c r="F586">
        <v>2.4900000000000002</v>
      </c>
      <c r="G586" t="str">
        <f>CONCATENATE(Таблица271[[#This Row],[Столбец1]],Таблица271[[#This Row],[Столбец2]])</f>
        <v>1,622,49</v>
      </c>
    </row>
    <row r="587" spans="1:7" x14ac:dyDescent="0.25">
      <c r="A587">
        <v>1.57</v>
      </c>
      <c r="B587">
        <v>2</v>
      </c>
      <c r="C587" t="str">
        <f>CONCATENATE(Таблица258[[#This Row],[Столбец1]],Таблица258[[#This Row],[Столбец2]])</f>
        <v>1,572</v>
      </c>
      <c r="E587">
        <v>1.62</v>
      </c>
      <c r="F587">
        <v>2.4900000000000002</v>
      </c>
      <c r="G587" t="str">
        <f>CONCATENATE(Таблица271[[#This Row],[Столбец1]],Таблица271[[#This Row],[Столбец2]])</f>
        <v>1,622,49</v>
      </c>
    </row>
    <row r="588" spans="1:7" x14ac:dyDescent="0.25">
      <c r="A588">
        <v>1.58</v>
      </c>
      <c r="B588">
        <v>2.44</v>
      </c>
      <c r="C588" t="str">
        <f>CONCATENATE(Таблица258[[#This Row],[Столбец1]],Таблица258[[#This Row],[Столбец2]])</f>
        <v>1,582,44</v>
      </c>
      <c r="E588">
        <v>1.62</v>
      </c>
      <c r="F588">
        <v>2.4900000000000002</v>
      </c>
      <c r="G588" t="str">
        <f>CONCATENATE(Таблица271[[#This Row],[Столбец1]],Таблица271[[#This Row],[Столбец2]])</f>
        <v>1,622,49</v>
      </c>
    </row>
    <row r="589" spans="1:7" x14ac:dyDescent="0.25">
      <c r="A589">
        <v>1.58</v>
      </c>
      <c r="B589">
        <v>2.44</v>
      </c>
      <c r="C589" t="str">
        <f>CONCATENATE(Таблица258[[#This Row],[Столбец1]],Таблица258[[#This Row],[Столбец2]])</f>
        <v>1,582,44</v>
      </c>
      <c r="E589">
        <v>1.62</v>
      </c>
      <c r="F589">
        <v>2.4900000000000002</v>
      </c>
      <c r="G589" t="str">
        <f>CONCATENATE(Таблица271[[#This Row],[Столбец1]],Таблица271[[#This Row],[Столбец2]])</f>
        <v>1,622,49</v>
      </c>
    </row>
    <row r="590" spans="1:7" x14ac:dyDescent="0.25">
      <c r="A590">
        <v>1.58</v>
      </c>
      <c r="B590">
        <v>2.44</v>
      </c>
      <c r="C590" t="str">
        <f>CONCATENATE(Таблица258[[#This Row],[Столбец1]],Таблица258[[#This Row],[Столбец2]])</f>
        <v>1,582,44</v>
      </c>
      <c r="E590">
        <v>1.63</v>
      </c>
      <c r="F590">
        <v>2.5</v>
      </c>
      <c r="G590" t="str">
        <f>CONCATENATE(Таблица271[[#This Row],[Столбец1]],Таблица271[[#This Row],[Столбец2]])</f>
        <v>1,632,5</v>
      </c>
    </row>
    <row r="591" spans="1:7" x14ac:dyDescent="0.25">
      <c r="A591">
        <v>1.58</v>
      </c>
      <c r="B591">
        <v>2.44</v>
      </c>
      <c r="C591" t="str">
        <f>CONCATENATE(Таблица258[[#This Row],[Столбец1]],Таблица258[[#This Row],[Столбец2]])</f>
        <v>1,582,44</v>
      </c>
      <c r="E591">
        <v>1.63</v>
      </c>
      <c r="F591">
        <v>2.5</v>
      </c>
      <c r="G591" t="str">
        <f>CONCATENATE(Таблица271[[#This Row],[Столбец1]],Таблица271[[#This Row],[Столбец2]])</f>
        <v>1,632,5</v>
      </c>
    </row>
    <row r="592" spans="1:7" x14ac:dyDescent="0.25">
      <c r="A592">
        <v>1.58</v>
      </c>
      <c r="B592">
        <v>2.44</v>
      </c>
      <c r="C592" t="str">
        <f>CONCATENATE(Таблица258[[#This Row],[Столбец1]],Таблица258[[#This Row],[Столбец2]])</f>
        <v>1,582,44</v>
      </c>
      <c r="E592">
        <v>1.63</v>
      </c>
      <c r="F592">
        <v>2.5</v>
      </c>
      <c r="G592" t="str">
        <f>CONCATENATE(Таблица271[[#This Row],[Столбец1]],Таблица271[[#This Row],[Столбец2]])</f>
        <v>1,632,5</v>
      </c>
    </row>
    <row r="593" spans="1:7" x14ac:dyDescent="0.25">
      <c r="A593">
        <v>1.58</v>
      </c>
      <c r="B593">
        <v>2.44</v>
      </c>
      <c r="C593" t="str">
        <f>CONCATENATE(Таблица258[[#This Row],[Столбец1]],Таблица258[[#This Row],[Столбец2]])</f>
        <v>1,582,44</v>
      </c>
      <c r="E593">
        <v>1.63</v>
      </c>
      <c r="F593">
        <v>2.5</v>
      </c>
      <c r="G593" t="str">
        <f>CONCATENATE(Таблица271[[#This Row],[Столбец1]],Таблица271[[#This Row],[Столбец2]])</f>
        <v>1,632,5</v>
      </c>
    </row>
    <row r="594" spans="1:7" x14ac:dyDescent="0.25">
      <c r="A594">
        <v>1.59</v>
      </c>
      <c r="B594">
        <v>2.4500000000000002</v>
      </c>
      <c r="C594" t="str">
        <f>CONCATENATE(Таблица258[[#This Row],[Столбец1]],Таблица258[[#This Row],[Столбец2]])</f>
        <v>1,592,45</v>
      </c>
      <c r="E594">
        <v>1.63</v>
      </c>
      <c r="F594">
        <v>2.5</v>
      </c>
      <c r="G594" t="str">
        <f>CONCATENATE(Таблица271[[#This Row],[Столбец1]],Таблица271[[#This Row],[Столбец2]])</f>
        <v>1,632,5</v>
      </c>
    </row>
    <row r="595" spans="1:7" x14ac:dyDescent="0.25">
      <c r="A595">
        <v>1.59</v>
      </c>
      <c r="B595">
        <v>2.4500000000000002</v>
      </c>
      <c r="C595" t="str">
        <f>CONCATENATE(Таблица258[[#This Row],[Столбец1]],Таблица258[[#This Row],[Столбец2]])</f>
        <v>1,592,45</v>
      </c>
      <c r="E595">
        <v>1.63</v>
      </c>
      <c r="F595">
        <v>2.5</v>
      </c>
      <c r="G595" t="str">
        <f>CONCATENATE(Таблица271[[#This Row],[Столбец1]],Таблица271[[#This Row],[Столбец2]])</f>
        <v>1,632,5</v>
      </c>
    </row>
    <row r="596" spans="1:7" x14ac:dyDescent="0.25">
      <c r="A596">
        <v>1.59</v>
      </c>
      <c r="B596">
        <v>2.4500000000000002</v>
      </c>
      <c r="C596" t="str">
        <f>CONCATENATE(Таблица258[[#This Row],[Столбец1]],Таблица258[[#This Row],[Столбец2]])</f>
        <v>1,592,45</v>
      </c>
      <c r="E596">
        <v>1.57</v>
      </c>
      <c r="F596">
        <v>3</v>
      </c>
      <c r="G596" t="str">
        <f>CONCATENATE(Таблица271[[#This Row],[Столбец1]],Таблица271[[#This Row],[Столбец2]])</f>
        <v>1,573</v>
      </c>
    </row>
    <row r="597" spans="1:7" x14ac:dyDescent="0.25">
      <c r="A597">
        <v>1.59</v>
      </c>
      <c r="B597">
        <v>2.4500000000000002</v>
      </c>
      <c r="C597" t="str">
        <f>CONCATENATE(Таблица258[[#This Row],[Столбец1]],Таблица258[[#This Row],[Столбец2]])</f>
        <v>1,592,45</v>
      </c>
      <c r="E597">
        <v>1.57</v>
      </c>
      <c r="F597">
        <v>3</v>
      </c>
      <c r="G597" t="str">
        <f>CONCATENATE(Таблица271[[#This Row],[Столбец1]],Таблица271[[#This Row],[Столбец2]])</f>
        <v>1,573</v>
      </c>
    </row>
    <row r="598" spans="1:7" x14ac:dyDescent="0.25">
      <c r="A598">
        <v>1.59</v>
      </c>
      <c r="B598">
        <v>2.4500000000000002</v>
      </c>
      <c r="C598" t="str">
        <f>CONCATENATE(Таблица258[[#This Row],[Столбец1]],Таблица258[[#This Row],[Столбец2]])</f>
        <v>1,592,45</v>
      </c>
      <c r="E598">
        <v>1.57</v>
      </c>
      <c r="F598">
        <v>3</v>
      </c>
      <c r="G598" t="str">
        <f>CONCATENATE(Таблица271[[#This Row],[Столбец1]],Таблица271[[#This Row],[Столбец2]])</f>
        <v>1,573</v>
      </c>
    </row>
    <row r="599" spans="1:7" x14ac:dyDescent="0.25">
      <c r="A599">
        <v>1.59</v>
      </c>
      <c r="B599">
        <v>2.4500000000000002</v>
      </c>
      <c r="C599" t="str">
        <f>CONCATENATE(Таблица258[[#This Row],[Столбец1]],Таблица258[[#This Row],[Столбец2]])</f>
        <v>1,592,45</v>
      </c>
      <c r="E599">
        <v>1.57</v>
      </c>
      <c r="F599">
        <v>3</v>
      </c>
      <c r="G599" t="str">
        <f>CONCATENATE(Таблица271[[#This Row],[Столбец1]],Таблица271[[#This Row],[Столбец2]])</f>
        <v>1,573</v>
      </c>
    </row>
    <row r="600" spans="1:7" x14ac:dyDescent="0.25">
      <c r="A600">
        <v>1.6</v>
      </c>
      <c r="B600">
        <v>2.46</v>
      </c>
      <c r="C600" t="str">
        <f>CONCATENATE(Таблица258[[#This Row],[Столбец1]],Таблица258[[#This Row],[Столбец2]])</f>
        <v>1,62,46</v>
      </c>
      <c r="E600">
        <v>1.57</v>
      </c>
      <c r="F600">
        <v>3</v>
      </c>
      <c r="G600" t="str">
        <f>CONCATENATE(Таблица271[[#This Row],[Столбец1]],Таблица271[[#This Row],[Столбец2]])</f>
        <v>1,573</v>
      </c>
    </row>
    <row r="601" spans="1:7" x14ac:dyDescent="0.25">
      <c r="A601">
        <v>1.6</v>
      </c>
      <c r="B601">
        <v>2.46</v>
      </c>
      <c r="C601" t="str">
        <f>CONCATENATE(Таблица258[[#This Row],[Столбец1]],Таблица258[[#This Row],[Столбец2]])</f>
        <v>1,62,46</v>
      </c>
      <c r="E601">
        <v>1.57</v>
      </c>
      <c r="F601">
        <v>3</v>
      </c>
      <c r="G601" t="str">
        <f>CONCATENATE(Таблица271[[#This Row],[Столбец1]],Таблица271[[#This Row],[Столбец2]])</f>
        <v>1,573</v>
      </c>
    </row>
    <row r="602" spans="1:7" x14ac:dyDescent="0.25">
      <c r="A602">
        <v>1.6</v>
      </c>
      <c r="B602">
        <v>2.46</v>
      </c>
      <c r="C602" t="str">
        <f>CONCATENATE(Таблица258[[#This Row],[Столбец1]],Таблица258[[#This Row],[Столбец2]])</f>
        <v>1,62,46</v>
      </c>
      <c r="E602">
        <v>1.58</v>
      </c>
      <c r="F602">
        <v>3.44</v>
      </c>
      <c r="G602" t="str">
        <f>CONCATENATE(Таблица271[[#This Row],[Столбец1]],Таблица271[[#This Row],[Столбец2]])</f>
        <v>1,583,44</v>
      </c>
    </row>
    <row r="603" spans="1:7" x14ac:dyDescent="0.25">
      <c r="A603">
        <v>1.6</v>
      </c>
      <c r="B603">
        <v>2.46</v>
      </c>
      <c r="C603" t="str">
        <f>CONCATENATE(Таблица258[[#This Row],[Столбец1]],Таблица258[[#This Row],[Столбец2]])</f>
        <v>1,62,46</v>
      </c>
      <c r="E603">
        <v>1.58</v>
      </c>
      <c r="F603">
        <v>3.44</v>
      </c>
      <c r="G603" t="str">
        <f>CONCATENATE(Таблица271[[#This Row],[Столбец1]],Таблица271[[#This Row],[Столбец2]])</f>
        <v>1,583,44</v>
      </c>
    </row>
    <row r="604" spans="1:7" x14ac:dyDescent="0.25">
      <c r="A604">
        <v>1.6</v>
      </c>
      <c r="B604">
        <v>2.46</v>
      </c>
      <c r="C604" t="str">
        <f>CONCATENATE(Таблица258[[#This Row],[Столбец1]],Таблица258[[#This Row],[Столбец2]])</f>
        <v>1,62,46</v>
      </c>
      <c r="E604">
        <v>1.58</v>
      </c>
      <c r="F604">
        <v>3.44</v>
      </c>
      <c r="G604" t="str">
        <f>CONCATENATE(Таблица271[[#This Row],[Столбец1]],Таблица271[[#This Row],[Столбец2]])</f>
        <v>1,583,44</v>
      </c>
    </row>
    <row r="605" spans="1:7" x14ac:dyDescent="0.25">
      <c r="A605">
        <v>1.6</v>
      </c>
      <c r="B605">
        <v>2.46</v>
      </c>
      <c r="C605" t="str">
        <f>CONCATENATE(Таблица258[[#This Row],[Столбец1]],Таблица258[[#This Row],[Столбец2]])</f>
        <v>1,62,46</v>
      </c>
      <c r="E605">
        <v>1.58</v>
      </c>
      <c r="F605">
        <v>3.44</v>
      </c>
      <c r="G605" t="str">
        <f>CONCATENATE(Таблица271[[#This Row],[Столбец1]],Таблица271[[#This Row],[Столбец2]])</f>
        <v>1,583,44</v>
      </c>
    </row>
    <row r="606" spans="1:7" x14ac:dyDescent="0.25">
      <c r="A606">
        <v>1.61</v>
      </c>
      <c r="B606">
        <v>2.48</v>
      </c>
      <c r="C606" t="str">
        <f>CONCATENATE(Таблица258[[#This Row],[Столбец1]],Таблица258[[#This Row],[Столбец2]])</f>
        <v>1,612,48</v>
      </c>
      <c r="E606">
        <v>1.58</v>
      </c>
      <c r="F606">
        <v>3.44</v>
      </c>
      <c r="G606" t="str">
        <f>CONCATENATE(Таблица271[[#This Row],[Столбец1]],Таблица271[[#This Row],[Столбец2]])</f>
        <v>1,583,44</v>
      </c>
    </row>
    <row r="607" spans="1:7" x14ac:dyDescent="0.25">
      <c r="A607">
        <v>1.61</v>
      </c>
      <c r="B607">
        <v>2.48</v>
      </c>
      <c r="C607" t="str">
        <f>CONCATENATE(Таблица258[[#This Row],[Столбец1]],Таблица258[[#This Row],[Столбец2]])</f>
        <v>1,612,48</v>
      </c>
      <c r="E607">
        <v>1.58</v>
      </c>
      <c r="F607">
        <v>3.44</v>
      </c>
      <c r="G607" t="str">
        <f>CONCATENATE(Таблица271[[#This Row],[Столбец1]],Таблица271[[#This Row],[Столбец2]])</f>
        <v>1,583,44</v>
      </c>
    </row>
    <row r="608" spans="1:7" x14ac:dyDescent="0.25">
      <c r="A608">
        <v>1.61</v>
      </c>
      <c r="B608">
        <v>2.48</v>
      </c>
      <c r="C608" t="str">
        <f>CONCATENATE(Таблица258[[#This Row],[Столбец1]],Таблица258[[#This Row],[Столбец2]])</f>
        <v>1,612,48</v>
      </c>
      <c r="E608">
        <v>1.59</v>
      </c>
      <c r="F608">
        <v>3.45</v>
      </c>
      <c r="G608" t="str">
        <f>CONCATENATE(Таблица271[[#This Row],[Столбец1]],Таблица271[[#This Row],[Столбец2]])</f>
        <v>1,593,45</v>
      </c>
    </row>
    <row r="609" spans="1:7" x14ac:dyDescent="0.25">
      <c r="A609">
        <v>1.61</v>
      </c>
      <c r="B609">
        <v>2.48</v>
      </c>
      <c r="C609" t="str">
        <f>CONCATENATE(Таблица258[[#This Row],[Столбец1]],Таблица258[[#This Row],[Столбец2]])</f>
        <v>1,612,48</v>
      </c>
      <c r="E609">
        <v>1.59</v>
      </c>
      <c r="F609">
        <v>3.45</v>
      </c>
      <c r="G609" t="str">
        <f>CONCATENATE(Таблица271[[#This Row],[Столбец1]],Таблица271[[#This Row],[Столбец2]])</f>
        <v>1,593,45</v>
      </c>
    </row>
    <row r="610" spans="1:7" x14ac:dyDescent="0.25">
      <c r="A610">
        <v>1.61</v>
      </c>
      <c r="B610">
        <v>2.48</v>
      </c>
      <c r="C610" t="str">
        <f>CONCATENATE(Таблица258[[#This Row],[Столбец1]],Таблица258[[#This Row],[Столбец2]])</f>
        <v>1,612,48</v>
      </c>
      <c r="E610">
        <v>1.59</v>
      </c>
      <c r="F610">
        <v>3.45</v>
      </c>
      <c r="G610" t="str">
        <f>CONCATENATE(Таблица271[[#This Row],[Столбец1]],Таблица271[[#This Row],[Столбец2]])</f>
        <v>1,593,45</v>
      </c>
    </row>
    <row r="611" spans="1:7" x14ac:dyDescent="0.25">
      <c r="A611">
        <v>1.61</v>
      </c>
      <c r="B611">
        <v>2.48</v>
      </c>
      <c r="C611" t="str">
        <f>CONCATENATE(Таблица258[[#This Row],[Столбец1]],Таблица258[[#This Row],[Столбец2]])</f>
        <v>1,612,48</v>
      </c>
      <c r="E611">
        <v>1.59</v>
      </c>
      <c r="F611">
        <v>3.45</v>
      </c>
      <c r="G611" t="str">
        <f>CONCATENATE(Таблица271[[#This Row],[Столбец1]],Таблица271[[#This Row],[Столбец2]])</f>
        <v>1,593,45</v>
      </c>
    </row>
    <row r="612" spans="1:7" x14ac:dyDescent="0.25">
      <c r="A612">
        <v>1.62</v>
      </c>
      <c r="B612">
        <v>2.4900000000000002</v>
      </c>
      <c r="C612" t="str">
        <f>CONCATENATE(Таблица258[[#This Row],[Столбец1]],Таблица258[[#This Row],[Столбец2]])</f>
        <v>1,622,49</v>
      </c>
      <c r="E612">
        <v>1.59</v>
      </c>
      <c r="F612">
        <v>3.45</v>
      </c>
      <c r="G612" t="str">
        <f>CONCATENATE(Таблица271[[#This Row],[Столбец1]],Таблица271[[#This Row],[Столбец2]])</f>
        <v>1,593,45</v>
      </c>
    </row>
    <row r="613" spans="1:7" x14ac:dyDescent="0.25">
      <c r="A613">
        <v>1.62</v>
      </c>
      <c r="B613">
        <v>2.4900000000000002</v>
      </c>
      <c r="C613" t="str">
        <f>CONCATENATE(Таблица258[[#This Row],[Столбец1]],Таблица258[[#This Row],[Столбец2]])</f>
        <v>1,622,49</v>
      </c>
      <c r="E613">
        <v>1.59</v>
      </c>
      <c r="F613">
        <v>3.45</v>
      </c>
      <c r="G613" t="str">
        <f>CONCATENATE(Таблица271[[#This Row],[Столбец1]],Таблица271[[#This Row],[Столбец2]])</f>
        <v>1,593,45</v>
      </c>
    </row>
    <row r="614" spans="1:7" x14ac:dyDescent="0.25">
      <c r="A614">
        <v>1.62</v>
      </c>
      <c r="B614">
        <v>2.4900000000000002</v>
      </c>
      <c r="C614" t="str">
        <f>CONCATENATE(Таблица258[[#This Row],[Столбец1]],Таблица258[[#This Row],[Столбец2]])</f>
        <v>1,622,49</v>
      </c>
      <c r="E614">
        <v>1.6</v>
      </c>
      <c r="F614">
        <v>3.46</v>
      </c>
      <c r="G614" t="str">
        <f>CONCATENATE(Таблица271[[#This Row],[Столбец1]],Таблица271[[#This Row],[Столбец2]])</f>
        <v>1,63,46</v>
      </c>
    </row>
    <row r="615" spans="1:7" x14ac:dyDescent="0.25">
      <c r="A615">
        <v>1.62</v>
      </c>
      <c r="B615">
        <v>2.4900000000000002</v>
      </c>
      <c r="C615" t="str">
        <f>CONCATENATE(Таблица258[[#This Row],[Столбец1]],Таблица258[[#This Row],[Столбец2]])</f>
        <v>1,622,49</v>
      </c>
      <c r="E615">
        <v>1.6</v>
      </c>
      <c r="F615">
        <v>3.46</v>
      </c>
      <c r="G615" t="str">
        <f>CONCATENATE(Таблица271[[#This Row],[Столбец1]],Таблица271[[#This Row],[Столбец2]])</f>
        <v>1,63,46</v>
      </c>
    </row>
    <row r="616" spans="1:7" x14ac:dyDescent="0.25">
      <c r="A616">
        <v>1.62</v>
      </c>
      <c r="B616">
        <v>2.4900000000000002</v>
      </c>
      <c r="C616" t="str">
        <f>CONCATENATE(Таблица258[[#This Row],[Столбец1]],Таблица258[[#This Row],[Столбец2]])</f>
        <v>1,622,49</v>
      </c>
      <c r="E616">
        <v>1.6</v>
      </c>
      <c r="F616">
        <v>3.46</v>
      </c>
      <c r="G616" t="str">
        <f>CONCATENATE(Таблица271[[#This Row],[Столбец1]],Таблица271[[#This Row],[Столбец2]])</f>
        <v>1,63,46</v>
      </c>
    </row>
    <row r="617" spans="1:7" x14ac:dyDescent="0.25">
      <c r="A617">
        <v>1.62</v>
      </c>
      <c r="B617">
        <v>2.4900000000000002</v>
      </c>
      <c r="C617" t="str">
        <f>CONCATENATE(Таблица258[[#This Row],[Столбец1]],Таблица258[[#This Row],[Столбец2]])</f>
        <v>1,622,49</v>
      </c>
      <c r="E617">
        <v>1.6</v>
      </c>
      <c r="F617">
        <v>3.46</v>
      </c>
      <c r="G617" t="str">
        <f>CONCATENATE(Таблица271[[#This Row],[Столбец1]],Таблица271[[#This Row],[Столбец2]])</f>
        <v>1,63,46</v>
      </c>
    </row>
    <row r="618" spans="1:7" x14ac:dyDescent="0.25">
      <c r="A618">
        <v>1.63</v>
      </c>
      <c r="B618">
        <v>2.5</v>
      </c>
      <c r="C618" t="str">
        <f>CONCATENATE(Таблица258[[#This Row],[Столбец1]],Таблица258[[#This Row],[Столбец2]])</f>
        <v>1,632,5</v>
      </c>
      <c r="E618">
        <v>1.6</v>
      </c>
      <c r="F618">
        <v>3.46</v>
      </c>
      <c r="G618" t="str">
        <f>CONCATENATE(Таблица271[[#This Row],[Столбец1]],Таблица271[[#This Row],[Столбец2]])</f>
        <v>1,63,46</v>
      </c>
    </row>
    <row r="619" spans="1:7" x14ac:dyDescent="0.25">
      <c r="A619">
        <v>1.63</v>
      </c>
      <c r="B619">
        <v>2.5</v>
      </c>
      <c r="C619" t="str">
        <f>CONCATENATE(Таблица258[[#This Row],[Столбец1]],Таблица258[[#This Row],[Столбец2]])</f>
        <v>1,632,5</v>
      </c>
      <c r="E619">
        <v>1.6</v>
      </c>
      <c r="F619">
        <v>3.46</v>
      </c>
      <c r="G619" t="str">
        <f>CONCATENATE(Таблица271[[#This Row],[Столбец1]],Таблица271[[#This Row],[Столбец2]])</f>
        <v>1,63,46</v>
      </c>
    </row>
    <row r="620" spans="1:7" x14ac:dyDescent="0.25">
      <c r="A620">
        <v>1.63</v>
      </c>
      <c r="B620">
        <v>2.5</v>
      </c>
      <c r="C620" t="str">
        <f>CONCATENATE(Таблица258[[#This Row],[Столбец1]],Таблица258[[#This Row],[Столбец2]])</f>
        <v>1,632,5</v>
      </c>
      <c r="E620">
        <v>1.61</v>
      </c>
      <c r="F620">
        <v>3.48</v>
      </c>
      <c r="G620" t="str">
        <f>CONCATENATE(Таблица271[[#This Row],[Столбец1]],Таблица271[[#This Row],[Столбец2]])</f>
        <v>1,613,48</v>
      </c>
    </row>
    <row r="621" spans="1:7" x14ac:dyDescent="0.25">
      <c r="A621">
        <v>1.63</v>
      </c>
      <c r="B621">
        <v>2.5</v>
      </c>
      <c r="C621" t="str">
        <f>CONCATENATE(Таблица258[[#This Row],[Столбец1]],Таблица258[[#This Row],[Столбец2]])</f>
        <v>1,632,5</v>
      </c>
      <c r="E621">
        <v>1.61</v>
      </c>
      <c r="F621">
        <v>3.48</v>
      </c>
      <c r="G621" t="str">
        <f>CONCATENATE(Таблица271[[#This Row],[Столбец1]],Таблица271[[#This Row],[Столбец2]])</f>
        <v>1,613,48</v>
      </c>
    </row>
    <row r="622" spans="1:7" x14ac:dyDescent="0.25">
      <c r="A622">
        <v>1.63</v>
      </c>
      <c r="B622">
        <v>2.5</v>
      </c>
      <c r="C622" t="str">
        <f>CONCATENATE(Таблица258[[#This Row],[Столбец1]],Таблица258[[#This Row],[Столбец2]])</f>
        <v>1,632,5</v>
      </c>
      <c r="E622">
        <v>1.61</v>
      </c>
      <c r="F622">
        <v>3.48</v>
      </c>
      <c r="G622" t="str">
        <f>CONCATENATE(Таблица271[[#This Row],[Столбец1]],Таблица271[[#This Row],[Столбец2]])</f>
        <v>1,613,48</v>
      </c>
    </row>
    <row r="623" spans="1:7" x14ac:dyDescent="0.25">
      <c r="A623">
        <v>1.63</v>
      </c>
      <c r="B623">
        <v>2.5</v>
      </c>
      <c r="C623" t="str">
        <f>CONCATENATE(Таблица258[[#This Row],[Столбец1]],Таблица258[[#This Row],[Столбец2]])</f>
        <v>1,632,5</v>
      </c>
      <c r="E623">
        <v>1.61</v>
      </c>
      <c r="F623">
        <v>3.48</v>
      </c>
      <c r="G623" t="str">
        <f>CONCATENATE(Таблица271[[#This Row],[Столбец1]],Таблица271[[#This Row],[Столбец2]])</f>
        <v>1,613,48</v>
      </c>
    </row>
    <row r="624" spans="1:7" x14ac:dyDescent="0.25">
      <c r="A624">
        <v>1.57</v>
      </c>
      <c r="B624">
        <v>3</v>
      </c>
      <c r="C624" t="str">
        <f>CONCATENATE(Таблица258[[#This Row],[Столбец1]],Таблица258[[#This Row],[Столбец2]])</f>
        <v>1,573</v>
      </c>
      <c r="E624">
        <v>1.61</v>
      </c>
      <c r="F624">
        <v>3.48</v>
      </c>
      <c r="G624" t="str">
        <f>CONCATENATE(Таблица271[[#This Row],[Столбец1]],Таблица271[[#This Row],[Столбец2]])</f>
        <v>1,613,48</v>
      </c>
    </row>
    <row r="625" spans="1:7" x14ac:dyDescent="0.25">
      <c r="A625">
        <v>1.57</v>
      </c>
      <c r="B625">
        <v>3</v>
      </c>
      <c r="C625" t="str">
        <f>CONCATENATE(Таблица258[[#This Row],[Столбец1]],Таблица258[[#This Row],[Столбец2]])</f>
        <v>1,573</v>
      </c>
      <c r="E625">
        <v>1.61</v>
      </c>
      <c r="F625">
        <v>3.48</v>
      </c>
      <c r="G625" t="str">
        <f>CONCATENATE(Таблица271[[#This Row],[Столбец1]],Таблица271[[#This Row],[Столбец2]])</f>
        <v>1,613,48</v>
      </c>
    </row>
    <row r="626" spans="1:7" x14ac:dyDescent="0.25">
      <c r="A626">
        <v>1.57</v>
      </c>
      <c r="B626">
        <v>3</v>
      </c>
      <c r="C626" t="str">
        <f>CONCATENATE(Таблица258[[#This Row],[Столбец1]],Таблица258[[#This Row],[Столбец2]])</f>
        <v>1,573</v>
      </c>
      <c r="E626">
        <v>1.62</v>
      </c>
      <c r="F626">
        <v>3.49</v>
      </c>
      <c r="G626" t="str">
        <f>CONCATENATE(Таблица271[[#This Row],[Столбец1]],Таблица271[[#This Row],[Столбец2]])</f>
        <v>1,623,49</v>
      </c>
    </row>
    <row r="627" spans="1:7" x14ac:dyDescent="0.25">
      <c r="A627">
        <v>1.57</v>
      </c>
      <c r="B627">
        <v>3</v>
      </c>
      <c r="C627" t="str">
        <f>CONCATENATE(Таблица258[[#This Row],[Столбец1]],Таблица258[[#This Row],[Столбец2]])</f>
        <v>1,573</v>
      </c>
      <c r="E627">
        <v>1.62</v>
      </c>
      <c r="F627">
        <v>3.49</v>
      </c>
      <c r="G627" t="str">
        <f>CONCATENATE(Таблица271[[#This Row],[Столбец1]],Таблица271[[#This Row],[Столбец2]])</f>
        <v>1,623,49</v>
      </c>
    </row>
    <row r="628" spans="1:7" x14ac:dyDescent="0.25">
      <c r="A628">
        <v>1.57</v>
      </c>
      <c r="B628">
        <v>3</v>
      </c>
      <c r="C628" t="str">
        <f>CONCATENATE(Таблица258[[#This Row],[Столбец1]],Таблица258[[#This Row],[Столбец2]])</f>
        <v>1,573</v>
      </c>
      <c r="E628">
        <v>1.62</v>
      </c>
      <c r="F628">
        <v>3.49</v>
      </c>
      <c r="G628" t="str">
        <f>CONCATENATE(Таблица271[[#This Row],[Столбец1]],Таблица271[[#This Row],[Столбец2]])</f>
        <v>1,623,49</v>
      </c>
    </row>
    <row r="629" spans="1:7" x14ac:dyDescent="0.25">
      <c r="A629">
        <v>1.57</v>
      </c>
      <c r="B629">
        <v>3</v>
      </c>
      <c r="C629" t="str">
        <f>CONCATENATE(Таблица258[[#This Row],[Столбец1]],Таблица258[[#This Row],[Столбец2]])</f>
        <v>1,573</v>
      </c>
      <c r="E629">
        <v>1.62</v>
      </c>
      <c r="F629">
        <v>3.49</v>
      </c>
      <c r="G629" t="str">
        <f>CONCATENATE(Таблица271[[#This Row],[Столбец1]],Таблица271[[#This Row],[Столбец2]])</f>
        <v>1,623,49</v>
      </c>
    </row>
    <row r="630" spans="1:7" x14ac:dyDescent="0.25">
      <c r="A630">
        <v>1.58</v>
      </c>
      <c r="B630">
        <v>3.44</v>
      </c>
      <c r="C630" t="str">
        <f>CONCATENATE(Таблица258[[#This Row],[Столбец1]],Таблица258[[#This Row],[Столбец2]])</f>
        <v>1,583,44</v>
      </c>
      <c r="E630">
        <v>1.62</v>
      </c>
      <c r="F630">
        <v>3.49</v>
      </c>
      <c r="G630" t="str">
        <f>CONCATENATE(Таблица271[[#This Row],[Столбец1]],Таблица271[[#This Row],[Столбец2]])</f>
        <v>1,623,49</v>
      </c>
    </row>
    <row r="631" spans="1:7" x14ac:dyDescent="0.25">
      <c r="A631">
        <v>1.58</v>
      </c>
      <c r="B631">
        <v>3.44</v>
      </c>
      <c r="C631" t="str">
        <f>CONCATENATE(Таблица258[[#This Row],[Столбец1]],Таблица258[[#This Row],[Столбец2]])</f>
        <v>1,583,44</v>
      </c>
      <c r="E631">
        <v>1.62</v>
      </c>
      <c r="F631">
        <v>3.49</v>
      </c>
      <c r="G631" t="str">
        <f>CONCATENATE(Таблица271[[#This Row],[Столбец1]],Таблица271[[#This Row],[Столбец2]])</f>
        <v>1,623,49</v>
      </c>
    </row>
    <row r="632" spans="1:7" x14ac:dyDescent="0.25">
      <c r="A632">
        <v>1.58</v>
      </c>
      <c r="B632">
        <v>3.44</v>
      </c>
      <c r="C632" t="str">
        <f>CONCATENATE(Таблица258[[#This Row],[Столбец1]],Таблица258[[#This Row],[Столбец2]])</f>
        <v>1,583,44</v>
      </c>
      <c r="E632">
        <v>1.63</v>
      </c>
      <c r="F632">
        <v>3.5</v>
      </c>
      <c r="G632" t="str">
        <f>CONCATENATE(Таблица271[[#This Row],[Столбец1]],Таблица271[[#This Row],[Столбец2]])</f>
        <v>1,633,5</v>
      </c>
    </row>
    <row r="633" spans="1:7" x14ac:dyDescent="0.25">
      <c r="A633">
        <v>1.58</v>
      </c>
      <c r="B633">
        <v>3.44</v>
      </c>
      <c r="C633" t="str">
        <f>CONCATENATE(Таблица258[[#This Row],[Столбец1]],Таблица258[[#This Row],[Столбец2]])</f>
        <v>1,583,44</v>
      </c>
      <c r="E633">
        <v>1.63</v>
      </c>
      <c r="F633">
        <v>3.5</v>
      </c>
      <c r="G633" t="str">
        <f>CONCATENATE(Таблица271[[#This Row],[Столбец1]],Таблица271[[#This Row],[Столбец2]])</f>
        <v>1,633,5</v>
      </c>
    </row>
    <row r="634" spans="1:7" x14ac:dyDescent="0.25">
      <c r="A634">
        <v>1.58</v>
      </c>
      <c r="B634">
        <v>3.44</v>
      </c>
      <c r="C634" t="str">
        <f>CONCATENATE(Таблица258[[#This Row],[Столбец1]],Таблица258[[#This Row],[Столбец2]])</f>
        <v>1,583,44</v>
      </c>
      <c r="E634">
        <v>1.63</v>
      </c>
      <c r="F634">
        <v>3.5</v>
      </c>
      <c r="G634" t="str">
        <f>CONCATENATE(Таблица271[[#This Row],[Столбец1]],Таблица271[[#This Row],[Столбец2]])</f>
        <v>1,633,5</v>
      </c>
    </row>
    <row r="635" spans="1:7" x14ac:dyDescent="0.25">
      <c r="A635">
        <v>1.58</v>
      </c>
      <c r="B635">
        <v>3.44</v>
      </c>
      <c r="C635" t="str">
        <f>CONCATENATE(Таблица258[[#This Row],[Столбец1]],Таблица258[[#This Row],[Столбец2]])</f>
        <v>1,583,44</v>
      </c>
      <c r="E635">
        <v>1.63</v>
      </c>
      <c r="F635">
        <v>3.5</v>
      </c>
      <c r="G635" t="str">
        <f>CONCATENATE(Таблица271[[#This Row],[Столбец1]],Таблица271[[#This Row],[Столбец2]])</f>
        <v>1,633,5</v>
      </c>
    </row>
    <row r="636" spans="1:7" x14ac:dyDescent="0.25">
      <c r="A636">
        <v>1.59</v>
      </c>
      <c r="B636">
        <v>3.45</v>
      </c>
      <c r="C636" t="str">
        <f>CONCATENATE(Таблица258[[#This Row],[Столбец1]],Таблица258[[#This Row],[Столбец2]])</f>
        <v>1,593,45</v>
      </c>
      <c r="E636">
        <v>1.63</v>
      </c>
      <c r="F636">
        <v>3.5</v>
      </c>
      <c r="G636" t="str">
        <f>CONCATENATE(Таблица271[[#This Row],[Столбец1]],Таблица271[[#This Row],[Столбец2]])</f>
        <v>1,633,5</v>
      </c>
    </row>
    <row r="637" spans="1:7" x14ac:dyDescent="0.25">
      <c r="A637">
        <v>1.59</v>
      </c>
      <c r="B637">
        <v>3.45</v>
      </c>
      <c r="C637" t="str">
        <f>CONCATENATE(Таблица258[[#This Row],[Столбец1]],Таблица258[[#This Row],[Столбец2]])</f>
        <v>1,593,45</v>
      </c>
      <c r="E637">
        <v>1.63</v>
      </c>
      <c r="F637">
        <v>3.5</v>
      </c>
      <c r="G637" t="str">
        <f>CONCATENATE(Таблица271[[#This Row],[Столбец1]],Таблица271[[#This Row],[Столбец2]])</f>
        <v>1,633,5</v>
      </c>
    </row>
    <row r="638" spans="1:7" x14ac:dyDescent="0.25">
      <c r="A638">
        <v>1.59</v>
      </c>
      <c r="B638">
        <v>3.45</v>
      </c>
      <c r="C638" t="str">
        <f>CONCATENATE(Таблица258[[#This Row],[Столбец1]],Таблица258[[#This Row],[Столбец2]])</f>
        <v>1,593,45</v>
      </c>
      <c r="E638">
        <v>1</v>
      </c>
      <c r="F638">
        <v>3.57</v>
      </c>
      <c r="G638" t="str">
        <f>CONCATENATE(Таблица271[[#This Row],[Столбец1]],Таблица271[[#This Row],[Столбец2]])</f>
        <v>13,57</v>
      </c>
    </row>
    <row r="639" spans="1:7" x14ac:dyDescent="0.25">
      <c r="A639">
        <v>1.59</v>
      </c>
      <c r="B639">
        <v>3.45</v>
      </c>
      <c r="C639" t="str">
        <f>CONCATENATE(Таблица258[[#This Row],[Столбец1]],Таблица258[[#This Row],[Столбец2]])</f>
        <v>1,593,45</v>
      </c>
      <c r="E639">
        <v>1</v>
      </c>
      <c r="F639">
        <v>3.57</v>
      </c>
      <c r="G639" t="str">
        <f>CONCATENATE(Таблица271[[#This Row],[Столбец1]],Таблица271[[#This Row],[Столбец2]])</f>
        <v>13,57</v>
      </c>
    </row>
    <row r="640" spans="1:7" x14ac:dyDescent="0.25">
      <c r="A640">
        <v>1.59</v>
      </c>
      <c r="B640">
        <v>3.45</v>
      </c>
      <c r="C640" t="str">
        <f>CONCATENATE(Таблица258[[#This Row],[Столбец1]],Таблица258[[#This Row],[Столбец2]])</f>
        <v>1,593,45</v>
      </c>
      <c r="E640">
        <v>1</v>
      </c>
      <c r="F640">
        <v>3.57</v>
      </c>
      <c r="G640" t="str">
        <f>CONCATENATE(Таблица271[[#This Row],[Столбец1]],Таблица271[[#This Row],[Столбец2]])</f>
        <v>13,57</v>
      </c>
    </row>
    <row r="641" spans="1:7" x14ac:dyDescent="0.25">
      <c r="A641">
        <v>1.59</v>
      </c>
      <c r="B641">
        <v>3.45</v>
      </c>
      <c r="C641" t="str">
        <f>CONCATENATE(Таблица258[[#This Row],[Столбец1]],Таблица258[[#This Row],[Столбец2]])</f>
        <v>1,593,45</v>
      </c>
      <c r="E641">
        <v>1</v>
      </c>
      <c r="F641">
        <v>3.57</v>
      </c>
      <c r="G641" t="str">
        <f>CONCATENATE(Таблица271[[#This Row],[Столбец1]],Таблица271[[#This Row],[Столбец2]])</f>
        <v>13,57</v>
      </c>
    </row>
    <row r="642" spans="1:7" x14ac:dyDescent="0.25">
      <c r="A642">
        <v>1.6</v>
      </c>
      <c r="B642">
        <v>3.46</v>
      </c>
      <c r="C642" t="str">
        <f>CONCATENATE(Таблица258[[#This Row],[Столбец1]],Таблица258[[#This Row],[Столбец2]])</f>
        <v>1,63,46</v>
      </c>
      <c r="E642">
        <v>1</v>
      </c>
      <c r="F642">
        <v>3.57</v>
      </c>
      <c r="G642" t="str">
        <f>CONCATENATE(Таблица271[[#This Row],[Столбец1]],Таблица271[[#This Row],[Столбец2]])</f>
        <v>13,57</v>
      </c>
    </row>
    <row r="643" spans="1:7" x14ac:dyDescent="0.25">
      <c r="A643">
        <v>1.6</v>
      </c>
      <c r="B643">
        <v>3.46</v>
      </c>
      <c r="C643" t="str">
        <f>CONCATENATE(Таблица258[[#This Row],[Столбец1]],Таблица258[[#This Row],[Столбец2]])</f>
        <v>1,63,46</v>
      </c>
      <c r="E643">
        <v>1</v>
      </c>
      <c r="F643">
        <v>3.57</v>
      </c>
      <c r="G643" t="str">
        <f>CONCATENATE(Таблица271[[#This Row],[Столбец1]],Таблица271[[#This Row],[Столбец2]])</f>
        <v>13,57</v>
      </c>
    </row>
    <row r="644" spans="1:7" x14ac:dyDescent="0.25">
      <c r="A644">
        <v>1.6</v>
      </c>
      <c r="B644">
        <v>3.46</v>
      </c>
      <c r="C644" t="str">
        <f>CONCATENATE(Таблица258[[#This Row],[Столбец1]],Таблица258[[#This Row],[Столбец2]])</f>
        <v>1,63,46</v>
      </c>
      <c r="E644">
        <v>1.01</v>
      </c>
      <c r="F644">
        <v>3.57</v>
      </c>
      <c r="G644" t="str">
        <f>CONCATENATE(Таблица271[[#This Row],[Столбец1]],Таблица271[[#This Row],[Столбец2]])</f>
        <v>1,013,57</v>
      </c>
    </row>
    <row r="645" spans="1:7" x14ac:dyDescent="0.25">
      <c r="A645">
        <v>1.6</v>
      </c>
      <c r="B645">
        <v>3.46</v>
      </c>
      <c r="C645" t="str">
        <f>CONCATENATE(Таблица258[[#This Row],[Столбец1]],Таблица258[[#This Row],[Столбец2]])</f>
        <v>1,63,46</v>
      </c>
      <c r="E645">
        <v>1.01</v>
      </c>
      <c r="F645">
        <v>3.57</v>
      </c>
      <c r="G645" t="str">
        <f>CONCATENATE(Таблица271[[#This Row],[Столбец1]],Таблица271[[#This Row],[Столбец2]])</f>
        <v>1,013,57</v>
      </c>
    </row>
    <row r="646" spans="1:7" x14ac:dyDescent="0.25">
      <c r="A646">
        <v>1.6</v>
      </c>
      <c r="B646">
        <v>3.46</v>
      </c>
      <c r="C646" t="str">
        <f>CONCATENATE(Таблица258[[#This Row],[Столбец1]],Таблица258[[#This Row],[Столбец2]])</f>
        <v>1,63,46</v>
      </c>
      <c r="E646">
        <v>1.01</v>
      </c>
      <c r="F646">
        <v>3.57</v>
      </c>
      <c r="G646" t="str">
        <f>CONCATENATE(Таблица271[[#This Row],[Столбец1]],Таблица271[[#This Row],[Столбец2]])</f>
        <v>1,013,57</v>
      </c>
    </row>
    <row r="647" spans="1:7" x14ac:dyDescent="0.25">
      <c r="A647">
        <v>1.6</v>
      </c>
      <c r="B647">
        <v>3.46</v>
      </c>
      <c r="C647" t="str">
        <f>CONCATENATE(Таблица258[[#This Row],[Столбец1]],Таблица258[[#This Row],[Столбец2]])</f>
        <v>1,63,46</v>
      </c>
      <c r="E647">
        <v>1.01</v>
      </c>
      <c r="F647">
        <v>3.57</v>
      </c>
      <c r="G647" t="str">
        <f>CONCATENATE(Таблица271[[#This Row],[Столбец1]],Таблица271[[#This Row],[Столбец2]])</f>
        <v>1,013,57</v>
      </c>
    </row>
    <row r="648" spans="1:7" x14ac:dyDescent="0.25">
      <c r="A648">
        <v>1.61</v>
      </c>
      <c r="B648">
        <v>3.48</v>
      </c>
      <c r="C648" t="str">
        <f>CONCATENATE(Таблица258[[#This Row],[Столбец1]],Таблица258[[#This Row],[Столбец2]])</f>
        <v>1,613,48</v>
      </c>
      <c r="E648">
        <v>1.01</v>
      </c>
      <c r="F648">
        <v>3.57</v>
      </c>
      <c r="G648" t="str">
        <f>CONCATENATE(Таблица271[[#This Row],[Столбец1]],Таблица271[[#This Row],[Столбец2]])</f>
        <v>1,013,57</v>
      </c>
    </row>
    <row r="649" spans="1:7" x14ac:dyDescent="0.25">
      <c r="A649">
        <v>1.61</v>
      </c>
      <c r="B649">
        <v>3.48</v>
      </c>
      <c r="C649" t="str">
        <f>CONCATENATE(Таблица258[[#This Row],[Столбец1]],Таблица258[[#This Row],[Столбец2]])</f>
        <v>1,613,48</v>
      </c>
      <c r="E649">
        <v>1.01</v>
      </c>
      <c r="F649">
        <v>3.57</v>
      </c>
      <c r="G649" t="str">
        <f>CONCATENATE(Таблица271[[#This Row],[Столбец1]],Таблица271[[#This Row],[Столбец2]])</f>
        <v>1,013,57</v>
      </c>
    </row>
    <row r="650" spans="1:7" x14ac:dyDescent="0.25">
      <c r="A650">
        <v>1.61</v>
      </c>
      <c r="B650">
        <v>3.48</v>
      </c>
      <c r="C650" t="str">
        <f>CONCATENATE(Таблица258[[#This Row],[Столбец1]],Таблица258[[#This Row],[Столбец2]])</f>
        <v>1,613,48</v>
      </c>
      <c r="E650">
        <v>1.02</v>
      </c>
      <c r="F650">
        <v>3.57</v>
      </c>
      <c r="G650" t="str">
        <f>CONCATENATE(Таблица271[[#This Row],[Столбец1]],Таблица271[[#This Row],[Столбец2]])</f>
        <v>1,023,57</v>
      </c>
    </row>
    <row r="651" spans="1:7" x14ac:dyDescent="0.25">
      <c r="A651">
        <v>1.61</v>
      </c>
      <c r="B651">
        <v>3.48</v>
      </c>
      <c r="C651" t="str">
        <f>CONCATENATE(Таблица258[[#This Row],[Столбец1]],Таблица258[[#This Row],[Столбец2]])</f>
        <v>1,613,48</v>
      </c>
      <c r="E651">
        <v>1.02</v>
      </c>
      <c r="F651">
        <v>3.57</v>
      </c>
      <c r="G651" t="str">
        <f>CONCATENATE(Таблица271[[#This Row],[Столбец1]],Таблица271[[#This Row],[Столбец2]])</f>
        <v>1,023,57</v>
      </c>
    </row>
    <row r="652" spans="1:7" x14ac:dyDescent="0.25">
      <c r="A652">
        <v>1.61</v>
      </c>
      <c r="B652">
        <v>3.48</v>
      </c>
      <c r="C652" t="str">
        <f>CONCATENATE(Таблица258[[#This Row],[Столбец1]],Таблица258[[#This Row],[Столбец2]])</f>
        <v>1,613,48</v>
      </c>
      <c r="E652">
        <v>1.02</v>
      </c>
      <c r="F652">
        <v>3.57</v>
      </c>
      <c r="G652" t="str">
        <f>CONCATENATE(Таблица271[[#This Row],[Столбец1]],Таблица271[[#This Row],[Столбец2]])</f>
        <v>1,023,57</v>
      </c>
    </row>
    <row r="653" spans="1:7" x14ac:dyDescent="0.25">
      <c r="A653">
        <v>1.61</v>
      </c>
      <c r="B653">
        <v>3.48</v>
      </c>
      <c r="C653" t="str">
        <f>CONCATENATE(Таблица258[[#This Row],[Столбец1]],Таблица258[[#This Row],[Столбец2]])</f>
        <v>1,613,48</v>
      </c>
      <c r="E653">
        <v>1.02</v>
      </c>
      <c r="F653">
        <v>3.57</v>
      </c>
      <c r="G653" t="str">
        <f>CONCATENATE(Таблица271[[#This Row],[Столбец1]],Таблица271[[#This Row],[Столбец2]])</f>
        <v>1,023,57</v>
      </c>
    </row>
    <row r="654" spans="1:7" x14ac:dyDescent="0.25">
      <c r="A654">
        <v>1.62</v>
      </c>
      <c r="B654">
        <v>3.49</v>
      </c>
      <c r="C654" t="str">
        <f>CONCATENATE(Таблица258[[#This Row],[Столбец1]],Таблица258[[#This Row],[Столбец2]])</f>
        <v>1,623,49</v>
      </c>
      <c r="E654">
        <v>1.02</v>
      </c>
      <c r="F654">
        <v>3.57</v>
      </c>
      <c r="G654" t="str">
        <f>CONCATENATE(Таблица271[[#This Row],[Столбец1]],Таблица271[[#This Row],[Столбец2]])</f>
        <v>1,023,57</v>
      </c>
    </row>
    <row r="655" spans="1:7" x14ac:dyDescent="0.25">
      <c r="A655">
        <v>1.62</v>
      </c>
      <c r="B655">
        <v>3.49</v>
      </c>
      <c r="C655" t="str">
        <f>CONCATENATE(Таблица258[[#This Row],[Столбец1]],Таблица258[[#This Row],[Столбец2]])</f>
        <v>1,623,49</v>
      </c>
      <c r="E655">
        <v>1.02</v>
      </c>
      <c r="F655">
        <v>3.57</v>
      </c>
      <c r="G655" t="str">
        <f>CONCATENATE(Таблица271[[#This Row],[Столбец1]],Таблица271[[#This Row],[Столбец2]])</f>
        <v>1,023,57</v>
      </c>
    </row>
    <row r="656" spans="1:7" x14ac:dyDescent="0.25">
      <c r="A656">
        <v>1.62</v>
      </c>
      <c r="B656">
        <v>3.49</v>
      </c>
      <c r="C656" t="str">
        <f>CONCATENATE(Таблица258[[#This Row],[Столбец1]],Таблица258[[#This Row],[Столбец2]])</f>
        <v>1,623,49</v>
      </c>
      <c r="E656">
        <v>1.03</v>
      </c>
      <c r="F656">
        <v>3.57</v>
      </c>
      <c r="G656" t="str">
        <f>CONCATENATE(Таблица271[[#This Row],[Столбец1]],Таблица271[[#This Row],[Столбец2]])</f>
        <v>1,033,57</v>
      </c>
    </row>
    <row r="657" spans="1:7" x14ac:dyDescent="0.25">
      <c r="A657">
        <v>1.62</v>
      </c>
      <c r="B657">
        <v>3.49</v>
      </c>
      <c r="C657" t="str">
        <f>CONCATENATE(Таблица258[[#This Row],[Столбец1]],Таблица258[[#This Row],[Столбец2]])</f>
        <v>1,623,49</v>
      </c>
      <c r="E657">
        <v>1.03</v>
      </c>
      <c r="F657">
        <v>3.57</v>
      </c>
      <c r="G657" t="str">
        <f>CONCATENATE(Таблица271[[#This Row],[Столбец1]],Таблица271[[#This Row],[Столбец2]])</f>
        <v>1,033,57</v>
      </c>
    </row>
    <row r="658" spans="1:7" x14ac:dyDescent="0.25">
      <c r="A658">
        <v>1.62</v>
      </c>
      <c r="B658">
        <v>3.49</v>
      </c>
      <c r="C658" t="str">
        <f>CONCATENATE(Таблица258[[#This Row],[Столбец1]],Таблица258[[#This Row],[Столбец2]])</f>
        <v>1,623,49</v>
      </c>
      <c r="E658">
        <v>1.03</v>
      </c>
      <c r="F658">
        <v>3.57</v>
      </c>
      <c r="G658" t="str">
        <f>CONCATENATE(Таблица271[[#This Row],[Столбец1]],Таблица271[[#This Row],[Столбец2]])</f>
        <v>1,033,57</v>
      </c>
    </row>
    <row r="659" spans="1:7" x14ac:dyDescent="0.25">
      <c r="A659">
        <v>1.62</v>
      </c>
      <c r="B659">
        <v>3.49</v>
      </c>
      <c r="C659" t="str">
        <f>CONCATENATE(Таблица258[[#This Row],[Столбец1]],Таблица258[[#This Row],[Столбец2]])</f>
        <v>1,623,49</v>
      </c>
      <c r="E659">
        <v>1.03</v>
      </c>
      <c r="F659">
        <v>3.57</v>
      </c>
      <c r="G659" t="str">
        <f>CONCATENATE(Таблица271[[#This Row],[Столбец1]],Таблица271[[#This Row],[Столбец2]])</f>
        <v>1,033,57</v>
      </c>
    </row>
    <row r="660" spans="1:7" x14ac:dyDescent="0.25">
      <c r="A660">
        <v>1.63</v>
      </c>
      <c r="B660">
        <v>3.5</v>
      </c>
      <c r="C660" t="str">
        <f>CONCATENATE(Таблица258[[#This Row],[Столбец1]],Таблица258[[#This Row],[Столбец2]])</f>
        <v>1,633,5</v>
      </c>
      <c r="E660">
        <v>1.03</v>
      </c>
      <c r="F660">
        <v>3.57</v>
      </c>
      <c r="G660" t="str">
        <f>CONCATENATE(Таблица271[[#This Row],[Столбец1]],Таблица271[[#This Row],[Столбец2]])</f>
        <v>1,033,57</v>
      </c>
    </row>
    <row r="661" spans="1:7" x14ac:dyDescent="0.25">
      <c r="A661">
        <v>1.63</v>
      </c>
      <c r="B661">
        <v>3.5</v>
      </c>
      <c r="C661" t="str">
        <f>CONCATENATE(Таблица258[[#This Row],[Столбец1]],Таблица258[[#This Row],[Столбец2]])</f>
        <v>1,633,5</v>
      </c>
      <c r="E661">
        <v>1.03</v>
      </c>
      <c r="F661">
        <v>3.57</v>
      </c>
      <c r="G661" t="str">
        <f>CONCATENATE(Таблица271[[#This Row],[Столбец1]],Таблица271[[#This Row],[Столбец2]])</f>
        <v>1,033,57</v>
      </c>
    </row>
    <row r="662" spans="1:7" x14ac:dyDescent="0.25">
      <c r="A662">
        <v>1.63</v>
      </c>
      <c r="B662">
        <v>3.5</v>
      </c>
      <c r="C662" t="str">
        <f>CONCATENATE(Таблица258[[#This Row],[Столбец1]],Таблица258[[#This Row],[Столбец2]])</f>
        <v>1,633,5</v>
      </c>
      <c r="E662">
        <v>1.04</v>
      </c>
      <c r="F662">
        <v>3.57</v>
      </c>
      <c r="G662" t="str">
        <f>CONCATENATE(Таблица271[[#This Row],[Столбец1]],Таблица271[[#This Row],[Столбец2]])</f>
        <v>1,043,57</v>
      </c>
    </row>
    <row r="663" spans="1:7" x14ac:dyDescent="0.25">
      <c r="A663">
        <v>1.63</v>
      </c>
      <c r="B663">
        <v>3.5</v>
      </c>
      <c r="C663" t="str">
        <f>CONCATENATE(Таблица258[[#This Row],[Столбец1]],Таблица258[[#This Row],[Столбец2]])</f>
        <v>1,633,5</v>
      </c>
      <c r="E663">
        <v>1.04</v>
      </c>
      <c r="F663">
        <v>3.57</v>
      </c>
      <c r="G663" t="str">
        <f>CONCATENATE(Таблица271[[#This Row],[Столбец1]],Таблица271[[#This Row],[Столбец2]])</f>
        <v>1,043,57</v>
      </c>
    </row>
    <row r="664" spans="1:7" x14ac:dyDescent="0.25">
      <c r="A664">
        <v>1.63</v>
      </c>
      <c r="B664">
        <v>3.5</v>
      </c>
      <c r="C664" t="str">
        <f>CONCATENATE(Таблица258[[#This Row],[Столбец1]],Таблица258[[#This Row],[Столбец2]])</f>
        <v>1,633,5</v>
      </c>
      <c r="E664">
        <v>1.04</v>
      </c>
      <c r="F664">
        <v>3.57</v>
      </c>
      <c r="G664" t="str">
        <f>CONCATENATE(Таблица271[[#This Row],[Столбец1]],Таблица271[[#This Row],[Столбец2]])</f>
        <v>1,043,57</v>
      </c>
    </row>
    <row r="665" spans="1:7" x14ac:dyDescent="0.25">
      <c r="A665">
        <v>1.63</v>
      </c>
      <c r="B665">
        <v>3.5</v>
      </c>
      <c r="C665" t="str">
        <f>CONCATENATE(Таблица258[[#This Row],[Столбец1]],Таблица258[[#This Row],[Столбец2]])</f>
        <v>1,633,5</v>
      </c>
      <c r="E665">
        <v>1.04</v>
      </c>
      <c r="F665">
        <v>3.57</v>
      </c>
      <c r="G665" t="str">
        <f>CONCATENATE(Таблица271[[#This Row],[Столбец1]],Таблица271[[#This Row],[Столбец2]])</f>
        <v>1,043,57</v>
      </c>
    </row>
    <row r="666" spans="1:7" x14ac:dyDescent="0.25">
      <c r="A666">
        <v>1</v>
      </c>
      <c r="B666">
        <v>3.57</v>
      </c>
      <c r="C666" t="str">
        <f>CONCATENATE(Таблица258[[#This Row],[Столбец1]],Таблица258[[#This Row],[Столбец2]])</f>
        <v>13,57</v>
      </c>
      <c r="E666">
        <v>1.04</v>
      </c>
      <c r="F666">
        <v>3.57</v>
      </c>
      <c r="G666" t="str">
        <f>CONCATENATE(Таблица271[[#This Row],[Столбец1]],Таблица271[[#This Row],[Столбец2]])</f>
        <v>1,043,57</v>
      </c>
    </row>
    <row r="667" spans="1:7" x14ac:dyDescent="0.25">
      <c r="A667">
        <v>1</v>
      </c>
      <c r="B667">
        <v>3.57</v>
      </c>
      <c r="C667" t="str">
        <f>CONCATENATE(Таблица258[[#This Row],[Столбец1]],Таблица258[[#This Row],[Столбец2]])</f>
        <v>13,57</v>
      </c>
      <c r="E667">
        <v>1.04</v>
      </c>
      <c r="F667">
        <v>3.57</v>
      </c>
      <c r="G667" t="str">
        <f>CONCATENATE(Таблица271[[#This Row],[Столбец1]],Таблица271[[#This Row],[Столбец2]])</f>
        <v>1,043,57</v>
      </c>
    </row>
    <row r="668" spans="1:7" x14ac:dyDescent="0.25">
      <c r="A668">
        <v>1</v>
      </c>
      <c r="B668">
        <v>3.57</v>
      </c>
      <c r="C668" t="str">
        <f>CONCATENATE(Таблица258[[#This Row],[Столбец1]],Таблица258[[#This Row],[Столбец2]])</f>
        <v>13,57</v>
      </c>
      <c r="E668">
        <v>1.05</v>
      </c>
      <c r="F668">
        <v>3.57</v>
      </c>
      <c r="G668" t="str">
        <f>CONCATENATE(Таблица271[[#This Row],[Столбец1]],Таблица271[[#This Row],[Столбец2]])</f>
        <v>1,053,57</v>
      </c>
    </row>
    <row r="669" spans="1:7" x14ac:dyDescent="0.25">
      <c r="A669">
        <v>1</v>
      </c>
      <c r="B669">
        <v>3.57</v>
      </c>
      <c r="C669" t="str">
        <f>CONCATENATE(Таблица258[[#This Row],[Столбец1]],Таблица258[[#This Row],[Столбец2]])</f>
        <v>13,57</v>
      </c>
      <c r="E669">
        <v>1.05</v>
      </c>
      <c r="F669">
        <v>3.57</v>
      </c>
      <c r="G669" t="str">
        <f>CONCATENATE(Таблица271[[#This Row],[Столбец1]],Таблица271[[#This Row],[Столбец2]])</f>
        <v>1,053,57</v>
      </c>
    </row>
    <row r="670" spans="1:7" x14ac:dyDescent="0.25">
      <c r="A670">
        <v>1</v>
      </c>
      <c r="B670">
        <v>3.57</v>
      </c>
      <c r="C670" t="str">
        <f>CONCATENATE(Таблица258[[#This Row],[Столбец1]],Таблица258[[#This Row],[Столбец2]])</f>
        <v>13,57</v>
      </c>
      <c r="E670">
        <v>1.05</v>
      </c>
      <c r="F670">
        <v>3.57</v>
      </c>
      <c r="G670" t="str">
        <f>CONCATENATE(Таблица271[[#This Row],[Столбец1]],Таблица271[[#This Row],[Столбец2]])</f>
        <v>1,053,57</v>
      </c>
    </row>
    <row r="671" spans="1:7" x14ac:dyDescent="0.25">
      <c r="A671">
        <v>1</v>
      </c>
      <c r="B671">
        <v>3.57</v>
      </c>
      <c r="C671" t="str">
        <f>CONCATENATE(Таблица258[[#This Row],[Столбец1]],Таблица258[[#This Row],[Столбец2]])</f>
        <v>13,57</v>
      </c>
      <c r="E671">
        <v>1.05</v>
      </c>
      <c r="F671">
        <v>3.57</v>
      </c>
      <c r="G671" t="str">
        <f>CONCATENATE(Таблица271[[#This Row],[Столбец1]],Таблица271[[#This Row],[Столбец2]])</f>
        <v>1,053,57</v>
      </c>
    </row>
    <row r="672" spans="1:7" x14ac:dyDescent="0.25">
      <c r="A672">
        <v>1.01</v>
      </c>
      <c r="B672">
        <v>3.57</v>
      </c>
      <c r="C672" t="str">
        <f>CONCATENATE(Таблица258[[#This Row],[Столбец1]],Таблица258[[#This Row],[Столбец2]])</f>
        <v>1,013,57</v>
      </c>
      <c r="E672">
        <v>1.05</v>
      </c>
      <c r="F672">
        <v>3.57</v>
      </c>
      <c r="G672" t="str">
        <f>CONCATENATE(Таблица271[[#This Row],[Столбец1]],Таблица271[[#This Row],[Столбец2]])</f>
        <v>1,053,57</v>
      </c>
    </row>
    <row r="673" spans="1:7" x14ac:dyDescent="0.25">
      <c r="A673">
        <v>1.01</v>
      </c>
      <c r="B673">
        <v>3.57</v>
      </c>
      <c r="C673" t="str">
        <f>CONCATENATE(Таблица258[[#This Row],[Столбец1]],Таблица258[[#This Row],[Столбец2]])</f>
        <v>1,013,57</v>
      </c>
      <c r="E673">
        <v>1.05</v>
      </c>
      <c r="F673">
        <v>3.57</v>
      </c>
      <c r="G673" t="str">
        <f>CONCATENATE(Таблица271[[#This Row],[Столбец1]],Таблица271[[#This Row],[Столбец2]])</f>
        <v>1,053,57</v>
      </c>
    </row>
    <row r="674" spans="1:7" x14ac:dyDescent="0.25">
      <c r="A674">
        <v>1.01</v>
      </c>
      <c r="B674">
        <v>3.57</v>
      </c>
      <c r="C674" t="str">
        <f>CONCATENATE(Таблица258[[#This Row],[Столбец1]],Таблица258[[#This Row],[Столбец2]])</f>
        <v>1,013,57</v>
      </c>
      <c r="E674">
        <v>1.06</v>
      </c>
      <c r="F674">
        <v>3.57</v>
      </c>
      <c r="G674" t="str">
        <f>CONCATENATE(Таблица271[[#This Row],[Столбец1]],Таблица271[[#This Row],[Столбец2]])</f>
        <v>1,063,57</v>
      </c>
    </row>
    <row r="675" spans="1:7" x14ac:dyDescent="0.25">
      <c r="A675">
        <v>1.01</v>
      </c>
      <c r="B675">
        <v>3.57</v>
      </c>
      <c r="C675" t="str">
        <f>CONCATENATE(Таблица258[[#This Row],[Столбец1]],Таблица258[[#This Row],[Столбец2]])</f>
        <v>1,013,57</v>
      </c>
      <c r="E675">
        <v>1.06</v>
      </c>
      <c r="F675">
        <v>3.57</v>
      </c>
      <c r="G675" t="str">
        <f>CONCATENATE(Таблица271[[#This Row],[Столбец1]],Таблица271[[#This Row],[Столбец2]])</f>
        <v>1,063,57</v>
      </c>
    </row>
    <row r="676" spans="1:7" x14ac:dyDescent="0.25">
      <c r="A676">
        <v>1.01</v>
      </c>
      <c r="B676">
        <v>3.57</v>
      </c>
      <c r="C676" t="str">
        <f>CONCATENATE(Таблица258[[#This Row],[Столбец1]],Таблица258[[#This Row],[Столбец2]])</f>
        <v>1,013,57</v>
      </c>
      <c r="E676">
        <v>1.06</v>
      </c>
      <c r="F676">
        <v>3.57</v>
      </c>
      <c r="G676" t="str">
        <f>CONCATENATE(Таблица271[[#This Row],[Столбец1]],Таблица271[[#This Row],[Столбец2]])</f>
        <v>1,063,57</v>
      </c>
    </row>
    <row r="677" spans="1:7" x14ac:dyDescent="0.25">
      <c r="A677">
        <v>1.01</v>
      </c>
      <c r="B677">
        <v>3.57</v>
      </c>
      <c r="C677" t="str">
        <f>CONCATENATE(Таблица258[[#This Row],[Столбец1]],Таблица258[[#This Row],[Столбец2]])</f>
        <v>1,013,57</v>
      </c>
      <c r="E677">
        <v>1.06</v>
      </c>
      <c r="F677">
        <v>3.57</v>
      </c>
      <c r="G677" t="str">
        <f>CONCATENATE(Таблица271[[#This Row],[Столбец1]],Таблица271[[#This Row],[Столбец2]])</f>
        <v>1,063,57</v>
      </c>
    </row>
    <row r="678" spans="1:7" x14ac:dyDescent="0.25">
      <c r="A678">
        <v>1.02</v>
      </c>
      <c r="B678">
        <v>3.57</v>
      </c>
      <c r="C678" t="str">
        <f>CONCATENATE(Таблица258[[#This Row],[Столбец1]],Таблица258[[#This Row],[Столбец2]])</f>
        <v>1,023,57</v>
      </c>
      <c r="E678">
        <v>1.06</v>
      </c>
      <c r="F678">
        <v>3.57</v>
      </c>
      <c r="G678" t="str">
        <f>CONCATENATE(Таблица271[[#This Row],[Столбец1]],Таблица271[[#This Row],[Столбец2]])</f>
        <v>1,063,57</v>
      </c>
    </row>
    <row r="679" spans="1:7" x14ac:dyDescent="0.25">
      <c r="A679">
        <v>1.02</v>
      </c>
      <c r="B679">
        <v>3.57</v>
      </c>
      <c r="C679" t="str">
        <f>CONCATENATE(Таблица258[[#This Row],[Столбец1]],Таблица258[[#This Row],[Столбец2]])</f>
        <v>1,023,57</v>
      </c>
      <c r="E679">
        <v>1.06</v>
      </c>
      <c r="F679">
        <v>3.57</v>
      </c>
      <c r="G679" t="str">
        <f>CONCATENATE(Таблица271[[#This Row],[Столбец1]],Таблица271[[#This Row],[Столбец2]])</f>
        <v>1,063,57</v>
      </c>
    </row>
    <row r="680" spans="1:7" x14ac:dyDescent="0.25">
      <c r="A680">
        <v>1.02</v>
      </c>
      <c r="B680">
        <v>3.57</v>
      </c>
      <c r="C680" t="str">
        <f>CONCATENATE(Таблица258[[#This Row],[Столбец1]],Таблица258[[#This Row],[Столбец2]])</f>
        <v>1,023,57</v>
      </c>
      <c r="E680">
        <v>1.07</v>
      </c>
      <c r="F680">
        <v>3.57</v>
      </c>
      <c r="G680" t="str">
        <f>CONCATENATE(Таблица271[[#This Row],[Столбец1]],Таблица271[[#This Row],[Столбец2]])</f>
        <v>1,073,57</v>
      </c>
    </row>
    <row r="681" spans="1:7" x14ac:dyDescent="0.25">
      <c r="A681">
        <v>1.02</v>
      </c>
      <c r="B681">
        <v>3.57</v>
      </c>
      <c r="C681" t="str">
        <f>CONCATENATE(Таблица258[[#This Row],[Столбец1]],Таблица258[[#This Row],[Столбец2]])</f>
        <v>1,023,57</v>
      </c>
      <c r="E681">
        <v>1.07</v>
      </c>
      <c r="F681">
        <v>3.57</v>
      </c>
      <c r="G681" t="str">
        <f>CONCATENATE(Таблица271[[#This Row],[Столбец1]],Таблица271[[#This Row],[Столбец2]])</f>
        <v>1,073,57</v>
      </c>
    </row>
    <row r="682" spans="1:7" x14ac:dyDescent="0.25">
      <c r="A682">
        <v>1.02</v>
      </c>
      <c r="B682">
        <v>3.57</v>
      </c>
      <c r="C682" t="str">
        <f>CONCATENATE(Таблица258[[#This Row],[Столбец1]],Таблица258[[#This Row],[Столбец2]])</f>
        <v>1,023,57</v>
      </c>
      <c r="E682">
        <v>1.07</v>
      </c>
      <c r="F682">
        <v>3.57</v>
      </c>
      <c r="G682" t="str">
        <f>CONCATENATE(Таблица271[[#This Row],[Столбец1]],Таблица271[[#This Row],[Столбец2]])</f>
        <v>1,073,57</v>
      </c>
    </row>
    <row r="683" spans="1:7" x14ac:dyDescent="0.25">
      <c r="A683">
        <v>1.02</v>
      </c>
      <c r="B683">
        <v>3.57</v>
      </c>
      <c r="C683" t="str">
        <f>CONCATENATE(Таблица258[[#This Row],[Столбец1]],Таблица258[[#This Row],[Столбец2]])</f>
        <v>1,023,57</v>
      </c>
      <c r="E683">
        <v>1.07</v>
      </c>
      <c r="F683">
        <v>3.57</v>
      </c>
      <c r="G683" t="str">
        <f>CONCATENATE(Таблица271[[#This Row],[Столбец1]],Таблица271[[#This Row],[Столбец2]])</f>
        <v>1,073,57</v>
      </c>
    </row>
    <row r="684" spans="1:7" x14ac:dyDescent="0.25">
      <c r="A684">
        <v>1.03</v>
      </c>
      <c r="B684">
        <v>3.57</v>
      </c>
      <c r="C684" t="str">
        <f>CONCATENATE(Таблица258[[#This Row],[Столбец1]],Таблица258[[#This Row],[Столбец2]])</f>
        <v>1,033,57</v>
      </c>
      <c r="E684">
        <v>1.07</v>
      </c>
      <c r="F684">
        <v>3.57</v>
      </c>
      <c r="G684" t="str">
        <f>CONCATENATE(Таблица271[[#This Row],[Столбец1]],Таблица271[[#This Row],[Столбец2]])</f>
        <v>1,073,57</v>
      </c>
    </row>
    <row r="685" spans="1:7" x14ac:dyDescent="0.25">
      <c r="A685">
        <v>1.03</v>
      </c>
      <c r="B685">
        <v>3.57</v>
      </c>
      <c r="C685" t="str">
        <f>CONCATENATE(Таблица258[[#This Row],[Столбец1]],Таблица258[[#This Row],[Столбец2]])</f>
        <v>1,033,57</v>
      </c>
      <c r="E685">
        <v>1.07</v>
      </c>
      <c r="F685">
        <v>3.57</v>
      </c>
      <c r="G685" t="str">
        <f>CONCATENATE(Таблица271[[#This Row],[Столбец1]],Таблица271[[#This Row],[Столбец2]])</f>
        <v>1,073,57</v>
      </c>
    </row>
    <row r="686" spans="1:7" x14ac:dyDescent="0.25">
      <c r="A686">
        <v>1.03</v>
      </c>
      <c r="B686">
        <v>3.57</v>
      </c>
      <c r="C686" t="str">
        <f>CONCATENATE(Таблица258[[#This Row],[Столбец1]],Таблица258[[#This Row],[Столбец2]])</f>
        <v>1,033,57</v>
      </c>
      <c r="E686">
        <v>1.08</v>
      </c>
      <c r="F686">
        <v>3.57</v>
      </c>
      <c r="G686" t="str">
        <f>CONCATENATE(Таблица271[[#This Row],[Столбец1]],Таблица271[[#This Row],[Столбец2]])</f>
        <v>1,083,57</v>
      </c>
    </row>
    <row r="687" spans="1:7" x14ac:dyDescent="0.25">
      <c r="A687">
        <v>1.03</v>
      </c>
      <c r="B687">
        <v>3.57</v>
      </c>
      <c r="C687" t="str">
        <f>CONCATENATE(Таблица258[[#This Row],[Столбец1]],Таблица258[[#This Row],[Столбец2]])</f>
        <v>1,033,57</v>
      </c>
      <c r="E687">
        <v>1.08</v>
      </c>
      <c r="F687">
        <v>3.57</v>
      </c>
      <c r="G687" t="str">
        <f>CONCATENATE(Таблица271[[#This Row],[Столбец1]],Таблица271[[#This Row],[Столбец2]])</f>
        <v>1,083,57</v>
      </c>
    </row>
    <row r="688" spans="1:7" x14ac:dyDescent="0.25">
      <c r="A688">
        <v>1.03</v>
      </c>
      <c r="B688">
        <v>3.57</v>
      </c>
      <c r="C688" t="str">
        <f>CONCATENATE(Таблица258[[#This Row],[Столбец1]],Таблица258[[#This Row],[Столбец2]])</f>
        <v>1,033,57</v>
      </c>
      <c r="E688">
        <v>1.08</v>
      </c>
      <c r="F688">
        <v>3.57</v>
      </c>
      <c r="G688" t="str">
        <f>CONCATENATE(Таблица271[[#This Row],[Столбец1]],Таблица271[[#This Row],[Столбец2]])</f>
        <v>1,083,57</v>
      </c>
    </row>
    <row r="689" spans="1:7" x14ac:dyDescent="0.25">
      <c r="A689">
        <v>1.03</v>
      </c>
      <c r="B689">
        <v>3.57</v>
      </c>
      <c r="C689" t="str">
        <f>CONCATENATE(Таблица258[[#This Row],[Столбец1]],Таблица258[[#This Row],[Столбец2]])</f>
        <v>1,033,57</v>
      </c>
      <c r="E689">
        <v>1.08</v>
      </c>
      <c r="F689">
        <v>3.57</v>
      </c>
      <c r="G689" t="str">
        <f>CONCATENATE(Таблица271[[#This Row],[Столбец1]],Таблица271[[#This Row],[Столбец2]])</f>
        <v>1,083,57</v>
      </c>
    </row>
    <row r="690" spans="1:7" x14ac:dyDescent="0.25">
      <c r="A690">
        <v>1.04</v>
      </c>
      <c r="B690">
        <v>3.57</v>
      </c>
      <c r="C690" t="str">
        <f>CONCATENATE(Таблица258[[#This Row],[Столбец1]],Таблица258[[#This Row],[Столбец2]])</f>
        <v>1,043,57</v>
      </c>
      <c r="E690">
        <v>1.08</v>
      </c>
      <c r="F690">
        <v>3.57</v>
      </c>
      <c r="G690" t="str">
        <f>CONCATENATE(Таблица271[[#This Row],[Столбец1]],Таблица271[[#This Row],[Столбец2]])</f>
        <v>1,083,57</v>
      </c>
    </row>
    <row r="691" spans="1:7" x14ac:dyDescent="0.25">
      <c r="A691">
        <v>1.04</v>
      </c>
      <c r="B691">
        <v>3.57</v>
      </c>
      <c r="C691" t="str">
        <f>CONCATENATE(Таблица258[[#This Row],[Столбец1]],Таблица258[[#This Row],[Столбец2]])</f>
        <v>1,043,57</v>
      </c>
      <c r="E691">
        <v>1.08</v>
      </c>
      <c r="F691">
        <v>3.57</v>
      </c>
      <c r="G691" t="str">
        <f>CONCATENATE(Таблица271[[#This Row],[Столбец1]],Таблица271[[#This Row],[Столбец2]])</f>
        <v>1,083,57</v>
      </c>
    </row>
    <row r="692" spans="1:7" x14ac:dyDescent="0.25">
      <c r="A692">
        <v>1.04</v>
      </c>
      <c r="B692">
        <v>3.57</v>
      </c>
      <c r="C692" t="str">
        <f>CONCATENATE(Таблица258[[#This Row],[Столбец1]],Таблица258[[#This Row],[Столбец2]])</f>
        <v>1,043,57</v>
      </c>
      <c r="E692">
        <v>1.08</v>
      </c>
      <c r="F692">
        <v>3.57</v>
      </c>
      <c r="G692" t="str">
        <f>CONCATENATE(Таблица271[[#This Row],[Столбец1]],Таблица271[[#This Row],[Столбец2]])</f>
        <v>1,083,57</v>
      </c>
    </row>
    <row r="693" spans="1:7" x14ac:dyDescent="0.25">
      <c r="A693">
        <v>1.04</v>
      </c>
      <c r="B693">
        <v>3.57</v>
      </c>
      <c r="C693" t="str">
        <f>CONCATENATE(Таблица258[[#This Row],[Столбец1]],Таблица258[[#This Row],[Столбец2]])</f>
        <v>1,043,57</v>
      </c>
      <c r="E693">
        <v>1.0900000000000001</v>
      </c>
      <c r="F693">
        <v>3.57</v>
      </c>
      <c r="G693" t="str">
        <f>CONCATENATE(Таблица271[[#This Row],[Столбец1]],Таблица271[[#This Row],[Столбец2]])</f>
        <v>1,093,57</v>
      </c>
    </row>
    <row r="694" spans="1:7" x14ac:dyDescent="0.25">
      <c r="A694">
        <v>1.04</v>
      </c>
      <c r="B694">
        <v>3.57</v>
      </c>
      <c r="C694" t="str">
        <f>CONCATENATE(Таблица258[[#This Row],[Столбец1]],Таблица258[[#This Row],[Столбец2]])</f>
        <v>1,043,57</v>
      </c>
      <c r="E694">
        <v>1.0900000000000001</v>
      </c>
      <c r="F694">
        <v>3.57</v>
      </c>
      <c r="G694" t="str">
        <f>CONCATENATE(Таблица271[[#This Row],[Столбец1]],Таблица271[[#This Row],[Столбец2]])</f>
        <v>1,093,57</v>
      </c>
    </row>
    <row r="695" spans="1:7" x14ac:dyDescent="0.25">
      <c r="A695">
        <v>1.04</v>
      </c>
      <c r="B695">
        <v>3.57</v>
      </c>
      <c r="C695" t="str">
        <f>CONCATENATE(Таблица258[[#This Row],[Столбец1]],Таблица258[[#This Row],[Столбец2]])</f>
        <v>1,043,57</v>
      </c>
      <c r="E695">
        <v>1.0900000000000001</v>
      </c>
      <c r="F695">
        <v>3.57</v>
      </c>
      <c r="G695" t="str">
        <f>CONCATENATE(Таблица271[[#This Row],[Столбец1]],Таблица271[[#This Row],[Столбец2]])</f>
        <v>1,093,57</v>
      </c>
    </row>
    <row r="696" spans="1:7" x14ac:dyDescent="0.25">
      <c r="A696">
        <v>1.05</v>
      </c>
      <c r="B696">
        <v>3.57</v>
      </c>
      <c r="C696" t="str">
        <f>CONCATENATE(Таблица258[[#This Row],[Столбец1]],Таблица258[[#This Row],[Столбец2]])</f>
        <v>1,053,57</v>
      </c>
      <c r="E696">
        <v>1.0900000000000001</v>
      </c>
      <c r="F696">
        <v>3.57</v>
      </c>
      <c r="G696" t="str">
        <f>CONCATENATE(Таблица271[[#This Row],[Столбец1]],Таблица271[[#This Row],[Столбец2]])</f>
        <v>1,093,57</v>
      </c>
    </row>
    <row r="697" spans="1:7" x14ac:dyDescent="0.25">
      <c r="A697">
        <v>1.05</v>
      </c>
      <c r="B697">
        <v>3.57</v>
      </c>
      <c r="C697" t="str">
        <f>CONCATENATE(Таблица258[[#This Row],[Столбец1]],Таблица258[[#This Row],[Столбец2]])</f>
        <v>1,053,57</v>
      </c>
      <c r="E697">
        <v>1.0900000000000001</v>
      </c>
      <c r="F697">
        <v>3.57</v>
      </c>
      <c r="G697" t="str">
        <f>CONCATENATE(Таблица271[[#This Row],[Столбец1]],Таблица271[[#This Row],[Столбец2]])</f>
        <v>1,093,57</v>
      </c>
    </row>
    <row r="698" spans="1:7" x14ac:dyDescent="0.25">
      <c r="A698">
        <v>1.05</v>
      </c>
      <c r="B698">
        <v>3.57</v>
      </c>
      <c r="C698" t="str">
        <f>CONCATENATE(Таблица258[[#This Row],[Столбец1]],Таблица258[[#This Row],[Столбец2]])</f>
        <v>1,053,57</v>
      </c>
      <c r="E698">
        <v>1.0900000000000001</v>
      </c>
      <c r="F698">
        <v>3.57</v>
      </c>
      <c r="G698" t="str">
        <f>CONCATENATE(Таблица271[[#This Row],[Столбец1]],Таблица271[[#This Row],[Столбец2]])</f>
        <v>1,093,57</v>
      </c>
    </row>
    <row r="699" spans="1:7" x14ac:dyDescent="0.25">
      <c r="A699">
        <v>1.05</v>
      </c>
      <c r="B699">
        <v>3.57</v>
      </c>
      <c r="C699" t="str">
        <f>CONCATENATE(Таблица258[[#This Row],[Столбец1]],Таблица258[[#This Row],[Столбец2]])</f>
        <v>1,053,57</v>
      </c>
      <c r="E699">
        <v>1.0900000000000001</v>
      </c>
      <c r="F699">
        <v>3.57</v>
      </c>
      <c r="G699" t="str">
        <f>CONCATENATE(Таблица271[[#This Row],[Столбец1]],Таблица271[[#This Row],[Столбец2]])</f>
        <v>1,093,57</v>
      </c>
    </row>
    <row r="700" spans="1:7" x14ac:dyDescent="0.25">
      <c r="A700">
        <v>1.05</v>
      </c>
      <c r="B700">
        <v>3.57</v>
      </c>
      <c r="C700" t="str">
        <f>CONCATENATE(Таблица258[[#This Row],[Столбец1]],Таблица258[[#This Row],[Столбец2]])</f>
        <v>1,053,57</v>
      </c>
      <c r="E700">
        <v>1.1000000000000001</v>
      </c>
      <c r="F700">
        <v>3.57</v>
      </c>
      <c r="G700" t="str">
        <f>CONCATENATE(Таблица271[[#This Row],[Столбец1]],Таблица271[[#This Row],[Столбец2]])</f>
        <v>1,13,57</v>
      </c>
    </row>
    <row r="701" spans="1:7" x14ac:dyDescent="0.25">
      <c r="A701">
        <v>1.05</v>
      </c>
      <c r="B701">
        <v>3.57</v>
      </c>
      <c r="C701" t="str">
        <f>CONCATENATE(Таблица258[[#This Row],[Столбец1]],Таблица258[[#This Row],[Столбец2]])</f>
        <v>1,053,57</v>
      </c>
      <c r="E701">
        <v>1.1000000000000001</v>
      </c>
      <c r="F701">
        <v>3.57</v>
      </c>
      <c r="G701" t="str">
        <f>CONCATENATE(Таблица271[[#This Row],[Столбец1]],Таблица271[[#This Row],[Столбец2]])</f>
        <v>1,13,57</v>
      </c>
    </row>
    <row r="702" spans="1:7" x14ac:dyDescent="0.25">
      <c r="A702">
        <v>1.06</v>
      </c>
      <c r="B702">
        <v>3.57</v>
      </c>
      <c r="C702" t="str">
        <f>CONCATENATE(Таблица258[[#This Row],[Столбец1]],Таблица258[[#This Row],[Столбец2]])</f>
        <v>1,063,57</v>
      </c>
      <c r="E702">
        <v>1.1000000000000001</v>
      </c>
      <c r="F702">
        <v>3.57</v>
      </c>
      <c r="G702" t="str">
        <f>CONCATENATE(Таблица271[[#This Row],[Столбец1]],Таблица271[[#This Row],[Столбец2]])</f>
        <v>1,13,57</v>
      </c>
    </row>
    <row r="703" spans="1:7" x14ac:dyDescent="0.25">
      <c r="A703">
        <v>1.06</v>
      </c>
      <c r="B703">
        <v>3.57</v>
      </c>
      <c r="C703" t="str">
        <f>CONCATENATE(Таблица258[[#This Row],[Столбец1]],Таблица258[[#This Row],[Столбец2]])</f>
        <v>1,063,57</v>
      </c>
      <c r="E703">
        <v>1.1000000000000001</v>
      </c>
      <c r="F703">
        <v>3.57</v>
      </c>
      <c r="G703" t="str">
        <f>CONCATENATE(Таблица271[[#This Row],[Столбец1]],Таблица271[[#This Row],[Столбец2]])</f>
        <v>1,13,57</v>
      </c>
    </row>
    <row r="704" spans="1:7" x14ac:dyDescent="0.25">
      <c r="A704">
        <v>1.06</v>
      </c>
      <c r="B704">
        <v>3.57</v>
      </c>
      <c r="C704" t="str">
        <f>CONCATENATE(Таблица258[[#This Row],[Столбец1]],Таблица258[[#This Row],[Столбец2]])</f>
        <v>1,063,57</v>
      </c>
      <c r="E704">
        <v>1.1000000000000001</v>
      </c>
      <c r="F704">
        <v>3.57</v>
      </c>
      <c r="G704" t="str">
        <f>CONCATENATE(Таблица271[[#This Row],[Столбец1]],Таблица271[[#This Row],[Столбец2]])</f>
        <v>1,13,57</v>
      </c>
    </row>
    <row r="705" spans="1:7" x14ac:dyDescent="0.25">
      <c r="A705">
        <v>1.06</v>
      </c>
      <c r="B705">
        <v>3.57</v>
      </c>
      <c r="C705" t="str">
        <f>CONCATENATE(Таблица258[[#This Row],[Столбец1]],Таблица258[[#This Row],[Столбец2]])</f>
        <v>1,063,57</v>
      </c>
      <c r="E705">
        <v>1.1000000000000001</v>
      </c>
      <c r="F705">
        <v>3.57</v>
      </c>
      <c r="G705" t="str">
        <f>CONCATENATE(Таблица271[[#This Row],[Столбец1]],Таблица271[[#This Row],[Столбец2]])</f>
        <v>1,13,57</v>
      </c>
    </row>
    <row r="706" spans="1:7" x14ac:dyDescent="0.25">
      <c r="A706">
        <v>1.06</v>
      </c>
      <c r="B706">
        <v>3.57</v>
      </c>
      <c r="C706" t="str">
        <f>CONCATENATE(Таблица258[[#This Row],[Столбец1]],Таблица258[[#This Row],[Столбец2]])</f>
        <v>1,063,57</v>
      </c>
      <c r="E706">
        <v>1.1000000000000001</v>
      </c>
      <c r="F706">
        <v>3.57</v>
      </c>
      <c r="G706" t="str">
        <f>CONCATENATE(Таблица271[[#This Row],[Столбец1]],Таблица271[[#This Row],[Столбец2]])</f>
        <v>1,13,57</v>
      </c>
    </row>
    <row r="707" spans="1:7" x14ac:dyDescent="0.25">
      <c r="A707">
        <v>1.06</v>
      </c>
      <c r="B707">
        <v>3.57</v>
      </c>
      <c r="C707" t="str">
        <f>CONCATENATE(Таблица258[[#This Row],[Столбец1]],Таблица258[[#This Row],[Столбец2]])</f>
        <v>1,063,57</v>
      </c>
      <c r="E707">
        <v>1.1100000000000001</v>
      </c>
      <c r="F707">
        <v>3.57</v>
      </c>
      <c r="G707" t="str">
        <f>CONCATENATE(Таблица271[[#This Row],[Столбец1]],Таблица271[[#This Row],[Столбец2]])</f>
        <v>1,113,57</v>
      </c>
    </row>
    <row r="708" spans="1:7" x14ac:dyDescent="0.25">
      <c r="A708">
        <v>1.07</v>
      </c>
      <c r="B708">
        <v>3.57</v>
      </c>
      <c r="C708" t="str">
        <f>CONCATENATE(Таблица258[[#This Row],[Столбец1]],Таблица258[[#This Row],[Столбец2]])</f>
        <v>1,073,57</v>
      </c>
      <c r="E708">
        <v>1.1200000000000001</v>
      </c>
      <c r="F708">
        <v>3.57</v>
      </c>
      <c r="G708" t="str">
        <f>CONCATENATE(Таблица271[[#This Row],[Столбец1]],Таблица271[[#This Row],[Столбец2]])</f>
        <v>1,123,57</v>
      </c>
    </row>
    <row r="709" spans="1:7" x14ac:dyDescent="0.25">
      <c r="A709">
        <v>1.07</v>
      </c>
      <c r="B709">
        <v>3.57</v>
      </c>
      <c r="C709" t="str">
        <f>CONCATENATE(Таблица258[[#This Row],[Столбец1]],Таблица258[[#This Row],[Столбец2]])</f>
        <v>1,073,57</v>
      </c>
      <c r="E709">
        <v>1.1200000000000001</v>
      </c>
      <c r="F709">
        <v>3.57</v>
      </c>
      <c r="G709" t="str">
        <f>CONCATENATE(Таблица271[[#This Row],[Столбец1]],Таблица271[[#This Row],[Столбец2]])</f>
        <v>1,123,57</v>
      </c>
    </row>
    <row r="710" spans="1:7" x14ac:dyDescent="0.25">
      <c r="A710">
        <v>1.07</v>
      </c>
      <c r="B710">
        <v>3.57</v>
      </c>
      <c r="C710" t="str">
        <f>CONCATENATE(Таблица258[[#This Row],[Столбец1]],Таблица258[[#This Row],[Столбец2]])</f>
        <v>1,073,57</v>
      </c>
      <c r="E710">
        <v>1.1200000000000001</v>
      </c>
      <c r="F710">
        <v>3.57</v>
      </c>
      <c r="G710" t="str">
        <f>CONCATENATE(Таблица271[[#This Row],[Столбец1]],Таблица271[[#This Row],[Столбец2]])</f>
        <v>1,123,57</v>
      </c>
    </row>
    <row r="711" spans="1:7" x14ac:dyDescent="0.25">
      <c r="A711">
        <v>1.07</v>
      </c>
      <c r="B711">
        <v>3.57</v>
      </c>
      <c r="C711" t="str">
        <f>CONCATENATE(Таблица258[[#This Row],[Столбец1]],Таблица258[[#This Row],[Столбец2]])</f>
        <v>1,073,57</v>
      </c>
      <c r="E711">
        <v>1.1200000000000001</v>
      </c>
      <c r="F711">
        <v>3.57</v>
      </c>
      <c r="G711" t="str">
        <f>CONCATENATE(Таблица271[[#This Row],[Столбец1]],Таблица271[[#This Row],[Столбец2]])</f>
        <v>1,123,57</v>
      </c>
    </row>
    <row r="712" spans="1:7" x14ac:dyDescent="0.25">
      <c r="A712">
        <v>1.07</v>
      </c>
      <c r="B712">
        <v>3.57</v>
      </c>
      <c r="C712" t="str">
        <f>CONCATENATE(Таблица258[[#This Row],[Столбец1]],Таблица258[[#This Row],[Столбец2]])</f>
        <v>1,073,57</v>
      </c>
      <c r="E712">
        <v>1.1200000000000001</v>
      </c>
      <c r="F712">
        <v>3.57</v>
      </c>
      <c r="G712" t="str">
        <f>CONCATENATE(Таблица271[[#This Row],[Столбец1]],Таблица271[[#This Row],[Столбец2]])</f>
        <v>1,123,57</v>
      </c>
    </row>
    <row r="713" spans="1:7" x14ac:dyDescent="0.25">
      <c r="A713">
        <v>1.07</v>
      </c>
      <c r="B713">
        <v>3.57</v>
      </c>
      <c r="C713" t="str">
        <f>CONCATENATE(Таблица258[[#This Row],[Столбец1]],Таблица258[[#This Row],[Столбец2]])</f>
        <v>1,073,57</v>
      </c>
      <c r="E713">
        <v>1.1200000000000001</v>
      </c>
      <c r="F713">
        <v>3.57</v>
      </c>
      <c r="G713" t="str">
        <f>CONCATENATE(Таблица271[[#This Row],[Столбец1]],Таблица271[[#This Row],[Столбец2]])</f>
        <v>1,123,57</v>
      </c>
    </row>
    <row r="714" spans="1:7" x14ac:dyDescent="0.25">
      <c r="A714">
        <v>1.08</v>
      </c>
      <c r="B714">
        <v>3.57</v>
      </c>
      <c r="C714" t="str">
        <f>CONCATENATE(Таблица258[[#This Row],[Столбец1]],Таблица258[[#This Row],[Столбец2]])</f>
        <v>1,083,57</v>
      </c>
      <c r="E714">
        <v>1.1200000000000001</v>
      </c>
      <c r="F714">
        <v>3.57</v>
      </c>
      <c r="G714" t="str">
        <f>CONCATENATE(Таблица271[[#This Row],[Столбец1]],Таблица271[[#This Row],[Столбец2]])</f>
        <v>1,123,57</v>
      </c>
    </row>
    <row r="715" spans="1:7" x14ac:dyDescent="0.25">
      <c r="A715">
        <v>1.08</v>
      </c>
      <c r="B715">
        <v>3.57</v>
      </c>
      <c r="C715" t="str">
        <f>CONCATENATE(Таблица258[[#This Row],[Столбец1]],Таблица258[[#This Row],[Столбец2]])</f>
        <v>1,083,57</v>
      </c>
      <c r="E715">
        <v>1.1299999999999999</v>
      </c>
      <c r="F715">
        <v>3.57</v>
      </c>
      <c r="G715" t="str">
        <f>CONCATENATE(Таблица271[[#This Row],[Столбец1]],Таблица271[[#This Row],[Столбец2]])</f>
        <v>1,133,57</v>
      </c>
    </row>
    <row r="716" spans="1:7" x14ac:dyDescent="0.25">
      <c r="A716">
        <v>1.08</v>
      </c>
      <c r="B716">
        <v>3.57</v>
      </c>
      <c r="C716" t="str">
        <f>CONCATENATE(Таблица258[[#This Row],[Столбец1]],Таблица258[[#This Row],[Столбец2]])</f>
        <v>1,083,57</v>
      </c>
      <c r="E716">
        <v>1.1299999999999999</v>
      </c>
      <c r="F716">
        <v>3.57</v>
      </c>
      <c r="G716" t="str">
        <f>CONCATENATE(Таблица271[[#This Row],[Столбец1]],Таблица271[[#This Row],[Столбец2]])</f>
        <v>1,133,57</v>
      </c>
    </row>
    <row r="717" spans="1:7" x14ac:dyDescent="0.25">
      <c r="A717">
        <v>1.08</v>
      </c>
      <c r="B717">
        <v>3.57</v>
      </c>
      <c r="C717" t="str">
        <f>CONCATENATE(Таблица258[[#This Row],[Столбец1]],Таблица258[[#This Row],[Столбец2]])</f>
        <v>1,083,57</v>
      </c>
      <c r="E717">
        <v>1.1299999999999999</v>
      </c>
      <c r="F717">
        <v>3.57</v>
      </c>
      <c r="G717" t="str">
        <f>CONCATENATE(Таблица271[[#This Row],[Столбец1]],Таблица271[[#This Row],[Столбец2]])</f>
        <v>1,133,57</v>
      </c>
    </row>
    <row r="718" spans="1:7" x14ac:dyDescent="0.25">
      <c r="A718">
        <v>1.08</v>
      </c>
      <c r="B718">
        <v>3.57</v>
      </c>
      <c r="C718" t="str">
        <f>CONCATENATE(Таблица258[[#This Row],[Столбец1]],Таблица258[[#This Row],[Столбец2]])</f>
        <v>1,083,57</v>
      </c>
      <c r="E718">
        <v>1.1299999999999999</v>
      </c>
      <c r="F718">
        <v>3.57</v>
      </c>
      <c r="G718" t="str">
        <f>CONCATENATE(Таблица271[[#This Row],[Столбец1]],Таблица271[[#This Row],[Столбец2]])</f>
        <v>1,133,57</v>
      </c>
    </row>
    <row r="719" spans="1:7" x14ac:dyDescent="0.25">
      <c r="A719">
        <v>1.08</v>
      </c>
      <c r="B719">
        <v>3.57</v>
      </c>
      <c r="C719" t="str">
        <f>CONCATENATE(Таблица258[[#This Row],[Столбец1]],Таблица258[[#This Row],[Столбец2]])</f>
        <v>1,083,57</v>
      </c>
      <c r="E719">
        <v>1.1299999999999999</v>
      </c>
      <c r="F719">
        <v>3.57</v>
      </c>
      <c r="G719" t="str">
        <f>CONCATENATE(Таблица271[[#This Row],[Столбец1]],Таблица271[[#This Row],[Столбец2]])</f>
        <v>1,133,57</v>
      </c>
    </row>
    <row r="720" spans="1:7" x14ac:dyDescent="0.25">
      <c r="A720">
        <v>1.0900000000000001</v>
      </c>
      <c r="B720">
        <v>3.57</v>
      </c>
      <c r="C720" t="str">
        <f>CONCATENATE(Таблица258[[#This Row],[Столбец1]],Таблица258[[#This Row],[Столбец2]])</f>
        <v>1,093,57</v>
      </c>
      <c r="E720">
        <v>1.1299999999999999</v>
      </c>
      <c r="F720">
        <v>3.57</v>
      </c>
      <c r="G720" t="str">
        <f>CONCATENATE(Таблица271[[#This Row],[Столбец1]],Таблица271[[#This Row],[Столбец2]])</f>
        <v>1,133,57</v>
      </c>
    </row>
    <row r="721" spans="1:7" x14ac:dyDescent="0.25">
      <c r="A721">
        <v>1.0900000000000001</v>
      </c>
      <c r="B721">
        <v>3.57</v>
      </c>
      <c r="C721" t="str">
        <f>CONCATENATE(Таблица258[[#This Row],[Столбец1]],Таблица258[[#This Row],[Столбец2]])</f>
        <v>1,093,57</v>
      </c>
      <c r="E721">
        <v>1.1299999999999999</v>
      </c>
      <c r="F721">
        <v>3.57</v>
      </c>
      <c r="G721" t="str">
        <f>CONCATENATE(Таблица271[[#This Row],[Столбец1]],Таблица271[[#This Row],[Столбец2]])</f>
        <v>1,133,57</v>
      </c>
    </row>
    <row r="722" spans="1:7" x14ac:dyDescent="0.25">
      <c r="A722">
        <v>1.0900000000000001</v>
      </c>
      <c r="B722">
        <v>3.57</v>
      </c>
      <c r="C722" t="str">
        <f>CONCATENATE(Таблица258[[#This Row],[Столбец1]],Таблица258[[#This Row],[Столбец2]])</f>
        <v>1,093,57</v>
      </c>
      <c r="E722">
        <v>1.1399999999999999</v>
      </c>
      <c r="F722">
        <v>3.57</v>
      </c>
      <c r="G722" t="str">
        <f>CONCATENATE(Таблица271[[#This Row],[Столбец1]],Таблица271[[#This Row],[Столбец2]])</f>
        <v>1,143,57</v>
      </c>
    </row>
    <row r="723" spans="1:7" x14ac:dyDescent="0.25">
      <c r="A723">
        <v>1.0900000000000001</v>
      </c>
      <c r="B723">
        <v>3.57</v>
      </c>
      <c r="C723" t="str">
        <f>CONCATENATE(Таблица258[[#This Row],[Столбец1]],Таблица258[[#This Row],[Столбец2]])</f>
        <v>1,093,57</v>
      </c>
      <c r="E723">
        <v>1.1399999999999999</v>
      </c>
      <c r="F723">
        <v>3.57</v>
      </c>
      <c r="G723" t="str">
        <f>CONCATENATE(Таблица271[[#This Row],[Столбец1]],Таблица271[[#This Row],[Столбец2]])</f>
        <v>1,143,57</v>
      </c>
    </row>
    <row r="724" spans="1:7" x14ac:dyDescent="0.25">
      <c r="A724">
        <v>1.0900000000000001</v>
      </c>
      <c r="B724">
        <v>3.57</v>
      </c>
      <c r="C724" t="str">
        <f>CONCATENATE(Таблица258[[#This Row],[Столбец1]],Таблица258[[#This Row],[Столбец2]])</f>
        <v>1,093,57</v>
      </c>
      <c r="E724">
        <v>1.1399999999999999</v>
      </c>
      <c r="F724">
        <v>3.57</v>
      </c>
      <c r="G724" t="str">
        <f>CONCATENATE(Таблица271[[#This Row],[Столбец1]],Таблица271[[#This Row],[Столбец2]])</f>
        <v>1,143,57</v>
      </c>
    </row>
    <row r="725" spans="1:7" x14ac:dyDescent="0.25">
      <c r="A725">
        <v>1.0900000000000001</v>
      </c>
      <c r="B725">
        <v>3.57</v>
      </c>
      <c r="C725" t="str">
        <f>CONCATENATE(Таблица258[[#This Row],[Столбец1]],Таблица258[[#This Row],[Столбец2]])</f>
        <v>1,093,57</v>
      </c>
      <c r="E725">
        <v>1.1399999999999999</v>
      </c>
      <c r="F725">
        <v>3.57</v>
      </c>
      <c r="G725" t="str">
        <f>CONCATENATE(Таблица271[[#This Row],[Столбец1]],Таблица271[[#This Row],[Столбец2]])</f>
        <v>1,143,57</v>
      </c>
    </row>
    <row r="726" spans="1:7" x14ac:dyDescent="0.25">
      <c r="A726">
        <v>1.1000000000000001</v>
      </c>
      <c r="B726">
        <v>3.57</v>
      </c>
      <c r="C726" t="str">
        <f>CONCATENATE(Таблица258[[#This Row],[Столбец1]],Таблица258[[#This Row],[Столбец2]])</f>
        <v>1,13,57</v>
      </c>
      <c r="E726">
        <v>1.1399999999999999</v>
      </c>
      <c r="F726">
        <v>3.57</v>
      </c>
      <c r="G726" t="str">
        <f>CONCATENATE(Таблица271[[#This Row],[Столбец1]],Таблица271[[#This Row],[Столбец2]])</f>
        <v>1,143,57</v>
      </c>
    </row>
    <row r="727" spans="1:7" x14ac:dyDescent="0.25">
      <c r="A727">
        <v>1.1000000000000001</v>
      </c>
      <c r="B727">
        <v>3.57</v>
      </c>
      <c r="C727" t="str">
        <f>CONCATENATE(Таблица258[[#This Row],[Столбец1]],Таблица258[[#This Row],[Столбец2]])</f>
        <v>1,13,57</v>
      </c>
      <c r="E727">
        <v>1.1399999999999999</v>
      </c>
      <c r="F727">
        <v>3.57</v>
      </c>
      <c r="G727" t="str">
        <f>CONCATENATE(Таблица271[[#This Row],[Столбец1]],Таблица271[[#This Row],[Столбец2]])</f>
        <v>1,143,57</v>
      </c>
    </row>
    <row r="728" spans="1:7" x14ac:dyDescent="0.25">
      <c r="A728">
        <v>1.1000000000000001</v>
      </c>
      <c r="B728">
        <v>3.57</v>
      </c>
      <c r="C728" t="str">
        <f>CONCATENATE(Таблица258[[#This Row],[Столбец1]],Таблица258[[#This Row],[Столбец2]])</f>
        <v>1,13,57</v>
      </c>
      <c r="E728">
        <v>1.1399999999999999</v>
      </c>
      <c r="F728">
        <v>3.57</v>
      </c>
      <c r="G728" t="str">
        <f>CONCATENATE(Таблица271[[#This Row],[Столбец1]],Таблица271[[#This Row],[Столбец2]])</f>
        <v>1,143,57</v>
      </c>
    </row>
    <row r="729" spans="1:7" x14ac:dyDescent="0.25">
      <c r="A729">
        <v>1.1000000000000001</v>
      </c>
      <c r="B729">
        <v>3.57</v>
      </c>
      <c r="C729" t="str">
        <f>CONCATENATE(Таблица258[[#This Row],[Столбец1]],Таблица258[[#This Row],[Столбец2]])</f>
        <v>1,13,57</v>
      </c>
      <c r="E729">
        <v>1.1499999999999999</v>
      </c>
      <c r="F729">
        <v>3.57</v>
      </c>
      <c r="G729" t="str">
        <f>CONCATENATE(Таблица271[[#This Row],[Столбец1]],Таблица271[[#This Row],[Столбец2]])</f>
        <v>1,153,57</v>
      </c>
    </row>
    <row r="730" spans="1:7" x14ac:dyDescent="0.25">
      <c r="A730">
        <v>1.1000000000000001</v>
      </c>
      <c r="B730">
        <v>3.57</v>
      </c>
      <c r="C730" t="str">
        <f>CONCATENATE(Таблица258[[#This Row],[Столбец1]],Таблица258[[#This Row],[Столбец2]])</f>
        <v>1,13,57</v>
      </c>
      <c r="E730">
        <v>1.1499999999999999</v>
      </c>
      <c r="F730">
        <v>3.57</v>
      </c>
      <c r="G730" t="str">
        <f>CONCATENATE(Таблица271[[#This Row],[Столбец1]],Таблица271[[#This Row],[Столбец2]])</f>
        <v>1,153,57</v>
      </c>
    </row>
    <row r="731" spans="1:7" x14ac:dyDescent="0.25">
      <c r="A731">
        <v>1.1000000000000001</v>
      </c>
      <c r="B731">
        <v>3.57</v>
      </c>
      <c r="C731" t="str">
        <f>CONCATENATE(Таблица258[[#This Row],[Столбец1]],Таблица258[[#This Row],[Столбец2]])</f>
        <v>1,13,57</v>
      </c>
      <c r="E731">
        <v>1.1499999999999999</v>
      </c>
      <c r="F731">
        <v>3.57</v>
      </c>
      <c r="G731" t="str">
        <f>CONCATENATE(Таблица271[[#This Row],[Столбец1]],Таблица271[[#This Row],[Столбец2]])</f>
        <v>1,153,57</v>
      </c>
    </row>
    <row r="732" spans="1:7" x14ac:dyDescent="0.25">
      <c r="A732">
        <v>1.1100000000000001</v>
      </c>
      <c r="B732">
        <v>3.57</v>
      </c>
      <c r="C732" t="str">
        <f>CONCATENATE(Таблица258[[#This Row],[Столбец1]],Таблица258[[#This Row],[Столбец2]])</f>
        <v>1,113,57</v>
      </c>
      <c r="E732">
        <v>1.1499999999999999</v>
      </c>
      <c r="F732">
        <v>3.57</v>
      </c>
      <c r="G732" t="str">
        <f>CONCATENATE(Таблица271[[#This Row],[Столбец1]],Таблица271[[#This Row],[Столбец2]])</f>
        <v>1,153,57</v>
      </c>
    </row>
    <row r="733" spans="1:7" x14ac:dyDescent="0.25">
      <c r="A733">
        <v>1.1100000000000001</v>
      </c>
      <c r="B733">
        <v>3.57</v>
      </c>
      <c r="C733" t="str">
        <f>CONCATENATE(Таблица258[[#This Row],[Столбец1]],Таблица258[[#This Row],[Столбец2]])</f>
        <v>1,113,57</v>
      </c>
      <c r="E733">
        <v>1.1499999999999999</v>
      </c>
      <c r="F733">
        <v>3.57</v>
      </c>
      <c r="G733" t="str">
        <f>CONCATENATE(Таблица271[[#This Row],[Столбец1]],Таблица271[[#This Row],[Столбец2]])</f>
        <v>1,153,57</v>
      </c>
    </row>
    <row r="734" spans="1:7" x14ac:dyDescent="0.25">
      <c r="A734">
        <v>1.1100000000000001</v>
      </c>
      <c r="B734">
        <v>3.57</v>
      </c>
      <c r="C734" t="str">
        <f>CONCATENATE(Таблица258[[#This Row],[Столбец1]],Таблица258[[#This Row],[Столбец2]])</f>
        <v>1,113,57</v>
      </c>
      <c r="E734">
        <v>1.1499999999999999</v>
      </c>
      <c r="F734">
        <v>3.57</v>
      </c>
      <c r="G734" t="str">
        <f>CONCATENATE(Таблица271[[#This Row],[Столбец1]],Таблица271[[#This Row],[Столбец2]])</f>
        <v>1,153,57</v>
      </c>
    </row>
    <row r="735" spans="1:7" x14ac:dyDescent="0.25">
      <c r="A735">
        <v>1.1100000000000001</v>
      </c>
      <c r="B735">
        <v>3.57</v>
      </c>
      <c r="C735" t="str">
        <f>CONCATENATE(Таблица258[[#This Row],[Столбец1]],Таблица258[[#This Row],[Столбец2]])</f>
        <v>1,113,57</v>
      </c>
      <c r="E735">
        <v>1.1599999999999999</v>
      </c>
      <c r="F735">
        <v>3.57</v>
      </c>
      <c r="G735" t="str">
        <f>CONCATENATE(Таблица271[[#This Row],[Столбец1]],Таблица271[[#This Row],[Столбец2]])</f>
        <v>1,163,57</v>
      </c>
    </row>
    <row r="736" spans="1:7" x14ac:dyDescent="0.25">
      <c r="A736">
        <v>1.1100000000000001</v>
      </c>
      <c r="B736">
        <v>3.57</v>
      </c>
      <c r="C736" t="str">
        <f>CONCATENATE(Таблица258[[#This Row],[Столбец1]],Таблица258[[#This Row],[Столбец2]])</f>
        <v>1,113,57</v>
      </c>
      <c r="E736">
        <v>1.1599999999999999</v>
      </c>
      <c r="F736">
        <v>3.57</v>
      </c>
      <c r="G736" t="str">
        <f>CONCATENATE(Таблица271[[#This Row],[Столбец1]],Таблица271[[#This Row],[Столбец2]])</f>
        <v>1,163,57</v>
      </c>
    </row>
    <row r="737" spans="1:7" x14ac:dyDescent="0.25">
      <c r="A737">
        <v>1.1100000000000001</v>
      </c>
      <c r="B737">
        <v>3.57</v>
      </c>
      <c r="C737" t="str">
        <f>CONCATENATE(Таблица258[[#This Row],[Столбец1]],Таблица258[[#This Row],[Столбец2]])</f>
        <v>1,113,57</v>
      </c>
      <c r="E737">
        <v>1.1599999999999999</v>
      </c>
      <c r="F737">
        <v>3.57</v>
      </c>
      <c r="G737" t="str">
        <f>CONCATENATE(Таблица271[[#This Row],[Столбец1]],Таблица271[[#This Row],[Столбец2]])</f>
        <v>1,163,57</v>
      </c>
    </row>
    <row r="738" spans="1:7" x14ac:dyDescent="0.25">
      <c r="A738">
        <v>1.1200000000000001</v>
      </c>
      <c r="B738">
        <v>3.57</v>
      </c>
      <c r="C738" t="str">
        <f>CONCATENATE(Таблица258[[#This Row],[Столбец1]],Таблица258[[#This Row],[Столбец2]])</f>
        <v>1,123,57</v>
      </c>
      <c r="E738">
        <v>1.1599999999999999</v>
      </c>
      <c r="F738">
        <v>3.57</v>
      </c>
      <c r="G738" t="str">
        <f>CONCATENATE(Таблица271[[#This Row],[Столбец1]],Таблица271[[#This Row],[Столбец2]])</f>
        <v>1,163,57</v>
      </c>
    </row>
    <row r="739" spans="1:7" x14ac:dyDescent="0.25">
      <c r="A739">
        <v>1.1200000000000001</v>
      </c>
      <c r="B739">
        <v>3.57</v>
      </c>
      <c r="C739" t="str">
        <f>CONCATENATE(Таблица258[[#This Row],[Столбец1]],Таблица258[[#This Row],[Столбец2]])</f>
        <v>1,123,57</v>
      </c>
      <c r="E739">
        <v>1.1599999999999999</v>
      </c>
      <c r="F739">
        <v>3.57</v>
      </c>
      <c r="G739" t="str">
        <f>CONCATENATE(Таблица271[[#This Row],[Столбец1]],Таблица271[[#This Row],[Столбец2]])</f>
        <v>1,163,57</v>
      </c>
    </row>
    <row r="740" spans="1:7" x14ac:dyDescent="0.25">
      <c r="A740">
        <v>1.1200000000000001</v>
      </c>
      <c r="B740">
        <v>3.57</v>
      </c>
      <c r="C740" t="str">
        <f>CONCATENATE(Таблица258[[#This Row],[Столбец1]],Таблица258[[#This Row],[Столбец2]])</f>
        <v>1,123,57</v>
      </c>
      <c r="E740">
        <v>1.1599999999999999</v>
      </c>
      <c r="F740">
        <v>3.57</v>
      </c>
      <c r="G740" t="str">
        <f>CONCATENATE(Таблица271[[#This Row],[Столбец1]],Таблица271[[#This Row],[Столбец2]])</f>
        <v>1,163,57</v>
      </c>
    </row>
    <row r="741" spans="1:7" x14ac:dyDescent="0.25">
      <c r="A741">
        <v>1.1200000000000001</v>
      </c>
      <c r="B741">
        <v>3.57</v>
      </c>
      <c r="C741" t="str">
        <f>CONCATENATE(Таблица258[[#This Row],[Столбец1]],Таблица258[[#This Row],[Столбец2]])</f>
        <v>1,123,57</v>
      </c>
      <c r="E741">
        <v>1.17</v>
      </c>
      <c r="F741">
        <v>3.57</v>
      </c>
      <c r="G741" t="str">
        <f>CONCATENATE(Таблица271[[#This Row],[Столбец1]],Таблица271[[#This Row],[Столбец2]])</f>
        <v>1,173,57</v>
      </c>
    </row>
    <row r="742" spans="1:7" x14ac:dyDescent="0.25">
      <c r="A742">
        <v>1.1200000000000001</v>
      </c>
      <c r="B742">
        <v>3.57</v>
      </c>
      <c r="C742" t="str">
        <f>CONCATENATE(Таблица258[[#This Row],[Столбец1]],Таблица258[[#This Row],[Столбец2]])</f>
        <v>1,123,57</v>
      </c>
      <c r="E742">
        <v>1.17</v>
      </c>
      <c r="F742">
        <v>3.57</v>
      </c>
      <c r="G742" t="str">
        <f>CONCATENATE(Таблица271[[#This Row],[Столбец1]],Таблица271[[#This Row],[Столбец2]])</f>
        <v>1,173,57</v>
      </c>
    </row>
    <row r="743" spans="1:7" x14ac:dyDescent="0.25">
      <c r="A743">
        <v>1.1200000000000001</v>
      </c>
      <c r="B743">
        <v>3.57</v>
      </c>
      <c r="C743" t="str">
        <f>CONCATENATE(Таблица258[[#This Row],[Столбец1]],Таблица258[[#This Row],[Столбец2]])</f>
        <v>1,123,57</v>
      </c>
      <c r="E743">
        <v>1.17</v>
      </c>
      <c r="F743">
        <v>3.57</v>
      </c>
      <c r="G743" t="str">
        <f>CONCATENATE(Таблица271[[#This Row],[Столбец1]],Таблица271[[#This Row],[Столбец2]])</f>
        <v>1,173,57</v>
      </c>
    </row>
    <row r="744" spans="1:7" x14ac:dyDescent="0.25">
      <c r="A744">
        <v>1.1299999999999999</v>
      </c>
      <c r="B744">
        <v>3.57</v>
      </c>
      <c r="C744" t="str">
        <f>CONCATENATE(Таблица258[[#This Row],[Столбец1]],Таблица258[[#This Row],[Столбец2]])</f>
        <v>1,133,57</v>
      </c>
      <c r="E744">
        <v>1.17</v>
      </c>
      <c r="F744">
        <v>3.57</v>
      </c>
      <c r="G744" t="str">
        <f>CONCATENATE(Таблица271[[#This Row],[Столбец1]],Таблица271[[#This Row],[Столбец2]])</f>
        <v>1,173,57</v>
      </c>
    </row>
    <row r="745" spans="1:7" x14ac:dyDescent="0.25">
      <c r="A745">
        <v>1.1299999999999999</v>
      </c>
      <c r="B745">
        <v>3.57</v>
      </c>
      <c r="C745" t="str">
        <f>CONCATENATE(Таблица258[[#This Row],[Столбец1]],Таблица258[[#This Row],[Столбец2]])</f>
        <v>1,133,57</v>
      </c>
      <c r="E745">
        <v>1.17</v>
      </c>
      <c r="F745">
        <v>3.57</v>
      </c>
      <c r="G745" t="str">
        <f>CONCATENATE(Таблица271[[#This Row],[Столбец1]],Таблица271[[#This Row],[Столбец2]])</f>
        <v>1,173,57</v>
      </c>
    </row>
    <row r="746" spans="1:7" x14ac:dyDescent="0.25">
      <c r="A746">
        <v>1.1299999999999999</v>
      </c>
      <c r="B746">
        <v>3.57</v>
      </c>
      <c r="C746" t="str">
        <f>CONCATENATE(Таблица258[[#This Row],[Столбец1]],Таблица258[[#This Row],[Столбец2]])</f>
        <v>1,133,57</v>
      </c>
      <c r="E746">
        <v>1.17</v>
      </c>
      <c r="F746">
        <v>3.57</v>
      </c>
      <c r="G746" t="str">
        <f>CONCATENATE(Таблица271[[#This Row],[Столбец1]],Таблица271[[#This Row],[Столбец2]])</f>
        <v>1,173,57</v>
      </c>
    </row>
    <row r="747" spans="1:7" x14ac:dyDescent="0.25">
      <c r="A747">
        <v>1.1299999999999999</v>
      </c>
      <c r="B747">
        <v>3.57</v>
      </c>
      <c r="C747" t="str">
        <f>CONCATENATE(Таблица258[[#This Row],[Столбец1]],Таблица258[[#This Row],[Столбец2]])</f>
        <v>1,133,57</v>
      </c>
      <c r="E747">
        <v>1.18</v>
      </c>
      <c r="F747">
        <v>3.57</v>
      </c>
      <c r="G747" t="str">
        <f>CONCATENATE(Таблица271[[#This Row],[Столбец1]],Таблица271[[#This Row],[Столбец2]])</f>
        <v>1,183,57</v>
      </c>
    </row>
    <row r="748" spans="1:7" x14ac:dyDescent="0.25">
      <c r="A748">
        <v>1.1299999999999999</v>
      </c>
      <c r="B748">
        <v>3.57</v>
      </c>
      <c r="C748" t="str">
        <f>CONCATENATE(Таблица258[[#This Row],[Столбец1]],Таблица258[[#This Row],[Столбец2]])</f>
        <v>1,133,57</v>
      </c>
      <c r="E748">
        <v>1.18</v>
      </c>
      <c r="F748">
        <v>3.57</v>
      </c>
      <c r="G748" t="str">
        <f>CONCATENATE(Таблица271[[#This Row],[Столбец1]],Таблица271[[#This Row],[Столбец2]])</f>
        <v>1,183,57</v>
      </c>
    </row>
    <row r="749" spans="1:7" x14ac:dyDescent="0.25">
      <c r="A749">
        <v>1.1299999999999999</v>
      </c>
      <c r="B749">
        <v>3.57</v>
      </c>
      <c r="C749" t="str">
        <f>CONCATENATE(Таблица258[[#This Row],[Столбец1]],Таблица258[[#This Row],[Столбец2]])</f>
        <v>1,133,57</v>
      </c>
      <c r="E749">
        <v>1.18</v>
      </c>
      <c r="F749">
        <v>3.57</v>
      </c>
      <c r="G749" t="str">
        <f>CONCATENATE(Таблица271[[#This Row],[Столбец1]],Таблица271[[#This Row],[Столбец2]])</f>
        <v>1,183,57</v>
      </c>
    </row>
    <row r="750" spans="1:7" x14ac:dyDescent="0.25">
      <c r="A750">
        <v>1.1399999999999999</v>
      </c>
      <c r="B750">
        <v>3.57</v>
      </c>
      <c r="C750" t="str">
        <f>CONCATENATE(Таблица258[[#This Row],[Столбец1]],Таблица258[[#This Row],[Столбец2]])</f>
        <v>1,143,57</v>
      </c>
      <c r="E750">
        <v>1.18</v>
      </c>
      <c r="F750">
        <v>3.57</v>
      </c>
      <c r="G750" t="str">
        <f>CONCATENATE(Таблица271[[#This Row],[Столбец1]],Таблица271[[#This Row],[Столбец2]])</f>
        <v>1,183,57</v>
      </c>
    </row>
    <row r="751" spans="1:7" x14ac:dyDescent="0.25">
      <c r="A751">
        <v>1.1399999999999999</v>
      </c>
      <c r="B751">
        <v>3.57</v>
      </c>
      <c r="C751" t="str">
        <f>CONCATENATE(Таблица258[[#This Row],[Столбец1]],Таблица258[[#This Row],[Столбец2]])</f>
        <v>1,143,57</v>
      </c>
      <c r="E751">
        <v>1.18</v>
      </c>
      <c r="F751">
        <v>3.57</v>
      </c>
      <c r="G751" t="str">
        <f>CONCATENATE(Таблица271[[#This Row],[Столбец1]],Таблица271[[#This Row],[Столбец2]])</f>
        <v>1,183,57</v>
      </c>
    </row>
    <row r="752" spans="1:7" x14ac:dyDescent="0.25">
      <c r="A752">
        <v>1.1399999999999999</v>
      </c>
      <c r="B752">
        <v>3.57</v>
      </c>
      <c r="C752" t="str">
        <f>CONCATENATE(Таблица258[[#This Row],[Столбец1]],Таблица258[[#This Row],[Столбец2]])</f>
        <v>1,143,57</v>
      </c>
      <c r="E752">
        <v>1.18</v>
      </c>
      <c r="F752">
        <v>3.57</v>
      </c>
      <c r="G752" t="str">
        <f>CONCATENATE(Таблица271[[#This Row],[Столбец1]],Таблица271[[#This Row],[Столбец2]])</f>
        <v>1,183,57</v>
      </c>
    </row>
    <row r="753" spans="1:7" x14ac:dyDescent="0.25">
      <c r="A753">
        <v>1.1399999999999999</v>
      </c>
      <c r="B753">
        <v>3.57</v>
      </c>
      <c r="C753" t="str">
        <f>CONCATENATE(Таблица258[[#This Row],[Столбец1]],Таблица258[[#This Row],[Столбец2]])</f>
        <v>1,143,57</v>
      </c>
      <c r="E753">
        <v>1.19</v>
      </c>
      <c r="F753">
        <v>3.57</v>
      </c>
      <c r="G753" t="str">
        <f>CONCATENATE(Таблица271[[#This Row],[Столбец1]],Таблица271[[#This Row],[Столбец2]])</f>
        <v>1,193,57</v>
      </c>
    </row>
    <row r="754" spans="1:7" x14ac:dyDescent="0.25">
      <c r="A754">
        <v>1.1399999999999999</v>
      </c>
      <c r="B754">
        <v>3.57</v>
      </c>
      <c r="C754" t="str">
        <f>CONCATENATE(Таблица258[[#This Row],[Столбец1]],Таблица258[[#This Row],[Столбец2]])</f>
        <v>1,143,57</v>
      </c>
      <c r="E754">
        <v>1.19</v>
      </c>
      <c r="F754">
        <v>3.57</v>
      </c>
      <c r="G754" t="str">
        <f>CONCATENATE(Таблица271[[#This Row],[Столбец1]],Таблица271[[#This Row],[Столбец2]])</f>
        <v>1,193,57</v>
      </c>
    </row>
    <row r="755" spans="1:7" x14ac:dyDescent="0.25">
      <c r="A755">
        <v>1.1399999999999999</v>
      </c>
      <c r="B755">
        <v>3.57</v>
      </c>
      <c r="C755" t="str">
        <f>CONCATENATE(Таблица258[[#This Row],[Столбец1]],Таблица258[[#This Row],[Столбец2]])</f>
        <v>1,143,57</v>
      </c>
      <c r="E755">
        <v>1.19</v>
      </c>
      <c r="F755">
        <v>3.57</v>
      </c>
      <c r="G755" t="str">
        <f>CONCATENATE(Таблица271[[#This Row],[Столбец1]],Таблица271[[#This Row],[Столбец2]])</f>
        <v>1,193,57</v>
      </c>
    </row>
    <row r="756" spans="1:7" x14ac:dyDescent="0.25">
      <c r="A756">
        <v>1.1499999999999999</v>
      </c>
      <c r="B756">
        <v>3.57</v>
      </c>
      <c r="C756" t="str">
        <f>CONCATENATE(Таблица258[[#This Row],[Столбец1]],Таблица258[[#This Row],[Столбец2]])</f>
        <v>1,153,57</v>
      </c>
      <c r="E756">
        <v>1.19</v>
      </c>
      <c r="F756">
        <v>3.57</v>
      </c>
      <c r="G756" t="str">
        <f>CONCATENATE(Таблица271[[#This Row],[Столбец1]],Таблица271[[#This Row],[Столбец2]])</f>
        <v>1,193,57</v>
      </c>
    </row>
    <row r="757" spans="1:7" x14ac:dyDescent="0.25">
      <c r="A757">
        <v>1.1499999999999999</v>
      </c>
      <c r="B757">
        <v>3.57</v>
      </c>
      <c r="C757" t="str">
        <f>CONCATENATE(Таблица258[[#This Row],[Столбец1]],Таблица258[[#This Row],[Столбец2]])</f>
        <v>1,153,57</v>
      </c>
      <c r="E757">
        <v>1.19</v>
      </c>
      <c r="F757">
        <v>3.57</v>
      </c>
      <c r="G757" t="str">
        <f>CONCATENATE(Таблица271[[#This Row],[Столбец1]],Таблица271[[#This Row],[Столбец2]])</f>
        <v>1,193,57</v>
      </c>
    </row>
    <row r="758" spans="1:7" x14ac:dyDescent="0.25">
      <c r="A758">
        <v>1.1499999999999999</v>
      </c>
      <c r="B758">
        <v>3.57</v>
      </c>
      <c r="C758" t="str">
        <f>CONCATENATE(Таблица258[[#This Row],[Столбец1]],Таблица258[[#This Row],[Столбец2]])</f>
        <v>1,153,57</v>
      </c>
      <c r="E758">
        <v>1.19</v>
      </c>
      <c r="F758">
        <v>3.57</v>
      </c>
      <c r="G758" t="str">
        <f>CONCATENATE(Таблица271[[#This Row],[Столбец1]],Таблица271[[#This Row],[Столбец2]])</f>
        <v>1,193,57</v>
      </c>
    </row>
    <row r="759" spans="1:7" x14ac:dyDescent="0.25">
      <c r="A759">
        <v>1.1499999999999999</v>
      </c>
      <c r="B759">
        <v>3.57</v>
      </c>
      <c r="C759" t="str">
        <f>CONCATENATE(Таблица258[[#This Row],[Столбец1]],Таблица258[[#This Row],[Столбец2]])</f>
        <v>1,153,57</v>
      </c>
      <c r="E759">
        <v>1.2</v>
      </c>
      <c r="F759">
        <v>3.57</v>
      </c>
      <c r="G759" t="str">
        <f>CONCATENATE(Таблица271[[#This Row],[Столбец1]],Таблица271[[#This Row],[Столбец2]])</f>
        <v>1,23,57</v>
      </c>
    </row>
    <row r="760" spans="1:7" x14ac:dyDescent="0.25">
      <c r="A760">
        <v>1.1499999999999999</v>
      </c>
      <c r="B760">
        <v>3.57</v>
      </c>
      <c r="C760" t="str">
        <f>CONCATENATE(Таблица258[[#This Row],[Столбец1]],Таблица258[[#This Row],[Столбец2]])</f>
        <v>1,153,57</v>
      </c>
      <c r="E760">
        <v>1.2</v>
      </c>
      <c r="F760">
        <v>3.57</v>
      </c>
      <c r="G760" t="str">
        <f>CONCATENATE(Таблица271[[#This Row],[Столбец1]],Таблица271[[#This Row],[Столбец2]])</f>
        <v>1,23,57</v>
      </c>
    </row>
    <row r="761" spans="1:7" x14ac:dyDescent="0.25">
      <c r="A761">
        <v>1.1499999999999999</v>
      </c>
      <c r="B761">
        <v>3.57</v>
      </c>
      <c r="C761" t="str">
        <f>CONCATENATE(Таблица258[[#This Row],[Столбец1]],Таблица258[[#This Row],[Столбец2]])</f>
        <v>1,153,57</v>
      </c>
      <c r="E761">
        <v>1.2</v>
      </c>
      <c r="F761">
        <v>3.57</v>
      </c>
      <c r="G761" t="str">
        <f>CONCATENATE(Таблица271[[#This Row],[Столбец1]],Таблица271[[#This Row],[Столбец2]])</f>
        <v>1,23,57</v>
      </c>
    </row>
    <row r="762" spans="1:7" x14ac:dyDescent="0.25">
      <c r="A762">
        <v>1.17</v>
      </c>
      <c r="B762">
        <v>3.57</v>
      </c>
      <c r="C762" t="str">
        <f>CONCATENATE(Таблица258[[#This Row],[Столбец1]],Таблица258[[#This Row],[Столбец2]])</f>
        <v>1,173,57</v>
      </c>
      <c r="E762">
        <v>1.2</v>
      </c>
      <c r="F762">
        <v>3.57</v>
      </c>
      <c r="G762" t="str">
        <f>CONCATENATE(Таблица271[[#This Row],[Столбец1]],Таблица271[[#This Row],[Столбец2]])</f>
        <v>1,23,57</v>
      </c>
    </row>
    <row r="763" spans="1:7" x14ac:dyDescent="0.25">
      <c r="A763">
        <v>1.17</v>
      </c>
      <c r="B763">
        <v>3.57</v>
      </c>
      <c r="C763" t="str">
        <f>CONCATENATE(Таблица258[[#This Row],[Столбец1]],Таблица258[[#This Row],[Столбец2]])</f>
        <v>1,173,57</v>
      </c>
      <c r="E763">
        <v>1.2</v>
      </c>
      <c r="F763">
        <v>3.57</v>
      </c>
      <c r="G763" t="str">
        <f>CONCATENATE(Таблица271[[#This Row],[Столбец1]],Таблица271[[#This Row],[Столбец2]])</f>
        <v>1,23,57</v>
      </c>
    </row>
    <row r="764" spans="1:7" x14ac:dyDescent="0.25">
      <c r="A764">
        <v>1.17</v>
      </c>
      <c r="B764">
        <v>3.57</v>
      </c>
      <c r="C764" t="str">
        <f>CONCATENATE(Таблица258[[#This Row],[Столбец1]],Таблица258[[#This Row],[Столбец2]])</f>
        <v>1,173,57</v>
      </c>
      <c r="E764">
        <v>1.2</v>
      </c>
      <c r="F764">
        <v>3.57</v>
      </c>
      <c r="G764" t="str">
        <f>CONCATENATE(Таблица271[[#This Row],[Столбец1]],Таблица271[[#This Row],[Столбец2]])</f>
        <v>1,23,57</v>
      </c>
    </row>
    <row r="765" spans="1:7" x14ac:dyDescent="0.25">
      <c r="A765">
        <v>1.17</v>
      </c>
      <c r="B765">
        <v>3.57</v>
      </c>
      <c r="C765" t="str">
        <f>CONCATENATE(Таблица258[[#This Row],[Столбец1]],Таблица258[[#This Row],[Столбец2]])</f>
        <v>1,173,57</v>
      </c>
      <c r="E765">
        <v>1.21</v>
      </c>
      <c r="F765">
        <v>3.57</v>
      </c>
      <c r="G765" t="str">
        <f>CONCATENATE(Таблица271[[#This Row],[Столбец1]],Таблица271[[#This Row],[Столбец2]])</f>
        <v>1,213,57</v>
      </c>
    </row>
    <row r="766" spans="1:7" x14ac:dyDescent="0.25">
      <c r="A766">
        <v>1.17</v>
      </c>
      <c r="B766">
        <v>3.57</v>
      </c>
      <c r="C766" t="str">
        <f>CONCATENATE(Таблица258[[#This Row],[Столбец1]],Таблица258[[#This Row],[Столбец2]])</f>
        <v>1,173,57</v>
      </c>
      <c r="E766">
        <v>1.21</v>
      </c>
      <c r="F766">
        <v>3.57</v>
      </c>
      <c r="G766" t="str">
        <f>CONCATENATE(Таблица271[[#This Row],[Столбец1]],Таблица271[[#This Row],[Столбец2]])</f>
        <v>1,213,57</v>
      </c>
    </row>
    <row r="767" spans="1:7" x14ac:dyDescent="0.25">
      <c r="A767">
        <v>1.17</v>
      </c>
      <c r="B767">
        <v>3.57</v>
      </c>
      <c r="C767" t="str">
        <f>CONCATENATE(Таблица258[[#This Row],[Столбец1]],Таблица258[[#This Row],[Столбец2]])</f>
        <v>1,173,57</v>
      </c>
      <c r="E767">
        <v>1.21</v>
      </c>
      <c r="F767">
        <v>3.57</v>
      </c>
      <c r="G767" t="str">
        <f>CONCATENATE(Таблица271[[#This Row],[Столбец1]],Таблица271[[#This Row],[Столбец2]])</f>
        <v>1,213,57</v>
      </c>
    </row>
    <row r="768" spans="1:7" x14ac:dyDescent="0.25">
      <c r="A768">
        <v>1.18</v>
      </c>
      <c r="B768">
        <v>3.57</v>
      </c>
      <c r="C768" t="str">
        <f>CONCATENATE(Таблица258[[#This Row],[Столбец1]],Таблица258[[#This Row],[Столбец2]])</f>
        <v>1,183,57</v>
      </c>
      <c r="E768">
        <v>1.21</v>
      </c>
      <c r="F768">
        <v>3.57</v>
      </c>
      <c r="G768" t="str">
        <f>CONCATENATE(Таблица271[[#This Row],[Столбец1]],Таблица271[[#This Row],[Столбец2]])</f>
        <v>1,213,57</v>
      </c>
    </row>
    <row r="769" spans="1:7" x14ac:dyDescent="0.25">
      <c r="A769">
        <v>1.18</v>
      </c>
      <c r="B769">
        <v>3.57</v>
      </c>
      <c r="C769" t="str">
        <f>CONCATENATE(Таблица258[[#This Row],[Столбец1]],Таблица258[[#This Row],[Столбец2]])</f>
        <v>1,183,57</v>
      </c>
      <c r="E769">
        <v>1.21</v>
      </c>
      <c r="F769">
        <v>3.57</v>
      </c>
      <c r="G769" t="str">
        <f>CONCATENATE(Таблица271[[#This Row],[Столбец1]],Таблица271[[#This Row],[Столбец2]])</f>
        <v>1,213,57</v>
      </c>
    </row>
    <row r="770" spans="1:7" x14ac:dyDescent="0.25">
      <c r="A770">
        <v>1.18</v>
      </c>
      <c r="B770">
        <v>3.57</v>
      </c>
      <c r="C770" t="str">
        <f>CONCATENATE(Таблица258[[#This Row],[Столбец1]],Таблица258[[#This Row],[Столбец2]])</f>
        <v>1,183,57</v>
      </c>
      <c r="E770">
        <v>1.21</v>
      </c>
      <c r="F770">
        <v>3.57</v>
      </c>
      <c r="G770" t="str">
        <f>CONCATENATE(Таблица271[[#This Row],[Столбец1]],Таблица271[[#This Row],[Столбец2]])</f>
        <v>1,213,57</v>
      </c>
    </row>
    <row r="771" spans="1:7" x14ac:dyDescent="0.25">
      <c r="A771">
        <v>1.18</v>
      </c>
      <c r="B771">
        <v>3.57</v>
      </c>
      <c r="C771" t="str">
        <f>CONCATENATE(Таблица258[[#This Row],[Столбец1]],Таблица258[[#This Row],[Столбец2]])</f>
        <v>1,183,57</v>
      </c>
      <c r="E771">
        <v>1.21</v>
      </c>
      <c r="F771">
        <v>3.57</v>
      </c>
      <c r="G771" t="str">
        <f>CONCATENATE(Таблица271[[#This Row],[Столбец1]],Таблица271[[#This Row],[Столбец2]])</f>
        <v>1,213,57</v>
      </c>
    </row>
    <row r="772" spans="1:7" x14ac:dyDescent="0.25">
      <c r="A772">
        <v>1.18</v>
      </c>
      <c r="B772">
        <v>3.57</v>
      </c>
      <c r="C772" t="str">
        <f>CONCATENATE(Таблица258[[#This Row],[Столбец1]],Таблица258[[#This Row],[Столбец2]])</f>
        <v>1,183,57</v>
      </c>
      <c r="E772">
        <v>1.22</v>
      </c>
      <c r="F772">
        <v>3.57</v>
      </c>
      <c r="G772" t="str">
        <f>CONCATENATE(Таблица271[[#This Row],[Столбец1]],Таблица271[[#This Row],[Столбец2]])</f>
        <v>1,223,57</v>
      </c>
    </row>
    <row r="773" spans="1:7" x14ac:dyDescent="0.25">
      <c r="A773">
        <v>1.18</v>
      </c>
      <c r="B773">
        <v>3.57</v>
      </c>
      <c r="C773" t="str">
        <f>CONCATENATE(Таблица258[[#This Row],[Столбец1]],Таблица258[[#This Row],[Столбец2]])</f>
        <v>1,183,57</v>
      </c>
      <c r="E773">
        <v>1.22</v>
      </c>
      <c r="F773">
        <v>3.57</v>
      </c>
      <c r="G773" t="str">
        <f>CONCATENATE(Таблица271[[#This Row],[Столбец1]],Таблица271[[#This Row],[Столбец2]])</f>
        <v>1,223,57</v>
      </c>
    </row>
    <row r="774" spans="1:7" x14ac:dyDescent="0.25">
      <c r="A774">
        <v>1.19</v>
      </c>
      <c r="B774">
        <v>3.57</v>
      </c>
      <c r="C774" t="str">
        <f>CONCATENATE(Таблица258[[#This Row],[Столбец1]],Таблица258[[#This Row],[Столбец2]])</f>
        <v>1,193,57</v>
      </c>
      <c r="E774">
        <v>1.22</v>
      </c>
      <c r="F774">
        <v>3.57</v>
      </c>
      <c r="G774" t="str">
        <f>CONCATENATE(Таблица271[[#This Row],[Столбец1]],Таблица271[[#This Row],[Столбец2]])</f>
        <v>1,223,57</v>
      </c>
    </row>
    <row r="775" spans="1:7" x14ac:dyDescent="0.25">
      <c r="A775">
        <v>1.19</v>
      </c>
      <c r="B775">
        <v>3.57</v>
      </c>
      <c r="C775" t="str">
        <f>CONCATENATE(Таблица258[[#This Row],[Столбец1]],Таблица258[[#This Row],[Столбец2]])</f>
        <v>1,193,57</v>
      </c>
      <c r="E775">
        <v>1.22</v>
      </c>
      <c r="F775">
        <v>3.57</v>
      </c>
      <c r="G775" t="str">
        <f>CONCATENATE(Таблица271[[#This Row],[Столбец1]],Таблица271[[#This Row],[Столбец2]])</f>
        <v>1,223,57</v>
      </c>
    </row>
    <row r="776" spans="1:7" x14ac:dyDescent="0.25">
      <c r="A776">
        <v>1.19</v>
      </c>
      <c r="B776">
        <v>3.57</v>
      </c>
      <c r="C776" t="str">
        <f>CONCATENATE(Таблица258[[#This Row],[Столбец1]],Таблица258[[#This Row],[Столбец2]])</f>
        <v>1,193,57</v>
      </c>
      <c r="E776">
        <v>1.22</v>
      </c>
      <c r="F776">
        <v>3.57</v>
      </c>
      <c r="G776" t="str">
        <f>CONCATENATE(Таблица271[[#This Row],[Столбец1]],Таблица271[[#This Row],[Столбец2]])</f>
        <v>1,223,57</v>
      </c>
    </row>
    <row r="777" spans="1:7" x14ac:dyDescent="0.25">
      <c r="A777">
        <v>1.19</v>
      </c>
      <c r="B777">
        <v>3.57</v>
      </c>
      <c r="C777" t="str">
        <f>CONCATENATE(Таблица258[[#This Row],[Столбец1]],Таблица258[[#This Row],[Столбец2]])</f>
        <v>1,193,57</v>
      </c>
      <c r="E777">
        <v>1.22</v>
      </c>
      <c r="F777">
        <v>3.57</v>
      </c>
      <c r="G777" t="str">
        <f>CONCATENATE(Таблица271[[#This Row],[Столбец1]],Таблица271[[#This Row],[Столбец2]])</f>
        <v>1,223,57</v>
      </c>
    </row>
    <row r="778" spans="1:7" x14ac:dyDescent="0.25">
      <c r="A778">
        <v>1.19</v>
      </c>
      <c r="B778">
        <v>3.57</v>
      </c>
      <c r="C778" t="str">
        <f>CONCATENATE(Таблица258[[#This Row],[Столбец1]],Таблица258[[#This Row],[Столбец2]])</f>
        <v>1,193,57</v>
      </c>
      <c r="E778">
        <v>1.22</v>
      </c>
      <c r="F778">
        <v>3.57</v>
      </c>
      <c r="G778" t="str">
        <f>CONCATENATE(Таблица271[[#This Row],[Столбец1]],Таблица271[[#This Row],[Столбец2]])</f>
        <v>1,223,57</v>
      </c>
    </row>
    <row r="779" spans="1:7" x14ac:dyDescent="0.25">
      <c r="A779">
        <v>1.19</v>
      </c>
      <c r="B779">
        <v>3.57</v>
      </c>
      <c r="C779" t="str">
        <f>CONCATENATE(Таблица258[[#This Row],[Столбец1]],Таблица258[[#This Row],[Столбец2]])</f>
        <v>1,193,57</v>
      </c>
      <c r="E779">
        <v>1.23</v>
      </c>
      <c r="F779">
        <v>3.57</v>
      </c>
      <c r="G779" t="str">
        <f>CONCATENATE(Таблица271[[#This Row],[Столбец1]],Таблица271[[#This Row],[Столбец2]])</f>
        <v>1,233,57</v>
      </c>
    </row>
    <row r="780" spans="1:7" x14ac:dyDescent="0.25">
      <c r="A780">
        <v>1.2</v>
      </c>
      <c r="B780">
        <v>3.57</v>
      </c>
      <c r="C780" t="str">
        <f>CONCATENATE(Таблица258[[#This Row],[Столбец1]],Таблица258[[#This Row],[Столбец2]])</f>
        <v>1,23,57</v>
      </c>
      <c r="E780">
        <v>1.23</v>
      </c>
      <c r="F780">
        <v>3.57</v>
      </c>
      <c r="G780" t="str">
        <f>CONCATENATE(Таблица271[[#This Row],[Столбец1]],Таблица271[[#This Row],[Столбец2]])</f>
        <v>1,233,57</v>
      </c>
    </row>
    <row r="781" spans="1:7" x14ac:dyDescent="0.25">
      <c r="A781">
        <v>1.2</v>
      </c>
      <c r="B781">
        <v>3.57</v>
      </c>
      <c r="C781" t="str">
        <f>CONCATENATE(Таблица258[[#This Row],[Столбец1]],Таблица258[[#This Row],[Столбец2]])</f>
        <v>1,23,57</v>
      </c>
      <c r="E781">
        <v>1.23</v>
      </c>
      <c r="F781">
        <v>3.57</v>
      </c>
      <c r="G781" t="str">
        <f>CONCATENATE(Таблица271[[#This Row],[Столбец1]],Таблица271[[#This Row],[Столбец2]])</f>
        <v>1,233,57</v>
      </c>
    </row>
    <row r="782" spans="1:7" x14ac:dyDescent="0.25">
      <c r="A782">
        <v>1.2</v>
      </c>
      <c r="B782">
        <v>3.57</v>
      </c>
      <c r="C782" t="str">
        <f>CONCATENATE(Таблица258[[#This Row],[Столбец1]],Таблица258[[#This Row],[Столбец2]])</f>
        <v>1,23,57</v>
      </c>
      <c r="E782">
        <v>1.23</v>
      </c>
      <c r="F782">
        <v>3.57</v>
      </c>
      <c r="G782" t="str">
        <f>CONCATENATE(Таблица271[[#This Row],[Столбец1]],Таблица271[[#This Row],[Столбец2]])</f>
        <v>1,233,57</v>
      </c>
    </row>
    <row r="783" spans="1:7" x14ac:dyDescent="0.25">
      <c r="A783">
        <v>1.2</v>
      </c>
      <c r="B783">
        <v>3.57</v>
      </c>
      <c r="C783" t="str">
        <f>CONCATENATE(Таблица258[[#This Row],[Столбец1]],Таблица258[[#This Row],[Столбец2]])</f>
        <v>1,23,57</v>
      </c>
      <c r="E783">
        <v>1.23</v>
      </c>
      <c r="F783">
        <v>3.57</v>
      </c>
      <c r="G783" t="str">
        <f>CONCATENATE(Таблица271[[#This Row],[Столбец1]],Таблица271[[#This Row],[Столбец2]])</f>
        <v>1,233,57</v>
      </c>
    </row>
    <row r="784" spans="1:7" x14ac:dyDescent="0.25">
      <c r="A784">
        <v>1.2</v>
      </c>
      <c r="B784">
        <v>3.57</v>
      </c>
      <c r="C784" t="str">
        <f>CONCATENATE(Таблица258[[#This Row],[Столбец1]],Таблица258[[#This Row],[Столбец2]])</f>
        <v>1,23,57</v>
      </c>
      <c r="E784">
        <v>1.23</v>
      </c>
      <c r="F784">
        <v>3.57</v>
      </c>
      <c r="G784" t="str">
        <f>CONCATENATE(Таблица271[[#This Row],[Столбец1]],Таблица271[[#This Row],[Столбец2]])</f>
        <v>1,233,57</v>
      </c>
    </row>
    <row r="785" spans="1:7" x14ac:dyDescent="0.25">
      <c r="A785">
        <v>1.2</v>
      </c>
      <c r="B785">
        <v>3.57</v>
      </c>
      <c r="C785" t="str">
        <f>CONCATENATE(Таблица258[[#This Row],[Столбец1]],Таблица258[[#This Row],[Столбец2]])</f>
        <v>1,23,57</v>
      </c>
      <c r="E785">
        <v>1.23</v>
      </c>
      <c r="F785">
        <v>3.57</v>
      </c>
      <c r="G785" t="str">
        <f>CONCATENATE(Таблица271[[#This Row],[Столбец1]],Таблица271[[#This Row],[Столбец2]])</f>
        <v>1,233,57</v>
      </c>
    </row>
    <row r="786" spans="1:7" x14ac:dyDescent="0.25">
      <c r="A786">
        <v>1.21</v>
      </c>
      <c r="B786">
        <v>3.57</v>
      </c>
      <c r="C786" t="str">
        <f>CONCATENATE(Таблица258[[#This Row],[Столбец1]],Таблица258[[#This Row],[Столбец2]])</f>
        <v>1,213,57</v>
      </c>
      <c r="E786">
        <v>1.24</v>
      </c>
      <c r="F786">
        <v>3.57</v>
      </c>
      <c r="G786" t="str">
        <f>CONCATENATE(Таблица271[[#This Row],[Столбец1]],Таблица271[[#This Row],[Столбец2]])</f>
        <v>1,243,57</v>
      </c>
    </row>
    <row r="787" spans="1:7" x14ac:dyDescent="0.25">
      <c r="A787">
        <v>1.21</v>
      </c>
      <c r="B787">
        <v>3.57</v>
      </c>
      <c r="C787" t="str">
        <f>CONCATENATE(Таблица258[[#This Row],[Столбец1]],Таблица258[[#This Row],[Столбец2]])</f>
        <v>1,213,57</v>
      </c>
      <c r="E787">
        <v>1.24</v>
      </c>
      <c r="F787">
        <v>3.57</v>
      </c>
      <c r="G787" t="str">
        <f>CONCATENATE(Таблица271[[#This Row],[Столбец1]],Таблица271[[#This Row],[Столбец2]])</f>
        <v>1,243,57</v>
      </c>
    </row>
    <row r="788" spans="1:7" x14ac:dyDescent="0.25">
      <c r="A788">
        <v>1.21</v>
      </c>
      <c r="B788">
        <v>3.57</v>
      </c>
      <c r="C788" t="str">
        <f>CONCATENATE(Таблица258[[#This Row],[Столбец1]],Таблица258[[#This Row],[Столбец2]])</f>
        <v>1,213,57</v>
      </c>
      <c r="E788">
        <v>1.24</v>
      </c>
      <c r="F788">
        <v>3.57</v>
      </c>
      <c r="G788" t="str">
        <f>CONCATENATE(Таблица271[[#This Row],[Столбец1]],Таблица271[[#This Row],[Столбец2]])</f>
        <v>1,243,57</v>
      </c>
    </row>
    <row r="789" spans="1:7" x14ac:dyDescent="0.25">
      <c r="A789">
        <v>1.21</v>
      </c>
      <c r="B789">
        <v>3.57</v>
      </c>
      <c r="C789" t="str">
        <f>CONCATENATE(Таблица258[[#This Row],[Столбец1]],Таблица258[[#This Row],[Столбец2]])</f>
        <v>1,213,57</v>
      </c>
      <c r="E789">
        <v>1.24</v>
      </c>
      <c r="F789">
        <v>3.57</v>
      </c>
      <c r="G789" t="str">
        <f>CONCATENATE(Таблица271[[#This Row],[Столбец1]],Таблица271[[#This Row],[Столбец2]])</f>
        <v>1,243,57</v>
      </c>
    </row>
    <row r="790" spans="1:7" x14ac:dyDescent="0.25">
      <c r="A790">
        <v>1.21</v>
      </c>
      <c r="B790">
        <v>3.57</v>
      </c>
      <c r="C790" t="str">
        <f>CONCATENATE(Таблица258[[#This Row],[Столбец1]],Таблица258[[#This Row],[Столбец2]])</f>
        <v>1,213,57</v>
      </c>
      <c r="E790">
        <v>1.24</v>
      </c>
      <c r="F790">
        <v>3.57</v>
      </c>
      <c r="G790" t="str">
        <f>CONCATENATE(Таблица271[[#This Row],[Столбец1]],Таблица271[[#This Row],[Столбец2]])</f>
        <v>1,243,57</v>
      </c>
    </row>
    <row r="791" spans="1:7" x14ac:dyDescent="0.25">
      <c r="A791">
        <v>1.21</v>
      </c>
      <c r="B791">
        <v>3.57</v>
      </c>
      <c r="C791" t="str">
        <f>CONCATENATE(Таблица258[[#This Row],[Столбец1]],Таблица258[[#This Row],[Столбец2]])</f>
        <v>1,213,57</v>
      </c>
      <c r="E791">
        <v>1.24</v>
      </c>
      <c r="F791">
        <v>3.57</v>
      </c>
      <c r="G791" t="str">
        <f>CONCATENATE(Таблица271[[#This Row],[Столбец1]],Таблица271[[#This Row],[Столбец2]])</f>
        <v>1,243,57</v>
      </c>
    </row>
    <row r="792" spans="1:7" x14ac:dyDescent="0.25">
      <c r="A792">
        <v>1.22</v>
      </c>
      <c r="B792">
        <v>3.57</v>
      </c>
      <c r="C792" t="str">
        <f>CONCATENATE(Таблица258[[#This Row],[Столбец1]],Таблица258[[#This Row],[Столбец2]])</f>
        <v>1,223,57</v>
      </c>
      <c r="E792">
        <v>1.24</v>
      </c>
      <c r="F792">
        <v>3.57</v>
      </c>
      <c r="G792" t="str">
        <f>CONCATENATE(Таблица271[[#This Row],[Столбец1]],Таблица271[[#This Row],[Столбец2]])</f>
        <v>1,243,57</v>
      </c>
    </row>
    <row r="793" spans="1:7" x14ac:dyDescent="0.25">
      <c r="A793">
        <v>1.22</v>
      </c>
      <c r="B793">
        <v>3.57</v>
      </c>
      <c r="C793" t="str">
        <f>CONCATENATE(Таблица258[[#This Row],[Столбец1]],Таблица258[[#This Row],[Столбец2]])</f>
        <v>1,223,57</v>
      </c>
      <c r="E793">
        <v>1.25</v>
      </c>
      <c r="F793">
        <v>3.57</v>
      </c>
      <c r="G793" t="str">
        <f>CONCATENATE(Таблица271[[#This Row],[Столбец1]],Таблица271[[#This Row],[Столбец2]])</f>
        <v>1,253,57</v>
      </c>
    </row>
    <row r="794" spans="1:7" x14ac:dyDescent="0.25">
      <c r="A794">
        <v>1.22</v>
      </c>
      <c r="B794">
        <v>3.57</v>
      </c>
      <c r="C794" t="str">
        <f>CONCATENATE(Таблица258[[#This Row],[Столбец1]],Таблица258[[#This Row],[Столбец2]])</f>
        <v>1,223,57</v>
      </c>
      <c r="E794">
        <v>1.25</v>
      </c>
      <c r="F794">
        <v>3.57</v>
      </c>
      <c r="G794" t="str">
        <f>CONCATENATE(Таблица271[[#This Row],[Столбец1]],Таблица271[[#This Row],[Столбец2]])</f>
        <v>1,253,57</v>
      </c>
    </row>
    <row r="795" spans="1:7" x14ac:dyDescent="0.25">
      <c r="A795">
        <v>1.22</v>
      </c>
      <c r="B795">
        <v>3.57</v>
      </c>
      <c r="C795" t="str">
        <f>CONCATENATE(Таблица258[[#This Row],[Столбец1]],Таблица258[[#This Row],[Столбец2]])</f>
        <v>1,223,57</v>
      </c>
      <c r="E795">
        <v>1.25</v>
      </c>
      <c r="F795">
        <v>3.57</v>
      </c>
      <c r="G795" t="str">
        <f>CONCATENATE(Таблица271[[#This Row],[Столбец1]],Таблица271[[#This Row],[Столбец2]])</f>
        <v>1,253,57</v>
      </c>
    </row>
    <row r="796" spans="1:7" x14ac:dyDescent="0.25">
      <c r="A796">
        <v>1.22</v>
      </c>
      <c r="B796">
        <v>3.57</v>
      </c>
      <c r="C796" t="str">
        <f>CONCATENATE(Таблица258[[#This Row],[Столбец1]],Таблица258[[#This Row],[Столбец2]])</f>
        <v>1,223,57</v>
      </c>
      <c r="E796">
        <v>1.25</v>
      </c>
      <c r="F796">
        <v>3.57</v>
      </c>
      <c r="G796" t="str">
        <f>CONCATENATE(Таблица271[[#This Row],[Столбец1]],Таблица271[[#This Row],[Столбец2]])</f>
        <v>1,253,57</v>
      </c>
    </row>
    <row r="797" spans="1:7" x14ac:dyDescent="0.25">
      <c r="A797">
        <v>1.22</v>
      </c>
      <c r="B797">
        <v>3.57</v>
      </c>
      <c r="C797" t="str">
        <f>CONCATENATE(Таблица258[[#This Row],[Столбец1]],Таблица258[[#This Row],[Столбец2]])</f>
        <v>1,223,57</v>
      </c>
      <c r="E797">
        <v>1.25</v>
      </c>
      <c r="F797">
        <v>3.57</v>
      </c>
      <c r="G797" t="str">
        <f>CONCATENATE(Таблица271[[#This Row],[Столбец1]],Таблица271[[#This Row],[Столбец2]])</f>
        <v>1,253,57</v>
      </c>
    </row>
    <row r="798" spans="1:7" x14ac:dyDescent="0.25">
      <c r="A798">
        <v>1.23</v>
      </c>
      <c r="B798">
        <v>3.57</v>
      </c>
      <c r="C798" t="str">
        <f>CONCATENATE(Таблица258[[#This Row],[Столбец1]],Таблица258[[#This Row],[Столбец2]])</f>
        <v>1,233,57</v>
      </c>
      <c r="E798">
        <v>1.25</v>
      </c>
      <c r="F798">
        <v>3.57</v>
      </c>
      <c r="G798" t="str">
        <f>CONCATENATE(Таблица271[[#This Row],[Столбец1]],Таблица271[[#This Row],[Столбец2]])</f>
        <v>1,253,57</v>
      </c>
    </row>
    <row r="799" spans="1:7" x14ac:dyDescent="0.25">
      <c r="A799">
        <v>1.23</v>
      </c>
      <c r="B799">
        <v>3.57</v>
      </c>
      <c r="C799" t="str">
        <f>CONCATENATE(Таблица258[[#This Row],[Столбец1]],Таблица258[[#This Row],[Столбец2]])</f>
        <v>1,233,57</v>
      </c>
      <c r="E799">
        <v>1.25</v>
      </c>
      <c r="F799">
        <v>3.57</v>
      </c>
      <c r="G799" t="str">
        <f>CONCATENATE(Таблица271[[#This Row],[Столбец1]],Таблица271[[#This Row],[Столбец2]])</f>
        <v>1,253,57</v>
      </c>
    </row>
    <row r="800" spans="1:7" x14ac:dyDescent="0.25">
      <c r="A800">
        <v>1.23</v>
      </c>
      <c r="B800">
        <v>3.57</v>
      </c>
      <c r="C800" t="str">
        <f>CONCATENATE(Таблица258[[#This Row],[Столбец1]],Таблица258[[#This Row],[Столбец2]])</f>
        <v>1,233,57</v>
      </c>
      <c r="E800">
        <v>1.26</v>
      </c>
      <c r="F800">
        <v>3.57</v>
      </c>
      <c r="G800" t="str">
        <f>CONCATENATE(Таблица271[[#This Row],[Столбец1]],Таблица271[[#This Row],[Столбец2]])</f>
        <v>1,263,57</v>
      </c>
    </row>
    <row r="801" spans="1:7" x14ac:dyDescent="0.25">
      <c r="A801">
        <v>1.23</v>
      </c>
      <c r="B801">
        <v>3.57</v>
      </c>
      <c r="C801" t="str">
        <f>CONCATENATE(Таблица258[[#This Row],[Столбец1]],Таблица258[[#This Row],[Столбец2]])</f>
        <v>1,233,57</v>
      </c>
      <c r="E801">
        <v>1.26</v>
      </c>
      <c r="F801">
        <v>3.57</v>
      </c>
      <c r="G801" t="str">
        <f>CONCATENATE(Таблица271[[#This Row],[Столбец1]],Таблица271[[#This Row],[Столбец2]])</f>
        <v>1,263,57</v>
      </c>
    </row>
    <row r="802" spans="1:7" x14ac:dyDescent="0.25">
      <c r="A802">
        <v>1.23</v>
      </c>
      <c r="B802">
        <v>3.57</v>
      </c>
      <c r="C802" t="str">
        <f>CONCATENATE(Таблица258[[#This Row],[Столбец1]],Таблица258[[#This Row],[Столбец2]])</f>
        <v>1,233,57</v>
      </c>
      <c r="E802">
        <v>1.26</v>
      </c>
      <c r="F802">
        <v>3.57</v>
      </c>
      <c r="G802" t="str">
        <f>CONCATENATE(Таблица271[[#This Row],[Столбец1]],Таблица271[[#This Row],[Столбец2]])</f>
        <v>1,263,57</v>
      </c>
    </row>
    <row r="803" spans="1:7" x14ac:dyDescent="0.25">
      <c r="A803">
        <v>1.23</v>
      </c>
      <c r="B803">
        <v>3.57</v>
      </c>
      <c r="C803" t="str">
        <f>CONCATENATE(Таблица258[[#This Row],[Столбец1]],Таблица258[[#This Row],[Столбец2]])</f>
        <v>1,233,57</v>
      </c>
      <c r="E803">
        <v>1.26</v>
      </c>
      <c r="F803">
        <v>3.57</v>
      </c>
      <c r="G803" t="str">
        <f>CONCATENATE(Таблица271[[#This Row],[Столбец1]],Таблица271[[#This Row],[Столбец2]])</f>
        <v>1,263,57</v>
      </c>
    </row>
    <row r="804" spans="1:7" x14ac:dyDescent="0.25">
      <c r="A804">
        <v>1.24</v>
      </c>
      <c r="B804">
        <v>3.57</v>
      </c>
      <c r="C804" t="str">
        <f>CONCATENATE(Таблица258[[#This Row],[Столбец1]],Таблица258[[#This Row],[Столбец2]])</f>
        <v>1,243,57</v>
      </c>
      <c r="E804">
        <v>1.26</v>
      </c>
      <c r="F804">
        <v>3.57</v>
      </c>
      <c r="G804" t="str">
        <f>CONCATENATE(Таблица271[[#This Row],[Столбец1]],Таблица271[[#This Row],[Столбец2]])</f>
        <v>1,263,57</v>
      </c>
    </row>
    <row r="805" spans="1:7" x14ac:dyDescent="0.25">
      <c r="A805">
        <v>1.24</v>
      </c>
      <c r="B805">
        <v>3.57</v>
      </c>
      <c r="C805" t="str">
        <f>CONCATENATE(Таблица258[[#This Row],[Столбец1]],Таблица258[[#This Row],[Столбец2]])</f>
        <v>1,243,57</v>
      </c>
      <c r="E805">
        <v>1.26</v>
      </c>
      <c r="F805">
        <v>3.57</v>
      </c>
      <c r="G805" t="str">
        <f>CONCATENATE(Таблица271[[#This Row],[Столбец1]],Таблица271[[#This Row],[Столбец2]])</f>
        <v>1,263,57</v>
      </c>
    </row>
    <row r="806" spans="1:7" x14ac:dyDescent="0.25">
      <c r="A806">
        <v>1.24</v>
      </c>
      <c r="B806">
        <v>3.57</v>
      </c>
      <c r="C806" t="str">
        <f>CONCATENATE(Таблица258[[#This Row],[Столбец1]],Таблица258[[#This Row],[Столбец2]])</f>
        <v>1,243,57</v>
      </c>
      <c r="E806">
        <v>1.26</v>
      </c>
      <c r="F806">
        <v>3.57</v>
      </c>
      <c r="G806" t="str">
        <f>CONCATENATE(Таблица271[[#This Row],[Столбец1]],Таблица271[[#This Row],[Столбец2]])</f>
        <v>1,263,57</v>
      </c>
    </row>
    <row r="807" spans="1:7" x14ac:dyDescent="0.25">
      <c r="A807">
        <v>1.24</v>
      </c>
      <c r="B807">
        <v>3.57</v>
      </c>
      <c r="C807" t="str">
        <f>CONCATENATE(Таблица258[[#This Row],[Столбец1]],Таблица258[[#This Row],[Столбец2]])</f>
        <v>1,243,57</v>
      </c>
      <c r="E807">
        <v>1.27</v>
      </c>
      <c r="F807">
        <v>3.57</v>
      </c>
      <c r="G807" t="str">
        <f>CONCATENATE(Таблица271[[#This Row],[Столбец1]],Таблица271[[#This Row],[Столбец2]])</f>
        <v>1,273,57</v>
      </c>
    </row>
    <row r="808" spans="1:7" x14ac:dyDescent="0.25">
      <c r="A808">
        <v>1.24</v>
      </c>
      <c r="B808">
        <v>3.57</v>
      </c>
      <c r="C808" t="str">
        <f>CONCATENATE(Таблица258[[#This Row],[Столбец1]],Таблица258[[#This Row],[Столбец2]])</f>
        <v>1,243,57</v>
      </c>
      <c r="E808">
        <v>1.27</v>
      </c>
      <c r="F808">
        <v>3.57</v>
      </c>
      <c r="G808" t="str">
        <f>CONCATENATE(Таблица271[[#This Row],[Столбец1]],Таблица271[[#This Row],[Столбец2]])</f>
        <v>1,273,57</v>
      </c>
    </row>
    <row r="809" spans="1:7" x14ac:dyDescent="0.25">
      <c r="A809">
        <v>1.24</v>
      </c>
      <c r="B809">
        <v>3.57</v>
      </c>
      <c r="C809" t="str">
        <f>CONCATENATE(Таблица258[[#This Row],[Столбец1]],Таблица258[[#This Row],[Столбец2]])</f>
        <v>1,243,57</v>
      </c>
      <c r="E809">
        <v>1.27</v>
      </c>
      <c r="F809">
        <v>3.57</v>
      </c>
      <c r="G809" t="str">
        <f>CONCATENATE(Таблица271[[#This Row],[Столбец1]],Таблица271[[#This Row],[Столбец2]])</f>
        <v>1,273,57</v>
      </c>
    </row>
    <row r="810" spans="1:7" x14ac:dyDescent="0.25">
      <c r="A810">
        <v>1.25</v>
      </c>
      <c r="B810">
        <v>3.57</v>
      </c>
      <c r="C810" t="str">
        <f>CONCATENATE(Таблица258[[#This Row],[Столбец1]],Таблица258[[#This Row],[Столбец2]])</f>
        <v>1,253,57</v>
      </c>
      <c r="E810">
        <v>1.27</v>
      </c>
      <c r="F810">
        <v>3.57</v>
      </c>
      <c r="G810" t="str">
        <f>CONCATENATE(Таблица271[[#This Row],[Столбец1]],Таблица271[[#This Row],[Столбец2]])</f>
        <v>1,273,57</v>
      </c>
    </row>
    <row r="811" spans="1:7" x14ac:dyDescent="0.25">
      <c r="A811">
        <v>1.25</v>
      </c>
      <c r="B811">
        <v>3.57</v>
      </c>
      <c r="C811" t="str">
        <f>CONCATENATE(Таблица258[[#This Row],[Столбец1]],Таблица258[[#This Row],[Столбец2]])</f>
        <v>1,253,57</v>
      </c>
      <c r="E811">
        <v>1.27</v>
      </c>
      <c r="F811">
        <v>3.57</v>
      </c>
      <c r="G811" t="str">
        <f>CONCATENATE(Таблица271[[#This Row],[Столбец1]],Таблица271[[#This Row],[Столбец2]])</f>
        <v>1,273,57</v>
      </c>
    </row>
    <row r="812" spans="1:7" x14ac:dyDescent="0.25">
      <c r="A812">
        <v>1.25</v>
      </c>
      <c r="B812">
        <v>3.57</v>
      </c>
      <c r="C812" t="str">
        <f>CONCATENATE(Таблица258[[#This Row],[Столбец1]],Таблица258[[#This Row],[Столбец2]])</f>
        <v>1,253,57</v>
      </c>
      <c r="E812">
        <v>1.27</v>
      </c>
      <c r="F812">
        <v>3.57</v>
      </c>
      <c r="G812" t="str">
        <f>CONCATENATE(Таблица271[[#This Row],[Столбец1]],Таблица271[[#This Row],[Столбец2]])</f>
        <v>1,273,57</v>
      </c>
    </row>
    <row r="813" spans="1:7" x14ac:dyDescent="0.25">
      <c r="A813">
        <v>1.25</v>
      </c>
      <c r="B813">
        <v>3.57</v>
      </c>
      <c r="C813" t="str">
        <f>CONCATENATE(Таблица258[[#This Row],[Столбец1]],Таблица258[[#This Row],[Столбец2]])</f>
        <v>1,253,57</v>
      </c>
      <c r="E813">
        <v>1.27</v>
      </c>
      <c r="F813">
        <v>3.57</v>
      </c>
      <c r="G813" t="str">
        <f>CONCATENATE(Таблица271[[#This Row],[Столбец1]],Таблица271[[#This Row],[Столбец2]])</f>
        <v>1,273,57</v>
      </c>
    </row>
    <row r="814" spans="1:7" x14ac:dyDescent="0.25">
      <c r="A814">
        <v>1.25</v>
      </c>
      <c r="B814">
        <v>3.57</v>
      </c>
      <c r="C814" t="str">
        <f>CONCATENATE(Таблица258[[#This Row],[Столбец1]],Таблица258[[#This Row],[Столбец2]])</f>
        <v>1,253,57</v>
      </c>
      <c r="E814">
        <v>1.28</v>
      </c>
      <c r="F814">
        <v>3.57</v>
      </c>
      <c r="G814" t="str">
        <f>CONCATENATE(Таблица271[[#This Row],[Столбец1]],Таблица271[[#This Row],[Столбец2]])</f>
        <v>1,283,57</v>
      </c>
    </row>
    <row r="815" spans="1:7" x14ac:dyDescent="0.25">
      <c r="A815">
        <v>1.25</v>
      </c>
      <c r="B815">
        <v>3.57</v>
      </c>
      <c r="C815" t="str">
        <f>CONCATENATE(Таблица258[[#This Row],[Столбец1]],Таблица258[[#This Row],[Столбец2]])</f>
        <v>1,253,57</v>
      </c>
      <c r="E815">
        <v>1.28</v>
      </c>
      <c r="F815">
        <v>3.57</v>
      </c>
      <c r="G815" t="str">
        <f>CONCATENATE(Таблица271[[#This Row],[Столбец1]],Таблица271[[#This Row],[Столбец2]])</f>
        <v>1,283,57</v>
      </c>
    </row>
    <row r="816" spans="1:7" x14ac:dyDescent="0.25">
      <c r="A816">
        <v>1.26</v>
      </c>
      <c r="B816">
        <v>3.57</v>
      </c>
      <c r="C816" t="str">
        <f>CONCATENATE(Таблица258[[#This Row],[Столбец1]],Таблица258[[#This Row],[Столбец2]])</f>
        <v>1,263,57</v>
      </c>
      <c r="E816">
        <v>1.28</v>
      </c>
      <c r="F816">
        <v>3.57</v>
      </c>
      <c r="G816" t="str">
        <f>CONCATENATE(Таблица271[[#This Row],[Столбец1]],Таблица271[[#This Row],[Столбец2]])</f>
        <v>1,283,57</v>
      </c>
    </row>
    <row r="817" spans="1:7" x14ac:dyDescent="0.25">
      <c r="A817">
        <v>1.26</v>
      </c>
      <c r="B817">
        <v>3.57</v>
      </c>
      <c r="C817" t="str">
        <f>CONCATENATE(Таблица258[[#This Row],[Столбец1]],Таблица258[[#This Row],[Столбец2]])</f>
        <v>1,263,57</v>
      </c>
      <c r="E817">
        <v>1.28</v>
      </c>
      <c r="F817">
        <v>3.57</v>
      </c>
      <c r="G817" t="str">
        <f>CONCATENATE(Таблица271[[#This Row],[Столбец1]],Таблица271[[#This Row],[Столбец2]])</f>
        <v>1,283,57</v>
      </c>
    </row>
    <row r="818" spans="1:7" x14ac:dyDescent="0.25">
      <c r="A818">
        <v>1.26</v>
      </c>
      <c r="B818">
        <v>3.57</v>
      </c>
      <c r="C818" t="str">
        <f>CONCATENATE(Таблица258[[#This Row],[Столбец1]],Таблица258[[#This Row],[Столбец2]])</f>
        <v>1,263,57</v>
      </c>
      <c r="E818">
        <v>1.28</v>
      </c>
      <c r="F818">
        <v>3.57</v>
      </c>
      <c r="G818" t="str">
        <f>CONCATENATE(Таблица271[[#This Row],[Столбец1]],Таблица271[[#This Row],[Столбец2]])</f>
        <v>1,283,57</v>
      </c>
    </row>
    <row r="819" spans="1:7" x14ac:dyDescent="0.25">
      <c r="A819">
        <v>1.26</v>
      </c>
      <c r="B819">
        <v>3.57</v>
      </c>
      <c r="C819" t="str">
        <f>CONCATENATE(Таблица258[[#This Row],[Столбец1]],Таблица258[[#This Row],[Столбец2]])</f>
        <v>1,263,57</v>
      </c>
      <c r="E819">
        <v>1.28</v>
      </c>
      <c r="F819">
        <v>3.57</v>
      </c>
      <c r="G819" t="str">
        <f>CONCATENATE(Таблица271[[#This Row],[Столбец1]],Таблица271[[#This Row],[Столбец2]])</f>
        <v>1,283,57</v>
      </c>
    </row>
    <row r="820" spans="1:7" x14ac:dyDescent="0.25">
      <c r="A820">
        <v>1.26</v>
      </c>
      <c r="B820">
        <v>3.57</v>
      </c>
      <c r="C820" t="str">
        <f>CONCATENATE(Таблица258[[#This Row],[Столбец1]],Таблица258[[#This Row],[Столбец2]])</f>
        <v>1,263,57</v>
      </c>
      <c r="E820">
        <v>1.28</v>
      </c>
      <c r="F820">
        <v>3.57</v>
      </c>
      <c r="G820" t="str">
        <f>CONCATENATE(Таблица271[[#This Row],[Столбец1]],Таблица271[[#This Row],[Столбец2]])</f>
        <v>1,283,57</v>
      </c>
    </row>
    <row r="821" spans="1:7" x14ac:dyDescent="0.25">
      <c r="A821">
        <v>1.26</v>
      </c>
      <c r="B821">
        <v>3.57</v>
      </c>
      <c r="C821" t="str">
        <f>CONCATENATE(Таблица258[[#This Row],[Столбец1]],Таблица258[[#This Row],[Столбец2]])</f>
        <v>1,263,57</v>
      </c>
      <c r="E821">
        <v>1.29</v>
      </c>
      <c r="F821">
        <v>3.57</v>
      </c>
      <c r="G821" t="str">
        <f>CONCATENATE(Таблица271[[#This Row],[Столбец1]],Таблица271[[#This Row],[Столбец2]])</f>
        <v>1,293,57</v>
      </c>
    </row>
    <row r="822" spans="1:7" x14ac:dyDescent="0.25">
      <c r="A822">
        <v>1.27</v>
      </c>
      <c r="B822">
        <v>3.57</v>
      </c>
      <c r="C822" t="str">
        <f>CONCATENATE(Таблица258[[#This Row],[Столбец1]],Таблица258[[#This Row],[Столбец2]])</f>
        <v>1,273,57</v>
      </c>
      <c r="E822">
        <v>1.29</v>
      </c>
      <c r="F822">
        <v>3.57</v>
      </c>
      <c r="G822" t="str">
        <f>CONCATENATE(Таблица271[[#This Row],[Столбец1]],Таблица271[[#This Row],[Столбец2]])</f>
        <v>1,293,57</v>
      </c>
    </row>
    <row r="823" spans="1:7" x14ac:dyDescent="0.25">
      <c r="A823">
        <v>1.27</v>
      </c>
      <c r="B823">
        <v>3.57</v>
      </c>
      <c r="C823" t="str">
        <f>CONCATENATE(Таблица258[[#This Row],[Столбец1]],Таблица258[[#This Row],[Столбец2]])</f>
        <v>1,273,57</v>
      </c>
      <c r="E823">
        <v>1.29</v>
      </c>
      <c r="F823">
        <v>3.57</v>
      </c>
      <c r="G823" t="str">
        <f>CONCATENATE(Таблица271[[#This Row],[Столбец1]],Таблица271[[#This Row],[Столбец2]])</f>
        <v>1,293,57</v>
      </c>
    </row>
    <row r="824" spans="1:7" x14ac:dyDescent="0.25">
      <c r="A824">
        <v>1.27</v>
      </c>
      <c r="B824">
        <v>3.57</v>
      </c>
      <c r="C824" t="str">
        <f>CONCATENATE(Таблица258[[#This Row],[Столбец1]],Таблица258[[#This Row],[Столбец2]])</f>
        <v>1,273,57</v>
      </c>
      <c r="E824">
        <v>1.29</v>
      </c>
      <c r="F824">
        <v>3.57</v>
      </c>
      <c r="G824" t="str">
        <f>CONCATENATE(Таблица271[[#This Row],[Столбец1]],Таблица271[[#This Row],[Столбец2]])</f>
        <v>1,293,57</v>
      </c>
    </row>
    <row r="825" spans="1:7" x14ac:dyDescent="0.25">
      <c r="A825">
        <v>1.27</v>
      </c>
      <c r="B825">
        <v>3.57</v>
      </c>
      <c r="C825" t="str">
        <f>CONCATENATE(Таблица258[[#This Row],[Столбец1]],Таблица258[[#This Row],[Столбец2]])</f>
        <v>1,273,57</v>
      </c>
      <c r="E825">
        <v>1.29</v>
      </c>
      <c r="F825">
        <v>3.57</v>
      </c>
      <c r="G825" t="str">
        <f>CONCATENATE(Таблица271[[#This Row],[Столбец1]],Таблица271[[#This Row],[Столбец2]])</f>
        <v>1,293,57</v>
      </c>
    </row>
    <row r="826" spans="1:7" x14ac:dyDescent="0.25">
      <c r="A826">
        <v>1.27</v>
      </c>
      <c r="B826">
        <v>3.57</v>
      </c>
      <c r="C826" t="str">
        <f>CONCATENATE(Таблица258[[#This Row],[Столбец1]],Таблица258[[#This Row],[Столбец2]])</f>
        <v>1,273,57</v>
      </c>
      <c r="E826">
        <v>1.29</v>
      </c>
      <c r="F826">
        <v>3.57</v>
      </c>
      <c r="G826" t="str">
        <f>CONCATENATE(Таблица271[[#This Row],[Столбец1]],Таблица271[[#This Row],[Столбец2]])</f>
        <v>1,293,57</v>
      </c>
    </row>
    <row r="827" spans="1:7" x14ac:dyDescent="0.25">
      <c r="A827">
        <v>1.27</v>
      </c>
      <c r="B827">
        <v>3.57</v>
      </c>
      <c r="C827" t="str">
        <f>CONCATENATE(Таблица258[[#This Row],[Столбец1]],Таблица258[[#This Row],[Столбец2]])</f>
        <v>1,273,57</v>
      </c>
      <c r="E827">
        <v>1.29</v>
      </c>
      <c r="F827">
        <v>3.57</v>
      </c>
      <c r="G827" t="str">
        <f>CONCATENATE(Таблица271[[#This Row],[Столбец1]],Таблица271[[#This Row],[Столбец2]])</f>
        <v>1,293,57</v>
      </c>
    </row>
    <row r="828" spans="1:7" x14ac:dyDescent="0.25">
      <c r="A828">
        <v>1.28</v>
      </c>
      <c r="B828">
        <v>3.57</v>
      </c>
      <c r="C828" t="str">
        <f>CONCATENATE(Таблица258[[#This Row],[Столбец1]],Таблица258[[#This Row],[Столбец2]])</f>
        <v>1,283,57</v>
      </c>
      <c r="E828">
        <v>1.3</v>
      </c>
      <c r="F828">
        <v>3.57</v>
      </c>
      <c r="G828" t="str">
        <f>CONCATENATE(Таблица271[[#This Row],[Столбец1]],Таблица271[[#This Row],[Столбец2]])</f>
        <v>1,33,57</v>
      </c>
    </row>
    <row r="829" spans="1:7" x14ac:dyDescent="0.25">
      <c r="A829">
        <v>1.28</v>
      </c>
      <c r="B829">
        <v>3.57</v>
      </c>
      <c r="C829" t="str">
        <f>CONCATENATE(Таблица258[[#This Row],[Столбец1]],Таблица258[[#This Row],[Столбец2]])</f>
        <v>1,283,57</v>
      </c>
      <c r="E829">
        <v>1.3</v>
      </c>
      <c r="F829">
        <v>3.57</v>
      </c>
      <c r="G829" t="str">
        <f>CONCATENATE(Таблица271[[#This Row],[Столбец1]],Таблица271[[#This Row],[Столбец2]])</f>
        <v>1,33,57</v>
      </c>
    </row>
    <row r="830" spans="1:7" x14ac:dyDescent="0.25">
      <c r="A830">
        <v>1.28</v>
      </c>
      <c r="B830">
        <v>3.57</v>
      </c>
      <c r="C830" t="str">
        <f>CONCATENATE(Таблица258[[#This Row],[Столбец1]],Таблица258[[#This Row],[Столбец2]])</f>
        <v>1,283,57</v>
      </c>
      <c r="E830">
        <v>1.3</v>
      </c>
      <c r="F830">
        <v>3.57</v>
      </c>
      <c r="G830" t="str">
        <f>CONCATENATE(Таблица271[[#This Row],[Столбец1]],Таблица271[[#This Row],[Столбец2]])</f>
        <v>1,33,57</v>
      </c>
    </row>
    <row r="831" spans="1:7" x14ac:dyDescent="0.25">
      <c r="A831">
        <v>1.28</v>
      </c>
      <c r="B831">
        <v>3.57</v>
      </c>
      <c r="C831" t="str">
        <f>CONCATENATE(Таблица258[[#This Row],[Столбец1]],Таблица258[[#This Row],[Столбец2]])</f>
        <v>1,283,57</v>
      </c>
      <c r="E831">
        <v>1.3</v>
      </c>
      <c r="F831">
        <v>3.57</v>
      </c>
      <c r="G831" t="str">
        <f>CONCATENATE(Таблица271[[#This Row],[Столбец1]],Таблица271[[#This Row],[Столбец2]])</f>
        <v>1,33,57</v>
      </c>
    </row>
    <row r="832" spans="1:7" x14ac:dyDescent="0.25">
      <c r="A832">
        <v>1.28</v>
      </c>
      <c r="B832">
        <v>3.57</v>
      </c>
      <c r="C832" t="str">
        <f>CONCATENATE(Таблица258[[#This Row],[Столбец1]],Таблица258[[#This Row],[Столбец2]])</f>
        <v>1,283,57</v>
      </c>
      <c r="E832">
        <v>1.3</v>
      </c>
      <c r="F832">
        <v>3.57</v>
      </c>
      <c r="G832" t="str">
        <f>CONCATENATE(Таблица271[[#This Row],[Столбец1]],Таблица271[[#This Row],[Столбец2]])</f>
        <v>1,33,57</v>
      </c>
    </row>
    <row r="833" spans="1:7" x14ac:dyDescent="0.25">
      <c r="A833">
        <v>1.28</v>
      </c>
      <c r="B833">
        <v>3.57</v>
      </c>
      <c r="C833" t="str">
        <f>CONCATENATE(Таблица258[[#This Row],[Столбец1]],Таблица258[[#This Row],[Столбец2]])</f>
        <v>1,283,57</v>
      </c>
      <c r="E833">
        <v>1.3</v>
      </c>
      <c r="F833">
        <v>3.57</v>
      </c>
      <c r="G833" t="str">
        <f>CONCATENATE(Таблица271[[#This Row],[Столбец1]],Таблица271[[#This Row],[Столбец2]])</f>
        <v>1,33,57</v>
      </c>
    </row>
    <row r="834" spans="1:7" x14ac:dyDescent="0.25">
      <c r="A834">
        <v>1.29</v>
      </c>
      <c r="B834">
        <v>3.57</v>
      </c>
      <c r="C834" t="str">
        <f>CONCATENATE(Таблица258[[#This Row],[Столбец1]],Таблица258[[#This Row],[Столбец2]])</f>
        <v>1,293,57</v>
      </c>
      <c r="E834">
        <v>1.3</v>
      </c>
      <c r="F834">
        <v>3.57</v>
      </c>
      <c r="G834" t="str">
        <f>CONCATENATE(Таблица271[[#This Row],[Столбец1]],Таблица271[[#This Row],[Столбец2]])</f>
        <v>1,33,57</v>
      </c>
    </row>
    <row r="835" spans="1:7" x14ac:dyDescent="0.25">
      <c r="A835">
        <v>1.29</v>
      </c>
      <c r="B835">
        <v>3.57</v>
      </c>
      <c r="C835" t="str">
        <f>CONCATENATE(Таблица258[[#This Row],[Столбец1]],Таблица258[[#This Row],[Столбец2]])</f>
        <v>1,293,57</v>
      </c>
      <c r="E835">
        <v>1.31</v>
      </c>
      <c r="F835">
        <v>3.57</v>
      </c>
      <c r="G835" t="str">
        <f>CONCATENATE(Таблица271[[#This Row],[Столбец1]],Таблица271[[#This Row],[Столбец2]])</f>
        <v>1,313,57</v>
      </c>
    </row>
    <row r="836" spans="1:7" x14ac:dyDescent="0.25">
      <c r="A836">
        <v>1.29</v>
      </c>
      <c r="B836">
        <v>3.57</v>
      </c>
      <c r="C836" t="str">
        <f>CONCATENATE(Таблица258[[#This Row],[Столбец1]],Таблица258[[#This Row],[Столбец2]])</f>
        <v>1,293,57</v>
      </c>
      <c r="E836">
        <v>1.31</v>
      </c>
      <c r="F836">
        <v>3.57</v>
      </c>
      <c r="G836" t="str">
        <f>CONCATENATE(Таблица271[[#This Row],[Столбец1]],Таблица271[[#This Row],[Столбец2]])</f>
        <v>1,313,57</v>
      </c>
    </row>
    <row r="837" spans="1:7" x14ac:dyDescent="0.25">
      <c r="A837">
        <v>1.29</v>
      </c>
      <c r="B837">
        <v>3.57</v>
      </c>
      <c r="C837" t="str">
        <f>CONCATENATE(Таблица258[[#This Row],[Столбец1]],Таблица258[[#This Row],[Столбец2]])</f>
        <v>1,293,57</v>
      </c>
      <c r="E837">
        <v>1.31</v>
      </c>
      <c r="F837">
        <v>3.57</v>
      </c>
      <c r="G837" t="str">
        <f>CONCATENATE(Таблица271[[#This Row],[Столбец1]],Таблица271[[#This Row],[Столбец2]])</f>
        <v>1,313,57</v>
      </c>
    </row>
    <row r="838" spans="1:7" x14ac:dyDescent="0.25">
      <c r="A838">
        <v>1.29</v>
      </c>
      <c r="B838">
        <v>3.57</v>
      </c>
      <c r="C838" t="str">
        <f>CONCATENATE(Таблица258[[#This Row],[Столбец1]],Таблица258[[#This Row],[Столбец2]])</f>
        <v>1,293,57</v>
      </c>
      <c r="E838">
        <v>1.31</v>
      </c>
      <c r="F838">
        <v>3.57</v>
      </c>
      <c r="G838" t="str">
        <f>CONCATENATE(Таблица271[[#This Row],[Столбец1]],Таблица271[[#This Row],[Столбец2]])</f>
        <v>1,313,57</v>
      </c>
    </row>
    <row r="839" spans="1:7" x14ac:dyDescent="0.25">
      <c r="A839">
        <v>1.29</v>
      </c>
      <c r="B839">
        <v>3.57</v>
      </c>
      <c r="C839" t="str">
        <f>CONCATENATE(Таблица258[[#This Row],[Столбец1]],Таблица258[[#This Row],[Столбец2]])</f>
        <v>1,293,57</v>
      </c>
      <c r="E839">
        <v>1.31</v>
      </c>
      <c r="F839">
        <v>3.57</v>
      </c>
      <c r="G839" t="str">
        <f>CONCATENATE(Таблица271[[#This Row],[Столбец1]],Таблица271[[#This Row],[Столбец2]])</f>
        <v>1,313,57</v>
      </c>
    </row>
    <row r="840" spans="1:7" x14ac:dyDescent="0.25">
      <c r="A840">
        <v>1.3</v>
      </c>
      <c r="B840">
        <v>3.57</v>
      </c>
      <c r="C840" t="str">
        <f>CONCATENATE(Таблица258[[#This Row],[Столбец1]],Таблица258[[#This Row],[Столбец2]])</f>
        <v>1,33,57</v>
      </c>
      <c r="E840">
        <v>1.31</v>
      </c>
      <c r="F840">
        <v>3.57</v>
      </c>
      <c r="G840" t="str">
        <f>CONCATENATE(Таблица271[[#This Row],[Столбец1]],Таблица271[[#This Row],[Столбец2]])</f>
        <v>1,313,57</v>
      </c>
    </row>
    <row r="841" spans="1:7" x14ac:dyDescent="0.25">
      <c r="A841">
        <v>1.3</v>
      </c>
      <c r="B841">
        <v>3.57</v>
      </c>
      <c r="C841" t="str">
        <f>CONCATENATE(Таблица258[[#This Row],[Столбец1]],Таблица258[[#This Row],[Столбец2]])</f>
        <v>1,33,57</v>
      </c>
      <c r="E841">
        <v>1.31</v>
      </c>
      <c r="F841">
        <v>3.57</v>
      </c>
      <c r="G841" t="str">
        <f>CONCATENATE(Таблица271[[#This Row],[Столбец1]],Таблица271[[#This Row],[Столбец2]])</f>
        <v>1,313,57</v>
      </c>
    </row>
    <row r="842" spans="1:7" x14ac:dyDescent="0.25">
      <c r="A842">
        <v>1.3</v>
      </c>
      <c r="B842">
        <v>3.57</v>
      </c>
      <c r="C842" t="str">
        <f>CONCATENATE(Таблица258[[#This Row],[Столбец1]],Таблица258[[#This Row],[Столбец2]])</f>
        <v>1,33,57</v>
      </c>
      <c r="E842">
        <v>1.32</v>
      </c>
      <c r="F842">
        <v>3.57</v>
      </c>
      <c r="G842" t="str">
        <f>CONCATENATE(Таблица271[[#This Row],[Столбец1]],Таблица271[[#This Row],[Столбец2]])</f>
        <v>1,323,57</v>
      </c>
    </row>
    <row r="843" spans="1:7" x14ac:dyDescent="0.25">
      <c r="A843">
        <v>1.3</v>
      </c>
      <c r="B843">
        <v>3.57</v>
      </c>
      <c r="C843" t="str">
        <f>CONCATENATE(Таблица258[[#This Row],[Столбец1]],Таблица258[[#This Row],[Столбец2]])</f>
        <v>1,33,57</v>
      </c>
      <c r="E843">
        <v>1.32</v>
      </c>
      <c r="F843">
        <v>3.57</v>
      </c>
      <c r="G843" t="str">
        <f>CONCATENATE(Таблица271[[#This Row],[Столбец1]],Таблица271[[#This Row],[Столбец2]])</f>
        <v>1,323,57</v>
      </c>
    </row>
    <row r="844" spans="1:7" x14ac:dyDescent="0.25">
      <c r="A844">
        <v>1.3</v>
      </c>
      <c r="B844">
        <v>3.57</v>
      </c>
      <c r="C844" t="str">
        <f>CONCATENATE(Таблица258[[#This Row],[Столбец1]],Таблица258[[#This Row],[Столбец2]])</f>
        <v>1,33,57</v>
      </c>
      <c r="E844">
        <v>1.32</v>
      </c>
      <c r="F844">
        <v>3.57</v>
      </c>
      <c r="G844" t="str">
        <f>CONCATENATE(Таблица271[[#This Row],[Столбец1]],Таблица271[[#This Row],[Столбец2]])</f>
        <v>1,323,57</v>
      </c>
    </row>
    <row r="845" spans="1:7" x14ac:dyDescent="0.25">
      <c r="A845">
        <v>1.3</v>
      </c>
      <c r="B845">
        <v>3.57</v>
      </c>
      <c r="C845" t="str">
        <f>CONCATENATE(Таблица258[[#This Row],[Столбец1]],Таблица258[[#This Row],[Столбец2]])</f>
        <v>1,33,57</v>
      </c>
      <c r="E845">
        <v>1.32</v>
      </c>
      <c r="F845">
        <v>3.57</v>
      </c>
      <c r="G845" t="str">
        <f>CONCATENATE(Таблица271[[#This Row],[Столбец1]],Таблица271[[#This Row],[Столбец2]])</f>
        <v>1,323,57</v>
      </c>
    </row>
    <row r="846" spans="1:7" x14ac:dyDescent="0.25">
      <c r="A846">
        <v>1.31</v>
      </c>
      <c r="B846">
        <v>3.57</v>
      </c>
      <c r="C846" t="str">
        <f>CONCATENATE(Таблица258[[#This Row],[Столбец1]],Таблица258[[#This Row],[Столбец2]])</f>
        <v>1,313,57</v>
      </c>
      <c r="E846">
        <v>1.32</v>
      </c>
      <c r="F846">
        <v>3.57</v>
      </c>
      <c r="G846" t="str">
        <f>CONCATENATE(Таблица271[[#This Row],[Столбец1]],Таблица271[[#This Row],[Столбец2]])</f>
        <v>1,323,57</v>
      </c>
    </row>
    <row r="847" spans="1:7" x14ac:dyDescent="0.25">
      <c r="A847">
        <v>1.31</v>
      </c>
      <c r="B847">
        <v>3.57</v>
      </c>
      <c r="C847" t="str">
        <f>CONCATENATE(Таблица258[[#This Row],[Столбец1]],Таблица258[[#This Row],[Столбец2]])</f>
        <v>1,313,57</v>
      </c>
      <c r="E847">
        <v>1.32</v>
      </c>
      <c r="F847">
        <v>3.57</v>
      </c>
      <c r="G847" t="str">
        <f>CONCATENATE(Таблица271[[#This Row],[Столбец1]],Таблица271[[#This Row],[Столбец2]])</f>
        <v>1,323,57</v>
      </c>
    </row>
    <row r="848" spans="1:7" x14ac:dyDescent="0.25">
      <c r="A848">
        <v>1.31</v>
      </c>
      <c r="B848">
        <v>3.57</v>
      </c>
      <c r="C848" t="str">
        <f>CONCATENATE(Таблица258[[#This Row],[Столбец1]],Таблица258[[#This Row],[Столбец2]])</f>
        <v>1,313,57</v>
      </c>
      <c r="E848">
        <v>1.32</v>
      </c>
      <c r="F848">
        <v>3.57</v>
      </c>
      <c r="G848" t="str">
        <f>CONCATENATE(Таблица271[[#This Row],[Столбец1]],Таблица271[[#This Row],[Столбец2]])</f>
        <v>1,323,57</v>
      </c>
    </row>
    <row r="849" spans="1:7" x14ac:dyDescent="0.25">
      <c r="A849">
        <v>1.31</v>
      </c>
      <c r="B849">
        <v>3.57</v>
      </c>
      <c r="C849" t="str">
        <f>CONCATENATE(Таблица258[[#This Row],[Столбец1]],Таблица258[[#This Row],[Столбец2]])</f>
        <v>1,313,57</v>
      </c>
      <c r="E849">
        <v>1.33</v>
      </c>
      <c r="F849">
        <v>3.57</v>
      </c>
      <c r="G849" t="str">
        <f>CONCATENATE(Таблица271[[#This Row],[Столбец1]],Таблица271[[#This Row],[Столбец2]])</f>
        <v>1,333,57</v>
      </c>
    </row>
    <row r="850" spans="1:7" x14ac:dyDescent="0.25">
      <c r="A850">
        <v>1.31</v>
      </c>
      <c r="B850">
        <v>3.57</v>
      </c>
      <c r="C850" t="str">
        <f>CONCATENATE(Таблица258[[#This Row],[Столбец1]],Таблица258[[#This Row],[Столбец2]])</f>
        <v>1,313,57</v>
      </c>
      <c r="E850">
        <v>1.33</v>
      </c>
      <c r="F850">
        <v>3.57</v>
      </c>
      <c r="G850" t="str">
        <f>CONCATENATE(Таблица271[[#This Row],[Столбец1]],Таблица271[[#This Row],[Столбец2]])</f>
        <v>1,333,57</v>
      </c>
    </row>
    <row r="851" spans="1:7" x14ac:dyDescent="0.25">
      <c r="A851">
        <v>1.31</v>
      </c>
      <c r="B851">
        <v>3.57</v>
      </c>
      <c r="C851" t="str">
        <f>CONCATENATE(Таблица258[[#This Row],[Столбец1]],Таблица258[[#This Row],[Столбец2]])</f>
        <v>1,313,57</v>
      </c>
      <c r="E851">
        <v>1.33</v>
      </c>
      <c r="F851">
        <v>3.57</v>
      </c>
      <c r="G851" t="str">
        <f>CONCATENATE(Таблица271[[#This Row],[Столбец1]],Таблица271[[#This Row],[Столбец2]])</f>
        <v>1,333,57</v>
      </c>
    </row>
    <row r="852" spans="1:7" x14ac:dyDescent="0.25">
      <c r="A852">
        <v>1.32</v>
      </c>
      <c r="B852">
        <v>3.57</v>
      </c>
      <c r="C852" t="str">
        <f>CONCATENATE(Таблица258[[#This Row],[Столбец1]],Таблица258[[#This Row],[Столбец2]])</f>
        <v>1,323,57</v>
      </c>
      <c r="E852">
        <v>1.33</v>
      </c>
      <c r="F852">
        <v>3.57</v>
      </c>
      <c r="G852" t="str">
        <f>CONCATENATE(Таблица271[[#This Row],[Столбец1]],Таблица271[[#This Row],[Столбец2]])</f>
        <v>1,333,57</v>
      </c>
    </row>
    <row r="853" spans="1:7" x14ac:dyDescent="0.25">
      <c r="A853">
        <v>1.32</v>
      </c>
      <c r="B853">
        <v>3.57</v>
      </c>
      <c r="C853" t="str">
        <f>CONCATENATE(Таблица258[[#This Row],[Столбец1]],Таблица258[[#This Row],[Столбец2]])</f>
        <v>1,323,57</v>
      </c>
      <c r="E853">
        <v>1.33</v>
      </c>
      <c r="F853">
        <v>3.57</v>
      </c>
      <c r="G853" t="str">
        <f>CONCATENATE(Таблица271[[#This Row],[Столбец1]],Таблица271[[#This Row],[Столбец2]])</f>
        <v>1,333,57</v>
      </c>
    </row>
    <row r="854" spans="1:7" x14ac:dyDescent="0.25">
      <c r="A854">
        <v>1.32</v>
      </c>
      <c r="B854">
        <v>3.57</v>
      </c>
      <c r="C854" t="str">
        <f>CONCATENATE(Таблица258[[#This Row],[Столбец1]],Таблица258[[#This Row],[Столбец2]])</f>
        <v>1,323,57</v>
      </c>
      <c r="E854">
        <v>1.33</v>
      </c>
      <c r="F854">
        <v>3.57</v>
      </c>
      <c r="G854" t="str">
        <f>CONCATENATE(Таблица271[[#This Row],[Столбец1]],Таблица271[[#This Row],[Столбец2]])</f>
        <v>1,333,57</v>
      </c>
    </row>
    <row r="855" spans="1:7" x14ac:dyDescent="0.25">
      <c r="A855">
        <v>1.32</v>
      </c>
      <c r="B855">
        <v>3.57</v>
      </c>
      <c r="C855" t="str">
        <f>CONCATENATE(Таблица258[[#This Row],[Столбец1]],Таблица258[[#This Row],[Столбец2]])</f>
        <v>1,323,57</v>
      </c>
      <c r="E855">
        <v>1.33</v>
      </c>
      <c r="F855">
        <v>3.57</v>
      </c>
      <c r="G855" t="str">
        <f>CONCATENATE(Таблица271[[#This Row],[Столбец1]],Таблица271[[#This Row],[Столбец2]])</f>
        <v>1,333,57</v>
      </c>
    </row>
    <row r="856" spans="1:7" x14ac:dyDescent="0.25">
      <c r="A856">
        <v>1.32</v>
      </c>
      <c r="B856">
        <v>3.57</v>
      </c>
      <c r="C856" t="str">
        <f>CONCATENATE(Таблица258[[#This Row],[Столбец1]],Таблица258[[#This Row],[Столбец2]])</f>
        <v>1,323,57</v>
      </c>
      <c r="E856">
        <v>1.34</v>
      </c>
      <c r="F856">
        <v>3.57</v>
      </c>
      <c r="G856" t="str">
        <f>CONCATENATE(Таблица271[[#This Row],[Столбец1]],Таблица271[[#This Row],[Столбец2]])</f>
        <v>1,343,57</v>
      </c>
    </row>
    <row r="857" spans="1:7" x14ac:dyDescent="0.25">
      <c r="A857">
        <v>1.32</v>
      </c>
      <c r="B857">
        <v>3.57</v>
      </c>
      <c r="C857" t="str">
        <f>CONCATENATE(Таблица258[[#This Row],[Столбец1]],Таблица258[[#This Row],[Столбец2]])</f>
        <v>1,323,57</v>
      </c>
      <c r="E857">
        <v>1.34</v>
      </c>
      <c r="F857">
        <v>3.57</v>
      </c>
      <c r="G857" t="str">
        <f>CONCATENATE(Таблица271[[#This Row],[Столбец1]],Таблица271[[#This Row],[Столбец2]])</f>
        <v>1,343,57</v>
      </c>
    </row>
    <row r="858" spans="1:7" x14ac:dyDescent="0.25">
      <c r="A858">
        <v>1.33</v>
      </c>
      <c r="B858">
        <v>3.57</v>
      </c>
      <c r="C858" t="str">
        <f>CONCATENATE(Таблица258[[#This Row],[Столбец1]],Таблица258[[#This Row],[Столбец2]])</f>
        <v>1,333,57</v>
      </c>
      <c r="E858">
        <v>1.34</v>
      </c>
      <c r="F858">
        <v>3.57</v>
      </c>
      <c r="G858" t="str">
        <f>CONCATENATE(Таблица271[[#This Row],[Столбец1]],Таблица271[[#This Row],[Столбец2]])</f>
        <v>1,343,57</v>
      </c>
    </row>
    <row r="859" spans="1:7" x14ac:dyDescent="0.25">
      <c r="A859">
        <v>1.33</v>
      </c>
      <c r="B859">
        <v>3.57</v>
      </c>
      <c r="C859" t="str">
        <f>CONCATENATE(Таблица258[[#This Row],[Столбец1]],Таблица258[[#This Row],[Столбец2]])</f>
        <v>1,333,57</v>
      </c>
      <c r="E859">
        <v>1.34</v>
      </c>
      <c r="F859">
        <v>3.57</v>
      </c>
      <c r="G859" t="str">
        <f>CONCATENATE(Таблица271[[#This Row],[Столбец1]],Таблица271[[#This Row],[Столбец2]])</f>
        <v>1,343,57</v>
      </c>
    </row>
    <row r="860" spans="1:7" x14ac:dyDescent="0.25">
      <c r="A860">
        <v>1.33</v>
      </c>
      <c r="B860">
        <v>3.57</v>
      </c>
      <c r="C860" t="str">
        <f>CONCATENATE(Таблица258[[#This Row],[Столбец1]],Таблица258[[#This Row],[Столбец2]])</f>
        <v>1,333,57</v>
      </c>
      <c r="E860">
        <v>1.34</v>
      </c>
      <c r="F860">
        <v>3.57</v>
      </c>
      <c r="G860" t="str">
        <f>CONCATENATE(Таблица271[[#This Row],[Столбец1]],Таблица271[[#This Row],[Столбец2]])</f>
        <v>1,343,57</v>
      </c>
    </row>
    <row r="861" spans="1:7" x14ac:dyDescent="0.25">
      <c r="A861">
        <v>1.33</v>
      </c>
      <c r="B861">
        <v>3.57</v>
      </c>
      <c r="C861" t="str">
        <f>CONCATENATE(Таблица258[[#This Row],[Столбец1]],Таблица258[[#This Row],[Столбец2]])</f>
        <v>1,333,57</v>
      </c>
      <c r="E861">
        <v>1.34</v>
      </c>
      <c r="F861">
        <v>3.57</v>
      </c>
      <c r="G861" t="str">
        <f>CONCATENATE(Таблица271[[#This Row],[Столбец1]],Таблица271[[#This Row],[Столбец2]])</f>
        <v>1,343,57</v>
      </c>
    </row>
    <row r="862" spans="1:7" x14ac:dyDescent="0.25">
      <c r="A862">
        <v>1.33</v>
      </c>
      <c r="B862">
        <v>3.57</v>
      </c>
      <c r="C862" t="str">
        <f>CONCATENATE(Таблица258[[#This Row],[Столбец1]],Таблица258[[#This Row],[Столбец2]])</f>
        <v>1,333,57</v>
      </c>
      <c r="E862">
        <v>1.34</v>
      </c>
      <c r="F862">
        <v>3.57</v>
      </c>
      <c r="G862" t="str">
        <f>CONCATENATE(Таблица271[[#This Row],[Столбец1]],Таблица271[[#This Row],[Столбец2]])</f>
        <v>1,343,57</v>
      </c>
    </row>
    <row r="863" spans="1:7" x14ac:dyDescent="0.25">
      <c r="A863">
        <v>1.33</v>
      </c>
      <c r="B863">
        <v>3.57</v>
      </c>
      <c r="C863" t="str">
        <f>CONCATENATE(Таблица258[[#This Row],[Столбец1]],Таблица258[[#This Row],[Столбец2]])</f>
        <v>1,333,57</v>
      </c>
      <c r="E863">
        <v>1.35</v>
      </c>
      <c r="F863">
        <v>3.57</v>
      </c>
      <c r="G863" t="str">
        <f>CONCATENATE(Таблица271[[#This Row],[Столбец1]],Таблица271[[#This Row],[Столбец2]])</f>
        <v>1,353,57</v>
      </c>
    </row>
    <row r="864" spans="1:7" x14ac:dyDescent="0.25">
      <c r="A864">
        <v>1.34</v>
      </c>
      <c r="B864">
        <v>3.57</v>
      </c>
      <c r="C864" t="str">
        <f>CONCATENATE(Таблица258[[#This Row],[Столбец1]],Таблица258[[#This Row],[Столбец2]])</f>
        <v>1,343,57</v>
      </c>
      <c r="E864">
        <v>1.35</v>
      </c>
      <c r="F864">
        <v>3.57</v>
      </c>
      <c r="G864" t="str">
        <f>CONCATENATE(Таблица271[[#This Row],[Столбец1]],Таблица271[[#This Row],[Столбец2]])</f>
        <v>1,353,57</v>
      </c>
    </row>
    <row r="865" spans="1:7" x14ac:dyDescent="0.25">
      <c r="A865">
        <v>1.34</v>
      </c>
      <c r="B865">
        <v>3.57</v>
      </c>
      <c r="C865" t="str">
        <f>CONCATENATE(Таблица258[[#This Row],[Столбец1]],Таблица258[[#This Row],[Столбец2]])</f>
        <v>1,343,57</v>
      </c>
      <c r="E865">
        <v>1.35</v>
      </c>
      <c r="F865">
        <v>3.57</v>
      </c>
      <c r="G865" t="str">
        <f>CONCATENATE(Таблица271[[#This Row],[Столбец1]],Таблица271[[#This Row],[Столбец2]])</f>
        <v>1,353,57</v>
      </c>
    </row>
    <row r="866" spans="1:7" x14ac:dyDescent="0.25">
      <c r="A866">
        <v>1.34</v>
      </c>
      <c r="B866">
        <v>3.57</v>
      </c>
      <c r="C866" t="str">
        <f>CONCATENATE(Таблица258[[#This Row],[Столбец1]],Таблица258[[#This Row],[Столбец2]])</f>
        <v>1,343,57</v>
      </c>
      <c r="E866">
        <v>1.35</v>
      </c>
      <c r="F866">
        <v>3.57</v>
      </c>
      <c r="G866" t="str">
        <f>CONCATENATE(Таблица271[[#This Row],[Столбец1]],Таблица271[[#This Row],[Столбец2]])</f>
        <v>1,353,57</v>
      </c>
    </row>
    <row r="867" spans="1:7" x14ac:dyDescent="0.25">
      <c r="A867">
        <v>1.34</v>
      </c>
      <c r="B867">
        <v>3.57</v>
      </c>
      <c r="C867" t="str">
        <f>CONCATENATE(Таблица258[[#This Row],[Столбец1]],Таблица258[[#This Row],[Столбец2]])</f>
        <v>1,343,57</v>
      </c>
      <c r="E867">
        <v>1.35</v>
      </c>
      <c r="F867">
        <v>3.57</v>
      </c>
      <c r="G867" t="str">
        <f>CONCATENATE(Таблица271[[#This Row],[Столбец1]],Таблица271[[#This Row],[Столбец2]])</f>
        <v>1,353,57</v>
      </c>
    </row>
    <row r="868" spans="1:7" x14ac:dyDescent="0.25">
      <c r="A868">
        <v>1.34</v>
      </c>
      <c r="B868">
        <v>3.57</v>
      </c>
      <c r="C868" t="str">
        <f>CONCATENATE(Таблица258[[#This Row],[Столбец1]],Таблица258[[#This Row],[Столбец2]])</f>
        <v>1,343,57</v>
      </c>
      <c r="E868">
        <v>1.35</v>
      </c>
      <c r="F868">
        <v>3.57</v>
      </c>
      <c r="G868" t="str">
        <f>CONCATENATE(Таблица271[[#This Row],[Столбец1]],Таблица271[[#This Row],[Столбец2]])</f>
        <v>1,353,57</v>
      </c>
    </row>
    <row r="869" spans="1:7" x14ac:dyDescent="0.25">
      <c r="A869">
        <v>1.34</v>
      </c>
      <c r="B869">
        <v>3.57</v>
      </c>
      <c r="C869" t="str">
        <f>CONCATENATE(Таблица258[[#This Row],[Столбец1]],Таблица258[[#This Row],[Столбец2]])</f>
        <v>1,343,57</v>
      </c>
      <c r="E869">
        <v>1.35</v>
      </c>
      <c r="F869">
        <v>3.57</v>
      </c>
      <c r="G869" t="str">
        <f>CONCATENATE(Таблица271[[#This Row],[Столбец1]],Таблица271[[#This Row],[Столбец2]])</f>
        <v>1,353,57</v>
      </c>
    </row>
    <row r="870" spans="1:7" x14ac:dyDescent="0.25">
      <c r="A870">
        <v>1.35</v>
      </c>
      <c r="B870">
        <v>3.57</v>
      </c>
      <c r="C870" t="str">
        <f>CONCATENATE(Таблица258[[#This Row],[Столбец1]],Таблица258[[#This Row],[Столбец2]])</f>
        <v>1,353,57</v>
      </c>
      <c r="E870">
        <v>1.36</v>
      </c>
      <c r="F870">
        <v>3.57</v>
      </c>
      <c r="G870" t="str">
        <f>CONCATENATE(Таблица271[[#This Row],[Столбец1]],Таблица271[[#This Row],[Столбец2]])</f>
        <v>1,363,57</v>
      </c>
    </row>
    <row r="871" spans="1:7" x14ac:dyDescent="0.25">
      <c r="A871">
        <v>1.35</v>
      </c>
      <c r="B871">
        <v>3.57</v>
      </c>
      <c r="C871" t="str">
        <f>CONCATENATE(Таблица258[[#This Row],[Столбец1]],Таблица258[[#This Row],[Столбец2]])</f>
        <v>1,353,57</v>
      </c>
      <c r="E871">
        <v>1.36</v>
      </c>
      <c r="F871">
        <v>3.57</v>
      </c>
      <c r="G871" t="str">
        <f>CONCATENATE(Таблица271[[#This Row],[Столбец1]],Таблица271[[#This Row],[Столбец2]])</f>
        <v>1,363,57</v>
      </c>
    </row>
    <row r="872" spans="1:7" x14ac:dyDescent="0.25">
      <c r="A872">
        <v>1.35</v>
      </c>
      <c r="B872">
        <v>3.57</v>
      </c>
      <c r="C872" t="str">
        <f>CONCATENATE(Таблица258[[#This Row],[Столбец1]],Таблица258[[#This Row],[Столбец2]])</f>
        <v>1,353,57</v>
      </c>
      <c r="E872">
        <v>1.36</v>
      </c>
      <c r="F872">
        <v>3.57</v>
      </c>
      <c r="G872" t="str">
        <f>CONCATENATE(Таблица271[[#This Row],[Столбец1]],Таблица271[[#This Row],[Столбец2]])</f>
        <v>1,363,57</v>
      </c>
    </row>
    <row r="873" spans="1:7" x14ac:dyDescent="0.25">
      <c r="A873">
        <v>1.35</v>
      </c>
      <c r="B873">
        <v>3.57</v>
      </c>
      <c r="C873" t="str">
        <f>CONCATENATE(Таблица258[[#This Row],[Столбец1]],Таблица258[[#This Row],[Столбец2]])</f>
        <v>1,353,57</v>
      </c>
      <c r="E873">
        <v>1.36</v>
      </c>
      <c r="F873">
        <v>3.57</v>
      </c>
      <c r="G873" t="str">
        <f>CONCATENATE(Таблица271[[#This Row],[Столбец1]],Таблица271[[#This Row],[Столбец2]])</f>
        <v>1,363,57</v>
      </c>
    </row>
    <row r="874" spans="1:7" x14ac:dyDescent="0.25">
      <c r="A874">
        <v>1.35</v>
      </c>
      <c r="B874">
        <v>3.57</v>
      </c>
      <c r="C874" t="str">
        <f>CONCATENATE(Таблица258[[#This Row],[Столбец1]],Таблица258[[#This Row],[Столбец2]])</f>
        <v>1,353,57</v>
      </c>
      <c r="E874">
        <v>1.36</v>
      </c>
      <c r="F874">
        <v>3.57</v>
      </c>
      <c r="G874" t="str">
        <f>CONCATENATE(Таблица271[[#This Row],[Столбец1]],Таблица271[[#This Row],[Столбец2]])</f>
        <v>1,363,57</v>
      </c>
    </row>
    <row r="875" spans="1:7" x14ac:dyDescent="0.25">
      <c r="A875">
        <v>1.35</v>
      </c>
      <c r="B875">
        <v>3.57</v>
      </c>
      <c r="C875" t="str">
        <f>CONCATENATE(Таблица258[[#This Row],[Столбец1]],Таблица258[[#This Row],[Столбец2]])</f>
        <v>1,353,57</v>
      </c>
      <c r="E875">
        <v>1.36</v>
      </c>
      <c r="F875">
        <v>3.57</v>
      </c>
      <c r="G875" t="str">
        <f>CONCATENATE(Таблица271[[#This Row],[Столбец1]],Таблица271[[#This Row],[Столбец2]])</f>
        <v>1,363,57</v>
      </c>
    </row>
    <row r="876" spans="1:7" x14ac:dyDescent="0.25">
      <c r="A876">
        <v>1.36</v>
      </c>
      <c r="B876">
        <v>3.57</v>
      </c>
      <c r="C876" t="str">
        <f>CONCATENATE(Таблица258[[#This Row],[Столбец1]],Таблица258[[#This Row],[Столбец2]])</f>
        <v>1,363,57</v>
      </c>
      <c r="E876">
        <v>1.36</v>
      </c>
      <c r="F876">
        <v>3.57</v>
      </c>
      <c r="G876" t="str">
        <f>CONCATENATE(Таблица271[[#This Row],[Столбец1]],Таблица271[[#This Row],[Столбец2]])</f>
        <v>1,363,57</v>
      </c>
    </row>
    <row r="877" spans="1:7" x14ac:dyDescent="0.25">
      <c r="A877">
        <v>1.36</v>
      </c>
      <c r="B877">
        <v>3.57</v>
      </c>
      <c r="C877" t="str">
        <f>CONCATENATE(Таблица258[[#This Row],[Столбец1]],Таблица258[[#This Row],[Столбец2]])</f>
        <v>1,363,57</v>
      </c>
      <c r="E877">
        <v>1.37</v>
      </c>
      <c r="F877">
        <v>3.57</v>
      </c>
      <c r="G877" t="str">
        <f>CONCATENATE(Таблица271[[#This Row],[Столбец1]],Таблица271[[#This Row],[Столбец2]])</f>
        <v>1,373,57</v>
      </c>
    </row>
    <row r="878" spans="1:7" x14ac:dyDescent="0.25">
      <c r="A878">
        <v>1.36</v>
      </c>
      <c r="B878">
        <v>3.57</v>
      </c>
      <c r="C878" t="str">
        <f>CONCATENATE(Таблица258[[#This Row],[Столбец1]],Таблица258[[#This Row],[Столбец2]])</f>
        <v>1,363,57</v>
      </c>
      <c r="E878">
        <v>1.37</v>
      </c>
      <c r="F878">
        <v>3.57</v>
      </c>
      <c r="G878" t="str">
        <f>CONCATENATE(Таблица271[[#This Row],[Столбец1]],Таблица271[[#This Row],[Столбец2]])</f>
        <v>1,373,57</v>
      </c>
    </row>
    <row r="879" spans="1:7" x14ac:dyDescent="0.25">
      <c r="A879">
        <v>1.36</v>
      </c>
      <c r="B879">
        <v>3.57</v>
      </c>
      <c r="C879" t="str">
        <f>CONCATENATE(Таблица258[[#This Row],[Столбец1]],Таблица258[[#This Row],[Столбец2]])</f>
        <v>1,363,57</v>
      </c>
      <c r="E879">
        <v>1.37</v>
      </c>
      <c r="F879">
        <v>3.57</v>
      </c>
      <c r="G879" t="str">
        <f>CONCATENATE(Таблица271[[#This Row],[Столбец1]],Таблица271[[#This Row],[Столбец2]])</f>
        <v>1,373,57</v>
      </c>
    </row>
    <row r="880" spans="1:7" x14ac:dyDescent="0.25">
      <c r="A880">
        <v>1.36</v>
      </c>
      <c r="B880">
        <v>3.57</v>
      </c>
      <c r="C880" t="str">
        <f>CONCATENATE(Таблица258[[#This Row],[Столбец1]],Таблица258[[#This Row],[Столбец2]])</f>
        <v>1,363,57</v>
      </c>
      <c r="E880">
        <v>1.37</v>
      </c>
      <c r="F880">
        <v>3.57</v>
      </c>
      <c r="G880" t="str">
        <f>CONCATENATE(Таблица271[[#This Row],[Столбец1]],Таблица271[[#This Row],[Столбец2]])</f>
        <v>1,373,57</v>
      </c>
    </row>
    <row r="881" spans="1:7" x14ac:dyDescent="0.25">
      <c r="A881">
        <v>1.36</v>
      </c>
      <c r="B881">
        <v>3.57</v>
      </c>
      <c r="C881" t="str">
        <f>CONCATENATE(Таблица258[[#This Row],[Столбец1]],Таблица258[[#This Row],[Столбец2]])</f>
        <v>1,363,57</v>
      </c>
      <c r="E881">
        <v>1.37</v>
      </c>
      <c r="F881">
        <v>3.57</v>
      </c>
      <c r="G881" t="str">
        <f>CONCATENATE(Таблица271[[#This Row],[Столбец1]],Таблица271[[#This Row],[Столбец2]])</f>
        <v>1,373,57</v>
      </c>
    </row>
    <row r="882" spans="1:7" x14ac:dyDescent="0.25">
      <c r="A882">
        <v>1.37</v>
      </c>
      <c r="B882">
        <v>3.57</v>
      </c>
      <c r="C882" t="str">
        <f>CONCATENATE(Таблица258[[#This Row],[Столбец1]],Таблица258[[#This Row],[Столбец2]])</f>
        <v>1,373,57</v>
      </c>
      <c r="E882">
        <v>1.37</v>
      </c>
      <c r="F882">
        <v>3.57</v>
      </c>
      <c r="G882" t="str">
        <f>CONCATENATE(Таблица271[[#This Row],[Столбец1]],Таблица271[[#This Row],[Столбец2]])</f>
        <v>1,373,57</v>
      </c>
    </row>
    <row r="883" spans="1:7" x14ac:dyDescent="0.25">
      <c r="A883">
        <v>1.37</v>
      </c>
      <c r="B883">
        <v>3.57</v>
      </c>
      <c r="C883" t="str">
        <f>CONCATENATE(Таблица258[[#This Row],[Столбец1]],Таблица258[[#This Row],[Столбец2]])</f>
        <v>1,373,57</v>
      </c>
      <c r="E883">
        <v>1.37</v>
      </c>
      <c r="F883">
        <v>3.57</v>
      </c>
      <c r="G883" t="str">
        <f>CONCATENATE(Таблица271[[#This Row],[Столбец1]],Таблица271[[#This Row],[Столбец2]])</f>
        <v>1,373,57</v>
      </c>
    </row>
    <row r="884" spans="1:7" x14ac:dyDescent="0.25">
      <c r="A884">
        <v>1.37</v>
      </c>
      <c r="B884">
        <v>3.57</v>
      </c>
      <c r="C884" t="str">
        <f>CONCATENATE(Таблица258[[#This Row],[Столбец1]],Таблица258[[#This Row],[Столбец2]])</f>
        <v>1,373,57</v>
      </c>
      <c r="E884">
        <v>1.38</v>
      </c>
      <c r="F884">
        <v>3.57</v>
      </c>
      <c r="G884" t="str">
        <f>CONCATENATE(Таблица271[[#This Row],[Столбец1]],Таблица271[[#This Row],[Столбец2]])</f>
        <v>1,383,57</v>
      </c>
    </row>
    <row r="885" spans="1:7" x14ac:dyDescent="0.25">
      <c r="A885">
        <v>1.37</v>
      </c>
      <c r="B885">
        <v>3.57</v>
      </c>
      <c r="C885" t="str">
        <f>CONCATENATE(Таблица258[[#This Row],[Столбец1]],Таблица258[[#This Row],[Столбец2]])</f>
        <v>1,373,57</v>
      </c>
      <c r="E885">
        <v>1.38</v>
      </c>
      <c r="F885">
        <v>3.57</v>
      </c>
      <c r="G885" t="str">
        <f>CONCATENATE(Таблица271[[#This Row],[Столбец1]],Таблица271[[#This Row],[Столбец2]])</f>
        <v>1,383,57</v>
      </c>
    </row>
    <row r="886" spans="1:7" x14ac:dyDescent="0.25">
      <c r="A886">
        <v>1.37</v>
      </c>
      <c r="B886">
        <v>3.57</v>
      </c>
      <c r="C886" t="str">
        <f>CONCATENATE(Таблица258[[#This Row],[Столбец1]],Таблица258[[#This Row],[Столбец2]])</f>
        <v>1,373,57</v>
      </c>
      <c r="E886">
        <v>1.38</v>
      </c>
      <c r="F886">
        <v>3.57</v>
      </c>
      <c r="G886" t="str">
        <f>CONCATENATE(Таблица271[[#This Row],[Столбец1]],Таблица271[[#This Row],[Столбец2]])</f>
        <v>1,383,57</v>
      </c>
    </row>
    <row r="887" spans="1:7" x14ac:dyDescent="0.25">
      <c r="A887">
        <v>1.37</v>
      </c>
      <c r="B887">
        <v>3.57</v>
      </c>
      <c r="C887" t="str">
        <f>CONCATENATE(Таблица258[[#This Row],[Столбец1]],Таблица258[[#This Row],[Столбец2]])</f>
        <v>1,373,57</v>
      </c>
      <c r="E887">
        <v>1.38</v>
      </c>
      <c r="F887">
        <v>3.57</v>
      </c>
      <c r="G887" t="str">
        <f>CONCATENATE(Таблица271[[#This Row],[Столбец1]],Таблица271[[#This Row],[Столбец2]])</f>
        <v>1,383,57</v>
      </c>
    </row>
    <row r="888" spans="1:7" x14ac:dyDescent="0.25">
      <c r="A888">
        <v>1.38</v>
      </c>
      <c r="B888">
        <v>3.57</v>
      </c>
      <c r="C888" t="str">
        <f>CONCATENATE(Таблица258[[#This Row],[Столбец1]],Таблица258[[#This Row],[Столбец2]])</f>
        <v>1,383,57</v>
      </c>
      <c r="E888">
        <v>1.38</v>
      </c>
      <c r="F888">
        <v>3.57</v>
      </c>
      <c r="G888" t="str">
        <f>CONCATENATE(Таблица271[[#This Row],[Столбец1]],Таблица271[[#This Row],[Столбец2]])</f>
        <v>1,383,57</v>
      </c>
    </row>
    <row r="889" spans="1:7" x14ac:dyDescent="0.25">
      <c r="A889">
        <v>1.38</v>
      </c>
      <c r="B889">
        <v>3.57</v>
      </c>
      <c r="C889" t="str">
        <f>CONCATENATE(Таблица258[[#This Row],[Столбец1]],Таблица258[[#This Row],[Столбец2]])</f>
        <v>1,383,57</v>
      </c>
      <c r="E889">
        <v>1.38</v>
      </c>
      <c r="F889">
        <v>3.57</v>
      </c>
      <c r="G889" t="str">
        <f>CONCATENATE(Таблица271[[#This Row],[Столбец1]],Таблица271[[#This Row],[Столбец2]])</f>
        <v>1,383,57</v>
      </c>
    </row>
    <row r="890" spans="1:7" x14ac:dyDescent="0.25">
      <c r="A890">
        <v>1.38</v>
      </c>
      <c r="B890">
        <v>3.57</v>
      </c>
      <c r="C890" t="str">
        <f>CONCATENATE(Таблица258[[#This Row],[Столбец1]],Таблица258[[#This Row],[Столбец2]])</f>
        <v>1,383,57</v>
      </c>
      <c r="E890">
        <v>1.39</v>
      </c>
      <c r="F890">
        <v>3.57</v>
      </c>
      <c r="G890" t="str">
        <f>CONCATENATE(Таблица271[[#This Row],[Столбец1]],Таблица271[[#This Row],[Столбец2]])</f>
        <v>1,393,57</v>
      </c>
    </row>
    <row r="891" spans="1:7" x14ac:dyDescent="0.25">
      <c r="A891">
        <v>1.38</v>
      </c>
      <c r="B891">
        <v>3.57</v>
      </c>
      <c r="C891" t="str">
        <f>CONCATENATE(Таблица258[[#This Row],[Столбец1]],Таблица258[[#This Row],[Столбец2]])</f>
        <v>1,383,57</v>
      </c>
      <c r="E891">
        <v>1.39</v>
      </c>
      <c r="F891">
        <v>3.57</v>
      </c>
      <c r="G891" t="str">
        <f>CONCATENATE(Таблица271[[#This Row],[Столбец1]],Таблица271[[#This Row],[Столбец2]])</f>
        <v>1,393,57</v>
      </c>
    </row>
    <row r="892" spans="1:7" x14ac:dyDescent="0.25">
      <c r="A892">
        <v>1.38</v>
      </c>
      <c r="B892">
        <v>3.57</v>
      </c>
      <c r="C892" t="str">
        <f>CONCATENATE(Таблица258[[#This Row],[Столбец1]],Таблица258[[#This Row],[Столбец2]])</f>
        <v>1,383,57</v>
      </c>
      <c r="E892">
        <v>1.39</v>
      </c>
      <c r="F892">
        <v>3.57</v>
      </c>
      <c r="G892" t="str">
        <f>CONCATENATE(Таблица271[[#This Row],[Столбец1]],Таблица271[[#This Row],[Столбец2]])</f>
        <v>1,393,57</v>
      </c>
    </row>
    <row r="893" spans="1:7" x14ac:dyDescent="0.25">
      <c r="A893">
        <v>1.38</v>
      </c>
      <c r="B893">
        <v>3.57</v>
      </c>
      <c r="C893" t="str">
        <f>CONCATENATE(Таблица258[[#This Row],[Столбец1]],Таблица258[[#This Row],[Столбец2]])</f>
        <v>1,383,57</v>
      </c>
      <c r="E893">
        <v>1.39</v>
      </c>
      <c r="F893">
        <v>3.57</v>
      </c>
      <c r="G893" t="str">
        <f>CONCATENATE(Таблица271[[#This Row],[Столбец1]],Таблица271[[#This Row],[Столбец2]])</f>
        <v>1,393,57</v>
      </c>
    </row>
    <row r="894" spans="1:7" x14ac:dyDescent="0.25">
      <c r="A894">
        <v>1.39</v>
      </c>
      <c r="B894">
        <v>3.57</v>
      </c>
      <c r="C894" t="str">
        <f>CONCATENATE(Таблица258[[#This Row],[Столбец1]],Таблица258[[#This Row],[Столбец2]])</f>
        <v>1,393,57</v>
      </c>
      <c r="E894">
        <v>1.39</v>
      </c>
      <c r="F894">
        <v>3.57</v>
      </c>
      <c r="G894" t="str">
        <f>CONCATENATE(Таблица271[[#This Row],[Столбец1]],Таблица271[[#This Row],[Столбец2]])</f>
        <v>1,393,57</v>
      </c>
    </row>
    <row r="895" spans="1:7" x14ac:dyDescent="0.25">
      <c r="A895">
        <v>1.39</v>
      </c>
      <c r="B895">
        <v>3.57</v>
      </c>
      <c r="C895" t="str">
        <f>CONCATENATE(Таблица258[[#This Row],[Столбец1]],Таблица258[[#This Row],[Столбец2]])</f>
        <v>1,393,57</v>
      </c>
      <c r="E895">
        <v>1.39</v>
      </c>
      <c r="F895">
        <v>3.57</v>
      </c>
      <c r="G895" t="str">
        <f>CONCATENATE(Таблица271[[#This Row],[Столбец1]],Таблица271[[#This Row],[Столбец2]])</f>
        <v>1,393,57</v>
      </c>
    </row>
    <row r="896" spans="1:7" x14ac:dyDescent="0.25">
      <c r="A896">
        <v>1.39</v>
      </c>
      <c r="B896">
        <v>3.57</v>
      </c>
      <c r="C896" t="str">
        <f>CONCATENATE(Таблица258[[#This Row],[Столбец1]],Таблица258[[#This Row],[Столбец2]])</f>
        <v>1,393,57</v>
      </c>
      <c r="E896">
        <v>1.4</v>
      </c>
      <c r="F896">
        <v>3.57</v>
      </c>
      <c r="G896" t="str">
        <f>CONCATENATE(Таблица271[[#This Row],[Столбец1]],Таблица271[[#This Row],[Столбец2]])</f>
        <v>1,43,57</v>
      </c>
    </row>
    <row r="897" spans="1:7" x14ac:dyDescent="0.25">
      <c r="A897">
        <v>1.39</v>
      </c>
      <c r="B897">
        <v>3.57</v>
      </c>
      <c r="C897" t="str">
        <f>CONCATENATE(Таблица258[[#This Row],[Столбец1]],Таблица258[[#This Row],[Столбец2]])</f>
        <v>1,393,57</v>
      </c>
      <c r="E897">
        <v>1.4</v>
      </c>
      <c r="F897">
        <v>3.57</v>
      </c>
      <c r="G897" t="str">
        <f>CONCATENATE(Таблица271[[#This Row],[Столбец1]],Таблица271[[#This Row],[Столбец2]])</f>
        <v>1,43,57</v>
      </c>
    </row>
    <row r="898" spans="1:7" x14ac:dyDescent="0.25">
      <c r="A898">
        <v>1.39</v>
      </c>
      <c r="B898">
        <v>3.57</v>
      </c>
      <c r="C898" t="str">
        <f>CONCATENATE(Таблица258[[#This Row],[Столбец1]],Таблица258[[#This Row],[Столбец2]])</f>
        <v>1,393,57</v>
      </c>
      <c r="E898">
        <v>1.4</v>
      </c>
      <c r="F898">
        <v>3.57</v>
      </c>
      <c r="G898" t="str">
        <f>CONCATENATE(Таблица271[[#This Row],[Столбец1]],Таблица271[[#This Row],[Столбец2]])</f>
        <v>1,43,57</v>
      </c>
    </row>
    <row r="899" spans="1:7" x14ac:dyDescent="0.25">
      <c r="A899">
        <v>1.39</v>
      </c>
      <c r="B899">
        <v>3.57</v>
      </c>
      <c r="C899" t="str">
        <f>CONCATENATE(Таблица258[[#This Row],[Столбец1]],Таблица258[[#This Row],[Столбец2]])</f>
        <v>1,393,57</v>
      </c>
      <c r="E899">
        <v>1.4</v>
      </c>
      <c r="F899">
        <v>3.57</v>
      </c>
      <c r="G899" t="str">
        <f>CONCATENATE(Таблица271[[#This Row],[Столбец1]],Таблица271[[#This Row],[Столбец2]])</f>
        <v>1,43,57</v>
      </c>
    </row>
    <row r="900" spans="1:7" x14ac:dyDescent="0.25">
      <c r="A900">
        <v>1.4</v>
      </c>
      <c r="B900">
        <v>3.57</v>
      </c>
      <c r="C900" t="str">
        <f>CONCATENATE(Таблица258[[#This Row],[Столбец1]],Таблица258[[#This Row],[Столбец2]])</f>
        <v>1,43,57</v>
      </c>
      <c r="E900">
        <v>1.4</v>
      </c>
      <c r="F900">
        <v>3.57</v>
      </c>
      <c r="G900" t="str">
        <f>CONCATENATE(Таблица271[[#This Row],[Столбец1]],Таблица271[[#This Row],[Столбец2]])</f>
        <v>1,43,57</v>
      </c>
    </row>
    <row r="901" spans="1:7" x14ac:dyDescent="0.25">
      <c r="A901">
        <v>1.4</v>
      </c>
      <c r="B901">
        <v>3.57</v>
      </c>
      <c r="C901" t="str">
        <f>CONCATENATE(Таблица258[[#This Row],[Столбец1]],Таблица258[[#This Row],[Столбец2]])</f>
        <v>1,43,57</v>
      </c>
      <c r="E901">
        <v>1.4</v>
      </c>
      <c r="F901">
        <v>3.57</v>
      </c>
      <c r="G901" t="str">
        <f>CONCATENATE(Таблица271[[#This Row],[Столбец1]],Таблица271[[#This Row],[Столбец2]])</f>
        <v>1,43,57</v>
      </c>
    </row>
    <row r="902" spans="1:7" x14ac:dyDescent="0.25">
      <c r="A902">
        <v>1.4</v>
      </c>
      <c r="B902">
        <v>3.57</v>
      </c>
      <c r="C902" t="str">
        <f>CONCATENATE(Таблица258[[#This Row],[Столбец1]],Таблица258[[#This Row],[Столбец2]])</f>
        <v>1,43,57</v>
      </c>
      <c r="E902">
        <v>1.41</v>
      </c>
      <c r="F902">
        <v>3.57</v>
      </c>
      <c r="G902" t="str">
        <f>CONCATENATE(Таблица271[[#This Row],[Столбец1]],Таблица271[[#This Row],[Столбец2]])</f>
        <v>1,413,57</v>
      </c>
    </row>
    <row r="903" spans="1:7" x14ac:dyDescent="0.25">
      <c r="A903">
        <v>1.4</v>
      </c>
      <c r="B903">
        <v>3.57</v>
      </c>
      <c r="C903" t="str">
        <f>CONCATENATE(Таблица258[[#This Row],[Столбец1]],Таблица258[[#This Row],[Столбец2]])</f>
        <v>1,43,57</v>
      </c>
      <c r="E903">
        <v>1.41</v>
      </c>
      <c r="F903">
        <v>3.57</v>
      </c>
      <c r="G903" t="str">
        <f>CONCATENATE(Таблица271[[#This Row],[Столбец1]],Таблица271[[#This Row],[Столбец2]])</f>
        <v>1,413,57</v>
      </c>
    </row>
    <row r="904" spans="1:7" x14ac:dyDescent="0.25">
      <c r="A904">
        <v>1.4</v>
      </c>
      <c r="B904">
        <v>3.57</v>
      </c>
      <c r="C904" t="str">
        <f>CONCATENATE(Таблица258[[#This Row],[Столбец1]],Таблица258[[#This Row],[Столбец2]])</f>
        <v>1,43,57</v>
      </c>
      <c r="E904">
        <v>1.41</v>
      </c>
      <c r="F904">
        <v>3.57</v>
      </c>
      <c r="G904" t="str">
        <f>CONCATENATE(Таблица271[[#This Row],[Столбец1]],Таблица271[[#This Row],[Столбец2]])</f>
        <v>1,413,57</v>
      </c>
    </row>
    <row r="905" spans="1:7" x14ac:dyDescent="0.25">
      <c r="A905">
        <v>1.4</v>
      </c>
      <c r="B905">
        <v>3.57</v>
      </c>
      <c r="C905" t="str">
        <f>CONCATENATE(Таблица258[[#This Row],[Столбец1]],Таблица258[[#This Row],[Столбец2]])</f>
        <v>1,43,57</v>
      </c>
      <c r="E905">
        <v>1.41</v>
      </c>
      <c r="F905">
        <v>3.57</v>
      </c>
      <c r="G905" t="str">
        <f>CONCATENATE(Таблица271[[#This Row],[Столбец1]],Таблица271[[#This Row],[Столбец2]])</f>
        <v>1,413,57</v>
      </c>
    </row>
    <row r="906" spans="1:7" x14ac:dyDescent="0.25">
      <c r="A906">
        <v>1.41</v>
      </c>
      <c r="B906">
        <v>3.57</v>
      </c>
      <c r="C906" t="str">
        <f>CONCATENATE(Таблица258[[#This Row],[Столбец1]],Таблица258[[#This Row],[Столбец2]])</f>
        <v>1,413,57</v>
      </c>
      <c r="E906">
        <v>1.41</v>
      </c>
      <c r="F906">
        <v>3.57</v>
      </c>
      <c r="G906" t="str">
        <f>CONCATENATE(Таблица271[[#This Row],[Столбец1]],Таблица271[[#This Row],[Столбец2]])</f>
        <v>1,413,57</v>
      </c>
    </row>
    <row r="907" spans="1:7" x14ac:dyDescent="0.25">
      <c r="A907">
        <v>1.41</v>
      </c>
      <c r="B907">
        <v>3.57</v>
      </c>
      <c r="C907" t="str">
        <f>CONCATENATE(Таблица258[[#This Row],[Столбец1]],Таблица258[[#This Row],[Столбец2]])</f>
        <v>1,413,57</v>
      </c>
      <c r="E907">
        <v>1.41</v>
      </c>
      <c r="F907">
        <v>3.57</v>
      </c>
      <c r="G907" t="str">
        <f>CONCATENATE(Таблица271[[#This Row],[Столбец1]],Таблица271[[#This Row],[Столбец2]])</f>
        <v>1,413,57</v>
      </c>
    </row>
    <row r="908" spans="1:7" x14ac:dyDescent="0.25">
      <c r="A908">
        <v>1.41</v>
      </c>
      <c r="B908">
        <v>3.57</v>
      </c>
      <c r="C908" t="str">
        <f>CONCATENATE(Таблица258[[#This Row],[Столбец1]],Таблица258[[#This Row],[Столбец2]])</f>
        <v>1,413,57</v>
      </c>
      <c r="E908">
        <v>1.41</v>
      </c>
      <c r="F908">
        <v>3.57</v>
      </c>
      <c r="G908" t="str">
        <f>CONCATENATE(Таблица271[[#This Row],[Столбец1]],Таблица271[[#This Row],[Столбец2]])</f>
        <v>1,413,57</v>
      </c>
    </row>
    <row r="909" spans="1:7" x14ac:dyDescent="0.25">
      <c r="A909">
        <v>1.41</v>
      </c>
      <c r="B909">
        <v>3.57</v>
      </c>
      <c r="C909" t="str">
        <f>CONCATENATE(Таблица258[[#This Row],[Столбец1]],Таблица258[[#This Row],[Столбец2]])</f>
        <v>1,413,57</v>
      </c>
      <c r="E909">
        <v>1.42</v>
      </c>
      <c r="F909">
        <v>3.57</v>
      </c>
      <c r="G909" t="str">
        <f>CONCATENATE(Таблица271[[#This Row],[Столбец1]],Таблица271[[#This Row],[Столбец2]])</f>
        <v>1,423,57</v>
      </c>
    </row>
    <row r="910" spans="1:7" x14ac:dyDescent="0.25">
      <c r="A910">
        <v>1.41</v>
      </c>
      <c r="B910">
        <v>3.57</v>
      </c>
      <c r="C910" t="str">
        <f>CONCATENATE(Таблица258[[#This Row],[Столбец1]],Таблица258[[#This Row],[Столбец2]])</f>
        <v>1,413,57</v>
      </c>
      <c r="E910">
        <v>1.42</v>
      </c>
      <c r="F910">
        <v>3.57</v>
      </c>
      <c r="G910" t="str">
        <f>CONCATENATE(Таблица271[[#This Row],[Столбец1]],Таблица271[[#This Row],[Столбец2]])</f>
        <v>1,423,57</v>
      </c>
    </row>
    <row r="911" spans="1:7" x14ac:dyDescent="0.25">
      <c r="A911">
        <v>1.41</v>
      </c>
      <c r="B911">
        <v>3.57</v>
      </c>
      <c r="C911" t="str">
        <f>CONCATENATE(Таблица258[[#This Row],[Столбец1]],Таблица258[[#This Row],[Столбец2]])</f>
        <v>1,413,57</v>
      </c>
      <c r="E911">
        <v>1.42</v>
      </c>
      <c r="F911">
        <v>3.57</v>
      </c>
      <c r="G911" t="str">
        <f>CONCATENATE(Таблица271[[#This Row],[Столбец1]],Таблица271[[#This Row],[Столбец2]])</f>
        <v>1,423,57</v>
      </c>
    </row>
    <row r="912" spans="1:7" x14ac:dyDescent="0.25">
      <c r="A912">
        <v>1.42</v>
      </c>
      <c r="B912">
        <v>3.57</v>
      </c>
      <c r="C912" t="str">
        <f>CONCATENATE(Таблица258[[#This Row],[Столбец1]],Таблица258[[#This Row],[Столбец2]])</f>
        <v>1,423,57</v>
      </c>
      <c r="E912">
        <v>1.42</v>
      </c>
      <c r="F912">
        <v>3.57</v>
      </c>
      <c r="G912" t="str">
        <f>CONCATENATE(Таблица271[[#This Row],[Столбец1]],Таблица271[[#This Row],[Столбец2]])</f>
        <v>1,423,57</v>
      </c>
    </row>
    <row r="913" spans="1:7" x14ac:dyDescent="0.25">
      <c r="A913">
        <v>1.42</v>
      </c>
      <c r="B913">
        <v>3.57</v>
      </c>
      <c r="C913" t="str">
        <f>CONCATENATE(Таблица258[[#This Row],[Столбец1]],Таблица258[[#This Row],[Столбец2]])</f>
        <v>1,423,57</v>
      </c>
      <c r="E913">
        <v>1.42</v>
      </c>
      <c r="F913">
        <v>3.57</v>
      </c>
      <c r="G913" t="str">
        <f>CONCATENATE(Таблица271[[#This Row],[Столбец1]],Таблица271[[#This Row],[Столбец2]])</f>
        <v>1,423,57</v>
      </c>
    </row>
    <row r="914" spans="1:7" x14ac:dyDescent="0.25">
      <c r="A914">
        <v>1.42</v>
      </c>
      <c r="B914">
        <v>3.57</v>
      </c>
      <c r="C914" t="str">
        <f>CONCATENATE(Таблица258[[#This Row],[Столбец1]],Таблица258[[#This Row],[Столбец2]])</f>
        <v>1,423,57</v>
      </c>
      <c r="E914">
        <v>1.42</v>
      </c>
      <c r="F914">
        <v>3.57</v>
      </c>
      <c r="G914" t="str">
        <f>CONCATENATE(Таблица271[[#This Row],[Столбец1]],Таблица271[[#This Row],[Столбец2]])</f>
        <v>1,423,57</v>
      </c>
    </row>
    <row r="915" spans="1:7" x14ac:dyDescent="0.25">
      <c r="A915">
        <v>1.42</v>
      </c>
      <c r="B915">
        <v>3.57</v>
      </c>
      <c r="C915" t="str">
        <f>CONCATENATE(Таблица258[[#This Row],[Столбец1]],Таблица258[[#This Row],[Столбец2]])</f>
        <v>1,423,57</v>
      </c>
      <c r="E915">
        <v>1.43</v>
      </c>
      <c r="F915">
        <v>3.57</v>
      </c>
      <c r="G915" t="str">
        <f>CONCATENATE(Таблица271[[#This Row],[Столбец1]],Таблица271[[#This Row],[Столбец2]])</f>
        <v>1,433,57</v>
      </c>
    </row>
    <row r="916" spans="1:7" x14ac:dyDescent="0.25">
      <c r="A916">
        <v>1.42</v>
      </c>
      <c r="B916">
        <v>3.57</v>
      </c>
      <c r="C916" t="str">
        <f>CONCATENATE(Таблица258[[#This Row],[Столбец1]],Таблица258[[#This Row],[Столбец2]])</f>
        <v>1,423,57</v>
      </c>
      <c r="E916">
        <v>1.43</v>
      </c>
      <c r="F916">
        <v>3.57</v>
      </c>
      <c r="G916" t="str">
        <f>CONCATENATE(Таблица271[[#This Row],[Столбец1]],Таблица271[[#This Row],[Столбец2]])</f>
        <v>1,433,57</v>
      </c>
    </row>
    <row r="917" spans="1:7" x14ac:dyDescent="0.25">
      <c r="A917">
        <v>1.42</v>
      </c>
      <c r="B917">
        <v>3.57</v>
      </c>
      <c r="C917" t="str">
        <f>CONCATENATE(Таблица258[[#This Row],[Столбец1]],Таблица258[[#This Row],[Столбец2]])</f>
        <v>1,423,57</v>
      </c>
      <c r="E917">
        <v>1.43</v>
      </c>
      <c r="F917">
        <v>3.57</v>
      </c>
      <c r="G917" t="str">
        <f>CONCATENATE(Таблица271[[#This Row],[Столбец1]],Таблица271[[#This Row],[Столбец2]])</f>
        <v>1,433,57</v>
      </c>
    </row>
    <row r="918" spans="1:7" x14ac:dyDescent="0.25">
      <c r="A918">
        <v>1.43</v>
      </c>
      <c r="B918">
        <v>3.57</v>
      </c>
      <c r="C918" t="str">
        <f>CONCATENATE(Таблица258[[#This Row],[Столбец1]],Таблица258[[#This Row],[Столбец2]])</f>
        <v>1,433,57</v>
      </c>
      <c r="E918">
        <v>1.43</v>
      </c>
      <c r="F918">
        <v>3.57</v>
      </c>
      <c r="G918" t="str">
        <f>CONCATENATE(Таблица271[[#This Row],[Столбец1]],Таблица271[[#This Row],[Столбец2]])</f>
        <v>1,433,57</v>
      </c>
    </row>
    <row r="919" spans="1:7" x14ac:dyDescent="0.25">
      <c r="A919">
        <v>1.43</v>
      </c>
      <c r="B919">
        <v>3.57</v>
      </c>
      <c r="C919" t="str">
        <f>CONCATENATE(Таблица258[[#This Row],[Столбец1]],Таблица258[[#This Row],[Столбец2]])</f>
        <v>1,433,57</v>
      </c>
      <c r="E919">
        <v>1.43</v>
      </c>
      <c r="F919">
        <v>3.57</v>
      </c>
      <c r="G919" t="str">
        <f>CONCATENATE(Таблица271[[#This Row],[Столбец1]],Таблица271[[#This Row],[Столбец2]])</f>
        <v>1,433,57</v>
      </c>
    </row>
    <row r="920" spans="1:7" x14ac:dyDescent="0.25">
      <c r="A920">
        <v>1.43</v>
      </c>
      <c r="B920">
        <v>3.57</v>
      </c>
      <c r="C920" t="str">
        <f>CONCATENATE(Таблица258[[#This Row],[Столбец1]],Таблица258[[#This Row],[Столбец2]])</f>
        <v>1,433,57</v>
      </c>
      <c r="E920">
        <v>1.43</v>
      </c>
      <c r="F920">
        <v>3.57</v>
      </c>
      <c r="G920" t="str">
        <f>CONCATENATE(Таблица271[[#This Row],[Столбец1]],Таблица271[[#This Row],[Столбец2]])</f>
        <v>1,433,57</v>
      </c>
    </row>
    <row r="921" spans="1:7" x14ac:dyDescent="0.25">
      <c r="A921">
        <v>1.43</v>
      </c>
      <c r="B921">
        <v>3.57</v>
      </c>
      <c r="C921" t="str">
        <f>CONCATENATE(Таблица258[[#This Row],[Столбец1]],Таблица258[[#This Row],[Столбец2]])</f>
        <v>1,433,57</v>
      </c>
      <c r="E921">
        <v>1.43</v>
      </c>
      <c r="F921">
        <v>3.57</v>
      </c>
      <c r="G921" t="str">
        <f>CONCATENATE(Таблица271[[#This Row],[Столбец1]],Таблица271[[#This Row],[Столбец2]])</f>
        <v>1,433,57</v>
      </c>
    </row>
    <row r="922" spans="1:7" x14ac:dyDescent="0.25">
      <c r="A922">
        <v>1.43</v>
      </c>
      <c r="B922">
        <v>3.57</v>
      </c>
      <c r="C922" t="str">
        <f>CONCATENATE(Таблица258[[#This Row],[Столбец1]],Таблица258[[#This Row],[Столбец2]])</f>
        <v>1,433,57</v>
      </c>
      <c r="E922">
        <v>1.44</v>
      </c>
      <c r="F922">
        <v>3.57</v>
      </c>
      <c r="G922" t="str">
        <f>CONCATENATE(Таблица271[[#This Row],[Столбец1]],Таблица271[[#This Row],[Столбец2]])</f>
        <v>1,443,57</v>
      </c>
    </row>
    <row r="923" spans="1:7" x14ac:dyDescent="0.25">
      <c r="A923">
        <v>1.43</v>
      </c>
      <c r="B923">
        <v>3.57</v>
      </c>
      <c r="C923" t="str">
        <f>CONCATENATE(Таблица258[[#This Row],[Столбец1]],Таблица258[[#This Row],[Столбец2]])</f>
        <v>1,433,57</v>
      </c>
      <c r="E923">
        <v>1.44</v>
      </c>
      <c r="F923">
        <v>3.57</v>
      </c>
      <c r="G923" t="str">
        <f>CONCATENATE(Таблица271[[#This Row],[Столбец1]],Таблица271[[#This Row],[Столбец2]])</f>
        <v>1,443,57</v>
      </c>
    </row>
    <row r="924" spans="1:7" x14ac:dyDescent="0.25">
      <c r="A924">
        <v>1.44</v>
      </c>
      <c r="B924">
        <v>3.57</v>
      </c>
      <c r="C924" t="str">
        <f>CONCATENATE(Таблица258[[#This Row],[Столбец1]],Таблица258[[#This Row],[Столбец2]])</f>
        <v>1,443,57</v>
      </c>
      <c r="E924">
        <v>1.44</v>
      </c>
      <c r="F924">
        <v>3.57</v>
      </c>
      <c r="G924" t="str">
        <f>CONCATENATE(Таблица271[[#This Row],[Столбец1]],Таблица271[[#This Row],[Столбец2]])</f>
        <v>1,443,57</v>
      </c>
    </row>
    <row r="925" spans="1:7" x14ac:dyDescent="0.25">
      <c r="A925">
        <v>1.44</v>
      </c>
      <c r="B925">
        <v>3.57</v>
      </c>
      <c r="C925" t="str">
        <f>CONCATENATE(Таблица258[[#This Row],[Столбец1]],Таблица258[[#This Row],[Столбец2]])</f>
        <v>1,443,57</v>
      </c>
      <c r="E925">
        <v>1.44</v>
      </c>
      <c r="F925">
        <v>3.57</v>
      </c>
      <c r="G925" t="str">
        <f>CONCATENATE(Таблица271[[#This Row],[Столбец1]],Таблица271[[#This Row],[Столбец2]])</f>
        <v>1,443,57</v>
      </c>
    </row>
    <row r="926" spans="1:7" x14ac:dyDescent="0.25">
      <c r="A926">
        <v>1.44</v>
      </c>
      <c r="B926">
        <v>3.57</v>
      </c>
      <c r="C926" t="str">
        <f>CONCATENATE(Таблица258[[#This Row],[Столбец1]],Таблица258[[#This Row],[Столбец2]])</f>
        <v>1,443,57</v>
      </c>
      <c r="E926">
        <v>1.44</v>
      </c>
      <c r="F926">
        <v>3.57</v>
      </c>
      <c r="G926" t="str">
        <f>CONCATENATE(Таблица271[[#This Row],[Столбец1]],Таблица271[[#This Row],[Столбец2]])</f>
        <v>1,443,57</v>
      </c>
    </row>
    <row r="927" spans="1:7" x14ac:dyDescent="0.25">
      <c r="A927">
        <v>1.44</v>
      </c>
      <c r="B927">
        <v>3.57</v>
      </c>
      <c r="C927" t="str">
        <f>CONCATENATE(Таблица258[[#This Row],[Столбец1]],Таблица258[[#This Row],[Столбец2]])</f>
        <v>1,443,57</v>
      </c>
      <c r="E927">
        <v>1.44</v>
      </c>
      <c r="F927">
        <v>3.57</v>
      </c>
      <c r="G927" t="str">
        <f>CONCATENATE(Таблица271[[#This Row],[Столбец1]],Таблица271[[#This Row],[Столбец2]])</f>
        <v>1,443,57</v>
      </c>
    </row>
    <row r="928" spans="1:7" x14ac:dyDescent="0.25">
      <c r="A928">
        <v>1.44</v>
      </c>
      <c r="B928">
        <v>3.57</v>
      </c>
      <c r="C928" t="str">
        <f>CONCATENATE(Таблица258[[#This Row],[Столбец1]],Таблица258[[#This Row],[Столбец2]])</f>
        <v>1,443,57</v>
      </c>
      <c r="E928">
        <v>1.44</v>
      </c>
      <c r="F928">
        <v>3.57</v>
      </c>
      <c r="G928" t="str">
        <f>CONCATENATE(Таблица271[[#This Row],[Столбец1]],Таблица271[[#This Row],[Столбец2]])</f>
        <v>1,443,57</v>
      </c>
    </row>
    <row r="929" spans="1:7" x14ac:dyDescent="0.25">
      <c r="A929">
        <v>1.44</v>
      </c>
      <c r="B929">
        <v>3.57</v>
      </c>
      <c r="C929" t="str">
        <f>CONCATENATE(Таблица258[[#This Row],[Столбец1]],Таблица258[[#This Row],[Столбец2]])</f>
        <v>1,443,57</v>
      </c>
      <c r="E929">
        <v>1.56</v>
      </c>
      <c r="F929">
        <v>3.57</v>
      </c>
      <c r="G929" t="str">
        <f>CONCATENATE(Таблица271[[#This Row],[Столбец1]],Таблица271[[#This Row],[Столбец2]])</f>
        <v>1,563,57</v>
      </c>
    </row>
    <row r="930" spans="1:7" x14ac:dyDescent="0.25">
      <c r="A930">
        <v>1.56</v>
      </c>
      <c r="B930">
        <v>3.57</v>
      </c>
      <c r="C930" t="str">
        <f>CONCATENATE(Таблица258[[#This Row],[Столбец1]],Таблица258[[#This Row],[Столбец2]])</f>
        <v>1,563,57</v>
      </c>
      <c r="E930">
        <v>1.56</v>
      </c>
      <c r="F930">
        <v>3.57</v>
      </c>
      <c r="G930" t="str">
        <f>CONCATENATE(Таблица271[[#This Row],[Столбец1]],Таблица271[[#This Row],[Столбец2]])</f>
        <v>1,563,57</v>
      </c>
    </row>
    <row r="931" spans="1:7" x14ac:dyDescent="0.25">
      <c r="A931">
        <v>1.56</v>
      </c>
      <c r="B931">
        <v>3.57</v>
      </c>
      <c r="C931" t="str">
        <f>CONCATENATE(Таблица258[[#This Row],[Столбец1]],Таблица258[[#This Row],[Столбец2]])</f>
        <v>1,563,57</v>
      </c>
      <c r="E931">
        <v>1.56</v>
      </c>
      <c r="F931">
        <v>3.57</v>
      </c>
      <c r="G931" t="str">
        <f>CONCATENATE(Таблица271[[#This Row],[Столбец1]],Таблица271[[#This Row],[Столбец2]])</f>
        <v>1,563,57</v>
      </c>
    </row>
    <row r="932" spans="1:7" x14ac:dyDescent="0.25">
      <c r="A932">
        <v>1.56</v>
      </c>
      <c r="B932">
        <v>3.57</v>
      </c>
      <c r="C932" t="str">
        <f>CONCATENATE(Таблица258[[#This Row],[Столбец1]],Таблица258[[#This Row],[Столбец2]])</f>
        <v>1,563,57</v>
      </c>
      <c r="E932">
        <v>1.56</v>
      </c>
      <c r="F932">
        <v>3.57</v>
      </c>
      <c r="G932" t="str">
        <f>CONCATENATE(Таблица271[[#This Row],[Столбец1]],Таблица271[[#This Row],[Столбец2]])</f>
        <v>1,563,57</v>
      </c>
    </row>
    <row r="933" spans="1:7" x14ac:dyDescent="0.25">
      <c r="A933">
        <v>1.56</v>
      </c>
      <c r="B933">
        <v>3.57</v>
      </c>
      <c r="C933" t="str">
        <f>CONCATENATE(Таблица258[[#This Row],[Столбец1]],Таблица258[[#This Row],[Столбец2]])</f>
        <v>1,563,57</v>
      </c>
      <c r="E933">
        <v>1.56</v>
      </c>
      <c r="F933">
        <v>3.57</v>
      </c>
      <c r="G933" t="str">
        <f>CONCATENATE(Таблица271[[#This Row],[Столбец1]],Таблица271[[#This Row],[Столбец2]])</f>
        <v>1,563,57</v>
      </c>
    </row>
    <row r="934" spans="1:7" x14ac:dyDescent="0.25">
      <c r="A934">
        <v>1.56</v>
      </c>
      <c r="B934">
        <v>3.57</v>
      </c>
      <c r="C934" t="str">
        <f>CONCATENATE(Таблица258[[#This Row],[Столбец1]],Таблица258[[#This Row],[Столбец2]])</f>
        <v>1,563,57</v>
      </c>
      <c r="E934">
        <v>1.56</v>
      </c>
      <c r="F934">
        <v>3.57</v>
      </c>
      <c r="G934" t="str">
        <f>CONCATENATE(Таблица271[[#This Row],[Столбец1]],Таблица271[[#This Row],[Столбец2]])</f>
        <v>1,563,57</v>
      </c>
    </row>
    <row r="935" spans="1:7" x14ac:dyDescent="0.25">
      <c r="A935">
        <v>1.56</v>
      </c>
      <c r="B935">
        <v>3.57</v>
      </c>
      <c r="C935" t="str">
        <f>CONCATENATE(Таблица258[[#This Row],[Столбец1]],Таблица258[[#This Row],[Столбец2]])</f>
        <v>1,563,57</v>
      </c>
      <c r="E935">
        <v>1.45</v>
      </c>
      <c r="F935">
        <v>3.58</v>
      </c>
      <c r="G935" t="str">
        <f>CONCATENATE(Таблица271[[#This Row],[Столбец1]],Таблица271[[#This Row],[Столбец2]])</f>
        <v>1,453,58</v>
      </c>
    </row>
    <row r="936" spans="1:7" x14ac:dyDescent="0.25">
      <c r="A936">
        <v>1.45</v>
      </c>
      <c r="B936">
        <v>3.58</v>
      </c>
      <c r="C936" t="str">
        <f>CONCATENATE(Таблица258[[#This Row],[Столбец1]],Таблица258[[#This Row],[Столбец2]])</f>
        <v>1,453,58</v>
      </c>
      <c r="E936">
        <v>1.45</v>
      </c>
      <c r="F936">
        <v>3.58</v>
      </c>
      <c r="G936" t="str">
        <f>CONCATENATE(Таблица271[[#This Row],[Столбец1]],Таблица271[[#This Row],[Столбец2]])</f>
        <v>1,453,58</v>
      </c>
    </row>
    <row r="937" spans="1:7" x14ac:dyDescent="0.25">
      <c r="A937">
        <v>1.45</v>
      </c>
      <c r="B937">
        <v>3.58</v>
      </c>
      <c r="C937" t="str">
        <f>CONCATENATE(Таблица258[[#This Row],[Столбец1]],Таблица258[[#This Row],[Столбец2]])</f>
        <v>1,453,58</v>
      </c>
      <c r="E937">
        <v>1.45</v>
      </c>
      <c r="F937">
        <v>3.58</v>
      </c>
      <c r="G937" t="str">
        <f>CONCATENATE(Таблица271[[#This Row],[Столбец1]],Таблица271[[#This Row],[Столбец2]])</f>
        <v>1,453,58</v>
      </c>
    </row>
    <row r="938" spans="1:7" x14ac:dyDescent="0.25">
      <c r="A938">
        <v>1.45</v>
      </c>
      <c r="B938">
        <v>3.58</v>
      </c>
      <c r="C938" t="str">
        <f>CONCATENATE(Таблица258[[#This Row],[Столбец1]],Таблица258[[#This Row],[Столбец2]])</f>
        <v>1,453,58</v>
      </c>
      <c r="E938">
        <v>1.45</v>
      </c>
      <c r="F938">
        <v>3.58</v>
      </c>
      <c r="G938" t="str">
        <f>CONCATENATE(Таблица271[[#This Row],[Столбец1]],Таблица271[[#This Row],[Столбец2]])</f>
        <v>1,453,58</v>
      </c>
    </row>
    <row r="939" spans="1:7" x14ac:dyDescent="0.25">
      <c r="A939">
        <v>1.45</v>
      </c>
      <c r="B939">
        <v>3.58</v>
      </c>
      <c r="C939" t="str">
        <f>CONCATENATE(Таблица258[[#This Row],[Столбец1]],Таблица258[[#This Row],[Столбец2]])</f>
        <v>1,453,58</v>
      </c>
      <c r="E939">
        <v>1.45</v>
      </c>
      <c r="F939">
        <v>3.58</v>
      </c>
      <c r="G939" t="str">
        <f>CONCATENATE(Таблица271[[#This Row],[Столбец1]],Таблица271[[#This Row],[Столбец2]])</f>
        <v>1,453,58</v>
      </c>
    </row>
    <row r="940" spans="1:7" x14ac:dyDescent="0.25">
      <c r="A940">
        <v>1.45</v>
      </c>
      <c r="B940">
        <v>3.58</v>
      </c>
      <c r="C940" t="str">
        <f>CONCATENATE(Таблица258[[#This Row],[Столбец1]],Таблица258[[#This Row],[Столбец2]])</f>
        <v>1,453,58</v>
      </c>
      <c r="E940">
        <v>1.45</v>
      </c>
      <c r="F940">
        <v>3.58</v>
      </c>
      <c r="G940" t="str">
        <f>CONCATENATE(Таблица271[[#This Row],[Столбец1]],Таблица271[[#This Row],[Столбец2]])</f>
        <v>1,453,58</v>
      </c>
    </row>
    <row r="941" spans="1:7" x14ac:dyDescent="0.25">
      <c r="A941">
        <v>1.45</v>
      </c>
      <c r="B941">
        <v>3.58</v>
      </c>
      <c r="C941" t="str">
        <f>CONCATENATE(Таблица258[[#This Row],[Столбец1]],Таблица258[[#This Row],[Столбец2]])</f>
        <v>1,453,58</v>
      </c>
      <c r="E941">
        <v>1.45</v>
      </c>
      <c r="F941">
        <v>3.58</v>
      </c>
      <c r="G941" t="str">
        <f>CONCATENATE(Таблица271[[#This Row],[Столбец1]],Таблица271[[#This Row],[Столбец2]])</f>
        <v>1,453,58</v>
      </c>
    </row>
    <row r="942" spans="1:7" x14ac:dyDescent="0.25">
      <c r="A942">
        <v>1.55</v>
      </c>
      <c r="B942">
        <v>3.58</v>
      </c>
      <c r="C942" t="str">
        <f>CONCATENATE(Таблица258[[#This Row],[Столбец1]],Таблица258[[#This Row],[Столбец2]])</f>
        <v>1,553,58</v>
      </c>
      <c r="E942">
        <v>1.55</v>
      </c>
      <c r="F942">
        <v>3.58</v>
      </c>
      <c r="G942" t="str">
        <f>CONCATENATE(Таблица271[[#This Row],[Столбец1]],Таблица271[[#This Row],[Столбец2]])</f>
        <v>1,553,58</v>
      </c>
    </row>
    <row r="943" spans="1:7" x14ac:dyDescent="0.25">
      <c r="A943">
        <v>1.55</v>
      </c>
      <c r="B943">
        <v>3.58</v>
      </c>
      <c r="C943" t="str">
        <f>CONCATENATE(Таблица258[[#This Row],[Столбец1]],Таблица258[[#This Row],[Столбец2]])</f>
        <v>1,553,58</v>
      </c>
      <c r="E943">
        <v>1.55</v>
      </c>
      <c r="F943">
        <v>3.58</v>
      </c>
      <c r="G943" t="str">
        <f>CONCATENATE(Таблица271[[#This Row],[Столбец1]],Таблица271[[#This Row],[Столбец2]])</f>
        <v>1,553,58</v>
      </c>
    </row>
    <row r="944" spans="1:7" x14ac:dyDescent="0.25">
      <c r="A944">
        <v>1.55</v>
      </c>
      <c r="B944">
        <v>3.58</v>
      </c>
      <c r="C944" t="str">
        <f>CONCATENATE(Таблица258[[#This Row],[Столбец1]],Таблица258[[#This Row],[Столбец2]])</f>
        <v>1,553,58</v>
      </c>
      <c r="E944">
        <v>1.55</v>
      </c>
      <c r="F944">
        <v>3.58</v>
      </c>
      <c r="G944" t="str">
        <f>CONCATENATE(Таблица271[[#This Row],[Столбец1]],Таблица271[[#This Row],[Столбец2]])</f>
        <v>1,553,58</v>
      </c>
    </row>
    <row r="945" spans="1:7" x14ac:dyDescent="0.25">
      <c r="A945">
        <v>1.55</v>
      </c>
      <c r="B945">
        <v>3.58</v>
      </c>
      <c r="C945" t="str">
        <f>CONCATENATE(Таблица258[[#This Row],[Столбец1]],Таблица258[[#This Row],[Столбец2]])</f>
        <v>1,553,58</v>
      </c>
      <c r="E945">
        <v>1.55</v>
      </c>
      <c r="F945">
        <v>3.58</v>
      </c>
      <c r="G945" t="str">
        <f>CONCATENATE(Таблица271[[#This Row],[Столбец1]],Таблица271[[#This Row],[Столбец2]])</f>
        <v>1,553,58</v>
      </c>
    </row>
    <row r="946" spans="1:7" x14ac:dyDescent="0.25">
      <c r="A946">
        <v>1.55</v>
      </c>
      <c r="B946">
        <v>3.58</v>
      </c>
      <c r="C946" t="str">
        <f>CONCATENATE(Таблица258[[#This Row],[Столбец1]],Таблица258[[#This Row],[Столбец2]])</f>
        <v>1,553,58</v>
      </c>
      <c r="E946">
        <v>1.55</v>
      </c>
      <c r="F946">
        <v>3.58</v>
      </c>
      <c r="G946" t="str">
        <f>CONCATENATE(Таблица271[[#This Row],[Столбец1]],Таблица271[[#This Row],[Столбец2]])</f>
        <v>1,553,58</v>
      </c>
    </row>
    <row r="947" spans="1:7" x14ac:dyDescent="0.25">
      <c r="A947">
        <v>1.55</v>
      </c>
      <c r="B947">
        <v>3.58</v>
      </c>
      <c r="C947" t="str">
        <f>CONCATENATE(Таблица258[[#This Row],[Столбец1]],Таблица258[[#This Row],[Столбец2]])</f>
        <v>1,553,58</v>
      </c>
      <c r="E947">
        <v>1.55</v>
      </c>
      <c r="F947">
        <v>3.58</v>
      </c>
      <c r="G947" t="str">
        <f>CONCATENATE(Таблица271[[#This Row],[Столбец1]],Таблица271[[#This Row],[Столбец2]])</f>
        <v>1,553,58</v>
      </c>
    </row>
    <row r="948" spans="1:7" x14ac:dyDescent="0.25">
      <c r="A948">
        <v>1.46</v>
      </c>
      <c r="B948">
        <v>3.59</v>
      </c>
      <c r="C948" t="str">
        <f>CONCATENATE(Таблица258[[#This Row],[Столбец1]],Таблица258[[#This Row],[Столбец2]])</f>
        <v>1,463,59</v>
      </c>
      <c r="E948">
        <v>1.46</v>
      </c>
      <c r="F948">
        <v>3.59</v>
      </c>
      <c r="G948" t="str">
        <f>CONCATENATE(Таблица271[[#This Row],[Столбец1]],Таблица271[[#This Row],[Столбец2]])</f>
        <v>1,463,59</v>
      </c>
    </row>
    <row r="949" spans="1:7" x14ac:dyDescent="0.25">
      <c r="A949">
        <v>1.46</v>
      </c>
      <c r="B949">
        <v>3.59</v>
      </c>
      <c r="C949" t="str">
        <f>CONCATENATE(Таблица258[[#This Row],[Столбец1]],Таблица258[[#This Row],[Столбец2]])</f>
        <v>1,463,59</v>
      </c>
      <c r="E949">
        <v>1.46</v>
      </c>
      <c r="F949">
        <v>3.59</v>
      </c>
      <c r="G949" t="str">
        <f>CONCATENATE(Таблица271[[#This Row],[Столбец1]],Таблица271[[#This Row],[Столбец2]])</f>
        <v>1,463,59</v>
      </c>
    </row>
    <row r="950" spans="1:7" x14ac:dyDescent="0.25">
      <c r="A950">
        <v>1.46</v>
      </c>
      <c r="B950">
        <v>3.59</v>
      </c>
      <c r="C950" t="str">
        <f>CONCATENATE(Таблица258[[#This Row],[Столбец1]],Таблица258[[#This Row],[Столбец2]])</f>
        <v>1,463,59</v>
      </c>
      <c r="E950">
        <v>1.46</v>
      </c>
      <c r="F950">
        <v>3.59</v>
      </c>
      <c r="G950" t="str">
        <f>CONCATENATE(Таблица271[[#This Row],[Столбец1]],Таблица271[[#This Row],[Столбец2]])</f>
        <v>1,463,59</v>
      </c>
    </row>
    <row r="951" spans="1:7" x14ac:dyDescent="0.25">
      <c r="A951">
        <v>1.46</v>
      </c>
      <c r="B951">
        <v>3.59</v>
      </c>
      <c r="C951" t="str">
        <f>CONCATENATE(Таблица258[[#This Row],[Столбец1]],Таблица258[[#This Row],[Столбец2]])</f>
        <v>1,463,59</v>
      </c>
      <c r="E951">
        <v>1.46</v>
      </c>
      <c r="F951">
        <v>3.59</v>
      </c>
      <c r="G951" t="str">
        <f>CONCATENATE(Таблица271[[#This Row],[Столбец1]],Таблица271[[#This Row],[Столбец2]])</f>
        <v>1,463,59</v>
      </c>
    </row>
    <row r="952" spans="1:7" x14ac:dyDescent="0.25">
      <c r="A952">
        <v>1.46</v>
      </c>
      <c r="B952">
        <v>3.59</v>
      </c>
      <c r="C952" t="str">
        <f>CONCATENATE(Таблица258[[#This Row],[Столбец1]],Таблица258[[#This Row],[Столбец2]])</f>
        <v>1,463,59</v>
      </c>
      <c r="E952">
        <v>1.46</v>
      </c>
      <c r="F952">
        <v>3.59</v>
      </c>
      <c r="G952" t="str">
        <f>CONCATENATE(Таблица271[[#This Row],[Столбец1]],Таблица271[[#This Row],[Столбец2]])</f>
        <v>1,463,59</v>
      </c>
    </row>
    <row r="953" spans="1:7" x14ac:dyDescent="0.25">
      <c r="A953">
        <v>1.46</v>
      </c>
      <c r="B953">
        <v>3.59</v>
      </c>
      <c r="C953" t="str">
        <f>CONCATENATE(Таблица258[[#This Row],[Столбец1]],Таблица258[[#This Row],[Столбец2]])</f>
        <v>1,463,59</v>
      </c>
      <c r="E953">
        <v>1.46</v>
      </c>
      <c r="F953">
        <v>3.59</v>
      </c>
      <c r="G953" t="str">
        <f>CONCATENATE(Таблица271[[#This Row],[Столбец1]],Таблица271[[#This Row],[Столбец2]])</f>
        <v>1,463,59</v>
      </c>
    </row>
    <row r="954" spans="1:7" x14ac:dyDescent="0.25">
      <c r="A954">
        <v>1.54</v>
      </c>
      <c r="B954">
        <v>3.59</v>
      </c>
      <c r="C954" t="str">
        <f>CONCATENATE(Таблица258[[#This Row],[Столбец1]],Таблица258[[#This Row],[Столбец2]])</f>
        <v>1,543,59</v>
      </c>
      <c r="E954">
        <v>1.54</v>
      </c>
      <c r="F954">
        <v>3.59</v>
      </c>
      <c r="G954" t="str">
        <f>CONCATENATE(Таблица271[[#This Row],[Столбец1]],Таблица271[[#This Row],[Столбец2]])</f>
        <v>1,543,59</v>
      </c>
    </row>
    <row r="955" spans="1:7" x14ac:dyDescent="0.25">
      <c r="A955">
        <v>1.54</v>
      </c>
      <c r="B955">
        <v>3.59</v>
      </c>
      <c r="C955" t="str">
        <f>CONCATENATE(Таблица258[[#This Row],[Столбец1]],Таблица258[[#This Row],[Столбец2]])</f>
        <v>1,543,59</v>
      </c>
      <c r="E955">
        <v>1.54</v>
      </c>
      <c r="F955">
        <v>3.59</v>
      </c>
      <c r="G955" t="str">
        <f>CONCATENATE(Таблица271[[#This Row],[Столбец1]],Таблица271[[#This Row],[Столбец2]])</f>
        <v>1,543,59</v>
      </c>
    </row>
    <row r="956" spans="1:7" x14ac:dyDescent="0.25">
      <c r="A956">
        <v>1.54</v>
      </c>
      <c r="B956">
        <v>3.59</v>
      </c>
      <c r="C956" t="str">
        <f>CONCATENATE(Таблица258[[#This Row],[Столбец1]],Таблица258[[#This Row],[Столбец2]])</f>
        <v>1,543,59</v>
      </c>
      <c r="E956">
        <v>1.54</v>
      </c>
      <c r="F956">
        <v>3.59</v>
      </c>
      <c r="G956" t="str">
        <f>CONCATENATE(Таблица271[[#This Row],[Столбец1]],Таблица271[[#This Row],[Столбец2]])</f>
        <v>1,543,59</v>
      </c>
    </row>
    <row r="957" spans="1:7" x14ac:dyDescent="0.25">
      <c r="A957">
        <v>1.54</v>
      </c>
      <c r="B957">
        <v>3.59</v>
      </c>
      <c r="C957" t="str">
        <f>CONCATENATE(Таблица258[[#This Row],[Столбец1]],Таблица258[[#This Row],[Столбец2]])</f>
        <v>1,543,59</v>
      </c>
      <c r="E957">
        <v>1.54</v>
      </c>
      <c r="F957">
        <v>3.59</v>
      </c>
      <c r="G957" t="str">
        <f>CONCATENATE(Таблица271[[#This Row],[Столбец1]],Таблица271[[#This Row],[Столбец2]])</f>
        <v>1,543,59</v>
      </c>
    </row>
    <row r="958" spans="1:7" x14ac:dyDescent="0.25">
      <c r="A958">
        <v>1.54</v>
      </c>
      <c r="B958">
        <v>3.59</v>
      </c>
      <c r="C958" t="str">
        <f>CONCATENATE(Таблица258[[#This Row],[Столбец1]],Таблица258[[#This Row],[Столбец2]])</f>
        <v>1,543,59</v>
      </c>
      <c r="E958">
        <v>1.54</v>
      </c>
      <c r="F958">
        <v>3.59</v>
      </c>
      <c r="G958" t="str">
        <f>CONCATENATE(Таблица271[[#This Row],[Столбец1]],Таблица271[[#This Row],[Столбец2]])</f>
        <v>1,543,59</v>
      </c>
    </row>
    <row r="959" spans="1:7" x14ac:dyDescent="0.25">
      <c r="A959">
        <v>1.54</v>
      </c>
      <c r="B959">
        <v>3.59</v>
      </c>
      <c r="C959" t="str">
        <f>CONCATENATE(Таблица258[[#This Row],[Столбец1]],Таблица258[[#This Row],[Столбец2]])</f>
        <v>1,543,59</v>
      </c>
      <c r="E959">
        <v>1.54</v>
      </c>
      <c r="F959">
        <v>3.59</v>
      </c>
      <c r="G959" t="str">
        <f>CONCATENATE(Таблица271[[#This Row],[Столбец1]],Таблица271[[#This Row],[Столбец2]])</f>
        <v>1,543,59</v>
      </c>
    </row>
    <row r="960" spans="1:7" x14ac:dyDescent="0.25">
      <c r="A960">
        <v>1.47</v>
      </c>
      <c r="B960">
        <v>3.6</v>
      </c>
      <c r="C960" t="str">
        <f>CONCATENATE(Таблица258[[#This Row],[Столбец1]],Таблица258[[#This Row],[Столбец2]])</f>
        <v>1,473,6</v>
      </c>
      <c r="E960">
        <v>1.47</v>
      </c>
      <c r="F960">
        <v>3.6</v>
      </c>
      <c r="G960" t="str">
        <f>CONCATENATE(Таблица271[[#This Row],[Столбец1]],Таблица271[[#This Row],[Столбец2]])</f>
        <v>1,473,6</v>
      </c>
    </row>
    <row r="961" spans="1:7" x14ac:dyDescent="0.25">
      <c r="A961">
        <v>1.47</v>
      </c>
      <c r="B961">
        <v>3.6</v>
      </c>
      <c r="C961" t="str">
        <f>CONCATENATE(Таблица258[[#This Row],[Столбец1]],Таблица258[[#This Row],[Столбец2]])</f>
        <v>1,473,6</v>
      </c>
      <c r="E961">
        <v>1.47</v>
      </c>
      <c r="F961">
        <v>3.6</v>
      </c>
      <c r="G961" t="str">
        <f>CONCATENATE(Таблица271[[#This Row],[Столбец1]],Таблица271[[#This Row],[Столбец2]])</f>
        <v>1,473,6</v>
      </c>
    </row>
    <row r="962" spans="1:7" x14ac:dyDescent="0.25">
      <c r="A962">
        <v>1.47</v>
      </c>
      <c r="B962">
        <v>3.6</v>
      </c>
      <c r="C962" t="str">
        <f>CONCATENATE(Таблица258[[#This Row],[Столбец1]],Таблица258[[#This Row],[Столбец2]])</f>
        <v>1,473,6</v>
      </c>
      <c r="E962">
        <v>1.47</v>
      </c>
      <c r="F962">
        <v>3.6</v>
      </c>
      <c r="G962" t="str">
        <f>CONCATENATE(Таблица271[[#This Row],[Столбец1]],Таблица271[[#This Row],[Столбец2]])</f>
        <v>1,473,6</v>
      </c>
    </row>
    <row r="963" spans="1:7" x14ac:dyDescent="0.25">
      <c r="A963">
        <v>1.47</v>
      </c>
      <c r="B963">
        <v>3.6</v>
      </c>
      <c r="C963" t="str">
        <f>CONCATENATE(Таблица258[[#This Row],[Столбец1]],Таблица258[[#This Row],[Столбец2]])</f>
        <v>1,473,6</v>
      </c>
      <c r="E963">
        <v>1.47</v>
      </c>
      <c r="F963">
        <v>3.6</v>
      </c>
      <c r="G963" t="str">
        <f>CONCATENATE(Таблица271[[#This Row],[Столбец1]],Таблица271[[#This Row],[Столбец2]])</f>
        <v>1,473,6</v>
      </c>
    </row>
    <row r="964" spans="1:7" x14ac:dyDescent="0.25">
      <c r="A964">
        <v>1.47</v>
      </c>
      <c r="B964">
        <v>3.6</v>
      </c>
      <c r="C964" t="str">
        <f>CONCATENATE(Таблица258[[#This Row],[Столбец1]],Таблица258[[#This Row],[Столбец2]])</f>
        <v>1,473,6</v>
      </c>
      <c r="E964">
        <v>1.47</v>
      </c>
      <c r="F964">
        <v>3.6</v>
      </c>
      <c r="G964" t="str">
        <f>CONCATENATE(Таблица271[[#This Row],[Столбец1]],Таблица271[[#This Row],[Столбец2]])</f>
        <v>1,473,6</v>
      </c>
    </row>
    <row r="965" spans="1:7" x14ac:dyDescent="0.25">
      <c r="A965">
        <v>1.47</v>
      </c>
      <c r="B965">
        <v>3.6</v>
      </c>
      <c r="C965" t="str">
        <f>CONCATENATE(Таблица258[[#This Row],[Столбец1]],Таблица258[[#This Row],[Столбец2]])</f>
        <v>1,473,6</v>
      </c>
      <c r="E965">
        <v>1.47</v>
      </c>
      <c r="F965">
        <v>3.6</v>
      </c>
      <c r="G965" t="str">
        <f>CONCATENATE(Таблица271[[#This Row],[Столбец1]],Таблица271[[#This Row],[Столбец2]])</f>
        <v>1,473,6</v>
      </c>
    </row>
    <row r="966" spans="1:7" x14ac:dyDescent="0.25">
      <c r="A966">
        <v>1.48</v>
      </c>
      <c r="B966">
        <v>3.6</v>
      </c>
      <c r="C966" t="str">
        <f>CONCATENATE(Таблица258[[#This Row],[Столбец1]],Таблица258[[#This Row],[Столбец2]])</f>
        <v>1,483,6</v>
      </c>
      <c r="E966">
        <v>1.48</v>
      </c>
      <c r="F966">
        <v>3.6</v>
      </c>
      <c r="G966" t="str">
        <f>CONCATENATE(Таблица271[[#This Row],[Столбец1]],Таблица271[[#This Row],[Столбец2]])</f>
        <v>1,483,6</v>
      </c>
    </row>
    <row r="967" spans="1:7" x14ac:dyDescent="0.25">
      <c r="A967">
        <v>1.48</v>
      </c>
      <c r="B967">
        <v>3.6</v>
      </c>
      <c r="C967" t="str">
        <f>CONCATENATE(Таблица258[[#This Row],[Столбец1]],Таблица258[[#This Row],[Столбец2]])</f>
        <v>1,483,6</v>
      </c>
      <c r="E967">
        <v>1.48</v>
      </c>
      <c r="F967">
        <v>3.6</v>
      </c>
      <c r="G967" t="str">
        <f>CONCATENATE(Таблица271[[#This Row],[Столбец1]],Таблица271[[#This Row],[Столбец2]])</f>
        <v>1,483,6</v>
      </c>
    </row>
    <row r="968" spans="1:7" x14ac:dyDescent="0.25">
      <c r="A968">
        <v>1.48</v>
      </c>
      <c r="B968">
        <v>3.6</v>
      </c>
      <c r="C968" t="str">
        <f>CONCATENATE(Таблица258[[#This Row],[Столбец1]],Таблица258[[#This Row],[Столбец2]])</f>
        <v>1,483,6</v>
      </c>
      <c r="E968">
        <v>1.48</v>
      </c>
      <c r="F968">
        <v>3.6</v>
      </c>
      <c r="G968" t="str">
        <f>CONCATENATE(Таблица271[[#This Row],[Столбец1]],Таблица271[[#This Row],[Столбец2]])</f>
        <v>1,483,6</v>
      </c>
    </row>
    <row r="969" spans="1:7" x14ac:dyDescent="0.25">
      <c r="A969">
        <v>1.48</v>
      </c>
      <c r="B969">
        <v>3.6</v>
      </c>
      <c r="C969" t="str">
        <f>CONCATENATE(Таблица258[[#This Row],[Столбец1]],Таблица258[[#This Row],[Столбец2]])</f>
        <v>1,483,6</v>
      </c>
      <c r="E969">
        <v>1.48</v>
      </c>
      <c r="F969">
        <v>3.6</v>
      </c>
      <c r="G969" t="str">
        <f>CONCATENATE(Таблица271[[#This Row],[Столбец1]],Таблица271[[#This Row],[Столбец2]])</f>
        <v>1,483,6</v>
      </c>
    </row>
    <row r="970" spans="1:7" x14ac:dyDescent="0.25">
      <c r="A970">
        <v>1.48</v>
      </c>
      <c r="B970">
        <v>3.6</v>
      </c>
      <c r="C970" t="str">
        <f>CONCATENATE(Таблица258[[#This Row],[Столбец1]],Таблица258[[#This Row],[Столбец2]])</f>
        <v>1,483,6</v>
      </c>
      <c r="E970">
        <v>1.48</v>
      </c>
      <c r="F970">
        <v>3.6</v>
      </c>
      <c r="G970" t="str">
        <f>CONCATENATE(Таблица271[[#This Row],[Столбец1]],Таблица271[[#This Row],[Столбец2]])</f>
        <v>1,483,6</v>
      </c>
    </row>
    <row r="971" spans="1:7" x14ac:dyDescent="0.25">
      <c r="A971">
        <v>1.48</v>
      </c>
      <c r="B971">
        <v>3.6</v>
      </c>
      <c r="C971" t="str">
        <f>CONCATENATE(Таблица258[[#This Row],[Столбец1]],Таблица258[[#This Row],[Столбец2]])</f>
        <v>1,483,6</v>
      </c>
      <c r="E971">
        <v>1.48</v>
      </c>
      <c r="F971">
        <v>3.6</v>
      </c>
      <c r="G971" t="str">
        <f>CONCATENATE(Таблица271[[#This Row],[Столбец1]],Таблица271[[#This Row],[Столбец2]])</f>
        <v>1,483,6</v>
      </c>
    </row>
    <row r="972" spans="1:7" x14ac:dyDescent="0.25">
      <c r="A972">
        <v>1.52</v>
      </c>
      <c r="B972">
        <v>3.6</v>
      </c>
      <c r="C972" t="str">
        <f>CONCATENATE(Таблица258[[#This Row],[Столбец1]],Таблица258[[#This Row],[Столбец2]])</f>
        <v>1,523,6</v>
      </c>
      <c r="E972">
        <v>1.52</v>
      </c>
      <c r="F972">
        <v>3.6</v>
      </c>
      <c r="G972" t="str">
        <f>CONCATENATE(Таблица271[[#This Row],[Столбец1]],Таблица271[[#This Row],[Столбец2]])</f>
        <v>1,523,6</v>
      </c>
    </row>
    <row r="973" spans="1:7" x14ac:dyDescent="0.25">
      <c r="A973">
        <v>1.52</v>
      </c>
      <c r="B973">
        <v>3.6</v>
      </c>
      <c r="C973" t="str">
        <f>CONCATENATE(Таблица258[[#This Row],[Столбец1]],Таблица258[[#This Row],[Столбец2]])</f>
        <v>1,523,6</v>
      </c>
      <c r="E973">
        <v>1.52</v>
      </c>
      <c r="F973">
        <v>3.6</v>
      </c>
      <c r="G973" t="str">
        <f>CONCATENATE(Таблица271[[#This Row],[Столбец1]],Таблица271[[#This Row],[Столбец2]])</f>
        <v>1,523,6</v>
      </c>
    </row>
    <row r="974" spans="1:7" x14ac:dyDescent="0.25">
      <c r="A974">
        <v>1.52</v>
      </c>
      <c r="B974">
        <v>3.6</v>
      </c>
      <c r="C974" t="str">
        <f>CONCATENATE(Таблица258[[#This Row],[Столбец1]],Таблица258[[#This Row],[Столбец2]])</f>
        <v>1,523,6</v>
      </c>
      <c r="E974">
        <v>1.52</v>
      </c>
      <c r="F974">
        <v>3.6</v>
      </c>
      <c r="G974" t="str">
        <f>CONCATENATE(Таблица271[[#This Row],[Столбец1]],Таблица271[[#This Row],[Столбец2]])</f>
        <v>1,523,6</v>
      </c>
    </row>
    <row r="975" spans="1:7" x14ac:dyDescent="0.25">
      <c r="A975">
        <v>1.52</v>
      </c>
      <c r="B975">
        <v>3.6</v>
      </c>
      <c r="C975" t="str">
        <f>CONCATENATE(Таблица258[[#This Row],[Столбец1]],Таблица258[[#This Row],[Столбец2]])</f>
        <v>1,523,6</v>
      </c>
      <c r="E975">
        <v>1.52</v>
      </c>
      <c r="F975">
        <v>3.6</v>
      </c>
      <c r="G975" t="str">
        <f>CONCATENATE(Таблица271[[#This Row],[Столбец1]],Таблица271[[#This Row],[Столбец2]])</f>
        <v>1,523,6</v>
      </c>
    </row>
    <row r="976" spans="1:7" x14ac:dyDescent="0.25">
      <c r="A976">
        <v>1.52</v>
      </c>
      <c r="B976">
        <v>3.6</v>
      </c>
      <c r="C976" t="str">
        <f>CONCATENATE(Таблица258[[#This Row],[Столбец1]],Таблица258[[#This Row],[Столбец2]])</f>
        <v>1,523,6</v>
      </c>
      <c r="E976">
        <v>1.52</v>
      </c>
      <c r="F976">
        <v>3.6</v>
      </c>
      <c r="G976" t="str">
        <f>CONCATENATE(Таблица271[[#This Row],[Столбец1]],Таблица271[[#This Row],[Столбец2]])</f>
        <v>1,523,6</v>
      </c>
    </row>
    <row r="977" spans="1:7" x14ac:dyDescent="0.25">
      <c r="A977">
        <v>1.52</v>
      </c>
      <c r="B977">
        <v>3.6</v>
      </c>
      <c r="C977" t="str">
        <f>CONCATENATE(Таблица258[[#This Row],[Столбец1]],Таблица258[[#This Row],[Столбец2]])</f>
        <v>1,523,6</v>
      </c>
      <c r="E977">
        <v>1.52</v>
      </c>
      <c r="F977">
        <v>3.6</v>
      </c>
      <c r="G977" t="str">
        <f>CONCATENATE(Таблица271[[#This Row],[Столбец1]],Таблица271[[#This Row],[Столбец2]])</f>
        <v>1,523,6</v>
      </c>
    </row>
    <row r="978" spans="1:7" x14ac:dyDescent="0.25">
      <c r="A978">
        <v>1.53</v>
      </c>
      <c r="B978">
        <v>3.6</v>
      </c>
      <c r="C978" t="str">
        <f>CONCATENATE(Таблица258[[#This Row],[Столбец1]],Таблица258[[#This Row],[Столбец2]])</f>
        <v>1,533,6</v>
      </c>
      <c r="E978">
        <v>1.53</v>
      </c>
      <c r="F978">
        <v>3.6</v>
      </c>
      <c r="G978" t="str">
        <f>CONCATENATE(Таблица271[[#This Row],[Столбец1]],Таблица271[[#This Row],[Столбец2]])</f>
        <v>1,533,6</v>
      </c>
    </row>
    <row r="979" spans="1:7" x14ac:dyDescent="0.25">
      <c r="A979">
        <v>1.53</v>
      </c>
      <c r="B979">
        <v>3.6</v>
      </c>
      <c r="C979" t="str">
        <f>CONCATENATE(Таблица258[[#This Row],[Столбец1]],Таблица258[[#This Row],[Столбец2]])</f>
        <v>1,533,6</v>
      </c>
      <c r="E979">
        <v>1.53</v>
      </c>
      <c r="F979">
        <v>3.6</v>
      </c>
      <c r="G979" t="str">
        <f>CONCATENATE(Таблица271[[#This Row],[Столбец1]],Таблица271[[#This Row],[Столбец2]])</f>
        <v>1,533,6</v>
      </c>
    </row>
    <row r="980" spans="1:7" x14ac:dyDescent="0.25">
      <c r="A980">
        <v>1.53</v>
      </c>
      <c r="B980">
        <v>3.6</v>
      </c>
      <c r="C980" t="str">
        <f>CONCATENATE(Таблица258[[#This Row],[Столбец1]],Таблица258[[#This Row],[Столбец2]])</f>
        <v>1,533,6</v>
      </c>
      <c r="E980">
        <v>1.53</v>
      </c>
      <c r="F980">
        <v>3.6</v>
      </c>
      <c r="G980" t="str">
        <f>CONCATENATE(Таблица271[[#This Row],[Столбец1]],Таблица271[[#This Row],[Столбец2]])</f>
        <v>1,533,6</v>
      </c>
    </row>
    <row r="981" spans="1:7" x14ac:dyDescent="0.25">
      <c r="A981">
        <v>1.53</v>
      </c>
      <c r="B981">
        <v>3.6</v>
      </c>
      <c r="C981" t="str">
        <f>CONCATENATE(Таблица258[[#This Row],[Столбец1]],Таблица258[[#This Row],[Столбец2]])</f>
        <v>1,533,6</v>
      </c>
      <c r="E981">
        <v>1.53</v>
      </c>
      <c r="F981">
        <v>3.6</v>
      </c>
      <c r="G981" t="str">
        <f>CONCATENATE(Таблица271[[#This Row],[Столбец1]],Таблица271[[#This Row],[Столбец2]])</f>
        <v>1,533,6</v>
      </c>
    </row>
    <row r="982" spans="1:7" x14ac:dyDescent="0.25">
      <c r="A982">
        <v>1.53</v>
      </c>
      <c r="B982">
        <v>3.6</v>
      </c>
      <c r="C982" t="str">
        <f>CONCATENATE(Таблица258[[#This Row],[Столбец1]],Таблица258[[#This Row],[Столбец2]])</f>
        <v>1,533,6</v>
      </c>
      <c r="E982">
        <v>1.53</v>
      </c>
      <c r="F982">
        <v>3.6</v>
      </c>
      <c r="G982" t="str">
        <f>CONCATENATE(Таблица271[[#This Row],[Столбец1]],Таблица271[[#This Row],[Столбец2]])</f>
        <v>1,533,6</v>
      </c>
    </row>
    <row r="983" spans="1:7" x14ac:dyDescent="0.25">
      <c r="A983">
        <v>1.53</v>
      </c>
      <c r="B983">
        <v>3.6</v>
      </c>
      <c r="C983" t="str">
        <f>CONCATENATE(Таблица258[[#This Row],[Столбец1]],Таблица258[[#This Row],[Столбец2]])</f>
        <v>1,533,6</v>
      </c>
      <c r="E983">
        <v>1.53</v>
      </c>
      <c r="F983">
        <v>3.6</v>
      </c>
      <c r="G983" t="str">
        <f>CONCATENATE(Таблица271[[#This Row],[Столбец1]],Таблица271[[#This Row],[Столбец2]])</f>
        <v>1,533,6</v>
      </c>
    </row>
    <row r="984" spans="1:7" x14ac:dyDescent="0.25">
      <c r="A984">
        <v>1.49</v>
      </c>
      <c r="B984">
        <v>3.61</v>
      </c>
      <c r="C984" t="str">
        <f>CONCATENATE(Таблица258[[#This Row],[Столбец1]],Таблица258[[#This Row],[Столбец2]])</f>
        <v>1,493,61</v>
      </c>
      <c r="E984">
        <v>1.49</v>
      </c>
      <c r="F984">
        <v>3.61</v>
      </c>
      <c r="G984" t="str">
        <f>CONCATENATE(Таблица271[[#This Row],[Столбец1]],Таблица271[[#This Row],[Столбец2]])</f>
        <v>1,493,61</v>
      </c>
    </row>
    <row r="985" spans="1:7" x14ac:dyDescent="0.25">
      <c r="A985">
        <v>1.49</v>
      </c>
      <c r="B985">
        <v>3.61</v>
      </c>
      <c r="C985" t="str">
        <f>CONCATENATE(Таблица258[[#This Row],[Столбец1]],Таблица258[[#This Row],[Столбец2]])</f>
        <v>1,493,61</v>
      </c>
      <c r="E985">
        <v>1.49</v>
      </c>
      <c r="F985">
        <v>3.61</v>
      </c>
      <c r="G985" t="str">
        <f>CONCATENATE(Таблица271[[#This Row],[Столбец1]],Таблица271[[#This Row],[Столбец2]])</f>
        <v>1,493,61</v>
      </c>
    </row>
    <row r="986" spans="1:7" x14ac:dyDescent="0.25">
      <c r="A986">
        <v>1.49</v>
      </c>
      <c r="B986">
        <v>3.61</v>
      </c>
      <c r="C986" t="str">
        <f>CONCATENATE(Таблица258[[#This Row],[Столбец1]],Таблица258[[#This Row],[Столбец2]])</f>
        <v>1,493,61</v>
      </c>
      <c r="E986">
        <v>1.49</v>
      </c>
      <c r="F986">
        <v>3.61</v>
      </c>
      <c r="G986" t="str">
        <f>CONCATENATE(Таблица271[[#This Row],[Столбец1]],Таблица271[[#This Row],[Столбец2]])</f>
        <v>1,493,61</v>
      </c>
    </row>
    <row r="987" spans="1:7" x14ac:dyDescent="0.25">
      <c r="A987">
        <v>1.49</v>
      </c>
      <c r="B987">
        <v>3.61</v>
      </c>
      <c r="C987" t="str">
        <f>CONCATENATE(Таблица258[[#This Row],[Столбец1]],Таблица258[[#This Row],[Столбец2]])</f>
        <v>1,493,61</v>
      </c>
      <c r="E987">
        <v>1.49</v>
      </c>
      <c r="F987">
        <v>3.61</v>
      </c>
      <c r="G987" t="str">
        <f>CONCATENATE(Таблица271[[#This Row],[Столбец1]],Таблица271[[#This Row],[Столбец2]])</f>
        <v>1,493,61</v>
      </c>
    </row>
    <row r="988" spans="1:7" x14ac:dyDescent="0.25">
      <c r="A988">
        <v>1.49</v>
      </c>
      <c r="B988">
        <v>3.61</v>
      </c>
      <c r="C988" t="str">
        <f>CONCATENATE(Таблица258[[#This Row],[Столбец1]],Таблица258[[#This Row],[Столбец2]])</f>
        <v>1,493,61</v>
      </c>
      <c r="E988">
        <v>1.49</v>
      </c>
      <c r="F988">
        <v>3.61</v>
      </c>
      <c r="G988" t="str">
        <f>CONCATENATE(Таблица271[[#This Row],[Столбец1]],Таблица271[[#This Row],[Столбец2]])</f>
        <v>1,493,61</v>
      </c>
    </row>
    <row r="989" spans="1:7" x14ac:dyDescent="0.25">
      <c r="A989">
        <v>1.49</v>
      </c>
      <c r="B989">
        <v>3.61</v>
      </c>
      <c r="C989" t="str">
        <f>CONCATENATE(Таблица258[[#This Row],[Столбец1]],Таблица258[[#This Row],[Столбец2]])</f>
        <v>1,493,61</v>
      </c>
      <c r="E989">
        <v>1.49</v>
      </c>
      <c r="F989">
        <v>3.61</v>
      </c>
      <c r="G989" t="str">
        <f>CONCATENATE(Таблица271[[#This Row],[Столбец1]],Таблица271[[#This Row],[Столбец2]])</f>
        <v>1,493,61</v>
      </c>
    </row>
    <row r="990" spans="1:7" x14ac:dyDescent="0.25">
      <c r="A990">
        <v>1.51</v>
      </c>
      <c r="B990">
        <v>3.61</v>
      </c>
      <c r="C990" t="str">
        <f>CONCATENATE(Таблица258[[#This Row],[Столбец1]],Таблица258[[#This Row],[Столбец2]])</f>
        <v>1,513,61</v>
      </c>
      <c r="E990">
        <v>1.51</v>
      </c>
      <c r="F990">
        <v>3.61</v>
      </c>
      <c r="G990" t="str">
        <f>CONCATENATE(Таблица271[[#This Row],[Столбец1]],Таблица271[[#This Row],[Столбец2]])</f>
        <v>1,513,61</v>
      </c>
    </row>
    <row r="991" spans="1:7" x14ac:dyDescent="0.25">
      <c r="A991">
        <v>1.51</v>
      </c>
      <c r="B991">
        <v>3.61</v>
      </c>
      <c r="C991" t="str">
        <f>CONCATENATE(Таблица258[[#This Row],[Столбец1]],Таблица258[[#This Row],[Столбец2]])</f>
        <v>1,513,61</v>
      </c>
      <c r="E991">
        <v>1.51</v>
      </c>
      <c r="F991">
        <v>3.61</v>
      </c>
      <c r="G991" t="str">
        <f>CONCATENATE(Таблица271[[#This Row],[Столбец1]],Таблица271[[#This Row],[Столбец2]])</f>
        <v>1,513,61</v>
      </c>
    </row>
    <row r="992" spans="1:7" x14ac:dyDescent="0.25">
      <c r="A992">
        <v>1.51</v>
      </c>
      <c r="B992">
        <v>3.61</v>
      </c>
      <c r="C992" t="str">
        <f>CONCATENATE(Таблица258[[#This Row],[Столбец1]],Таблица258[[#This Row],[Столбец2]])</f>
        <v>1,513,61</v>
      </c>
      <c r="E992">
        <v>1.51</v>
      </c>
      <c r="F992">
        <v>3.61</v>
      </c>
      <c r="G992" t="str">
        <f>CONCATENATE(Таблица271[[#This Row],[Столбец1]],Таблица271[[#This Row],[Столбец2]])</f>
        <v>1,513,61</v>
      </c>
    </row>
    <row r="993" spans="1:7" x14ac:dyDescent="0.25">
      <c r="A993">
        <v>1.51</v>
      </c>
      <c r="B993">
        <v>3.61</v>
      </c>
      <c r="C993" t="str">
        <f>CONCATENATE(Таблица258[[#This Row],[Столбец1]],Таблица258[[#This Row],[Столбец2]])</f>
        <v>1,513,61</v>
      </c>
      <c r="E993">
        <v>1.51</v>
      </c>
      <c r="F993">
        <v>3.61</v>
      </c>
      <c r="G993" t="str">
        <f>CONCATENATE(Таблица271[[#This Row],[Столбец1]],Таблица271[[#This Row],[Столбец2]])</f>
        <v>1,513,61</v>
      </c>
    </row>
    <row r="994" spans="1:7" x14ac:dyDescent="0.25">
      <c r="A994">
        <v>1.51</v>
      </c>
      <c r="B994">
        <v>3.61</v>
      </c>
      <c r="C994" t="str">
        <f>CONCATENATE(Таблица258[[#This Row],[Столбец1]],Таблица258[[#This Row],[Столбец2]])</f>
        <v>1,513,61</v>
      </c>
      <c r="E994">
        <v>1.51</v>
      </c>
      <c r="F994">
        <v>3.61</v>
      </c>
      <c r="G994" t="str">
        <f>CONCATENATE(Таблица271[[#This Row],[Столбец1]],Таблица271[[#This Row],[Столбец2]])</f>
        <v>1,513,61</v>
      </c>
    </row>
    <row r="995" spans="1:7" x14ac:dyDescent="0.25">
      <c r="A995">
        <v>1.51</v>
      </c>
      <c r="B995">
        <v>3.61</v>
      </c>
      <c r="C995" t="str">
        <f>CONCATENATE(Таблица258[[#This Row],[Столбец1]],Таблица258[[#This Row],[Столбец2]])</f>
        <v>1,513,61</v>
      </c>
      <c r="E995">
        <v>1.51</v>
      </c>
      <c r="F995">
        <v>3.61</v>
      </c>
      <c r="G995" t="str">
        <f>CONCATENATE(Таблица271[[#This Row],[Столбец1]],Таблица271[[#This Row],[Столбец2]])</f>
        <v>1,513,61</v>
      </c>
    </row>
    <row r="996" spans="1:7" x14ac:dyDescent="0.25">
      <c r="A996">
        <v>1.5</v>
      </c>
      <c r="B996">
        <v>3.62</v>
      </c>
      <c r="C996" t="str">
        <f>CONCATENATE(Таблица258[[#This Row],[Столбец1]],Таблица258[[#This Row],[Столбец2]])</f>
        <v>1,53,62</v>
      </c>
      <c r="E996">
        <v>1.5</v>
      </c>
      <c r="F996">
        <v>3.62</v>
      </c>
      <c r="G996" t="str">
        <f>CONCATENATE(Таблица271[[#This Row],[Столбец1]],Таблица271[[#This Row],[Столбец2]])</f>
        <v>1,53,62</v>
      </c>
    </row>
    <row r="997" spans="1:7" x14ac:dyDescent="0.25">
      <c r="A997">
        <v>1.5</v>
      </c>
      <c r="B997">
        <v>3.62</v>
      </c>
      <c r="C997" t="str">
        <f>CONCATENATE(Таблица258[[#This Row],[Столбец1]],Таблица258[[#This Row],[Столбец2]])</f>
        <v>1,53,62</v>
      </c>
      <c r="E997">
        <v>1.5</v>
      </c>
      <c r="F997">
        <v>3.62</v>
      </c>
      <c r="G997" t="str">
        <f>CONCATENATE(Таблица271[[#This Row],[Столбец1]],Таблица271[[#This Row],[Столбец2]])</f>
        <v>1,53,62</v>
      </c>
    </row>
    <row r="998" spans="1:7" x14ac:dyDescent="0.25">
      <c r="A998">
        <v>1.5</v>
      </c>
      <c r="B998">
        <v>3.62</v>
      </c>
      <c r="C998" t="str">
        <f>CONCATENATE(Таблица258[[#This Row],[Столбец1]],Таблица258[[#This Row],[Столбец2]])</f>
        <v>1,53,62</v>
      </c>
      <c r="E998">
        <v>1.5</v>
      </c>
      <c r="F998">
        <v>3.62</v>
      </c>
      <c r="G998" t="str">
        <f>CONCATENATE(Таблица271[[#This Row],[Столбец1]],Таблица271[[#This Row],[Столбец2]])</f>
        <v>1,53,62</v>
      </c>
    </row>
    <row r="999" spans="1:7" x14ac:dyDescent="0.25">
      <c r="A999">
        <v>1.5</v>
      </c>
      <c r="B999">
        <v>3.62</v>
      </c>
      <c r="C999" t="str">
        <f>CONCATENATE(Таблица258[[#This Row],[Столбец1]],Таблица258[[#This Row],[Столбец2]])</f>
        <v>1,53,62</v>
      </c>
      <c r="E999">
        <v>1.5</v>
      </c>
      <c r="F999">
        <v>3.62</v>
      </c>
      <c r="G999" t="str">
        <f>CONCATENATE(Таблица271[[#This Row],[Столбец1]],Таблица271[[#This Row],[Столбец2]])</f>
        <v>1,53,62</v>
      </c>
    </row>
    <row r="1000" spans="1:7" x14ac:dyDescent="0.25">
      <c r="A1000">
        <v>1.5</v>
      </c>
      <c r="B1000">
        <v>3.62</v>
      </c>
      <c r="C1000" t="str">
        <f>CONCATENATE(Таблица258[[#This Row],[Столбец1]],Таблица258[[#This Row],[Столбец2]])</f>
        <v>1,53,62</v>
      </c>
      <c r="E1000">
        <v>1.5</v>
      </c>
      <c r="F1000">
        <v>3.62</v>
      </c>
      <c r="G1000" t="str">
        <f>CONCATENATE(Таблица271[[#This Row],[Столбец1]],Таблица271[[#This Row],[Столбец2]])</f>
        <v>1,53,62</v>
      </c>
    </row>
    <row r="1001" spans="1:7" x14ac:dyDescent="0.25">
      <c r="A1001">
        <v>1.5</v>
      </c>
      <c r="B1001">
        <v>3.62</v>
      </c>
      <c r="C1001" t="str">
        <f>CONCATENATE(Таблица258[[#This Row],[Столбец1]],Таблица258[[#This Row],[Столбец2]])</f>
        <v>1,53,62</v>
      </c>
      <c r="E1001">
        <v>1.5</v>
      </c>
      <c r="F1001">
        <v>3.62</v>
      </c>
      <c r="G1001" t="str">
        <f>CONCATENATE(Таблица271[[#This Row],[Столбец1]],Таблица271[[#This Row],[Столбец2]])</f>
        <v>1,53,62</v>
      </c>
    </row>
  </sheetData>
  <phoneticPr fontId="31" type="noConversion"/>
  <conditionalFormatting sqref="C2:C1001">
    <cfRule type="duplicateValues" dxfId="742" priority="1"/>
  </conditionalFormatting>
  <pageMargins left="0.7" right="0.7" top="0.75" bottom="0.75" header="0.3" footer="0.3"/>
  <pageSetup paperSize="9" orientation="portrait" horizontalDpi="300" verticalDpi="300" r:id="rId1"/>
  <tableParts count="2">
    <tablePart r:id="rId2"/>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Лист1411"/>
  <dimension ref="B1:L28"/>
  <sheetViews>
    <sheetView topLeftCell="A9" zoomScale="130" zoomScaleNormal="130" workbookViewId="0">
      <selection activeCell="L19" sqref="L19"/>
    </sheetView>
  </sheetViews>
  <sheetFormatPr defaultColWidth="9.140625" defaultRowHeight="15" outlineLevelRow="1" x14ac:dyDescent="0.25"/>
  <cols>
    <col min="1" max="1" width="9.140625" customWidth="1"/>
    <col min="2" max="2" width="4.7109375" customWidth="1"/>
    <col min="3" max="3" width="11.85546875" customWidth="1"/>
    <col min="4" max="4" width="10.85546875" customWidth="1"/>
    <col min="5" max="6" width="8.85546875" hidden="1" customWidth="1"/>
    <col min="7" max="7" width="19.85546875" hidden="1" customWidth="1"/>
    <col min="8" max="8" width="6.85546875" hidden="1" customWidth="1"/>
    <col min="9" max="9" width="9.140625" customWidth="1"/>
    <col min="10" max="13" width="11.28515625" customWidth="1"/>
    <col min="14" max="14" width="6" customWidth="1"/>
  </cols>
  <sheetData>
    <row r="1" spans="2:12" hidden="1" outlineLevel="1" x14ac:dyDescent="0.25">
      <c r="D1" s="124" t="s">
        <v>461</v>
      </c>
      <c r="E1" s="124" t="s">
        <v>461</v>
      </c>
      <c r="F1" s="124" t="s">
        <v>461</v>
      </c>
      <c r="H1" s="124" t="s">
        <v>461</v>
      </c>
    </row>
    <row r="2" spans="2:12" hidden="1" outlineLevel="1" x14ac:dyDescent="0.25">
      <c r="C2" t="s">
        <v>364</v>
      </c>
      <c r="E2">
        <f>ROWS(Свёртка_Подбор_2[])</f>
        <v>6</v>
      </c>
    </row>
    <row r="3" spans="2:12" hidden="1" outlineLevel="1" x14ac:dyDescent="0.25">
      <c r="C3" t="s">
        <v>365</v>
      </c>
      <c r="E3">
        <f ca="1">COUNTIF(Свёртка_Подбор_2[Свёртка],"&gt;=1")-COUNTIF(Свёртка_Подбор_2[Свёртка],"&gt;4")</f>
        <v>1</v>
      </c>
    </row>
    <row r="4" spans="2:12" hidden="1" outlineLevel="1" x14ac:dyDescent="0.25">
      <c r="C4" t="s">
        <v>447</v>
      </c>
      <c r="E4">
        <f ca="1">COUNTIF(Свёртка_Подбор_2[O.K.Свёртка],1)</f>
        <v>1</v>
      </c>
    </row>
    <row r="5" spans="2:12" hidden="1" outlineLevel="1" x14ac:dyDescent="0.25"/>
    <row r="6" spans="2:12" hidden="1" outlineLevel="1" x14ac:dyDescent="0.25">
      <c r="D6">
        <f>C6+1</f>
        <v>1</v>
      </c>
      <c r="E6">
        <f>D6+1</f>
        <v>2</v>
      </c>
      <c r="F6">
        <f t="shared" ref="F6:H8" si="0">E6+1</f>
        <v>3</v>
      </c>
      <c r="G6">
        <f t="shared" si="0"/>
        <v>4</v>
      </c>
      <c r="H6">
        <v>-3</v>
      </c>
    </row>
    <row r="7" spans="2:12" hidden="1" outlineLevel="1" x14ac:dyDescent="0.25">
      <c r="D7">
        <f>C7+1</f>
        <v>1</v>
      </c>
      <c r="E7">
        <f>D7+1</f>
        <v>2</v>
      </c>
      <c r="F7">
        <f t="shared" si="0"/>
        <v>3</v>
      </c>
      <c r="G7">
        <f t="shared" si="0"/>
        <v>4</v>
      </c>
      <c r="H7">
        <v>0</v>
      </c>
    </row>
    <row r="8" spans="2:12" ht="15.75" hidden="1" outlineLevel="1" thickBot="1" x14ac:dyDescent="0.3">
      <c r="G8">
        <f t="shared" si="0"/>
        <v>1</v>
      </c>
      <c r="H8">
        <f t="shared" si="0"/>
        <v>2</v>
      </c>
    </row>
    <row r="9" spans="2:12" ht="15.75" outlineLevel="1" thickBot="1" x14ac:dyDescent="0.3"/>
    <row r="10" spans="2:12" ht="15.75" thickBot="1" x14ac:dyDescent="0.3">
      <c r="B10" s="88" t="s">
        <v>395</v>
      </c>
      <c r="C10" s="89" t="s">
        <v>411</v>
      </c>
      <c r="D10" s="89" t="s">
        <v>414</v>
      </c>
      <c r="E10" s="89" t="s">
        <v>412</v>
      </c>
      <c r="F10" s="89" t="s">
        <v>413</v>
      </c>
      <c r="G10" s="89" t="s">
        <v>456</v>
      </c>
      <c r="H10" s="89" t="s">
        <v>457</v>
      </c>
      <c r="I10" s="89" t="s">
        <v>448</v>
      </c>
      <c r="J10" s="89" t="s">
        <v>415</v>
      </c>
    </row>
    <row r="11" spans="2:12" x14ac:dyDescent="0.25">
      <c r="B11" s="66">
        <f ca="1">IF(AND(Свёртка_Подбор_2[[#This Row],[Свёртка]]&lt;&gt;"",Свёртка_Подбор_2[[#This Row],[O.K.Свёртка]]=1),ROW()-ROW(Свёртка_Подбор_2[[#Headers],[№]]),"")</f>
        <v>1</v>
      </c>
      <c r="C11" s="84">
        <f ca="1">Модель!CF5</f>
        <v>2.63</v>
      </c>
      <c r="D11" s="85" t="str">
        <f ca="1">IFERROR(IF(AND(Свёртка_Подбор_2[[#This Row],[Свёртка]]&gt;=1,Свёртка_Подбор_2[[#This Row],[Свёртка]]&lt;=4),IF(IFERROR(FIND("!",_xlfn.FORMULATEXT(Свёртка_Подбор_2[[#This Row],[Свёртка]])),"на странице")="на странице",CONCATENATE("R",ROW((INDIRECT(RIGHT(_xlfn.FORMULATEXT(Свёртка_Подбор_2[[#This Row],[Свёртка]]), LEN(_xlfn.FORMULATEXT(Свёртка_Подбор_2[[#This Row],[Свёртка]]))-1),FALSE))),"C",COLUMN((INDIRECT(RIGHT(_xlfn.FORMULATEXT(Свёртка_Подбор_2[[#This Row],[Свёртка]]), LEN(_xlfn.FORMULATEXT(Свёртка_Подбор_2[[#This Row],[Свёртка]]))-1),FALSE)))-D$6),CONCATENATE(RIGHT(LEFT(_xlfn.FORMULATEXT(Свёртка_Подбор_2[[#This Row],[Свёртка]]),FIND("!",_xlfn.FORMULATEXT(Свёртка_Подбор_2[[#This Row],[Свёртка]]))),LEN(LEFT(_xlfn.FORMULATEXT(Свёртка_Подбор_2[[#This Row],[Свёртка]]),FIND("!",_xlfn.FORMULATEXT(Свёртка_Подбор_2[[#This Row],[Свёртка]]))))-1),"R",ROW((INDIRECT(RIGHT(_xlfn.FORMULATEXT(Свёртка_Подбор_2[[#This Row],[Свёртка]]), LEN(_xlfn.FORMULATEXT(Свёртка_Подбор_2[[#This Row],[Свёртка]]))-1),FALSE))),"C",COLUMN((INDIRECT(RIGHT(_xlfn.FORMULATEXT(Свёртка_Подбор_2[[#This Row],[Свёртка]]), LEN(_xlfn.FORMULATEXT(Свёртка_Подбор_2[[#This Row],[Свёртка]]))-1),FALSE)))-D$6)),"ошибка"),"ошибка")</f>
        <v>Модель!R5C84</v>
      </c>
      <c r="E11" s="85" t="str">
        <f ca="1">IFERROR(_xlfn.FORMULATEXT(INDIRECT(Свёртка_Подбор_2[[#This Row],[ССвёртка]],FALSE)),"ошибка")</f>
        <v>=Матрица_Расчёт</v>
      </c>
      <c r="F11" s="85" t="str">
        <f ca="1">IFERROR(IF(LEFT(Свёртка_Подбор_2[[#This Row],[ФСвёртка]],5)="=Прив","ошибка",IF(LEFT(Свёртка_Подбор_2[[#This Row],[ФСвёртка]],5)="=Матр","Свёртка","ошибка")),"ошибка")</f>
        <v>Свёртка</v>
      </c>
      <c r="G11" s="123">
        <f ca="1">IFERROR(IF(LEN((INDIRECT(Свёртка_Подбор_2[[#This Row],[СНаименование]],FALSE)))=0,"ошибка",IFERROR(INDIRECT(Свёртка_Подбор_2[[#This Row],[СНаименование]],FALSE),"ошибка")),"ошибка")</f>
        <v>0</v>
      </c>
      <c r="H11" s="123" t="str">
        <f ca="1">IFERROR(REPLACE(REPLACE(Свёртка_Подбор_2[[#This Row],[ССвёртка]],FIND("C",Свёртка_Подбор_2[[#This Row],[ССвёртка]])+1,LEN(Свёртка_Подбор_2[[#This Row],[ССвёртка]])-FIND("C",Свёртка_Подбор_2[[#This Row],[ССвёртка]]),eval(RIGHT(Свёртка_Подбор_2[[#This Row],[ССвёртка]],LEN(Свёртка_Подбор_2[[#This Row],[ССвёртка]])-FIND("C",Свёртка_Подбор_2[[#This Row],[ССвёртка]])))+H$7),FIND("R",Свёртка_Подбор_2[[#This Row],[ССвёртка]])+1,FIND("C",Свёртка_Подбор_2[[#This Row],[ССвёртка]])-FIND("R",Свёртка_Подбор_2[[#This Row],[ССвёртка]])-1,eval(MID(Свёртка_Подбор_2[[#This Row],[ССвёртка]],FIND("R",Свёртка_Подбор_2[[#This Row],[ССвёртка]])+1,FIND("C",Свёртка_Подбор_2[[#This Row],[ССвёртка]])-1-FIND("R",Свёртка_Подбор_2[[#This Row],[ССвёртка]])))+H$6),"ошибка")</f>
        <v>Модель!R2C84</v>
      </c>
      <c r="I11" s="84">
        <v>3.28</v>
      </c>
      <c r="J11" s="67">
        <f ca="1">IF(AND(Свёртка_Подбор_2[[#This Row],[ВидСвёртка]]="Свёртка",LEN(Свёртка_Подбор_2[[#This Row],[Искомое]])&lt;&gt;0,AND(Свёртка_Подбор_2[[#This Row],[Искомое]]&gt;=1,Свёртка_Подбор_2[[#This Row],[Искомое]]&lt;=4)),1,-1)</f>
        <v>1</v>
      </c>
    </row>
    <row r="12" spans="2:12" x14ac:dyDescent="0.25">
      <c r="B12" s="66" t="str">
        <f ca="1">IF(AND(Свёртка_Подбор_2[[#This Row],[Свёртка]]&lt;&gt;"",Свёртка_Подбор_2[[#This Row],[O.K.Свёртка]]=1),ROW()-ROW(Свёртка_Подбор_2[[#Headers],[№]]),"")</f>
        <v/>
      </c>
      <c r="C12" s="84"/>
      <c r="D12" s="38" t="str">
        <f ca="1">IFERROR(IF(AND(Свёртка_Подбор_2[[#This Row],[Свёртка]]&gt;=1,Свёртка_Подбор_2[[#This Row],[Свёртка]]&lt;=4),IF(IFERROR(FIND("!",_xlfn.FORMULATEXT(Свёртка_Подбор_2[[#This Row],[Свёртка]])),"на странице")="на странице",CONCATENATE("R",ROW((INDIRECT(RIGHT(_xlfn.FORMULATEXT(Свёртка_Подбор_2[[#This Row],[Свёртка]]), LEN(_xlfn.FORMULATEXT(Свёртка_Подбор_2[[#This Row],[Свёртка]]))-1),FALSE))),"C",COLUMN((INDIRECT(RIGHT(_xlfn.FORMULATEXT(Свёртка_Подбор_2[[#This Row],[Свёртка]]), LEN(_xlfn.FORMULATEXT(Свёртка_Подбор_2[[#This Row],[Свёртка]]))-1),FALSE)))-D$6),CONCATENATE(RIGHT(LEFT(_xlfn.FORMULATEXT(Свёртка_Подбор_2[[#This Row],[Свёртка]]),FIND("!",_xlfn.FORMULATEXT(Свёртка_Подбор_2[[#This Row],[Свёртка]]))),LEN(LEFT(_xlfn.FORMULATEXT(Свёртка_Подбор_2[[#This Row],[Свёртка]]),FIND("!",_xlfn.FORMULATEXT(Свёртка_Подбор_2[[#This Row],[Свёртка]]))))-1),"R",ROW((INDIRECT(RIGHT(_xlfn.FORMULATEXT(Свёртка_Подбор_2[[#This Row],[Свёртка]]), LEN(_xlfn.FORMULATEXT(Свёртка_Подбор_2[[#This Row],[Свёртка]]))-1),FALSE))),"C",COLUMN((INDIRECT(RIGHT(_xlfn.FORMULATEXT(Свёртка_Подбор_2[[#This Row],[Свёртка]]), LEN(_xlfn.FORMULATEXT(Свёртка_Подбор_2[[#This Row],[Свёртка]]))-1),FALSE)))-D$6)),"ошибка"),"ошибка")</f>
        <v>ошибка</v>
      </c>
      <c r="E12" s="38" t="str">
        <f ca="1">IFERROR(_xlfn.FORMULATEXT(INDIRECT(Свёртка_Подбор_2[[#This Row],[ССвёртка]],FALSE)),"ошибка")</f>
        <v>ошибка</v>
      </c>
      <c r="F12" t="str">
        <f ca="1">IFERROR(IF(LEFT(Свёртка_Подбор_2[[#This Row],[ФСвёртка]],5)="=Прив","ошибка",IF(LEFT(Свёртка_Подбор_2[[#This Row],[ФСвёртка]],5)="=Матр","Свёртка","ошибка")),"ошибка")</f>
        <v>ошибка</v>
      </c>
      <c r="G12" t="str">
        <f ca="1">IFERROR(IF(LEN((INDIRECT(Свёртка_Подбор_2[[#This Row],[СНаименование]],FALSE)))=0,"ошибка",IFERROR(INDIRECT(Свёртка_Подбор_2[[#This Row],[СНаименование]],FALSE),"ошибка")),"ошибка")</f>
        <v>ошибка</v>
      </c>
      <c r="H12" s="38" t="str">
        <f ca="1">IFERROR(REPLACE(REPLACE(Свёртка_Подбор_2[[#This Row],[ССвёртка]],FIND("C",Свёртка_Подбор_2[[#This Row],[ССвёртка]])+1,LEN(Свёртка_Подбор_2[[#This Row],[ССвёртка]])-FIND("C",Свёртка_Подбор_2[[#This Row],[ССвёртка]]),eval(RIGHT(Свёртка_Подбор_2[[#This Row],[ССвёртка]],LEN(Свёртка_Подбор_2[[#This Row],[ССвёртка]])-FIND("C",Свёртка_Подбор_2[[#This Row],[ССвёртка]])))+H$7),FIND("R",Свёртка_Подбор_2[[#This Row],[ССвёртка]])+1,FIND("C",Свёртка_Подбор_2[[#This Row],[ССвёртка]])-FIND("R",Свёртка_Подбор_2[[#This Row],[ССвёртка]])-1,eval(MID(Свёртка_Подбор_2[[#This Row],[ССвёртка]],FIND("R",Свёртка_Подбор_2[[#This Row],[ССвёртка]])+1,FIND("C",Свёртка_Подбор_2[[#This Row],[ССвёртка]])-1-FIND("R",Свёртка_Подбор_2[[#This Row],[ССвёртка]])))+H$6),"ошибка")</f>
        <v>ошибка</v>
      </c>
      <c r="I12" s="84"/>
      <c r="J12" s="67">
        <f ca="1">IF(AND(Свёртка_Подбор_2[[#This Row],[ВидСвёртка]]="Свёртка",LEN(Свёртка_Подбор_2[[#This Row],[Искомое]])&lt;&gt;0,AND(Свёртка_Подбор_2[[#This Row],[Искомое]]&gt;=1,Свёртка_Подбор_2[[#This Row],[Искомое]]&lt;=4)),1,-1)</f>
        <v>-1</v>
      </c>
    </row>
    <row r="13" spans="2:12" x14ac:dyDescent="0.25">
      <c r="B13" s="131" t="str">
        <f ca="1">IF(AND(Свёртка_Подбор_2[[#This Row],[Свёртка]]&lt;&gt;"",Свёртка_Подбор_2[[#This Row],[O.K.Свёртка]]=1),ROW()-ROW(Свёртка_Подбор_2[[#Headers],[№]]),"")</f>
        <v/>
      </c>
      <c r="C13" s="84"/>
      <c r="D13" s="38" t="str">
        <f ca="1">IFERROR(IF(AND(Свёртка_Подбор_2[[#This Row],[Свёртка]]&gt;=1,Свёртка_Подбор_2[[#This Row],[Свёртка]]&lt;=4),IF(IFERROR(FIND("!",_xlfn.FORMULATEXT(Свёртка_Подбор_2[[#This Row],[Свёртка]])),"на странице")="на странице",CONCATENATE("R",ROW((INDIRECT(RIGHT(_xlfn.FORMULATEXT(Свёртка_Подбор_2[[#This Row],[Свёртка]]), LEN(_xlfn.FORMULATEXT(Свёртка_Подбор_2[[#This Row],[Свёртка]]))-1),FALSE))),"C",COLUMN((INDIRECT(RIGHT(_xlfn.FORMULATEXT(Свёртка_Подбор_2[[#This Row],[Свёртка]]), LEN(_xlfn.FORMULATEXT(Свёртка_Подбор_2[[#This Row],[Свёртка]]))-1),FALSE)))-D$6),CONCATENATE(RIGHT(LEFT(_xlfn.FORMULATEXT(Свёртка_Подбор_2[[#This Row],[Свёртка]]),FIND("!",_xlfn.FORMULATEXT(Свёртка_Подбор_2[[#This Row],[Свёртка]]))),LEN(LEFT(_xlfn.FORMULATEXT(Свёртка_Подбор_2[[#This Row],[Свёртка]]),FIND("!",_xlfn.FORMULATEXT(Свёртка_Подбор_2[[#This Row],[Свёртка]]))))-1),"R",ROW((INDIRECT(RIGHT(_xlfn.FORMULATEXT(Свёртка_Подбор_2[[#This Row],[Свёртка]]), LEN(_xlfn.FORMULATEXT(Свёртка_Подбор_2[[#This Row],[Свёртка]]))-1),FALSE))),"C",COLUMN((INDIRECT(RIGHT(_xlfn.FORMULATEXT(Свёртка_Подбор_2[[#This Row],[Свёртка]]), LEN(_xlfn.FORMULATEXT(Свёртка_Подбор_2[[#This Row],[Свёртка]]))-1),FALSE)))-D$6)),"ошибка"),"ошибка")</f>
        <v>ошибка</v>
      </c>
      <c r="E13" s="38" t="str">
        <f ca="1">IFERROR(_xlfn.FORMULATEXT(INDIRECT(Свёртка_Подбор_2[[#This Row],[ССвёртка]],FALSE)),"ошибка")</f>
        <v>ошибка</v>
      </c>
      <c r="F13" t="str">
        <f ca="1">IFERROR(IF(LEFT(Свёртка_Подбор_2[[#This Row],[ФСвёртка]],5)="=Прив","ошибка",IF(LEFT(Свёртка_Подбор_2[[#This Row],[ФСвёртка]],5)="=Матр","Свёртка","ошибка")),"ошибка")</f>
        <v>ошибка</v>
      </c>
      <c r="G13" t="str">
        <f ca="1">IFERROR(IF(LEN((INDIRECT(Свёртка_Подбор_2[[#This Row],[СНаименование]],FALSE)))=0,"ошибка",IFERROR(INDIRECT(Свёртка_Подбор_2[[#This Row],[СНаименование]],FALSE),"ошибка")),"ошибка")</f>
        <v>ошибка</v>
      </c>
      <c r="H13" s="38" t="str">
        <f ca="1">IFERROR(REPLACE(REPLACE(Свёртка_Подбор_2[[#This Row],[ССвёртка]],FIND("C",Свёртка_Подбор_2[[#This Row],[ССвёртка]])+1,LEN(Свёртка_Подбор_2[[#This Row],[ССвёртка]])-FIND("C",Свёртка_Подбор_2[[#This Row],[ССвёртка]]),eval(RIGHT(Свёртка_Подбор_2[[#This Row],[ССвёртка]],LEN(Свёртка_Подбор_2[[#This Row],[ССвёртка]])-FIND("C",Свёртка_Подбор_2[[#This Row],[ССвёртка]])))+H$7),FIND("R",Свёртка_Подбор_2[[#This Row],[ССвёртка]])+1,FIND("C",Свёртка_Подбор_2[[#This Row],[ССвёртка]])-FIND("R",Свёртка_Подбор_2[[#This Row],[ССвёртка]])-1,eval(MID(Свёртка_Подбор_2[[#This Row],[ССвёртка]],FIND("R",Свёртка_Подбор_2[[#This Row],[ССвёртка]])+1,FIND("C",Свёртка_Подбор_2[[#This Row],[ССвёртка]])-1-FIND("R",Свёртка_Подбор_2[[#This Row],[ССвёртка]])))+H$6),"ошибка")</f>
        <v>ошибка</v>
      </c>
      <c r="I13" s="132"/>
      <c r="J13" s="67">
        <f ca="1">IF(AND(Свёртка_Подбор_2[[#This Row],[ВидСвёртка]]="Свёртка",LEN(Свёртка_Подбор_2[[#This Row],[Искомое]])&lt;&gt;0,AND(Свёртка_Подбор_2[[#This Row],[Искомое]]&gt;=1,Свёртка_Подбор_2[[#This Row],[Искомое]]&lt;=4)),1,-1)</f>
        <v>-1</v>
      </c>
    </row>
    <row r="14" spans="2:12" x14ac:dyDescent="0.25">
      <c r="B14" s="131" t="str">
        <f ca="1">IF(AND(Свёртка_Подбор_2[[#This Row],[Свёртка]]&lt;&gt;"",Свёртка_Подбор_2[[#This Row],[O.K.Свёртка]]=1),ROW()-ROW(Свёртка_Подбор_2[[#Headers],[№]]),"")</f>
        <v/>
      </c>
      <c r="C14" s="84"/>
      <c r="D14" s="38" t="str">
        <f ca="1">IFERROR(IF(AND(Свёртка_Подбор_2[[#This Row],[Свёртка]]&gt;=1,Свёртка_Подбор_2[[#This Row],[Свёртка]]&lt;=4),IF(IFERROR(FIND("!",_xlfn.FORMULATEXT(Свёртка_Подбор_2[[#This Row],[Свёртка]])),"на странице")="на странице",CONCATENATE("R",ROW((INDIRECT(RIGHT(_xlfn.FORMULATEXT(Свёртка_Подбор_2[[#This Row],[Свёртка]]), LEN(_xlfn.FORMULATEXT(Свёртка_Подбор_2[[#This Row],[Свёртка]]))-1),FALSE))),"C",COLUMN((INDIRECT(RIGHT(_xlfn.FORMULATEXT(Свёртка_Подбор_2[[#This Row],[Свёртка]]), LEN(_xlfn.FORMULATEXT(Свёртка_Подбор_2[[#This Row],[Свёртка]]))-1),FALSE)))-D$6),CONCATENATE(RIGHT(LEFT(_xlfn.FORMULATEXT(Свёртка_Подбор_2[[#This Row],[Свёртка]]),FIND("!",_xlfn.FORMULATEXT(Свёртка_Подбор_2[[#This Row],[Свёртка]]))),LEN(LEFT(_xlfn.FORMULATEXT(Свёртка_Подбор_2[[#This Row],[Свёртка]]),FIND("!",_xlfn.FORMULATEXT(Свёртка_Подбор_2[[#This Row],[Свёртка]]))))-1),"R",ROW((INDIRECT(RIGHT(_xlfn.FORMULATEXT(Свёртка_Подбор_2[[#This Row],[Свёртка]]), LEN(_xlfn.FORMULATEXT(Свёртка_Подбор_2[[#This Row],[Свёртка]]))-1),FALSE))),"C",COLUMN((INDIRECT(RIGHT(_xlfn.FORMULATEXT(Свёртка_Подбор_2[[#This Row],[Свёртка]]), LEN(_xlfn.FORMULATEXT(Свёртка_Подбор_2[[#This Row],[Свёртка]]))-1),FALSE)))-D$6)),"ошибка"),"ошибка")</f>
        <v>ошибка</v>
      </c>
      <c r="E14" s="38" t="str">
        <f ca="1">IFERROR(_xlfn.FORMULATEXT(INDIRECT(Свёртка_Подбор_2[[#This Row],[ССвёртка]],FALSE)),"ошибка")</f>
        <v>ошибка</v>
      </c>
      <c r="F14" t="str">
        <f ca="1">IFERROR(IF(LEFT(Свёртка_Подбор_2[[#This Row],[ФСвёртка]],5)="=Прив","ошибка",IF(LEFT(Свёртка_Подбор_2[[#This Row],[ФСвёртка]],5)="=Матр","Свёртка","ошибка")),"ошибка")</f>
        <v>ошибка</v>
      </c>
      <c r="G14" t="str">
        <f ca="1">IFERROR(IF(LEN((INDIRECT(Свёртка_Подбор_2[[#This Row],[СНаименование]],FALSE)))=0,"ошибка",IFERROR(INDIRECT(Свёртка_Подбор_2[[#This Row],[СНаименование]],FALSE),"ошибка")),"ошибка")</f>
        <v>ошибка</v>
      </c>
      <c r="H14" s="38" t="str">
        <f ca="1">IFERROR(REPLACE(REPLACE(Свёртка_Подбор_2[[#This Row],[ССвёртка]],FIND("C",Свёртка_Подбор_2[[#This Row],[ССвёртка]])+1,LEN(Свёртка_Подбор_2[[#This Row],[ССвёртка]])-FIND("C",Свёртка_Подбор_2[[#This Row],[ССвёртка]]),eval(RIGHT(Свёртка_Подбор_2[[#This Row],[ССвёртка]],LEN(Свёртка_Подбор_2[[#This Row],[ССвёртка]])-FIND("C",Свёртка_Подбор_2[[#This Row],[ССвёртка]])))+H$7),FIND("R",Свёртка_Подбор_2[[#This Row],[ССвёртка]])+1,FIND("C",Свёртка_Подбор_2[[#This Row],[ССвёртка]])-FIND("R",Свёртка_Подбор_2[[#This Row],[ССвёртка]])-1,eval(MID(Свёртка_Подбор_2[[#This Row],[ССвёртка]],FIND("R",Свёртка_Подбор_2[[#This Row],[ССвёртка]])+1,FIND("C",Свёртка_Подбор_2[[#This Row],[ССвёртка]])-1-FIND("R",Свёртка_Подбор_2[[#This Row],[ССвёртка]])))+H$6),"ошибка")</f>
        <v>ошибка</v>
      </c>
      <c r="I14" s="132"/>
      <c r="J14" s="67">
        <f ca="1">IF(AND(Свёртка_Подбор_2[[#This Row],[ВидСвёртка]]="Свёртка",LEN(Свёртка_Подбор_2[[#This Row],[Искомое]])&lt;&gt;0,AND(Свёртка_Подбор_2[[#This Row],[Искомое]]&gt;=1,Свёртка_Подбор_2[[#This Row],[Искомое]]&lt;=4)),1,-1)</f>
        <v>-1</v>
      </c>
    </row>
    <row r="15" spans="2:12" x14ac:dyDescent="0.25">
      <c r="B15" s="131" t="str">
        <f ca="1">IF(AND(Свёртка_Подбор_2[[#This Row],[Свёртка]]&lt;&gt;"",Свёртка_Подбор_2[[#This Row],[O.K.Свёртка]]=1),ROW()-ROW(Свёртка_Подбор_2[[#Headers],[№]]),"")</f>
        <v/>
      </c>
      <c r="C15" s="84"/>
      <c r="D15" s="38" t="str">
        <f ca="1">IFERROR(IF(AND(Свёртка_Подбор_2[[#This Row],[Свёртка]]&gt;=1,Свёртка_Подбор_2[[#This Row],[Свёртка]]&lt;=4),IF(IFERROR(FIND("!",_xlfn.FORMULATEXT(Свёртка_Подбор_2[[#This Row],[Свёртка]])),"на странице")="на странице",CONCATENATE("R",ROW((INDIRECT(RIGHT(_xlfn.FORMULATEXT(Свёртка_Подбор_2[[#This Row],[Свёртка]]), LEN(_xlfn.FORMULATEXT(Свёртка_Подбор_2[[#This Row],[Свёртка]]))-1),FALSE))),"C",COLUMN((INDIRECT(RIGHT(_xlfn.FORMULATEXT(Свёртка_Подбор_2[[#This Row],[Свёртка]]), LEN(_xlfn.FORMULATEXT(Свёртка_Подбор_2[[#This Row],[Свёртка]]))-1),FALSE)))-D$6),CONCATENATE(RIGHT(LEFT(_xlfn.FORMULATEXT(Свёртка_Подбор_2[[#This Row],[Свёртка]]),FIND("!",_xlfn.FORMULATEXT(Свёртка_Подбор_2[[#This Row],[Свёртка]]))),LEN(LEFT(_xlfn.FORMULATEXT(Свёртка_Подбор_2[[#This Row],[Свёртка]]),FIND("!",_xlfn.FORMULATEXT(Свёртка_Подбор_2[[#This Row],[Свёртка]]))))-1),"R",ROW((INDIRECT(RIGHT(_xlfn.FORMULATEXT(Свёртка_Подбор_2[[#This Row],[Свёртка]]), LEN(_xlfn.FORMULATEXT(Свёртка_Подбор_2[[#This Row],[Свёртка]]))-1),FALSE))),"C",COLUMN((INDIRECT(RIGHT(_xlfn.FORMULATEXT(Свёртка_Подбор_2[[#This Row],[Свёртка]]), LEN(_xlfn.FORMULATEXT(Свёртка_Подбор_2[[#This Row],[Свёртка]]))-1),FALSE)))-D$6)),"ошибка"),"ошибка")</f>
        <v>ошибка</v>
      </c>
      <c r="E15" s="38" t="str">
        <f ca="1">IFERROR(_xlfn.FORMULATEXT(INDIRECT(Свёртка_Подбор_2[[#This Row],[ССвёртка]],FALSE)),"ошибка")</f>
        <v>ошибка</v>
      </c>
      <c r="F15" t="str">
        <f ca="1">IFERROR(IF(LEFT(Свёртка_Подбор_2[[#This Row],[ФСвёртка]],5)="=Прив","ошибка",IF(LEFT(Свёртка_Подбор_2[[#This Row],[ФСвёртка]],5)="=Матр","Свёртка","ошибка")),"ошибка")</f>
        <v>ошибка</v>
      </c>
      <c r="G15" t="str">
        <f ca="1">IFERROR(IF(LEN((INDIRECT(Свёртка_Подбор_2[[#This Row],[СНаименование]],FALSE)))=0,"ошибка",IFERROR(INDIRECT(Свёртка_Подбор_2[[#This Row],[СНаименование]],FALSE),"ошибка")),"ошибка")</f>
        <v>ошибка</v>
      </c>
      <c r="H15" s="38" t="str">
        <f ca="1">IFERROR(REPLACE(REPLACE(Свёртка_Подбор_2[[#This Row],[ССвёртка]],FIND("C",Свёртка_Подбор_2[[#This Row],[ССвёртка]])+1,LEN(Свёртка_Подбор_2[[#This Row],[ССвёртка]])-FIND("C",Свёртка_Подбор_2[[#This Row],[ССвёртка]]),eval(RIGHT(Свёртка_Подбор_2[[#This Row],[ССвёртка]],LEN(Свёртка_Подбор_2[[#This Row],[ССвёртка]])-FIND("C",Свёртка_Подбор_2[[#This Row],[ССвёртка]])))+H$7),FIND("R",Свёртка_Подбор_2[[#This Row],[ССвёртка]])+1,FIND("C",Свёртка_Подбор_2[[#This Row],[ССвёртка]])-FIND("R",Свёртка_Подбор_2[[#This Row],[ССвёртка]])-1,eval(MID(Свёртка_Подбор_2[[#This Row],[ССвёртка]],FIND("R",Свёртка_Подбор_2[[#This Row],[ССвёртка]])+1,FIND("C",Свёртка_Подбор_2[[#This Row],[ССвёртка]])-1-FIND("R",Свёртка_Подбор_2[[#This Row],[ССвёртка]])))+H$6),"ошибка")</f>
        <v>ошибка</v>
      </c>
      <c r="I15" s="132"/>
      <c r="J15" s="67">
        <f ca="1">IF(AND(Свёртка_Подбор_2[[#This Row],[ВидСвёртка]]="Свёртка",LEN(Свёртка_Подбор_2[[#This Row],[Искомое]])&lt;&gt;0,AND(Свёртка_Подбор_2[[#This Row],[Искомое]]&gt;=1,Свёртка_Подбор_2[[#This Row],[Искомое]]&lt;=4)),1,-1)</f>
        <v>-1</v>
      </c>
      <c r="L15" s="192"/>
    </row>
    <row r="16" spans="2:12" x14ac:dyDescent="0.25">
      <c r="B16" s="131" t="str">
        <f ca="1">IF(AND(Свёртка_Подбор_2[[#This Row],[Свёртка]]&lt;&gt;"",Свёртка_Подбор_2[[#This Row],[O.K.Свёртка]]=1),ROW()-ROW(Свёртка_Подбор_2[[#Headers],[№]]),"")</f>
        <v/>
      </c>
      <c r="C16" s="84"/>
      <c r="D16" s="38" t="str">
        <f ca="1">IFERROR(IF(AND(Свёртка_Подбор_2[[#This Row],[Свёртка]]&gt;=1,Свёртка_Подбор_2[[#This Row],[Свёртка]]&lt;=4),IF(IFERROR(FIND("!",_xlfn.FORMULATEXT(Свёртка_Подбор_2[[#This Row],[Свёртка]])),"на странице")="на странице",CONCATENATE("R",ROW((INDIRECT(RIGHT(_xlfn.FORMULATEXT(Свёртка_Подбор_2[[#This Row],[Свёртка]]), LEN(_xlfn.FORMULATEXT(Свёртка_Подбор_2[[#This Row],[Свёртка]]))-1),FALSE))),"C",COLUMN((INDIRECT(RIGHT(_xlfn.FORMULATEXT(Свёртка_Подбор_2[[#This Row],[Свёртка]]), LEN(_xlfn.FORMULATEXT(Свёртка_Подбор_2[[#This Row],[Свёртка]]))-1),FALSE)))-D$6),CONCATENATE(RIGHT(LEFT(_xlfn.FORMULATEXT(Свёртка_Подбор_2[[#This Row],[Свёртка]]),FIND("!",_xlfn.FORMULATEXT(Свёртка_Подбор_2[[#This Row],[Свёртка]]))),LEN(LEFT(_xlfn.FORMULATEXT(Свёртка_Подбор_2[[#This Row],[Свёртка]]),FIND("!",_xlfn.FORMULATEXT(Свёртка_Подбор_2[[#This Row],[Свёртка]]))))-1),"R",ROW((INDIRECT(RIGHT(_xlfn.FORMULATEXT(Свёртка_Подбор_2[[#This Row],[Свёртка]]), LEN(_xlfn.FORMULATEXT(Свёртка_Подбор_2[[#This Row],[Свёртка]]))-1),FALSE))),"C",COLUMN((INDIRECT(RIGHT(_xlfn.FORMULATEXT(Свёртка_Подбор_2[[#This Row],[Свёртка]]), LEN(_xlfn.FORMULATEXT(Свёртка_Подбор_2[[#This Row],[Свёртка]]))-1),FALSE)))-D$6)),"ошибка"),"ошибка")</f>
        <v>ошибка</v>
      </c>
      <c r="E16" s="38" t="str">
        <f ca="1">IFERROR(_xlfn.FORMULATEXT(INDIRECT(Свёртка_Подбор_2[[#This Row],[ССвёртка]],FALSE)),"ошибка")</f>
        <v>ошибка</v>
      </c>
      <c r="F16" t="str">
        <f ca="1">IFERROR(IF(LEFT(Свёртка_Подбор_2[[#This Row],[ФСвёртка]],5)="=Прив","ошибка",IF(LEFT(Свёртка_Подбор_2[[#This Row],[ФСвёртка]],5)="=Матр","Свёртка","ошибка")),"ошибка")</f>
        <v>ошибка</v>
      </c>
      <c r="G16" t="str">
        <f ca="1">IFERROR(IF(LEN((INDIRECT(Свёртка_Подбор_2[[#This Row],[СНаименование]],FALSE)))=0,"ошибка",IFERROR(INDIRECT(Свёртка_Подбор_2[[#This Row],[СНаименование]],FALSE),"ошибка")),"ошибка")</f>
        <v>ошибка</v>
      </c>
      <c r="H16" s="38" t="str">
        <f ca="1">IFERROR(REPLACE(REPLACE(Свёртка_Подбор_2[[#This Row],[ССвёртка]],FIND("C",Свёртка_Подбор_2[[#This Row],[ССвёртка]])+1,LEN(Свёртка_Подбор_2[[#This Row],[ССвёртка]])-FIND("C",Свёртка_Подбор_2[[#This Row],[ССвёртка]]),eval(RIGHT(Свёртка_Подбор_2[[#This Row],[ССвёртка]],LEN(Свёртка_Подбор_2[[#This Row],[ССвёртка]])-FIND("C",Свёртка_Подбор_2[[#This Row],[ССвёртка]])))+H$7),FIND("R",Свёртка_Подбор_2[[#This Row],[ССвёртка]])+1,FIND("C",Свёртка_Подбор_2[[#This Row],[ССвёртка]])-FIND("R",Свёртка_Подбор_2[[#This Row],[ССвёртка]])-1,eval(MID(Свёртка_Подбор_2[[#This Row],[ССвёртка]],FIND("R",Свёртка_Подбор_2[[#This Row],[ССвёртка]])+1,FIND("C",Свёртка_Подбор_2[[#This Row],[ССвёртка]])-1-FIND("R",Свёртка_Подбор_2[[#This Row],[ССвёртка]])))+H$6),"ошибка")</f>
        <v>ошибка</v>
      </c>
      <c r="I16" s="132"/>
      <c r="J16" s="67">
        <f ca="1">IF(AND(Свёртка_Подбор_2[[#This Row],[ВидСвёртка]]="Свёртка",LEN(Свёртка_Подбор_2[[#This Row],[Искомое]])&lt;&gt;0,AND(Свёртка_Подбор_2[[#This Row],[Искомое]]&gt;=1,Свёртка_Подбор_2[[#This Row],[Искомое]]&lt;=4)),1,-1)</f>
        <v>-1</v>
      </c>
      <c r="L16" s="192" t="s">
        <v>586</v>
      </c>
    </row>
    <row r="17" spans="10:12" x14ac:dyDescent="0.25">
      <c r="L17" s="192" t="s">
        <v>586</v>
      </c>
    </row>
    <row r="18" spans="10:12" x14ac:dyDescent="0.25">
      <c r="L18" s="192" t="s">
        <v>586</v>
      </c>
    </row>
    <row r="19" spans="10:12" x14ac:dyDescent="0.25">
      <c r="L19" s="192" t="s">
        <v>586</v>
      </c>
    </row>
    <row r="28" spans="10:12" x14ac:dyDescent="0.25">
      <c r="J28" s="210"/>
    </row>
  </sheetData>
  <dataConsolidate link="1"/>
  <phoneticPr fontId="31" type="noConversion"/>
  <conditionalFormatting sqref="C11:C16">
    <cfRule type="cellIs" dxfId="739" priority="3" operator="notBetween">
      <formula>1</formula>
      <formula>4</formula>
    </cfRule>
  </conditionalFormatting>
  <conditionalFormatting sqref="J11:J16">
    <cfRule type="iconSet" priority="2">
      <iconSet showValue="0">
        <cfvo type="percent" val="0"/>
        <cfvo type="num" val="0"/>
        <cfvo type="num" val="1"/>
      </iconSet>
    </cfRule>
  </conditionalFormatting>
  <conditionalFormatting sqref="I11:I16">
    <cfRule type="cellIs" dxfId="738" priority="1" operator="notBetween">
      <formula>1</formula>
      <formula>4</formula>
    </cfRule>
  </conditionalFormatting>
  <dataValidations count="1">
    <dataValidation type="decimal" allowBlank="1" showInputMessage="1" showErrorMessage="1" sqref="I11:I16" xr:uid="{00000000-0002-0000-0600-000000000000}">
      <formula1>0.999999999999999</formula1>
      <formula2>4</formula2>
    </dataValidation>
  </dataValidations>
  <pageMargins left="0.7" right="0.7" top="0.75" bottom="0.75" header="0.3" footer="0.3"/>
  <pageSetup paperSize="9" orientation="portrait"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Лист1811"/>
  <dimension ref="B1:CJ12"/>
  <sheetViews>
    <sheetView topLeftCell="BP2" workbookViewId="0">
      <selection activeCell="CI10" sqref="CI10"/>
    </sheetView>
  </sheetViews>
  <sheetFormatPr defaultRowHeight="15" outlineLevelRow="2" x14ac:dyDescent="0.25"/>
  <cols>
    <col min="2" max="2" width="11.140625" customWidth="1"/>
    <col min="22" max="22" width="11.140625" customWidth="1"/>
  </cols>
  <sheetData>
    <row r="1" spans="2:88" outlineLevel="2" x14ac:dyDescent="0.25"/>
    <row r="2" spans="2:88" outlineLevel="2" x14ac:dyDescent="0.25">
      <c r="C2" t="s">
        <v>364</v>
      </c>
      <c r="E2">
        <f>ROWS(Критерий_Перебор_2_20170709140117[])</f>
        <v>3</v>
      </c>
      <c r="W2" t="s">
        <v>364</v>
      </c>
      <c r="Y2">
        <f>ROWS(Свёртка_Перебор_2_20170709140117[])</f>
        <v>2</v>
      </c>
    </row>
    <row r="3" spans="2:88" outlineLevel="2" x14ac:dyDescent="0.25">
      <c r="C3" t="s">
        <v>365</v>
      </c>
      <c r="E3">
        <f>COUNTIF(Критерий_Перебор_2_20170709140117[Критерий],"&gt;=1")-COUNTIF(Критерий_Перебор_2_20170709140117[Критерий],"&gt;4")</f>
        <v>0</v>
      </c>
      <c r="W3" t="s">
        <v>365</v>
      </c>
      <c r="Y3">
        <f>COUNTIF(Свёртка_Перебор_2_20170709140117[Свёртка],"&gt;=1")-COUNTIF(Свёртка_Перебор_2_20170709140117[Свёртка],"&gt;4")</f>
        <v>0</v>
      </c>
    </row>
    <row r="4" spans="2:88" outlineLevel="2" x14ac:dyDescent="0.25">
      <c r="C4" t="s">
        <v>447</v>
      </c>
      <c r="E4">
        <f ca="1">COUNTIF(Критерий_Перебор_2_20170709140117[O.K.Критерий],1)</f>
        <v>0</v>
      </c>
      <c r="W4" t="s">
        <v>447</v>
      </c>
      <c r="Y4">
        <f>COUNTIF(Свёртка_Перебор_2_20170709140117[ССВ_3_1_kolvo],1)</f>
        <v>0</v>
      </c>
    </row>
    <row r="5" spans="2:88" outlineLevel="2" x14ac:dyDescent="0.25"/>
    <row r="6" spans="2:88" outlineLevel="2" x14ac:dyDescent="0.25">
      <c r="G6">
        <v>-2</v>
      </c>
      <c r="I6">
        <v>1</v>
      </c>
      <c r="K6">
        <v>-1</v>
      </c>
      <c r="N6">
        <v>1</v>
      </c>
      <c r="P6">
        <v>1</v>
      </c>
      <c r="R6">
        <v>1</v>
      </c>
      <c r="X6">
        <v>1</v>
      </c>
      <c r="Y6">
        <v>2</v>
      </c>
      <c r="Z6">
        <v>3</v>
      </c>
      <c r="AA6">
        <v>4</v>
      </c>
      <c r="AB6">
        <v>-3</v>
      </c>
      <c r="AD6">
        <v>0</v>
      </c>
      <c r="AI6">
        <v>-1</v>
      </c>
      <c r="AN6">
        <v>0</v>
      </c>
      <c r="AS6">
        <v>-1</v>
      </c>
      <c r="AX6">
        <v>-2</v>
      </c>
      <c r="BC6">
        <v>0</v>
      </c>
      <c r="BH6">
        <v>-2</v>
      </c>
      <c r="BM6">
        <v>-1</v>
      </c>
      <c r="BR6">
        <v>-2</v>
      </c>
      <c r="BX6">
        <v>-2</v>
      </c>
      <c r="CA6">
        <v>-1</v>
      </c>
    </row>
    <row r="7" spans="2:88" outlineLevel="2" x14ac:dyDescent="0.25">
      <c r="G7">
        <v>-3</v>
      </c>
      <c r="I7">
        <v>0</v>
      </c>
      <c r="K7">
        <v>-3</v>
      </c>
      <c r="N7">
        <v>-3</v>
      </c>
      <c r="P7">
        <v>-1</v>
      </c>
      <c r="R7">
        <v>-2</v>
      </c>
      <c r="X7">
        <v>1</v>
      </c>
      <c r="Y7">
        <v>2</v>
      </c>
      <c r="Z7">
        <v>3</v>
      </c>
      <c r="AA7">
        <v>4</v>
      </c>
      <c r="AB7">
        <v>0</v>
      </c>
      <c r="AD7">
        <v>3</v>
      </c>
      <c r="AI7">
        <v>3</v>
      </c>
      <c r="AN7">
        <v>2</v>
      </c>
      <c r="AS7">
        <v>2</v>
      </c>
      <c r="AX7">
        <v>3</v>
      </c>
      <c r="BC7">
        <v>1</v>
      </c>
      <c r="BH7">
        <v>2</v>
      </c>
      <c r="BM7">
        <v>1</v>
      </c>
      <c r="BR7">
        <v>1</v>
      </c>
      <c r="BX7">
        <v>0</v>
      </c>
      <c r="CA7">
        <v>0</v>
      </c>
    </row>
    <row r="8" spans="2:88" outlineLevel="2" x14ac:dyDescent="0.25">
      <c r="C8">
        <v>0</v>
      </c>
      <c r="D8">
        <v>1</v>
      </c>
      <c r="E8">
        <v>2</v>
      </c>
      <c r="F8">
        <v>3</v>
      </c>
      <c r="G8">
        <v>4</v>
      </c>
      <c r="H8">
        <v>5</v>
      </c>
      <c r="I8">
        <v>6</v>
      </c>
      <c r="J8">
        <v>7</v>
      </c>
      <c r="K8">
        <v>8</v>
      </c>
      <c r="L8">
        <v>9</v>
      </c>
      <c r="M8">
        <v>10</v>
      </c>
      <c r="N8">
        <v>11</v>
      </c>
      <c r="O8">
        <v>12</v>
      </c>
      <c r="P8">
        <v>13</v>
      </c>
      <c r="Q8">
        <v>14</v>
      </c>
      <c r="R8">
        <v>15</v>
      </c>
      <c r="S8">
        <v>16</v>
      </c>
      <c r="W8">
        <v>0</v>
      </c>
      <c r="X8">
        <v>1</v>
      </c>
      <c r="Y8">
        <v>2</v>
      </c>
      <c r="Z8">
        <v>3</v>
      </c>
      <c r="AA8">
        <v>4</v>
      </c>
      <c r="AB8">
        <v>5</v>
      </c>
      <c r="AC8">
        <v>6</v>
      </c>
      <c r="AD8">
        <v>7</v>
      </c>
      <c r="AE8">
        <v>8</v>
      </c>
      <c r="AF8">
        <v>9</v>
      </c>
      <c r="AG8">
        <v>10</v>
      </c>
      <c r="AH8">
        <v>11</v>
      </c>
      <c r="AI8">
        <v>12</v>
      </c>
      <c r="AJ8">
        <v>13</v>
      </c>
      <c r="AK8">
        <v>14</v>
      </c>
      <c r="AL8">
        <v>15</v>
      </c>
      <c r="AM8">
        <v>16</v>
      </c>
      <c r="AN8">
        <v>17</v>
      </c>
      <c r="AO8">
        <v>18</v>
      </c>
      <c r="AP8">
        <v>19</v>
      </c>
      <c r="AQ8">
        <v>20</v>
      </c>
      <c r="AR8">
        <v>21</v>
      </c>
      <c r="AS8">
        <v>22</v>
      </c>
      <c r="AT8">
        <v>23</v>
      </c>
      <c r="AU8">
        <v>24</v>
      </c>
      <c r="AV8">
        <v>25</v>
      </c>
      <c r="AW8">
        <v>26</v>
      </c>
      <c r="AX8">
        <v>27</v>
      </c>
      <c r="AY8">
        <v>28</v>
      </c>
      <c r="AZ8">
        <v>29</v>
      </c>
      <c r="BA8">
        <v>30</v>
      </c>
      <c r="BB8">
        <v>31</v>
      </c>
      <c r="BC8">
        <v>32</v>
      </c>
      <c r="BD8">
        <v>33</v>
      </c>
      <c r="BE8">
        <v>34</v>
      </c>
      <c r="BF8">
        <v>35</v>
      </c>
      <c r="BG8">
        <v>36</v>
      </c>
      <c r="BH8">
        <v>37</v>
      </c>
      <c r="BI8">
        <v>38</v>
      </c>
      <c r="BJ8">
        <v>39</v>
      </c>
      <c r="BK8">
        <v>40</v>
      </c>
      <c r="BL8">
        <v>41</v>
      </c>
      <c r="BM8">
        <v>42</v>
      </c>
      <c r="BN8">
        <v>43</v>
      </c>
      <c r="BO8">
        <v>44</v>
      </c>
      <c r="BP8">
        <v>45</v>
      </c>
      <c r="BQ8">
        <v>46</v>
      </c>
      <c r="BR8">
        <v>47</v>
      </c>
      <c r="BS8">
        <v>48</v>
      </c>
      <c r="BT8">
        <v>49</v>
      </c>
      <c r="BU8">
        <v>50</v>
      </c>
      <c r="BV8">
        <v>51</v>
      </c>
      <c r="BW8">
        <v>52</v>
      </c>
      <c r="BX8">
        <v>53</v>
      </c>
      <c r="BY8">
        <v>54</v>
      </c>
      <c r="BZ8">
        <v>55</v>
      </c>
      <c r="CA8">
        <v>56</v>
      </c>
      <c r="CB8">
        <v>57</v>
      </c>
      <c r="CC8">
        <v>58</v>
      </c>
      <c r="CD8">
        <v>59</v>
      </c>
      <c r="CE8">
        <v>60</v>
      </c>
      <c r="CF8">
        <v>61</v>
      </c>
      <c r="CG8">
        <v>62</v>
      </c>
      <c r="CH8">
        <v>63</v>
      </c>
      <c r="CI8">
        <v>64</v>
      </c>
      <c r="CJ8">
        <v>65</v>
      </c>
    </row>
    <row r="9" spans="2:88" x14ac:dyDescent="0.25">
      <c r="B9" t="s">
        <v>395</v>
      </c>
      <c r="C9" t="s">
        <v>396</v>
      </c>
      <c r="D9" t="s">
        <v>397</v>
      </c>
      <c r="E9" t="s">
        <v>409</v>
      </c>
      <c r="F9" t="s">
        <v>456</v>
      </c>
      <c r="G9" t="s">
        <v>457</v>
      </c>
      <c r="H9" t="s">
        <v>398</v>
      </c>
      <c r="I9" t="s">
        <v>399</v>
      </c>
      <c r="J9" t="s">
        <v>400</v>
      </c>
      <c r="K9" t="s">
        <v>401</v>
      </c>
      <c r="L9" t="s">
        <v>402</v>
      </c>
      <c r="M9" t="s">
        <v>403</v>
      </c>
      <c r="N9" t="s">
        <v>404</v>
      </c>
      <c r="O9" t="s">
        <v>405</v>
      </c>
      <c r="P9" t="s">
        <v>406</v>
      </c>
      <c r="Q9" t="s">
        <v>407</v>
      </c>
      <c r="R9" t="s">
        <v>408</v>
      </c>
      <c r="S9" t="s">
        <v>410</v>
      </c>
      <c r="V9" t="s">
        <v>395</v>
      </c>
      <c r="W9" t="s">
        <v>411</v>
      </c>
      <c r="X9" t="s">
        <v>414</v>
      </c>
      <c r="Y9" t="s">
        <v>412</v>
      </c>
      <c r="Z9" t="s">
        <v>413</v>
      </c>
      <c r="AA9" t="s">
        <v>456</v>
      </c>
      <c r="AB9" t="s">
        <v>457</v>
      </c>
      <c r="AC9" t="s">
        <v>475</v>
      </c>
      <c r="AD9" t="s">
        <v>478</v>
      </c>
      <c r="AE9" t="s">
        <v>519</v>
      </c>
      <c r="AF9" t="s">
        <v>537</v>
      </c>
      <c r="AG9" t="s">
        <v>520</v>
      </c>
      <c r="AH9" t="s">
        <v>476</v>
      </c>
      <c r="AI9" t="s">
        <v>479</v>
      </c>
      <c r="AJ9" t="s">
        <v>521</v>
      </c>
      <c r="AK9" t="s">
        <v>538</v>
      </c>
      <c r="AL9" t="s">
        <v>522</v>
      </c>
      <c r="AM9" t="s">
        <v>477</v>
      </c>
      <c r="AN9" t="s">
        <v>480</v>
      </c>
      <c r="AO9" t="s">
        <v>523</v>
      </c>
      <c r="AP9" t="s">
        <v>539</v>
      </c>
      <c r="AQ9" t="s">
        <v>524</v>
      </c>
      <c r="AR9" t="s">
        <v>481</v>
      </c>
      <c r="AS9" t="s">
        <v>482</v>
      </c>
      <c r="AT9" t="s">
        <v>525</v>
      </c>
      <c r="AU9" t="s">
        <v>540</v>
      </c>
      <c r="AV9" t="s">
        <v>526</v>
      </c>
      <c r="AW9" t="s">
        <v>483</v>
      </c>
      <c r="AX9" t="s">
        <v>484</v>
      </c>
      <c r="AY9" t="s">
        <v>527</v>
      </c>
      <c r="AZ9" t="s">
        <v>541</v>
      </c>
      <c r="BA9" t="s">
        <v>528</v>
      </c>
      <c r="BB9" t="s">
        <v>485</v>
      </c>
      <c r="BC9" t="s">
        <v>486</v>
      </c>
      <c r="BD9" t="s">
        <v>529</v>
      </c>
      <c r="BE9" t="s">
        <v>542</v>
      </c>
      <c r="BF9" t="s">
        <v>530</v>
      </c>
      <c r="BG9" t="s">
        <v>487</v>
      </c>
      <c r="BH9" t="s">
        <v>488</v>
      </c>
      <c r="BI9" t="s">
        <v>531</v>
      </c>
      <c r="BJ9" t="s">
        <v>543</v>
      </c>
      <c r="BK9" t="s">
        <v>532</v>
      </c>
      <c r="BL9" t="s">
        <v>489</v>
      </c>
      <c r="BM9" t="s">
        <v>490</v>
      </c>
      <c r="BN9" t="s">
        <v>533</v>
      </c>
      <c r="BO9" t="s">
        <v>544</v>
      </c>
      <c r="BP9" t="s">
        <v>534</v>
      </c>
      <c r="BQ9" t="s">
        <v>491</v>
      </c>
      <c r="BR9" t="s">
        <v>492</v>
      </c>
      <c r="BS9" t="s">
        <v>535</v>
      </c>
      <c r="BT9" t="s">
        <v>545</v>
      </c>
      <c r="BU9" t="s">
        <v>536</v>
      </c>
      <c r="BV9" t="s">
        <v>546</v>
      </c>
      <c r="BW9" t="s">
        <v>493</v>
      </c>
      <c r="BX9" t="s">
        <v>494</v>
      </c>
      <c r="BY9" t="s">
        <v>495</v>
      </c>
      <c r="BZ9" t="s">
        <v>496</v>
      </c>
      <c r="CA9" t="s">
        <v>497</v>
      </c>
      <c r="CB9" t="s">
        <v>498</v>
      </c>
      <c r="CC9" t="s">
        <v>415</v>
      </c>
      <c r="CD9" t="s">
        <v>561</v>
      </c>
      <c r="CE9" t="s">
        <v>559</v>
      </c>
      <c r="CF9" t="s">
        <v>560</v>
      </c>
      <c r="CG9" t="s">
        <v>558</v>
      </c>
      <c r="CH9" t="s">
        <v>562</v>
      </c>
      <c r="CI9" t="s">
        <v>557</v>
      </c>
      <c r="CJ9" t="s">
        <v>556</v>
      </c>
    </row>
    <row r="10" spans="2:88" x14ac:dyDescent="0.25">
      <c r="B10" t="e">
        <f ca="1">IF(AND(Критерий_Перебор_2_20170709140117[[#This Row],[Критерий]]&lt;&gt;"",Критерий_Перебор_2_20170709140117[[#This Row],[O.K.Критерий]]=1),ROW()-ROW(Критерий_Перебор_2_20170709140117[[#Headers],[№]]),"")</f>
        <v>#REF!</v>
      </c>
      <c r="C10" s="37" t="e">
        <f>Модель!#REF!</f>
        <v>#REF!</v>
      </c>
      <c r="D10" t="str">
        <f ca="1">IFERROR(IF(AND(Критерий_Перебор_2_20170709140117[[#This Row],[Критерий]]&gt;=1,Критерий_Перебор_2_20170709140117[[#This Row],[Критерий]]&lt;=4),IF(IFERROR(FIND("!",_xlfn.FORMULATEXT(Критерий_Перебор_2_20170709140117[[#This Row],[Критерий]])),"на странице")="на странице",CONCATENATE("R",ROW((INDIRECT(RIGHT(_xlfn.FORMULATEXT(Критерий_Перебор_2_20170709140117[[#This Row],[Критерий]]), LEN(_xlfn.FORMULATEXT(Критерий_Перебор_2_20170709140117[[#This Row],[Критерий]]))-1),FALSE))),"C",COLUMN((INDIRECT(RIGHT(_xlfn.FORMULATEXT(Критерий_Перебор_2_20170709140117[[#This Row],[Критерий]]), LEN(_xlfn.FORMULATEXT(Критерий_Перебор_2_20170709140117[[#This Row],[Критерий]]))-1),FALSE)))-D$8),CONCATENATE(RIGHT(LEFT(_xlfn.FORMULATEXT(Критерий_Перебор_2_20170709140117[[#This Row],[Критерий]]),FIND("!",_xlfn.FORMULATEXT(Критерий_Перебор_2_20170709140117[[#This Row],[Критерий]]))),LEN(LEFT(_xlfn.FORMULATEXT(Критерий_Перебор_2_20170709140117[[#This Row],[Критерий]]),FIND("!",_xlfn.FORMULATEXT(Критерий_Перебор_2_20170709140117[[#This Row],[Критерий]]))))-1),"R",ROW((INDIRECT(RIGHT(_xlfn.FORMULATEXT(Критерий_Перебор_2_20170709140117[[#This Row],[Критерий]]), LEN(_xlfn.FORMULATEXT(Критерий_Перебор_2_20170709140117[[#This Row],[Критерий]]))-1),FALSE))),"C",COLUMN((INDIRECT(RIGHT(_xlfn.FORMULATEXT(Критерий_Перебор_2_20170709140117[[#This Row],[Критерий]]), LEN(_xlfn.FORMULATEXT(Критерий_Перебор_2_20170709140117[[#This Row],[Критерий]]))-1),FALSE)))-D$8)),"ошибка"),"ошибка")</f>
        <v>ошибка</v>
      </c>
      <c r="E10" t="str">
        <f ca="1">IFERROR(IF(LEFT(Критерий_Перебор_2_20170709140117[[#This Row],[Фкритерий]],5)="=Прив","Критерий",IF(LEFT(Критерий_Перебор_2_20170709140117[[#This Row],[Фкритерий]],5)="=Матр","ошибка","ошибка")),"ошибка")</f>
        <v>ошибка</v>
      </c>
      <c r="F10" t="str">
        <f ca="1">IFERROR(IF(LEN((INDIRECT(Критерий_Перебор_2_20170709140117[[#This Row],[СНаименование]],FALSE)))=0,"ошибка",IFERROR(INDIRECT(Критерий_Перебор_2_20170709140117[[#This Row],[СНаименование]],FALSE),"ошибка")),"ошибка")</f>
        <v>ошибка</v>
      </c>
      <c r="G10"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Row],[Скритерий]])))+G$7),FIND("R",Критерий_Перебор_2_20170709140117[[#This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Row],[Скритерий]])))+G$6),"ошибка")</f>
        <v>ошибка</v>
      </c>
      <c r="H10" t="str">
        <f ca="1">IFERROR(IF(N(INDIRECT(Критерий_Перебор_2_20170709140117[[#This Row],[СФизКритерий]],FALSE))=0,"ошибка",IFERROR(INDIRECT(Критерий_Перебор_2_20170709140117[[#This Row],[СФизКритерий]],FALSE),"ошибка")),"ошибка")</f>
        <v>ошибка</v>
      </c>
      <c r="I10"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Row],[Скритерий]])))+I$7),FIND("R",Критерий_Перебор_2_20170709140117[[#This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Row],[Скритерий]])))+I$6),"ошибка")</f>
        <v>ошибка</v>
      </c>
      <c r="J10" t="str">
        <f ca="1">IFERROR(IF(OR(INDIRECT(Критерий_Перебор_2_20170709140117[[#This Row],[СТипКритерий]],FALSE)=Перебор!$N$58,INDIRECT(Критерий_Перебор_2_20170709140117[[#This Row],[СТипКритерий]],FALSE)=Перебор!$N$59,INDIRECT(Критерий_Перебор_2_20170709140117[[#This Row],[СТипКритерий]],FALSE)=Перебор!$N$60,INDIRECT(Критерий_Перебор_2_20170709140117[[#This Row],[СТипКритерий]],FALSE)=Перебор!$N$61),INDIRECT(Критерий_Перебор_2_20170709140117[[#This Row],[СТипКритерий]],FALSE),"ошибка"),"ошибка")</f>
        <v>ошибка</v>
      </c>
      <c r="K10"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Row],[Скритерий]])))+K$7),FIND("R",Критерий_Перебор_2_20170709140117[[#This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Row],[Скритерий]])))+K$6),"ошибка")</f>
        <v>ошибка</v>
      </c>
      <c r="L10" t="str">
        <f ca="1">IFERROR(_xlfn.FORMULATEXT(INDIRECT(Критерий_Перебор_2_20170709140117[[#This Row],[Скритерий]],FALSE)),"ошибка")</f>
        <v>ошибка</v>
      </c>
      <c r="M10" t="str">
        <f ca="1">IFERROR(IF(N(INDIRECT(Критерий_Перебор_2_20170709140117[[#This Row],[СМинФизКритерий]],FALSE))=0,"ошибка",IFERROR(INDIRECT(Критерий_Перебор_2_20170709140117[[#This Row],[СМинФизКритерий]],FALSE),"ошибка")),"ошибка")</f>
        <v>ошибка</v>
      </c>
      <c r="N10"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Row],[Скритерий]])))+N$7),FIND("R",Критерий_Перебор_2_20170709140117[[#This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Row],[Скритерий]])))+N$6),"ошибка")</f>
        <v>ошибка</v>
      </c>
      <c r="O10" t="str">
        <f ca="1">IFERROR(IF(N(INDIRECT(Критерий_Перебор_2_20170709140117[[#This Row],[СМаксФизКритерий]],FALSE))=0,"ошибка",IFERROR(INDIRECT(Критерий_Перебор_2_20170709140117[[#This Row],[СМаксФизКритерий]],FALSE),"ошибка")),"ошибка")</f>
        <v>ошибка</v>
      </c>
      <c r="P10"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Row],[Скритерий]])))+P$7),FIND("R",Критерий_Перебор_2_20170709140117[[#This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Row],[Скритерий]])))+P$6),"ошибка")</f>
        <v>ошибка</v>
      </c>
      <c r="Q10" t="str">
        <f ca="1">IFERROR(IF(N(INDIRECT(Критерий_Перебор_2_20170709140117[[#This Row],[ССрФизКритерий]],FALSE))=0,"ошибка",IFERROR(INDIRECT(Критерий_Перебор_2_20170709140117[[#This Row],[ССрФизКритерий]],FALSE),"ошибка")),"")</f>
        <v/>
      </c>
      <c r="R10" t="str">
        <f ca="1">IF(OR(Критерий_Перебор_2_20170709140117[[#This Row],[ТипКритерий]]=Перебор!$N$60,Критерий_Перебор_2_20170709140117[[#This Row],[ТипКритерий]]=Перебор!$N$61),IFERROR(REPLACE(REPLACE(Критерий_Перебор_2_20170709140117[[#This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Row],[Скритерий]])))+R$7),FIND("R",Критерий_Перебор_2_20170709140117[[#This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Row],[Скритерий]])))+R$6),"ошибка"),"")</f>
        <v/>
      </c>
      <c r="S10" s="66">
        <f ca="1">IFERROR(IF(AND(Критерий_Перебор_2_20170709140117[[#This Row],[ВидКритерий]]="Критерий",Критерий_Перебор_2_20170709140117[[#This Row],[Фкритерий]]="=Приведение"),1,-1),-1)</f>
        <v>-1</v>
      </c>
      <c r="V10" t="e">
        <f ca="1">IF(AND(Свёртка_Перебор_2_20170709140117[[#This Row],[Свёртка]]&lt;&gt;"",Свёртка_Перебор_2_20170709140117[[#This Row],[O.K.Свёртка]]=1),ROW()-ROW(Свёртка_Перебор_2_20170709140117[[#Headers],[№]]),"")</f>
        <v>#REF!</v>
      </c>
      <c r="W10" s="146" t="e">
        <f>Модель!#REF!</f>
        <v>#REF!</v>
      </c>
      <c r="X10" t="str">
        <f ca="1">IFERROR(IF(AND(Свёртка_Перебор_2_20170709140117[[#This Row],[Свёртка]]&gt;=1,Свёртка_Перебор_2_20170709140117[[#This Row],[Свёртка]]&lt;=4),IF(IFERROR(FIND("!",_xlfn.FORMULATEXT(Свёртка_Перебор_2_20170709140117[[#This Row],[Свёртка]])),"на странице")="на странице",CONCATENATE("R",ROW((INDIRECT(RIGHT(_xlfn.FORMULATEXT(Свёртка_Перебор_2_20170709140117[[#This Row],[Свёртка]]), LEN(_xlfn.FORMULATEXT(Свёртка_Перебор_2_20170709140117[[#This Row],[Свёртка]]))-1),FALSE))),"C",COLUMN((INDIRECT(RIGHT(_xlfn.FORMULATEXT(Свёртка_Перебор_2_20170709140117[[#This Row],[Свёртка]]), LEN(_xlfn.FORMULATEXT(Свёртка_Перебор_2_20170709140117[[#This Row],[Свёртка]]))-1),FALSE)))-X$6),CONCATENATE(RIGHT(LEFT(_xlfn.FORMULATEXT(Свёртка_Перебор_2_20170709140117[[#This Row],[Свёртка]]),FIND("!",_xlfn.FORMULATEXT(Свёртка_Перебор_2_20170709140117[[#This Row],[Свёртка]]))),LEN(LEFT(_xlfn.FORMULATEXT(Свёртка_Перебор_2_20170709140117[[#This Row],[Свёртка]]),FIND("!",_xlfn.FORMULATEXT(Свёртка_Перебор_2_20170709140117[[#This Row],[Свёртка]]))))-1),"R",ROW((INDIRECT(RIGHT(_xlfn.FORMULATEXT(Свёртка_Перебор_2_20170709140117[[#This Row],[Свёртка]]), LEN(_xlfn.FORMULATEXT(Свёртка_Перебор_2_20170709140117[[#This Row],[Свёртка]]))-1),FALSE))),"C",COLUMN((INDIRECT(RIGHT(_xlfn.FORMULATEXT(Свёртка_Перебор_2_20170709140117[[#This Row],[Свёртка]]), LEN(_xlfn.FORMULATEXT(Свёртка_Перебор_2_20170709140117[[#This Row],[Свёртка]]))-1),FALSE)))-X$6)),"ошибка"),"ошибка")</f>
        <v>ошибка</v>
      </c>
      <c r="Y10" t="str">
        <f ca="1">IFERROR(_xlfn.FORMULATEXT(INDIRECT(Свёртка_Перебор_2_20170709140117[[#This Row],[ССвёртка]],FALSE)),"ошибка")</f>
        <v>ошибка</v>
      </c>
      <c r="Z10" t="str">
        <f ca="1">IFERROR(IF(LEFT(Свёртка_Перебор_2_20170709140117[[#This Row],[ФСвёртка]],5)="=Прив","ошибка",IF(LEFT(Свёртка_Перебор_2_20170709140117[[#This Row],[ФСвёртка]],5)="=Матр","Свёртка","ошибка")),"ошибка")</f>
        <v>ошибка</v>
      </c>
      <c r="AA10" t="str">
        <f ca="1">IFERROR(IF(LEN((INDIRECT(Свёртка_Перебор_2_20170709140117[[#This Row],[СНаименование]],FALSE)))=0,"ошибка",IFERROR(INDIRECT(Свёртка_Перебор_2_20170709140117[[#This Row],[СНаименование]],FALSE),"ошибка")),"ошибка")</f>
        <v>ошибка</v>
      </c>
      <c r="AB10"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Row],[ССвёртка]])))+AB$7),FIND("R",Свёртка_Перебор_2_20170709140117[[#This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Row],[ССвёртка]])))+AB$6),"ошибка")</f>
        <v>ошибка</v>
      </c>
      <c r="AC10" t="str">
        <f ca="1">IFERROR(IF(LEN((INDIRECT(Свёртка_Перебор_2_20170709140117[[#This Row],[ССВ_1_1]],FALSE)))=0,"ошибка",IFERROR(INDIRECT(Свёртка_Перебор_2_20170709140117[[#This Row],[ССВ_1_1]],FALSE),"ошибка")),"ошибка")</f>
        <v>ошибка</v>
      </c>
      <c r="AD10"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Row],[ССвёртка]])))+AD$7),FIND("R",Свёртка_Перебор_2_20170709140117[[#This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Row],[ССвёртка]])))+AD$6),"ошибка")</f>
        <v>ошибка</v>
      </c>
      <c r="AE10">
        <v>0</v>
      </c>
      <c r="AF10">
        <v>1</v>
      </c>
      <c r="AG10">
        <v>0</v>
      </c>
      <c r="AH10" t="str">
        <f ca="1">IFERROR(IF(LEN((INDIRECT(Свёртка_Перебор_2_20170709140117[[#This Row],[ССВ_2_1]],FALSE)))=0,"ошибка",IFERROR(INDIRECT(Свёртка_Перебор_2_20170709140117[[#This Row],[ССВ_2_1]],FALSE),"ошибка")),"ошибка")</f>
        <v>ошибка</v>
      </c>
      <c r="AI10"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Row],[ССвёртка]])))+AI$7),FIND("R",Свёртка_Перебор_2_20170709140117[[#This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Row],[ССвёртка]])))+AI$6),"ошибка")</f>
        <v>ошибка</v>
      </c>
      <c r="AJ10">
        <v>0</v>
      </c>
      <c r="AK10">
        <v>2</v>
      </c>
      <c r="AL10">
        <v>0</v>
      </c>
      <c r="AM10" t="str">
        <f ca="1">IFERROR(IF(LEN((INDIRECT(Свёртка_Перебор_2_20170709140117[[#This Row],[ССВ_1_2]],FALSE)))=0,"ошибка",IFERROR(INDIRECT(Свёртка_Перебор_2_20170709140117[[#This Row],[ССВ_1_2]],FALSE),"ошибка")),"ошибка")</f>
        <v>ошибка</v>
      </c>
      <c r="AN10"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Row],[ССвёртка]])))+AN$7),FIND("R",Свёртка_Перебор_2_20170709140117[[#This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Row],[ССвёртка]])))+AN$6),"ошибка")</f>
        <v>ошибка</v>
      </c>
      <c r="AO10">
        <v>0</v>
      </c>
      <c r="AP10">
        <v>2</v>
      </c>
      <c r="AQ10">
        <v>0</v>
      </c>
      <c r="AR10" t="str">
        <f ca="1">IFERROR(IF(LEN((INDIRECT(Свёртка_Перебор_2_20170709140117[[#This Row],[ССВ_2_2]],FALSE)))=0,"ошибка",IFERROR(INDIRECT(Свёртка_Перебор_2_20170709140117[[#This Row],[ССВ_2_2]],FALSE),"ошибка")),"ошибка")</f>
        <v>ошибка</v>
      </c>
      <c r="AS10"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Row],[ССвёртка]])))+AS$7),FIND("R",Свёртка_Перебор_2_20170709140117[[#This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Row],[ССвёртка]])))+AS$6),"ошибка")</f>
        <v>ошибка</v>
      </c>
      <c r="AT10">
        <v>0</v>
      </c>
      <c r="AU10">
        <v>2</v>
      </c>
      <c r="AV10">
        <v>0</v>
      </c>
      <c r="AW10" t="str">
        <f ca="1">IFERROR(IF(LEN((INDIRECT(Свёртка_Перебор_2_20170709140117[[#This Row],[ССВ_3_1]],FALSE)))=0,"ошибка",IFERROR(INDIRECT(Свёртка_Перебор_2_20170709140117[[#This Row],[ССВ_3_1]],FALSE),"ошибка")),"ошибка")</f>
        <v>ошибка</v>
      </c>
      <c r="AX10"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Row],[ССвёртка]])))+AX$7),FIND("R",Свёртка_Перебор_2_20170709140117[[#This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Row],[ССвёртка]])))+AX$6),"ошибка")</f>
        <v>ошибка</v>
      </c>
      <c r="AY10">
        <v>0</v>
      </c>
      <c r="AZ10">
        <v>2</v>
      </c>
      <c r="BA10">
        <v>0</v>
      </c>
      <c r="BB10" t="str">
        <f ca="1">IFERROR(IF(LEN((INDIRECT(Свёртка_Перебор_2_20170709140117[[#This Row],[ССВ_1_3]],FALSE)))=0,"ошибка",IFERROR(INDIRECT(Свёртка_Перебор_2_20170709140117[[#This Row],[ССВ_1_3]],FALSE),"ошибка")),"ошибка")</f>
        <v>ошибка</v>
      </c>
      <c r="BC10"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Row],[ССвёртка]])))+BC$7),FIND("R",Свёртка_Перебор_2_20170709140117[[#This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Row],[ССвёртка]])))+BC$6),"ошибка")</f>
        <v>ошибка</v>
      </c>
      <c r="BD10">
        <v>0</v>
      </c>
      <c r="BE10">
        <v>3</v>
      </c>
      <c r="BF10">
        <v>0</v>
      </c>
      <c r="BG10" t="str">
        <f ca="1">IFERROR(IF(LEN((INDIRECT(Свёртка_Перебор_2_20170709140117[[#This Row],[ССВ_3_2]],FALSE)))=0,"ошибка",IFERROR(INDIRECT(Свёртка_Перебор_2_20170709140117[[#This Row],[ССВ_3_2]],FALSE),"ошибка")),"ошибка")</f>
        <v>ошибка</v>
      </c>
      <c r="BH10"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Row],[ССвёртка]])))+BH$7),FIND("R",Свёртка_Перебор_2_20170709140117[[#This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Row],[ССвёртка]])))+BH$6),"ошибка")</f>
        <v>ошибка</v>
      </c>
      <c r="BI10">
        <v>0</v>
      </c>
      <c r="BJ10">
        <v>3</v>
      </c>
      <c r="BK10">
        <v>0</v>
      </c>
      <c r="BL10" t="str">
        <f ca="1">IFERROR(IF(LEN((INDIRECT(Свёртка_Перебор_2_20170709140117[[#This Row],[ССВ_2_3]],FALSE)))=0,"ошибка",IFERROR(INDIRECT(Свёртка_Перебор_2_20170709140117[[#This Row],[ССВ_2_3]],FALSE),"ошибка")),"ошибка")</f>
        <v>ошибка</v>
      </c>
      <c r="BM10"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Row],[ССвёртка]])))+BM$7),FIND("R",Свёртка_Перебор_2_20170709140117[[#This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Row],[ССвёртка]])))+BM$6),"ошибка")</f>
        <v>ошибка</v>
      </c>
      <c r="BN10">
        <v>0</v>
      </c>
      <c r="BO10">
        <v>3</v>
      </c>
      <c r="BP10">
        <v>0</v>
      </c>
      <c r="BQ10" t="str">
        <f ca="1">IFERROR(IF(LEN((INDIRECT(Свёртка_Перебор_2_20170709140117[[#This Row],[ССВ_3_3]],FALSE)))=0,"ошибка",IFERROR(INDIRECT(Свёртка_Перебор_2_20170709140117[[#This Row],[ССВ_3_3]],FALSE),"ошибка")),"ошибка")</f>
        <v>ошибка</v>
      </c>
      <c r="BR10"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Row],[ССвёртка]])))+BR$7),FIND("R",Свёртка_Перебор_2_20170709140117[[#This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Row],[ССвёртка]])))+BR$6),"ошибка")</f>
        <v>ошибка</v>
      </c>
      <c r="BS10">
        <v>0</v>
      </c>
      <c r="BT10">
        <v>3</v>
      </c>
      <c r="BU10">
        <v>0</v>
      </c>
      <c r="BV10">
        <f>Свёртка_Перебор_2_20170709140117[[#This Row],[ССВ_1_1_kolvo]]+Свёртка_Перебор_2_20170709140117[[#This Row],[ССВ_2_1_kolvo]]+Свёртка_Перебор_2_20170709140117[[#This Row],[ССВ_1_2_kolvo]]+Свёртка_Перебор_2_20170709140117[[#This Row],[ССВ_2_2_kolvo]]+Свёртка_Перебор_2_20170709140117[[#This Row],[ССВ_3_1_kolvo]]+Свёртка_Перебор_2_20170709140117[[#This Row],[ССВ_1_3_kolvo]]+Свёртка_Перебор_2_20170709140117[[#This Row],[ССВ_3_2_kolvo]]+Свёртка_Перебор_2_20170709140117[[#This Row],[ССВ_2_3_kolvo]]+Свёртка_Перебор_2_20170709140117[[#This Row],[ССВ_3_3_kolvo]]</f>
        <v>0</v>
      </c>
      <c r="BW10" t="str">
        <f ca="1">IFERROR(IF(LEN((INDIRECT(Свёртка_Перебор_2_20170709140117[[#This Row],[СЛ]],FALSE)))=0,"ошибка",IFERROR(INDIRECT(Свёртка_Перебор_2_20170709140117[[#This Row],[СЛ]],FALSE),"ошибка")),"ошибка")</f>
        <v>ошибка</v>
      </c>
      <c r="BX10"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Row],[ССвёртка]])))+BX$7),FIND("R",Свёртка_Перебор_2_20170709140117[[#This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Row],[ССвёртка]])))+BX$6),"ошибка")</f>
        <v>ошибка</v>
      </c>
      <c r="BY10" t="str">
        <f ca="1">IFERROR(_xlfn.FORMULATEXT(INDIRECT(Свёртка_Перебор_2_20170709140117[[#This Row],[СЛ]],FALSE)),"ошибка")</f>
        <v>ошибка</v>
      </c>
      <c r="BZ10" t="str">
        <f ca="1">IFERROR(IF(LEN((INDIRECT(Свёртка_Перебор_2_20170709140117[[#This Row],[СП]],FALSE)))=0,"ошибка",IFERROR(INDIRECT(Свёртка_Перебор_2_20170709140117[[#This Row],[СП]],FALSE),"ошибка")),"ошибка")</f>
        <v>ошибка</v>
      </c>
      <c r="CA10"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Row],[ССвёртка]])))+CA$7),FIND("R",Свёртка_Перебор_2_20170709140117[[#This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Row],[ССвёртка]])))+CA$6),"ошибка")</f>
        <v>ошибка</v>
      </c>
      <c r="CB10" t="str">
        <f ca="1">IFERROR(_xlfn.FORMULATEXT(INDIRECT(Свёртка_Перебор_2_20170709140117[[#This Row],[СП]],FALSE)),"ошибка")</f>
        <v>ошибка</v>
      </c>
      <c r="CC10">
        <f ca="1">IF(AND(Свёртка_Перебор_2_20170709140117[[#This Row],[ВидСвёртка]]="Свёртка",CONCATENATE(LEFT(Свёртка_Перебор_2_20170709140117[[#This Row],[СВ_1_1]],1),LEFT(Свёртка_Перебор_2_20170709140117[[#This Row],[СВ_2_1]],1),LEFT(Свёртка_Перебор_2_20170709140117[[#This Row],[СВ_1_2]],1),LEFT(Свёртка_Перебор_2_20170709140117[[#This Row],[СВ_2_2]],1),LEFT(Свёртка_Перебор_2_20170709140117[[#This Row],[СВ_3_1]],1),LEFT(Свёртка_Перебор_2_20170709140117[[#This Row],[СВ_1_3]],1),LEFT(Свёртка_Перебор_2_20170709140117[[#This Row],[СВ_3_2]],1),LEFT(Свёртка_Перебор_2_20170709140117[[#This Row],[СВ_2_3]],1),LEFT(Свёртка_Перебор_2_20170709140117[[#This Row],[СВ_3_3]],1))="FFFFFFFFF",AND(Свёртка_Перебор_2_20170709140117[[#This Row],[Л]]&gt;=1,Свёртка_Перебор_2_20170709140117[[#This Row],[Л]]&lt;=4),AND(Свёртка_Перебор_2_20170709140117[[#This Row],[П]]&gt;=1,Свёртка_Перебор_2_20170709140117[[#This Row],[П]]&lt;=4)),1,-1)</f>
        <v>-1</v>
      </c>
      <c r="CE10" t="e">
        <f ca="1">_xlfn.NUMBERVALUE(MID(Свёртка_Перебор_2_20170709140117[[#This Row],[ССвёртка]],SEARCH("R",Свёртка_Перебор_2_20170709140117[[#This Row],[ССвёртка]])+1,SEARCH("C",Свёртка_Перебор_2_20170709140117[[#This Row],[ССвёртка]])-SEARCH("R",Свёртка_Перебор_2_20170709140117[[#This Row],[ССвёртка]])-1))</f>
        <v>#VALUE!</v>
      </c>
      <c r="CF10" t="e">
        <f ca="1">_xlfn.NUMBERVALUE(MID(Свёртка_Перебор_2_20170709140117[[#This Row],[ССвёртка]],SEARCH("C",Свёртка_Перебор_2_20170709140117[[#This Row],[ССвёртка]])+1,LEN(Свёртка_Перебор_2_20170709140117[[#This Row],[ССвёртка]])-SEARCH("C",Свёртка_Перебор_2_20170709140117[[#This Row],[ССвёртка]])))</f>
        <v>#VALUE!</v>
      </c>
      <c r="CG10" t="str">
        <f ca="1">IF(ISERR(SEARCH("!",Свёртка_Перебор_2_20170709140117[[#This Row],[ССвёртка]])),"",LEFT(Свёртка_Перебор_2_20170709140117[[#This Row],[ССвёртка]],SEARCH("!",Свёртка_Перебор_2_20170709140117[[#This Row],[ССвёртка]])))</f>
        <v/>
      </c>
      <c r="CH10" t="str">
        <f ca="1">Свёртка_Перебор_2_20170709140117[[#This Row],[ССвёртка]]</f>
        <v>ошибка</v>
      </c>
      <c r="CI10" t="e">
        <f ca="1">IF(SUM(IF(SUM(LOOKUP(--RIGHT(OFFSET(INDIRECT(Свёртка_Перебор_2_20170709140117[[#This Row],[ССвёртка]],FALSE),-2,1)),{0,1,2,3,4,5},{0,1,1,0,1,1.5}),LOOKUP(--RIGHT(OFFSET(INDIRECT(Свёртка_Перебор_2_20170709140117[[#This Row],[ССвёртка]],FALSE),-1,1)),{0,1,2,3,4,5},{0,1,1,0,1,1.5}),LOOKUP(--RIGHT(OFFSET(INDIRECT(Свёртка_Перебор_2_20170709140117[[#This Row],[ССвёртка]],FALSE),0,1)),{0,1,2,3,4,5},{0,1,1,0,1,1.5}))&gt;4,1,0),IF(SUM(LOOKUP(--RIGHT(OFFSET(INDIRECT(Свёртка_Перебор_2_20170709140117[[#This Row],[ССвёртка]],FALSE),-2,2)),{0,1,2,3,4,5},{0,1,1,0,1,1.5}),LOOKUP(--RIGHT(OFFSET(INDIRECT(Свёртка_Перебор_2_20170709140117[[#This Row],[ССвёртка]],FALSE),-1,2)),{0,1,2,3,4,5},{0,1,1,0,1,1.5}),LOOKUP(--RIGHT(OFFSET(INDIRECT(Свёртка_Перебор_2_20170709140117[[#This Row],[ССвёртка]],FALSE),0,2)),{0,1,2,3,4,5},{0,1,1,0,1,1.5}))&gt;4,1,0),IF(SUM(LOOKUP(--RIGHT(OFFSET(INDIRECT(Свёртка_Перебор_2_20170709140117[[#This Row],[ССвёртка]],FALSE),-2,3)),{0,1,2,3,4,5},{0,1,1,0,1,1.5}),LOOKUP(--RIGHT(OFFSET(INDIRECT(Свёртка_Перебор_2_20170709140117[[#This Row],[ССвёртка]],FALSE),-1,3)),{0,1,2,3,4,5},{0,1,1,0,1,1.5}),LOOKUP(--RIGHT(OFFSET(INDIRECT(Свёртка_Перебор_2_20170709140117[[#This Row],[ССвёртка]],FALSE),0,3)),{0,1,2,3,4,5},{0,1,1,0,1,1.5}))&gt;4,1,0),IF(SUM(LOOKUP(--RIGHT(OFFSET(INDIRECT(Свёртка_Перебор_2_20170709140117[[#This Row],[ССвёртка]],FALSE),-2,1)),{0,1,2,3,4,5},{0,1,1,1,1,2}),LOOKUP(--RIGHT(OFFSET(INDIRECT(Свёртка_Перебор_2_20170709140117[[#This Row],[ССвёртка]],FALSE),-1,2)),{0,1,2,3,4,5},{0,1,1,1,1,2}),LOOKUP(--RIGHT(OFFSET(INDIRECT(Свёртка_Перебор_2_20170709140117[[#This Row],[ССвёртка]],FALSE),0,3)),{0,1,2,3,4,5},{0,1,1,1,1,2}))&lt;&gt;3,1,0),IF(SUM(LOOKUP(--RIGHT(OFFSET(INDIRECT(Свёртка_Перебор_2_20170709140117[[#This Row],[ССвёртка]],FALSE),-2,1)),{0,1,2,3,4,5},{0,1,0,1,1,1.5}),LOOKUP(--RIGHT(OFFSET(INDIRECT(Свёртка_Перебор_2_20170709140117[[#This Row],[ССвёртка]],FALSE),-2,2)),{0,1,2,3,4,5},{0,1,0,1,1,1.5}),LOOKUP(--RIGHT(OFFSET(INDIRECT(Свёртка_Перебор_2_20170709140117[[#This Row],[ССвёртка]],FALSE),-2,3)),{0,1,2,3,4,5},{0,1,0,1,1,1.5}))&gt;4,1,0),IF(SUM(LOOKUP(--RIGHT(OFFSET(INDIRECT(Свёртка_Перебор_2_20170709140117[[#This Row],[ССвёртка]],FALSE),-1,1)),{0,1,2,3,4,5},{0,1,0,1,1,1.5}),LOOKUP(--RIGHT(OFFSET(INDIRECT(Свёртка_Перебор_2_20170709140117[[#This Row],[ССвёртка]],FALSE),-1,2)),{0,1,2,3,4,5},{0,1,0,1,1,1.5}),LOOKUP(--RIGHT(OFFSET(INDIRECT(Свёртка_Перебор_2_20170709140117[[#This Row],[ССвёртка]],FALSE),-1,3)),{0,1,2,3,4,5},{0,1,0,1,1,1.5}))&gt;4,1,0),IF(SUM(LOOKUP(--RIGHT(OFFSET(INDIRECT(Свёртка_Перебор_2_20170709140117[[#This Row],[ССвёртка]],FALSE),0,1)),{0,1,2,3,4,5},{0,1,0,1,1,1.5}),LOOKUP(--RIGHT(OFFSET(INDIRECT(Свёртка_Перебор_2_20170709140117[[#This Row],[ССвёртка]],FALSE),0,2)),{0,1,2,3,4,5},{0,1,0,1,1,1.5}),LOOKUP(--RIGHT(OFFSET(INDIRECT(Свёртка_Перебор_2_20170709140117[[#This Row],[ССвёртка]],FALSE),0,3)),{0,1,2,3,4,5},{0,1,0,1,1,1.5}))&gt;4,1,0))&lt;&gt;0,0,1)</f>
        <v>#REF!</v>
      </c>
      <c r="CJ10" s="66" t="e">
        <f ca="1">COUNTIFS(OFFSET(INDIRECT((OFFSET(INDIRECT(Свёртка_Перебор_2_20170709140117[[#This Row],[С]],FALSE),-2,1)&amp;"!R2C2"),FALSE),,,101,101),"="&amp;(Свёртка_Перебор_2_20170709140117[[#This Row],[F]]-(1+(CHOOSE(--RIGHTB(OFFSET(INDIRECT(Свёртка_Перебор_2_20170709140117[[#This Row],[С]],FALSE),,3))+1,0,1,1,1,1,2)+CHOOSE(--RIGHTB(OFFSET(INDIRECT(Свёртка_Перебор_2_20170709140117[[#This Row],[С]],FALSE),-1,2))+1,0,1,1,1,1,2)))+1))*IF(AND(Свёртка_Перебор_2_20170709140117[[#This Row],[F]]&gt;=(1+(CHOOSE(--RIGHTB(OFFSET(INDIRECT(Свёртка_Перебор_2_20170709140117[[#This Row],[С]],FALSE),,3))+1,0,1,1,1,1,2)+CHOOSE(--RIGHTB(OFFSET(INDIRECT(Свёртка_Перебор_2_20170709140117[[#This Row],[С]],FALSE),-1,2))+1,0,1,1,1,1,2))),Свёртка_Перебор_2_20170709140117[[#This Row],[F]]&lt;=(1+(CHOOSE(--RIGHTB(OFFSET(INDIRECT(Свёртка_Перебор_2_20170709140117[[#This Row],[С]],FALSE),,3))+1,0,1,1,1,1,2)+CHOOSE(--RIGHTB(OFFSET(INDIRECT(Свёртка_Перебор_2_20170709140117[[#This Row],[С]],FALSE),-1,2))+1,0,1,1,1,1,2)+CHOOSE(--RIGHTB(OFFSET(INDIRECT(Свёртка_Перебор_2_20170709140117[[#This Row],[С]],FALSE),-2,1))+1,0,1,1,1,1,2)))),1,0)+COUNTIFS(OFFSET(INDIRECT((OFFSET(INDIRECT(Свёртка_Перебор_2_20170709140117[[#This Row],[С]],FALSE),-2,2)&amp;"!R2C2"),FALSE),,,101,101),"="&amp;(Свёртка_Перебор_2_20170709140117[[#This Row],[F]]-(1+(CHOOSE(--RIGHTB(OFFSET(INDIRECT(Свёртка_Перебор_2_20170709140117[[#This Row],[С]],FALSE),,3))+1,0,1,0,1,1,1)+CHOOSE(--RIGHTB(OFFSET(INDIRECT(Свёртка_Перебор_2_20170709140117[[#This Row],[С]],FALSE),-1,3))+1,0,1,1,1,1,2)))+1))*IF(AND(Свёртка_Перебор_2_20170709140117[[#This Row],[F]]&gt;=(1+(CHOOSE(--RIGHTB(OFFSET(INDIRECT(Свёртка_Перебор_2_20170709140117[[#This Row],[С]],FALSE),,3))+1,0,0,0,1,1,1)+CHOOSE(--RIGHTB(OFFSET(INDIRECT(Свёртка_Перебор_2_20170709140117[[#This Row],[С]],FALSE),-1,3))+1,0,1,1,1,1,2))),Свёртка_Перебор_2_20170709140117[[#This Row],[F]]&lt;=(1+(CHOOSE(--RIGHTB(OFFSET(INDIRECT(Свёртка_Перебор_2_20170709140117[[#This Row],[С]],FALSE),,3))+1,0,0,0,1,1,1)+CHOOSE(--RIGHTB(OFFSET(INDIRECT(Свёртка_Перебор_2_20170709140117[[#This Row],[С]],FALSE),-1,3))+1,0,1,1,1,1,2)+CHOOSE(--RIGHTB(OFFSET(INDIRECT(Свёртка_Перебор_2_20170709140117[[#This Row],[С]],FALSE),-2,2))+1,0,1,1,1,1,2)))),1,0)+COUNTIFS(OFFSET(INDIRECT((OFFSET(INDIRECT(Свёртка_Перебор_2_20170709140117[[#This Row],[С]],FALSE),-2,3)&amp;"!R2C2"),FALSE),,,101,101),"="&amp;(Свёртка_Перебор_2_20170709140117[[#This Row],[F]]-(1+(CHOOSE(--RIGHTB(OFFSET(INDIRECT(Свёртка_Перебор_2_20170709140117[[#This Row],[С]],FALSE),,3))+1,0,0,0,1,1,1)+CHOOSE(--RIGHTB(OFFSET(INDIRECT(Свёртка_Перебор_2_20170709140117[[#This Row],[С]],FALSE),-1,3))+1,0,0,0,1,1,1)))+1))*IF(AND(Свёртка_Перебор_2_20170709140117[[#This Row],[F]]&gt;=(1+(CHOOSE(--RIGHTB(OFFSET(INDIRECT(Свёртка_Перебор_2_20170709140117[[#This Row],[С]],FALSE),,3))+1,0,0,0,1,1,1)+CHOOSE(--RIGHTB(OFFSET(INDIRECT(Свёртка_Перебор_2_20170709140117[[#This Row],[С]],FALSE),-1,3))+1,0,0,0,1,1,1))),Свёртка_Перебор_2_20170709140117[[#This Row],[F]]&lt;=(1+(CHOOSE(--RIGHTB(OFFSET(INDIRECT(Свёртка_Перебор_2_20170709140117[[#This Row],[С]],FALSE),,3))+1,0,0,0,1,1,1)+CHOOSE(--RIGHTB(OFFSET(INDIRECT(Свёртка_Перебор_2_20170709140117[[#This Row],[С]],FALSE),-1,3))+1,0,0,0,1,1,1)+CHOOSE(--RIGHTB(OFFSET(INDIRECT(Свёртка_Перебор_2_20170709140117[[#This Row],[С]],FALSE),-2,3))+1,0,1,1,1,1,2)))),1,0)+COUNTIFS(OFFSET(INDIRECT((OFFSET(INDIRECT(Свёртка_Перебор_2_20170709140117[[#This Row],[С]],FALSE),-1,1)&amp;"!R2C2"),FALSE),,,101,101),"="&amp;(Свёртка_Перебор_2_20170709140117[[#This Row],[F]]-(1+(CHOOSE(--RIGHTB(OFFSET(INDIRECT(Свёртка_Перебор_2_20170709140117[[#This Row],[С]],FALSE),,3))+1,0,0,1,0,1,1)+CHOOSE(--RIGHTB(OFFSET(INDIRECT(Свёртка_Перебор_2_20170709140117[[#This Row],[С]],FALSE),0,2))+1,0,1,1,1,1,2)))+1))*IF(AND(Свёртка_Перебор_2_20170709140117[[#This Row],[F]]&gt;=(1+(CHOOSE(--RIGHTB(OFFSET(INDIRECT(Свёртка_Перебор_2_20170709140117[[#This Row],[С]],FALSE),,3))+1,0,0,1,0,1,1)+CHOOSE(--RIGHTB(OFFSET(INDIRECT(Свёртка_Перебор_2_20170709140117[[#This Row],[С]],FALSE),,2))+1,0,1,1,1,1,2))),Свёртка_Перебор_2_20170709140117[[#This Row],[F]]&lt;=(1+(CHOOSE(--RIGHTB(OFFSET(INDIRECT(Свёртка_Перебор_2_20170709140117[[#This Row],[С]],FALSE),,3))+1,0,0,1,0,1,1)+CHOOSE(--RIGHTB(OFFSET(INDIRECT(Свёртка_Перебор_2_20170709140117[[#This Row],[С]],FALSE),,2))+1,0,1,1,1,1,2)+CHOOSE(--RIGHTB(OFFSET(INDIRECT(Свёртка_Перебор_2_20170709140117[[#This Row],[С]],FALSE),-1,1))+1,0,1,1,1,1,2)))),1,0)+COUNTIFS(OFFSET(INDIRECT((OFFSET(INDIRECT(Свёртка_Перебор_2_20170709140117[[#This Row],[С]],FALSE),-1,2)&amp;"!R2C2"),FALSE),,,101,101),"="&amp;(Свёртка_Перебор_2_20170709140117[[#This Row],[F]]-(1+(CHOOSE(--RIGHTB(OFFSET(INDIRECT(Свёртка_Перебор_2_20170709140117[[#This Row],[С]],FALSE),,3))+1,0,1,1,1,1,2)))+1))*IF(AND(Свёртка_Перебор_2_20170709140117[[#This Row],[F]]&gt;=(1+(CHOOSE(--RIGHTB(OFFSET(INDIRECT(Свёртка_Перебор_2_20170709140117[[#This Row],[С]],FALSE),,3))+1,0,1,1,1,1,2))),Свёртка_Перебор_2_20170709140117[[#This Row],[F]]&lt;=(1+(CHOOSE(--RIGHTB(OFFSET(INDIRECT(Свёртка_Перебор_2_20170709140117[[#This Row],[С]],FALSE),,3))+1,0,1,1,1,1,2)+CHOOSE(--RIGHTB(OFFSET(INDIRECT(Свёртка_Перебор_2_20170709140117[[#This Row],[С]],FALSE),-1,2))+1,0,1,1,1,1,2)))),1,0)+COUNTIFS(OFFSET(INDIRECT((OFFSET(INDIRECT(Свёртка_Перебор_2_20170709140117[[#This Row],[С]],FALSE),-1,3)&amp;"!R2C2"),FALSE),,,101,101),"="&amp;(Свёртка_Перебор_2_20170709140117[[#This Row],[F]]-(1+(CHOOSE(--RIGHTB(OFFSET(INDIRECT(Свёртка_Перебор_2_20170709140117[[#This Row],[С]],FALSE),,3))+1,0,0,0,1,1,1)))+1))*IF(AND(Свёртка_Перебор_2_20170709140117[[#This Row],[F]]&gt;=(1+(CHOOSE(--RIGHTB(OFFSET(INDIRECT(Свёртка_Перебор_2_20170709140117[[#This Row],[С]],FALSE),,3))+1,0,0,0,1,1,1))),Свёртка_Перебор_2_20170709140117[[#This Row],[F]]&lt;=(1+(CHOOSE(--RIGHTB(OFFSET(INDIRECT(Свёртка_Перебор_2_20170709140117[[#This Row],[С]],FALSE),,3))+1,0,0,0,1,1,1)+CHOOSE(--RIGHTB(OFFSET(INDIRECT(Свёртка_Перебор_2_20170709140117[[#This Row],[С]],FALSE),-1,3))+1,0,1,1,1,1,2)))),1,0)+COUNTIFS(OFFSET(INDIRECT((OFFSET(INDIRECT(Свёртка_Перебор_2_20170709140117[[#This Row],[С]],FALSE),,1)&amp;"!R2C2"),FALSE),,,101,101),"="&amp;(Свёртка_Перебор_2_20170709140117[[#This Row],[F]]-(1+(CHOOSE(--RIGHTB(OFFSET(INDIRECT(Свёртка_Перебор_2_20170709140117[[#This Row],[С]],FALSE),,3))+1,0,0,1,0,1,1)+CHOOSE(--RIGHTB(OFFSET(INDIRECT(Свёртка_Перебор_2_20170709140117[[#This Row],[С]],FALSE),,2))+1,0,0,1,0,1,1)))+1))*IF(AND(Свёртка_Перебор_2_20170709140117[[#This Row],[F]]&gt;=(1+(CHOOSE(--RIGHTB(OFFSET(INDIRECT(Свёртка_Перебор_2_20170709140117[[#This Row],[С]],FALSE),,3))+1,0,0,1,0,1,1)+CHOOSE(--RIGHTB(OFFSET(INDIRECT(Свёртка_Перебор_2_20170709140117[[#This Row],[С]],FALSE),,2))+1,0,0,1,0,1,1))),Свёртка_Перебор_2_20170709140117[[#This Row],[F]]&lt;=(1+(CHOOSE(--RIGHTB(OFFSET(INDIRECT(Свёртка_Перебор_2_20170709140117[[#This Row],[С]],FALSE),,3))+1,0,0,1,0,1,1)+CHOOSE(--RIGHTB(OFFSET(INDIRECT(Свёртка_Перебор_2_20170709140117[[#This Row],[С]],FALSE),,2))+1,0,0,1,0,1,1)+CHOOSE(--RIGHTB(OFFSET(INDIRECT(Свёртка_Перебор_2_20170709140117[[#This Row],[С]],FALSE),,3))+1,0,1,1,1,1,2)))),1,0)+COUNTIFS(OFFSET(INDIRECT((OFFSET(INDIRECT(Свёртка_Перебор_2_20170709140117[[#This Row],[С]],FALSE),,2)&amp;"!R2C2"),FALSE),,,101,101),"="&amp;(Свёртка_Перебор_2_20170709140117[[#This Row],[F]]-(1+(CHOOSE(--RIGHTB(OFFSET(INDIRECT(Свёртка_Перебор_2_20170709140117[[#This Row],[С]],FALSE),,3))+1,0,0,1,0,1,1)))+1))*IF(AND(Свёртка_Перебор_2_20170709140117[[#This Row],[F]]&gt;=(1+(CHOOSE(--RIGHTB(OFFSET(INDIRECT(Свёртка_Перебор_2_20170709140117[[#This Row],[С]],FALSE),0,3))+1,0,0,1,0,1,1))),Свёртка_Перебор_2_20170709140117[[#This Row],[F]]&lt;=(1+(CHOOSE(--RIGHTB(OFFSET(INDIRECT(Свёртка_Перебор_2_20170709140117[[#This Row],[С]],FALSE),,3))+1,0,1,0,0,1,1)+CHOOSE(--RIGHTB(OFFSET(INDIRECT(Свёртка_Перебор_2_20170709140117[[#This Row],[С]],FALSE),,2))+1,0,1,1,1,1,2)))),1,0)+COUNTIFS(OFFSET(INDIRECT((OFFSET(INDIRECT(Свёртка_Перебор_2_20170709140117[[#This Row],[С]],FALSE),,3)&amp;"!R2C2"),FALSE),,,101,101),"="&amp;(Свёртка_Перебор_2_20170709140117[[#This Row],[F]]-1+1))*IF(AND(Свёртка_Перебор_2_20170709140117[[#This Row],[F]]&gt;=1,Свёртка_Перебор_2_20170709140117[[#This Row],[F]]&lt;=1+(CHOOSE(--RIGHTB(OFFSET(INDIRECT(Свёртка_Перебор_2_20170709140117[[#This Row],[С]],FALSE),,3))+1,0,1,1,1,1,2))),1,0)</f>
        <v>#REF!</v>
      </c>
    </row>
    <row r="11" spans="2:88" x14ac:dyDescent="0.25">
      <c r="B11" t="e">
        <f ca="1">IF(AND(Критерий_Перебор_2_20170709140117[[#This Row],[Критерий]]&lt;&gt;"",Критерий_Перебор_2_20170709140117[[#This Row],[O.K.Критерий]]=1),ROW()-ROW(Критерий_Перебор_2_20170709140117[[#Headers],[№]]),"")</f>
        <v>#REF!</v>
      </c>
      <c r="C11" s="37" t="e">
        <f>Модель!#REF!</f>
        <v>#REF!</v>
      </c>
      <c r="D11" t="str">
        <f ca="1">IFERROR(IF(AND(Критерий_Перебор_2_20170709140117[[#This Row],[Критерий]]&gt;=1,Критерий_Перебор_2_20170709140117[[#This Row],[Критерий]]&lt;=4),IF(IFERROR(FIND("!",_xlfn.FORMULATEXT(Критерий_Перебор_2_20170709140117[[#This Row],[Критерий]])),"на странице")="на странице",CONCATENATE("R",ROW((INDIRECT(RIGHT(_xlfn.FORMULATEXT(Критерий_Перебор_2_20170709140117[[#This Row],[Критерий]]), LEN(_xlfn.FORMULATEXT(Критерий_Перебор_2_20170709140117[[#This Row],[Критерий]]))-1),FALSE))),"C",COLUMN((INDIRECT(RIGHT(_xlfn.FORMULATEXT(Критерий_Перебор_2_20170709140117[[#This Row],[Критерий]]), LEN(_xlfn.FORMULATEXT(Критерий_Перебор_2_20170709140117[[#This Row],[Критерий]]))-1),FALSE)))-D$8),CONCATENATE(RIGHT(LEFT(_xlfn.FORMULATEXT(Критерий_Перебор_2_20170709140117[[#This Row],[Критерий]]),FIND("!",_xlfn.FORMULATEXT(Критерий_Перебор_2_20170709140117[[#This Row],[Критерий]]))),LEN(LEFT(_xlfn.FORMULATEXT(Критерий_Перебор_2_20170709140117[[#This Row],[Критерий]]),FIND("!",_xlfn.FORMULATEXT(Критерий_Перебор_2_20170709140117[[#This Row],[Критерий]]))))-1),"R",ROW((INDIRECT(RIGHT(_xlfn.FORMULATEXT(Критерий_Перебор_2_20170709140117[[#This Row],[Критерий]]), LEN(_xlfn.FORMULATEXT(Критерий_Перебор_2_20170709140117[[#This Row],[Критерий]]))-1),FALSE))),"C",COLUMN((INDIRECT(RIGHT(_xlfn.FORMULATEXT(Критерий_Перебор_2_20170709140117[[#This Row],[Критерий]]), LEN(_xlfn.FORMULATEXT(Критерий_Перебор_2_20170709140117[[#This Row],[Критерий]]))-1),FALSE)))-D$8)),"ошибка"),"ошибка")</f>
        <v>ошибка</v>
      </c>
      <c r="E11" t="str">
        <f ca="1">IFERROR(IF(LEFT(Критерий_Перебор_2_20170709140117[[#This Row],[Фкритерий]],5)="=Прив","Критерий",IF(LEFT(Критерий_Перебор_2_20170709140117[[#This Row],[Фкритерий]],5)="=Матр","ошибка","ошибка")),"ошибка")</f>
        <v>ошибка</v>
      </c>
      <c r="F11" t="str">
        <f ca="1">IFERROR(IF(LEN((INDIRECT(Критерий_Перебор_2_20170709140117[[#This Row],[СНаименование]],FALSE)))=0,"ошибка",IFERROR(INDIRECT(Критерий_Перебор_2_20170709140117[[#This Row],[СНаименование]],FALSE),"ошибка")),"ошибка")</f>
        <v>ошибка</v>
      </c>
      <c r="G11"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Row],[Скритерий]])))+G$7),FIND("R",Критерий_Перебор_2_20170709140117[[#This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Row],[Скритерий]])))+G$6),"ошибка")</f>
        <v>ошибка</v>
      </c>
      <c r="H11" t="str">
        <f ca="1">IFERROR(IF(N(INDIRECT(Критерий_Перебор_2_20170709140117[[#This Row],[СФизКритерий]],FALSE))=0,"ошибка",IFERROR(INDIRECT(Критерий_Перебор_2_20170709140117[[#This Row],[СФизКритерий]],FALSE),"ошибка")),"ошибка")</f>
        <v>ошибка</v>
      </c>
      <c r="I11"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Row],[Скритерий]])))+I$7),FIND("R",Критерий_Перебор_2_20170709140117[[#This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Row],[Скритерий]])))+I$6),"ошибка")</f>
        <v>ошибка</v>
      </c>
      <c r="J11" t="str">
        <f ca="1">IFERROR(IF(OR(INDIRECT(Критерий_Перебор_2_20170709140117[[#This Row],[СТипКритерий]],FALSE)=Перебор!$N$58,INDIRECT(Критерий_Перебор_2_20170709140117[[#This Row],[СТипКритерий]],FALSE)=Перебор!$N$59,INDIRECT(Критерий_Перебор_2_20170709140117[[#This Row],[СТипКритерий]],FALSE)=Перебор!$N$60,INDIRECT(Критерий_Перебор_2_20170709140117[[#This Row],[СТипКритерий]],FALSE)=Перебор!$N$61),INDIRECT(Критерий_Перебор_2_20170709140117[[#This Row],[СТипКритерий]],FALSE),"ошибка"),"ошибка")</f>
        <v>ошибка</v>
      </c>
      <c r="K11"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Row],[Скритерий]])))+K$7),FIND("R",Критерий_Перебор_2_20170709140117[[#This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Row],[Скритерий]])))+K$6),"ошибка")</f>
        <v>ошибка</v>
      </c>
      <c r="L11" t="str">
        <f ca="1">IFERROR(_xlfn.FORMULATEXT(INDIRECT(Критерий_Перебор_2_20170709140117[[#This Row],[Скритерий]],FALSE)),"ошибка")</f>
        <v>ошибка</v>
      </c>
      <c r="M11" t="str">
        <f ca="1">IFERROR(IF(N(INDIRECT(Критерий_Перебор_2_20170709140117[[#This Row],[СМинФизКритерий]],FALSE))=0,"ошибка",IFERROR(INDIRECT(Критерий_Перебор_2_20170709140117[[#This Row],[СМинФизКритерий]],FALSE),"ошибка")),"ошибка")</f>
        <v>ошибка</v>
      </c>
      <c r="N11"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Row],[Скритерий]])))+N$7),FIND("R",Критерий_Перебор_2_20170709140117[[#This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Row],[Скритерий]])))+N$6),"ошибка")</f>
        <v>ошибка</v>
      </c>
      <c r="O11" t="str">
        <f ca="1">IFERROR(IF(N(INDIRECT(Критерий_Перебор_2_20170709140117[[#This Row],[СМаксФизКритерий]],FALSE))=0,"ошибка",IFERROR(INDIRECT(Критерий_Перебор_2_20170709140117[[#This Row],[СМаксФизКритерий]],FALSE),"ошибка")),"ошибка")</f>
        <v>ошибка</v>
      </c>
      <c r="P11"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Row],[Скритерий]])))+P$7),FIND("R",Критерий_Перебор_2_20170709140117[[#This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Row],[Скритерий]])))+P$6),"ошибка")</f>
        <v>ошибка</v>
      </c>
      <c r="Q11" t="str">
        <f ca="1">IFERROR(IF(N(INDIRECT(Критерий_Перебор_2_20170709140117[[#This Row],[ССрФизКритерий]],FALSE))=0,"ошибка",IFERROR(INDIRECT(Критерий_Перебор_2_20170709140117[[#This Row],[ССрФизКритерий]],FALSE),"ошибка")),"")</f>
        <v/>
      </c>
      <c r="R11" t="str">
        <f ca="1">IF(OR(Критерий_Перебор_2_20170709140117[[#This Row],[ТипКритерий]]=Перебор!$N$60,Критерий_Перебор_2_20170709140117[[#This Row],[ТипКритерий]]=Перебор!$N$61),IFERROR(REPLACE(REPLACE(Критерий_Перебор_2_20170709140117[[#This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Row],[Скритерий]])))+R$7),FIND("R",Критерий_Перебор_2_20170709140117[[#This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Row],[Скритерий]])))+R$6),"ошибка"),"")</f>
        <v/>
      </c>
      <c r="S11" s="66">
        <f ca="1">IFERROR(IF(AND(Критерий_Перебор_2_20170709140117[[#This Row],[ВидКритерий]]="Критерий",Критерий_Перебор_2_20170709140117[[#This Row],[Фкритерий]]="=Приведение"),1,-1),-1)</f>
        <v>-1</v>
      </c>
      <c r="V11" t="str">
        <f ca="1">IF(AND(Свёртка_Перебор_2_20170709140117[[#This Row],[Свёртка]]&lt;&gt;"",Свёртка_Перебор_2_20170709140117[[#This Row],[O.K.Свёртка]]=1),ROW()-ROW(Свёртка_Перебор_2_20170709140117[[#Headers],[№]]),"")</f>
        <v/>
      </c>
      <c r="W11" s="146"/>
      <c r="X11" t="str">
        <f ca="1">IFERROR(IF(AND(Свёртка_Перебор_2_20170709140117[[#This Row],[Свёртка]]&gt;=1,Свёртка_Перебор_2_20170709140117[[#This Row],[Свёртка]]&lt;=4),IF(IFERROR(FIND("!",_xlfn.FORMULATEXT(Свёртка_Перебор_2_20170709140117[[#This Row],[Свёртка]])),"на странице")="на странице",CONCATENATE("R",ROW((INDIRECT(RIGHT(_xlfn.FORMULATEXT(Свёртка_Перебор_2_20170709140117[[#This Row],[Свёртка]]), LEN(_xlfn.FORMULATEXT(Свёртка_Перебор_2_20170709140117[[#This Row],[Свёртка]]))-1),FALSE))),"C",COLUMN((INDIRECT(RIGHT(_xlfn.FORMULATEXT(Свёртка_Перебор_2_20170709140117[[#This Row],[Свёртка]]), LEN(_xlfn.FORMULATEXT(Свёртка_Перебор_2_20170709140117[[#This Row],[Свёртка]]))-1),FALSE)))-X$6),CONCATENATE(RIGHT(LEFT(_xlfn.FORMULATEXT(Свёртка_Перебор_2_20170709140117[[#This Row],[Свёртка]]),FIND("!",_xlfn.FORMULATEXT(Свёртка_Перебор_2_20170709140117[[#This Row],[Свёртка]]))),LEN(LEFT(_xlfn.FORMULATEXT(Свёртка_Перебор_2_20170709140117[[#This Row],[Свёртка]]),FIND("!",_xlfn.FORMULATEXT(Свёртка_Перебор_2_20170709140117[[#This Row],[Свёртка]]))))-1),"R",ROW((INDIRECT(RIGHT(_xlfn.FORMULATEXT(Свёртка_Перебор_2_20170709140117[[#This Row],[Свёртка]]), LEN(_xlfn.FORMULATEXT(Свёртка_Перебор_2_20170709140117[[#This Row],[Свёртка]]))-1),FALSE))),"C",COLUMN((INDIRECT(RIGHT(_xlfn.FORMULATEXT(Свёртка_Перебор_2_20170709140117[[#This Row],[Свёртка]]), LEN(_xlfn.FORMULATEXT(Свёртка_Перебор_2_20170709140117[[#This Row],[Свёртка]]))-1),FALSE)))-X$6)),"ошибка"),"ошибка")</f>
        <v>ошибка</v>
      </c>
      <c r="Y11" t="str">
        <f ca="1">IFERROR(_xlfn.FORMULATEXT(INDIRECT(Свёртка_Перебор_2_20170709140117[[#This Row],[ССвёртка]],FALSE)),"ошибка")</f>
        <v>ошибка</v>
      </c>
      <c r="Z11" t="str">
        <f ca="1">IFERROR(IF(LEFT(Свёртка_Перебор_2_20170709140117[[#This Row],[ФСвёртка]],5)="=Прив","ошибка",IF(LEFT(Свёртка_Перебор_2_20170709140117[[#This Row],[ФСвёртка]],5)="=Матр","Свёртка","ошибка")),"ошибка")</f>
        <v>ошибка</v>
      </c>
      <c r="AA11" t="str">
        <f ca="1">IFERROR(IF(LEN((INDIRECT(Свёртка_Перебор_2_20170709140117[[#This Row],[СНаименование]],FALSE)))=0,"ошибка",IFERROR(INDIRECT(Свёртка_Перебор_2_20170709140117[[#This Row],[СНаименование]],FALSE),"ошибка")),"ошибка")</f>
        <v>ошибка</v>
      </c>
      <c r="AB11"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Row],[ССвёртка]])))+AB$7),FIND("R",Свёртка_Перебор_2_20170709140117[[#This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Row],[ССвёртка]])))+AB$6),"ошибка")</f>
        <v>ошибка</v>
      </c>
      <c r="AC11" t="str">
        <f ca="1">IFERROR(IF(LEN((INDIRECT(Свёртка_Перебор_2_20170709140117[[#This Row],[ССВ_1_1]],FALSE)))=0,"ошибка",IFERROR(INDIRECT(Свёртка_Перебор_2_20170709140117[[#This Row],[ССВ_1_1]],FALSE),"ошибка")),"ошибка")</f>
        <v>ошибка</v>
      </c>
      <c r="AD11"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Row],[ССвёртка]])))+AD$7),FIND("R",Свёртка_Перебор_2_20170709140117[[#This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Row],[ССвёртка]])))+AD$6),"ошибка")</f>
        <v>ошибка</v>
      </c>
      <c r="AH11" t="str">
        <f ca="1">IFERROR(IF(LEN((INDIRECT(Свёртка_Перебор_2_20170709140117[[#This Row],[ССВ_2_1]],FALSE)))=0,"ошибка",IFERROR(INDIRECT(Свёртка_Перебор_2_20170709140117[[#This Row],[ССВ_2_1]],FALSE),"ошибка")),"ошибка")</f>
        <v>ошибка</v>
      </c>
      <c r="AI11"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Row],[ССвёртка]])))+AI$7),FIND("R",Свёртка_Перебор_2_20170709140117[[#This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Row],[ССвёртка]])))+AI$6),"ошибка")</f>
        <v>ошибка</v>
      </c>
      <c r="AM11" t="str">
        <f ca="1">IFERROR(IF(LEN((INDIRECT(Свёртка_Перебор_2_20170709140117[[#This Row],[ССВ_1_2]],FALSE)))=0,"ошибка",IFERROR(INDIRECT(Свёртка_Перебор_2_20170709140117[[#This Row],[ССВ_1_2]],FALSE),"ошибка")),"ошибка")</f>
        <v>ошибка</v>
      </c>
      <c r="AN11"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Row],[ССвёртка]])))+AN$7),FIND("R",Свёртка_Перебор_2_20170709140117[[#This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Row],[ССвёртка]])))+AN$6),"ошибка")</f>
        <v>ошибка</v>
      </c>
      <c r="AR11" t="str">
        <f ca="1">IFERROR(IF(LEN((INDIRECT(Свёртка_Перебор_2_20170709140117[[#This Row],[ССВ_2_2]],FALSE)))=0,"ошибка",IFERROR(INDIRECT(Свёртка_Перебор_2_20170709140117[[#This Row],[ССВ_2_2]],FALSE),"ошибка")),"ошибка")</f>
        <v>ошибка</v>
      </c>
      <c r="AS11"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Row],[ССвёртка]])))+AS$7),FIND("R",Свёртка_Перебор_2_20170709140117[[#This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Row],[ССвёртка]])))+AS$6),"ошибка")</f>
        <v>ошибка</v>
      </c>
      <c r="AW11" t="str">
        <f ca="1">IFERROR(IF(LEN((INDIRECT(Свёртка_Перебор_2_20170709140117[[#This Row],[ССВ_3_1]],FALSE)))=0,"ошибка",IFERROR(INDIRECT(Свёртка_Перебор_2_20170709140117[[#This Row],[ССВ_3_1]],FALSE),"ошибка")),"ошибка")</f>
        <v>ошибка</v>
      </c>
      <c r="AX11"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Row],[ССвёртка]])))+AX$7),FIND("R",Свёртка_Перебор_2_20170709140117[[#This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Row],[ССвёртка]])))+AX$6),"ошибка")</f>
        <v>ошибка</v>
      </c>
      <c r="BB11" t="str">
        <f ca="1">IFERROR(IF(LEN((INDIRECT(Свёртка_Перебор_2_20170709140117[[#This Row],[ССВ_1_3]],FALSE)))=0,"ошибка",IFERROR(INDIRECT(Свёртка_Перебор_2_20170709140117[[#This Row],[ССВ_1_3]],FALSE),"ошибка")),"ошибка")</f>
        <v>ошибка</v>
      </c>
      <c r="BC11"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Row],[ССвёртка]])))+BC$7),FIND("R",Свёртка_Перебор_2_20170709140117[[#This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Row],[ССвёртка]])))+BC$6),"ошибка")</f>
        <v>ошибка</v>
      </c>
      <c r="BG11" t="str">
        <f ca="1">IFERROR(IF(LEN((INDIRECT(Свёртка_Перебор_2_20170709140117[[#This Row],[ССВ_3_2]],FALSE)))=0,"ошибка",IFERROR(INDIRECT(Свёртка_Перебор_2_20170709140117[[#This Row],[ССВ_3_2]],FALSE),"ошибка")),"ошибка")</f>
        <v>ошибка</v>
      </c>
      <c r="BH11"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Row],[ССвёртка]])))+BH$7),FIND("R",Свёртка_Перебор_2_20170709140117[[#This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Row],[ССвёртка]])))+BH$6),"ошибка")</f>
        <v>ошибка</v>
      </c>
      <c r="BL11" t="str">
        <f ca="1">IFERROR(IF(LEN((INDIRECT(Свёртка_Перебор_2_20170709140117[[#This Row],[ССВ_2_3]],FALSE)))=0,"ошибка",IFERROR(INDIRECT(Свёртка_Перебор_2_20170709140117[[#This Row],[ССВ_2_3]],FALSE),"ошибка")),"ошибка")</f>
        <v>ошибка</v>
      </c>
      <c r="BM11"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Row],[ССвёртка]])))+BM$7),FIND("R",Свёртка_Перебор_2_20170709140117[[#This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Row],[ССвёртка]])))+BM$6),"ошибка")</f>
        <v>ошибка</v>
      </c>
      <c r="BQ11" t="str">
        <f ca="1">IFERROR(IF(LEN((INDIRECT(Свёртка_Перебор_2_20170709140117[[#This Row],[ССВ_3_3]],FALSE)))=0,"ошибка",IFERROR(INDIRECT(Свёртка_Перебор_2_20170709140117[[#This Row],[ССВ_3_3]],FALSE),"ошибка")),"ошибка")</f>
        <v>ошибка</v>
      </c>
      <c r="BR11"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Row],[ССвёртка]])))+BR$7),FIND("R",Свёртка_Перебор_2_20170709140117[[#This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Row],[ССвёртка]])))+BR$6),"ошибка")</f>
        <v>ошибка</v>
      </c>
      <c r="BV11">
        <f>Свёртка_Перебор_2_20170709140117[[#This Row],[ССВ_1_1_kolvo]]+Свёртка_Перебор_2_20170709140117[[#This Row],[ССВ_2_1_kolvo]]+Свёртка_Перебор_2_20170709140117[[#This Row],[ССВ_1_2_kolvo]]+Свёртка_Перебор_2_20170709140117[[#This Row],[ССВ_2_2_kolvo]]+Свёртка_Перебор_2_20170709140117[[#This Row],[ССВ_3_1_kolvo]]+Свёртка_Перебор_2_20170709140117[[#This Row],[ССВ_1_3_kolvo]]+Свёртка_Перебор_2_20170709140117[[#This Row],[ССВ_3_2_kolvo]]+Свёртка_Перебор_2_20170709140117[[#This Row],[ССВ_2_3_kolvo]]+Свёртка_Перебор_2_20170709140117[[#This Row],[ССВ_3_3_kolvo]]</f>
        <v>0</v>
      </c>
      <c r="BW11" t="str">
        <f ca="1">IFERROR(IF(LEN((INDIRECT(Свёртка_Перебор_2_20170709140117[[#This Row],[СЛ]],FALSE)))=0,"ошибка",IFERROR(INDIRECT(Свёртка_Перебор_2_20170709140117[[#This Row],[СЛ]],FALSE),"ошибка")),"ошибка")</f>
        <v>ошибка</v>
      </c>
      <c r="BX11"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Row],[ССвёртка]])))+BX$7),FIND("R",Свёртка_Перебор_2_20170709140117[[#This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Row],[ССвёртка]])))+BX$6),"ошибка")</f>
        <v>ошибка</v>
      </c>
      <c r="BY11" t="str">
        <f ca="1">IFERROR(_xlfn.FORMULATEXT(INDIRECT(Свёртка_Перебор_2_20170709140117[[#This Row],[СЛ]],FALSE)),"ошибка")</f>
        <v>ошибка</v>
      </c>
      <c r="BZ11" t="str">
        <f ca="1">IFERROR(IF(LEN((INDIRECT(Свёртка_Перебор_2_20170709140117[[#This Row],[СП]],FALSE)))=0,"ошибка",IFERROR(INDIRECT(Свёртка_Перебор_2_20170709140117[[#This Row],[СП]],FALSE),"ошибка")),"ошибка")</f>
        <v>ошибка</v>
      </c>
      <c r="CA11"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Row],[ССвёртка]])))+CA$7),FIND("R",Свёртка_Перебор_2_20170709140117[[#This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Row],[ССвёртка]])))+CA$6),"ошибка")</f>
        <v>ошибка</v>
      </c>
      <c r="CB11" t="str">
        <f ca="1">IFERROR(_xlfn.FORMULATEXT(INDIRECT(Свёртка_Перебор_2_20170709140117[[#This Row],[СП]],FALSE)),"ошибка")</f>
        <v>ошибка</v>
      </c>
      <c r="CC11">
        <f ca="1">IF(AND(Свёртка_Перебор_2_20170709140117[[#This Row],[ВидСвёртка]]="Свёртка",CONCATENATE(LEFT(Свёртка_Перебор_2_20170709140117[[#This Row],[СВ_1_1]],1),LEFT(Свёртка_Перебор_2_20170709140117[[#This Row],[СВ_2_1]],1),LEFT(Свёртка_Перебор_2_20170709140117[[#This Row],[СВ_1_2]],1),LEFT(Свёртка_Перебор_2_20170709140117[[#This Row],[СВ_2_2]],1),LEFT(Свёртка_Перебор_2_20170709140117[[#This Row],[СВ_3_1]],1),LEFT(Свёртка_Перебор_2_20170709140117[[#This Row],[СВ_1_3]],1),LEFT(Свёртка_Перебор_2_20170709140117[[#This Row],[СВ_3_2]],1),LEFT(Свёртка_Перебор_2_20170709140117[[#This Row],[СВ_2_3]],1),LEFT(Свёртка_Перебор_2_20170709140117[[#This Row],[СВ_3_3]],1))="FFFFFFFFF",AND(Свёртка_Перебор_2_20170709140117[[#This Row],[Л]]&gt;=1,Свёртка_Перебор_2_20170709140117[[#This Row],[Л]]&lt;=4),AND(Свёртка_Перебор_2_20170709140117[[#This Row],[П]]&gt;=1,Свёртка_Перебор_2_20170709140117[[#This Row],[П]]&lt;=4)),1,-1)</f>
        <v>-1</v>
      </c>
      <c r="CE11" t="e">
        <f ca="1">_xlfn.NUMBERVALUE(MID(Свёртка_Перебор_2_20170709140117[[#This Row],[ССвёртка]],SEARCH("R",Свёртка_Перебор_2_20170709140117[[#This Row],[ССвёртка]])+1,SEARCH("C",Свёртка_Перебор_2_20170709140117[[#This Row],[ССвёртка]])-SEARCH("R",Свёртка_Перебор_2_20170709140117[[#This Row],[ССвёртка]])-1))</f>
        <v>#VALUE!</v>
      </c>
      <c r="CF11" t="e">
        <f ca="1">_xlfn.NUMBERVALUE(MID(Свёртка_Перебор_2_20170709140117[[#This Row],[ССвёртка]],SEARCH("C",Свёртка_Перебор_2_20170709140117[[#This Row],[ССвёртка]])+1,LEN(Свёртка_Перебор_2_20170709140117[[#This Row],[ССвёртка]])-SEARCH("C",Свёртка_Перебор_2_20170709140117[[#This Row],[ССвёртка]])))</f>
        <v>#VALUE!</v>
      </c>
      <c r="CG11" t="str">
        <f ca="1">IF(ISERR(SEARCH("!",Свёртка_Перебор_2_20170709140117[[#This Row],[ССвёртка]])),"",LEFT(Свёртка_Перебор_2_20170709140117[[#This Row],[ССвёртка]],SEARCH("!",Свёртка_Перебор_2_20170709140117[[#This Row],[ССвёртка]])))</f>
        <v/>
      </c>
      <c r="CH11" t="str">
        <f ca="1">Свёртка_Перебор_2_20170709140117[[#This Row],[ССвёртка]]</f>
        <v>ошибка</v>
      </c>
      <c r="CI11" t="e">
        <f ca="1">IF(SUM(IF(SUM(LOOKUP(--RIGHT(OFFSET(INDIRECT(Свёртка_Перебор_2_20170709140117[[#This Row],[ССвёртка]],FALSE),-2,1)),{0,1,2,3,4,5},{0,1,1,0,1,1.5}),LOOKUP(--RIGHT(OFFSET(INDIRECT(Свёртка_Перебор_2_20170709140117[[#This Row],[ССвёртка]],FALSE),-1,1)),{0,1,2,3,4,5},{0,1,1,0,1,1.5}),LOOKUP(--RIGHT(OFFSET(INDIRECT(Свёртка_Перебор_2_20170709140117[[#This Row],[ССвёртка]],FALSE),0,1)),{0,1,2,3,4,5},{0,1,1,0,1,1.5}))&gt;4,1,0),IF(SUM(LOOKUP(--RIGHT(OFFSET(INDIRECT(Свёртка_Перебор_2_20170709140117[[#This Row],[ССвёртка]],FALSE),-2,2)),{0,1,2,3,4,5},{0,1,1,0,1,1.5}),LOOKUP(--RIGHT(OFFSET(INDIRECT(Свёртка_Перебор_2_20170709140117[[#This Row],[ССвёртка]],FALSE),-1,2)),{0,1,2,3,4,5},{0,1,1,0,1,1.5}),LOOKUP(--RIGHT(OFFSET(INDIRECT(Свёртка_Перебор_2_20170709140117[[#This Row],[ССвёртка]],FALSE),0,2)),{0,1,2,3,4,5},{0,1,1,0,1,1.5}))&gt;4,1,0),IF(SUM(LOOKUP(--RIGHT(OFFSET(INDIRECT(Свёртка_Перебор_2_20170709140117[[#This Row],[ССвёртка]],FALSE),-2,3)),{0,1,2,3,4,5},{0,1,1,0,1,1.5}),LOOKUP(--RIGHT(OFFSET(INDIRECT(Свёртка_Перебор_2_20170709140117[[#This Row],[ССвёртка]],FALSE),-1,3)),{0,1,2,3,4,5},{0,1,1,0,1,1.5}),LOOKUP(--RIGHT(OFFSET(INDIRECT(Свёртка_Перебор_2_20170709140117[[#This Row],[ССвёртка]],FALSE),0,3)),{0,1,2,3,4,5},{0,1,1,0,1,1.5}))&gt;4,1,0),IF(SUM(LOOKUP(--RIGHT(OFFSET(INDIRECT(Свёртка_Перебор_2_20170709140117[[#This Row],[ССвёртка]],FALSE),-2,1)),{0,1,2,3,4,5},{0,1,1,1,1,2}),LOOKUP(--RIGHT(OFFSET(INDIRECT(Свёртка_Перебор_2_20170709140117[[#This Row],[ССвёртка]],FALSE),-1,2)),{0,1,2,3,4,5},{0,1,1,1,1,2}),LOOKUP(--RIGHT(OFFSET(INDIRECT(Свёртка_Перебор_2_20170709140117[[#This Row],[ССвёртка]],FALSE),0,3)),{0,1,2,3,4,5},{0,1,1,1,1,2}))&lt;&gt;3,1,0),IF(SUM(LOOKUP(--RIGHT(OFFSET(INDIRECT(Свёртка_Перебор_2_20170709140117[[#This Row],[ССвёртка]],FALSE),-2,1)),{0,1,2,3,4,5},{0,1,0,1,1,1.5}),LOOKUP(--RIGHT(OFFSET(INDIRECT(Свёртка_Перебор_2_20170709140117[[#This Row],[ССвёртка]],FALSE),-2,2)),{0,1,2,3,4,5},{0,1,0,1,1,1.5}),LOOKUP(--RIGHT(OFFSET(INDIRECT(Свёртка_Перебор_2_20170709140117[[#This Row],[ССвёртка]],FALSE),-2,3)),{0,1,2,3,4,5},{0,1,0,1,1,1.5}))&gt;4,1,0),IF(SUM(LOOKUP(--RIGHT(OFFSET(INDIRECT(Свёртка_Перебор_2_20170709140117[[#This Row],[ССвёртка]],FALSE),-1,1)),{0,1,2,3,4,5},{0,1,0,1,1,1.5}),LOOKUP(--RIGHT(OFFSET(INDIRECT(Свёртка_Перебор_2_20170709140117[[#This Row],[ССвёртка]],FALSE),-1,2)),{0,1,2,3,4,5},{0,1,0,1,1,1.5}),LOOKUP(--RIGHT(OFFSET(INDIRECT(Свёртка_Перебор_2_20170709140117[[#This Row],[ССвёртка]],FALSE),-1,3)),{0,1,2,3,4,5},{0,1,0,1,1,1.5}))&gt;4,1,0),IF(SUM(LOOKUP(--RIGHT(OFFSET(INDIRECT(Свёртка_Перебор_2_20170709140117[[#This Row],[ССвёртка]],FALSE),0,1)),{0,1,2,3,4,5},{0,1,0,1,1,1.5}),LOOKUP(--RIGHT(OFFSET(INDIRECT(Свёртка_Перебор_2_20170709140117[[#This Row],[ССвёртка]],FALSE),0,2)),{0,1,2,3,4,5},{0,1,0,1,1,1.5}),LOOKUP(--RIGHT(OFFSET(INDIRECT(Свёртка_Перебор_2_20170709140117[[#This Row],[ССвёртка]],FALSE),0,3)),{0,1,2,3,4,5},{0,1,0,1,1,1.5}))&gt;4,1,0))&lt;&gt;0,0,1)</f>
        <v>#REF!</v>
      </c>
      <c r="CJ11" s="66" t="e">
        <f ca="1">COUNTIFS(OFFSET(INDIRECT((OFFSET(INDIRECT(Свёртка_Перебор_2_20170709140117[[#This Row],[С]],FALSE),-2,1)&amp;"!R2C2"),FALSE),,,101,101),"="&amp;(Свёртка_Перебор_2_20170709140117[[#This Row],[F]]-(1+(CHOOSE(--RIGHTB(OFFSET(INDIRECT(Свёртка_Перебор_2_20170709140117[[#This Row],[С]],FALSE),,3))+1,0,1,1,1,1,2)+CHOOSE(--RIGHTB(OFFSET(INDIRECT(Свёртка_Перебор_2_20170709140117[[#This Row],[С]],FALSE),-1,2))+1,0,1,1,1,1,2)))+1))*IF(AND(Свёртка_Перебор_2_20170709140117[[#This Row],[F]]&gt;=(1+(CHOOSE(--RIGHTB(OFFSET(INDIRECT(Свёртка_Перебор_2_20170709140117[[#This Row],[С]],FALSE),,3))+1,0,1,1,1,1,2)+CHOOSE(--RIGHTB(OFFSET(INDIRECT(Свёртка_Перебор_2_20170709140117[[#This Row],[С]],FALSE),-1,2))+1,0,1,1,1,1,2))),Свёртка_Перебор_2_20170709140117[[#This Row],[F]]&lt;=(1+(CHOOSE(--RIGHTB(OFFSET(INDIRECT(Свёртка_Перебор_2_20170709140117[[#This Row],[С]],FALSE),,3))+1,0,1,1,1,1,2)+CHOOSE(--RIGHTB(OFFSET(INDIRECT(Свёртка_Перебор_2_20170709140117[[#This Row],[С]],FALSE),-1,2))+1,0,1,1,1,1,2)+CHOOSE(--RIGHTB(OFFSET(INDIRECT(Свёртка_Перебор_2_20170709140117[[#This Row],[С]],FALSE),-2,1))+1,0,1,1,1,1,2)))),1,0)+COUNTIFS(OFFSET(INDIRECT((OFFSET(INDIRECT(Свёртка_Перебор_2_20170709140117[[#This Row],[С]],FALSE),-2,2)&amp;"!R2C2"),FALSE),,,101,101),"="&amp;(Свёртка_Перебор_2_20170709140117[[#This Row],[F]]-(1+(CHOOSE(--RIGHTB(OFFSET(INDIRECT(Свёртка_Перебор_2_20170709140117[[#This Row],[С]],FALSE),,3))+1,0,1,0,1,1,1)+CHOOSE(--RIGHTB(OFFSET(INDIRECT(Свёртка_Перебор_2_20170709140117[[#This Row],[С]],FALSE),-1,3))+1,0,1,1,1,1,2)))+1))*IF(AND(Свёртка_Перебор_2_20170709140117[[#This Row],[F]]&gt;=(1+(CHOOSE(--RIGHTB(OFFSET(INDIRECT(Свёртка_Перебор_2_20170709140117[[#This Row],[С]],FALSE),,3))+1,0,0,0,1,1,1)+CHOOSE(--RIGHTB(OFFSET(INDIRECT(Свёртка_Перебор_2_20170709140117[[#This Row],[С]],FALSE),-1,3))+1,0,1,1,1,1,2))),Свёртка_Перебор_2_20170709140117[[#This Row],[F]]&lt;=(1+(CHOOSE(--RIGHTB(OFFSET(INDIRECT(Свёртка_Перебор_2_20170709140117[[#This Row],[С]],FALSE),,3))+1,0,0,0,1,1,1)+CHOOSE(--RIGHTB(OFFSET(INDIRECT(Свёртка_Перебор_2_20170709140117[[#This Row],[С]],FALSE),-1,3))+1,0,1,1,1,1,2)+CHOOSE(--RIGHTB(OFFSET(INDIRECT(Свёртка_Перебор_2_20170709140117[[#This Row],[С]],FALSE),-2,2))+1,0,1,1,1,1,2)))),1,0)+COUNTIFS(OFFSET(INDIRECT((OFFSET(INDIRECT(Свёртка_Перебор_2_20170709140117[[#This Row],[С]],FALSE),-2,3)&amp;"!R2C2"),FALSE),,,101,101),"="&amp;(Свёртка_Перебор_2_20170709140117[[#This Row],[F]]-(1+(CHOOSE(--RIGHTB(OFFSET(INDIRECT(Свёртка_Перебор_2_20170709140117[[#This Row],[С]],FALSE),,3))+1,0,0,0,1,1,1)+CHOOSE(--RIGHTB(OFFSET(INDIRECT(Свёртка_Перебор_2_20170709140117[[#This Row],[С]],FALSE),-1,3))+1,0,0,0,1,1,1)))+1))*IF(AND(Свёртка_Перебор_2_20170709140117[[#This Row],[F]]&gt;=(1+(CHOOSE(--RIGHTB(OFFSET(INDIRECT(Свёртка_Перебор_2_20170709140117[[#This Row],[С]],FALSE),,3))+1,0,0,0,1,1,1)+CHOOSE(--RIGHTB(OFFSET(INDIRECT(Свёртка_Перебор_2_20170709140117[[#This Row],[С]],FALSE),-1,3))+1,0,0,0,1,1,1))),Свёртка_Перебор_2_20170709140117[[#This Row],[F]]&lt;=(1+(CHOOSE(--RIGHTB(OFFSET(INDIRECT(Свёртка_Перебор_2_20170709140117[[#This Row],[С]],FALSE),,3))+1,0,0,0,1,1,1)+CHOOSE(--RIGHTB(OFFSET(INDIRECT(Свёртка_Перебор_2_20170709140117[[#This Row],[С]],FALSE),-1,3))+1,0,0,0,1,1,1)+CHOOSE(--RIGHTB(OFFSET(INDIRECT(Свёртка_Перебор_2_20170709140117[[#This Row],[С]],FALSE),-2,3))+1,0,1,1,1,1,2)))),1,0)+COUNTIFS(OFFSET(INDIRECT((OFFSET(INDIRECT(Свёртка_Перебор_2_20170709140117[[#This Row],[С]],FALSE),-1,1)&amp;"!R2C2"),FALSE),,,101,101),"="&amp;(Свёртка_Перебор_2_20170709140117[[#This Row],[F]]-(1+(CHOOSE(--RIGHTB(OFFSET(INDIRECT(Свёртка_Перебор_2_20170709140117[[#This Row],[С]],FALSE),,3))+1,0,0,1,0,1,1)+CHOOSE(--RIGHTB(OFFSET(INDIRECT(Свёртка_Перебор_2_20170709140117[[#This Row],[С]],FALSE),0,2))+1,0,1,1,1,1,2)))+1))*IF(AND(Свёртка_Перебор_2_20170709140117[[#This Row],[F]]&gt;=(1+(CHOOSE(--RIGHTB(OFFSET(INDIRECT(Свёртка_Перебор_2_20170709140117[[#This Row],[С]],FALSE),,3))+1,0,0,1,0,1,1)+CHOOSE(--RIGHTB(OFFSET(INDIRECT(Свёртка_Перебор_2_20170709140117[[#This Row],[С]],FALSE),,2))+1,0,1,1,1,1,2))),Свёртка_Перебор_2_20170709140117[[#This Row],[F]]&lt;=(1+(CHOOSE(--RIGHTB(OFFSET(INDIRECT(Свёртка_Перебор_2_20170709140117[[#This Row],[С]],FALSE),,3))+1,0,0,1,0,1,1)+CHOOSE(--RIGHTB(OFFSET(INDIRECT(Свёртка_Перебор_2_20170709140117[[#This Row],[С]],FALSE),,2))+1,0,1,1,1,1,2)+CHOOSE(--RIGHTB(OFFSET(INDIRECT(Свёртка_Перебор_2_20170709140117[[#This Row],[С]],FALSE),-1,1))+1,0,1,1,1,1,2)))),1,0)+COUNTIFS(OFFSET(INDIRECT((OFFSET(INDIRECT(Свёртка_Перебор_2_20170709140117[[#This Row],[С]],FALSE),-1,2)&amp;"!R2C2"),FALSE),,,101,101),"="&amp;(Свёртка_Перебор_2_20170709140117[[#This Row],[F]]-(1+(CHOOSE(--RIGHTB(OFFSET(INDIRECT(Свёртка_Перебор_2_20170709140117[[#This Row],[С]],FALSE),,3))+1,0,1,1,1,1,2)))+1))*IF(AND(Свёртка_Перебор_2_20170709140117[[#This Row],[F]]&gt;=(1+(CHOOSE(--RIGHTB(OFFSET(INDIRECT(Свёртка_Перебор_2_20170709140117[[#This Row],[С]],FALSE),,3))+1,0,1,1,1,1,2))),Свёртка_Перебор_2_20170709140117[[#This Row],[F]]&lt;=(1+(CHOOSE(--RIGHTB(OFFSET(INDIRECT(Свёртка_Перебор_2_20170709140117[[#This Row],[С]],FALSE),,3))+1,0,1,1,1,1,2)+CHOOSE(--RIGHTB(OFFSET(INDIRECT(Свёртка_Перебор_2_20170709140117[[#This Row],[С]],FALSE),-1,2))+1,0,1,1,1,1,2)))),1,0)+COUNTIFS(OFFSET(INDIRECT((OFFSET(INDIRECT(Свёртка_Перебор_2_20170709140117[[#This Row],[С]],FALSE),-1,3)&amp;"!R2C2"),FALSE),,,101,101),"="&amp;(Свёртка_Перебор_2_20170709140117[[#This Row],[F]]-(1+(CHOOSE(--RIGHTB(OFFSET(INDIRECT(Свёртка_Перебор_2_20170709140117[[#This Row],[С]],FALSE),,3))+1,0,0,0,1,1,1)))+1))*IF(AND(Свёртка_Перебор_2_20170709140117[[#This Row],[F]]&gt;=(1+(CHOOSE(--RIGHTB(OFFSET(INDIRECT(Свёртка_Перебор_2_20170709140117[[#This Row],[С]],FALSE),,3))+1,0,0,0,1,1,1))),Свёртка_Перебор_2_20170709140117[[#This Row],[F]]&lt;=(1+(CHOOSE(--RIGHTB(OFFSET(INDIRECT(Свёртка_Перебор_2_20170709140117[[#This Row],[С]],FALSE),,3))+1,0,0,0,1,1,1)+CHOOSE(--RIGHTB(OFFSET(INDIRECT(Свёртка_Перебор_2_20170709140117[[#This Row],[С]],FALSE),-1,3))+1,0,1,1,1,1,2)))),1,0)+COUNTIFS(OFFSET(INDIRECT((OFFSET(INDIRECT(Свёртка_Перебор_2_20170709140117[[#This Row],[С]],FALSE),,1)&amp;"!R2C2"),FALSE),,,101,101),"="&amp;(Свёртка_Перебор_2_20170709140117[[#This Row],[F]]-(1+(CHOOSE(--RIGHTB(OFFSET(INDIRECT(Свёртка_Перебор_2_20170709140117[[#This Row],[С]],FALSE),,3))+1,0,0,1,0,1,1)+CHOOSE(--RIGHTB(OFFSET(INDIRECT(Свёртка_Перебор_2_20170709140117[[#This Row],[С]],FALSE),,2))+1,0,0,1,0,1,1)))+1))*IF(AND(Свёртка_Перебор_2_20170709140117[[#This Row],[F]]&gt;=(1+(CHOOSE(--RIGHTB(OFFSET(INDIRECT(Свёртка_Перебор_2_20170709140117[[#This Row],[С]],FALSE),,3))+1,0,0,1,0,1,1)+CHOOSE(--RIGHTB(OFFSET(INDIRECT(Свёртка_Перебор_2_20170709140117[[#This Row],[С]],FALSE),,2))+1,0,0,1,0,1,1))),Свёртка_Перебор_2_20170709140117[[#This Row],[F]]&lt;=(1+(CHOOSE(--RIGHTB(OFFSET(INDIRECT(Свёртка_Перебор_2_20170709140117[[#This Row],[С]],FALSE),,3))+1,0,0,1,0,1,1)+CHOOSE(--RIGHTB(OFFSET(INDIRECT(Свёртка_Перебор_2_20170709140117[[#This Row],[С]],FALSE),,2))+1,0,0,1,0,1,1)+CHOOSE(--RIGHTB(OFFSET(INDIRECT(Свёртка_Перебор_2_20170709140117[[#This Row],[С]],FALSE),,3))+1,0,1,1,1,1,2)))),1,0)+COUNTIFS(OFFSET(INDIRECT((OFFSET(INDIRECT(Свёртка_Перебор_2_20170709140117[[#This Row],[С]],FALSE),,2)&amp;"!R2C2"),FALSE),,,101,101),"="&amp;(Свёртка_Перебор_2_20170709140117[[#This Row],[F]]-(1+(CHOOSE(--RIGHTB(OFFSET(INDIRECT(Свёртка_Перебор_2_20170709140117[[#This Row],[С]],FALSE),,3))+1,0,0,1,0,1,1)))+1))*IF(AND(Свёртка_Перебор_2_20170709140117[[#This Row],[F]]&gt;=(1+(CHOOSE(--RIGHTB(OFFSET(INDIRECT(Свёртка_Перебор_2_20170709140117[[#This Row],[С]],FALSE),0,3))+1,0,0,1,0,1,1))),Свёртка_Перебор_2_20170709140117[[#This Row],[F]]&lt;=(1+(CHOOSE(--RIGHTB(OFFSET(INDIRECT(Свёртка_Перебор_2_20170709140117[[#This Row],[С]],FALSE),,3))+1,0,1,0,0,1,1)+CHOOSE(--RIGHTB(OFFSET(INDIRECT(Свёртка_Перебор_2_20170709140117[[#This Row],[С]],FALSE),,2))+1,0,1,1,1,1,2)))),1,0)+COUNTIFS(OFFSET(INDIRECT((OFFSET(INDIRECT(Свёртка_Перебор_2_20170709140117[[#This Row],[С]],FALSE),,3)&amp;"!R2C2"),FALSE),,,101,101),"="&amp;(Свёртка_Перебор_2_20170709140117[[#This Row],[F]]-1+1))*IF(AND(Свёртка_Перебор_2_20170709140117[[#This Row],[F]]&gt;=1,Свёртка_Перебор_2_20170709140117[[#This Row],[F]]&lt;=1+(CHOOSE(--RIGHTB(OFFSET(INDIRECT(Свёртка_Перебор_2_20170709140117[[#This Row],[С]],FALSE),,3))+1,0,1,1,1,1,2))),1,0)</f>
        <v>#REF!</v>
      </c>
    </row>
    <row r="12" spans="2:88" x14ac:dyDescent="0.25">
      <c r="B12" t="str">
        <f ca="1">IF(AND(Критерий_Перебор_2_20170709140117[[#This Row],[Критерий]]&lt;&gt;"",Критерий_Перебор_2_20170709140117[[#This Row],[O.K.Критерий]]=1),ROW()-ROW(Критерий_Перебор_2_20170709140117[[#Headers],[№]]),"")</f>
        <v/>
      </c>
      <c r="C12" s="37"/>
      <c r="D12" t="str">
        <f ca="1">IFERROR(IF(AND(Критерий_Перебор_2_20170709140117[[#This Row],[Критерий]]&gt;=1,Критерий_Перебор_2_20170709140117[[#This Row],[Критерий]]&lt;=4),IF(IFERROR(FIND("!",_xlfn.FORMULATEXT(Критерий_Перебор_2_20170709140117[[#This Row],[Критерий]])),"на странице")="на странице",CONCATENATE("R",ROW((INDIRECT(RIGHT(_xlfn.FORMULATEXT(Критерий_Перебор_2_20170709140117[[#This Row],[Критерий]]), LEN(_xlfn.FORMULATEXT(Критерий_Перебор_2_20170709140117[[#This Row],[Критерий]]))-1),FALSE))),"C",COLUMN((INDIRECT(RIGHT(_xlfn.FORMULATEXT(Критерий_Перебор_2_20170709140117[[#This Row],[Критерий]]), LEN(_xlfn.FORMULATEXT(Критерий_Перебор_2_20170709140117[[#This Row],[Критерий]]))-1),FALSE)))-D$8),CONCATENATE(RIGHT(LEFT(_xlfn.FORMULATEXT(Критерий_Перебор_2_20170709140117[[#This Row],[Критерий]]),FIND("!",_xlfn.FORMULATEXT(Критерий_Перебор_2_20170709140117[[#This Row],[Критерий]]))),LEN(LEFT(_xlfn.FORMULATEXT(Критерий_Перебор_2_20170709140117[[#This Row],[Критерий]]),FIND("!",_xlfn.FORMULATEXT(Критерий_Перебор_2_20170709140117[[#This Row],[Критерий]]))))-1),"R",ROW((INDIRECT(RIGHT(_xlfn.FORMULATEXT(Критерий_Перебор_2_20170709140117[[#This Row],[Критерий]]), LEN(_xlfn.FORMULATEXT(Критерий_Перебор_2_20170709140117[[#This Row],[Критерий]]))-1),FALSE))),"C",COLUMN((INDIRECT(RIGHT(_xlfn.FORMULATEXT(Критерий_Перебор_2_20170709140117[[#This Row],[Критерий]]), LEN(_xlfn.FORMULATEXT(Критерий_Перебор_2_20170709140117[[#This Row],[Критерий]]))-1),FALSE)))-D$8)),"ошибка"),"ошибка")</f>
        <v>ошибка</v>
      </c>
      <c r="E12" t="str">
        <f ca="1">IFERROR(IF(LEFT(Критерий_Перебор_2_20170709140117[[#This Row],[Фкритерий]],5)="=Прив","Критерий",IF(LEFT(Критерий_Перебор_2_20170709140117[[#This Row],[Фкритерий]],5)="=Матр","ошибка","ошибка")),"ошибка")</f>
        <v>ошибка</v>
      </c>
      <c r="F12" t="str">
        <f ca="1">IFERROR(IF(LEN((INDIRECT(Критерий_Перебор_2_20170709140117[[#This Row],[СНаименование]],FALSE)))=0,"ошибка",IFERROR(INDIRECT(Критерий_Перебор_2_20170709140117[[#This Row],[СНаименование]],FALSE),"ошибка")),"ошибка")</f>
        <v>ошибка</v>
      </c>
      <c r="G12"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Row],[Скритерий]])))+G$7),FIND("R",Критерий_Перебор_2_20170709140117[[#This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Row],[Скритерий]])))+G$6),"ошибка")</f>
        <v>ошибка</v>
      </c>
      <c r="H12" t="str">
        <f ca="1">IFERROR(IF(N(INDIRECT(Критерий_Перебор_2_20170709140117[[#This Row],[СФизКритерий]],FALSE))=0,"ошибка",IFERROR(INDIRECT(Критерий_Перебор_2_20170709140117[[#This Row],[СФизКритерий]],FALSE),"ошибка")),"ошибка")</f>
        <v>ошибка</v>
      </c>
      <c r="I12"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Row],[Скритерий]])))+I$7),FIND("R",Критерий_Перебор_2_20170709140117[[#This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Row],[Скритерий]])))+I$6),"ошибка")</f>
        <v>ошибка</v>
      </c>
      <c r="J12" t="str">
        <f ca="1">IFERROR(IF(OR(INDIRECT(Критерий_Перебор_2_20170709140117[[#This Row],[СТипКритерий]],FALSE)=Перебор!$N$58,INDIRECT(Критерий_Перебор_2_20170709140117[[#This Row],[СТипКритерий]],FALSE)=Перебор!$N$59,INDIRECT(Критерий_Перебор_2_20170709140117[[#This Row],[СТипКритерий]],FALSE)=Перебор!$N$60,INDIRECT(Критерий_Перебор_2_20170709140117[[#This Row],[СТипКритерий]],FALSE)=Перебор!$N$61),INDIRECT(Критерий_Перебор_2_20170709140117[[#This Row],[СТипКритерий]],FALSE),"ошибка"),"ошибка")</f>
        <v>ошибка</v>
      </c>
      <c r="K12"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Row],[Скритерий]])))+K$7),FIND("R",Критерий_Перебор_2_20170709140117[[#This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Row],[Скритерий]])))+K$6),"ошибка")</f>
        <v>ошибка</v>
      </c>
      <c r="L12" t="str">
        <f ca="1">IFERROR(_xlfn.FORMULATEXT(INDIRECT(Критерий_Перебор_2_20170709140117[[#This Row],[Скритерий]],FALSE)),"ошибка")</f>
        <v>ошибка</v>
      </c>
      <c r="M12" t="str">
        <f ca="1">IFERROR(IF(N(INDIRECT(Критерий_Перебор_2_20170709140117[[#This Row],[СМинФизКритерий]],FALSE))=0,"ошибка",IFERROR(INDIRECT(Критерий_Перебор_2_20170709140117[[#This Row],[СМинФизКритерий]],FALSE),"ошибка")),"ошибка")</f>
        <v>ошибка</v>
      </c>
      <c r="N12"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Row],[Скритерий]])))+N$7),FIND("R",Критерий_Перебор_2_20170709140117[[#This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Row],[Скритерий]])))+N$6),"ошибка")</f>
        <v>ошибка</v>
      </c>
      <c r="O12" t="str">
        <f ca="1">IFERROR(IF(N(INDIRECT(Критерий_Перебор_2_20170709140117[[#This Row],[СМаксФизКритерий]],FALSE))=0,"ошибка",IFERROR(INDIRECT(Критерий_Перебор_2_20170709140117[[#This Row],[СМаксФизКритерий]],FALSE),"ошибка")),"ошибка")</f>
        <v>ошибка</v>
      </c>
      <c r="P12"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Row],[Скритерий]])))+P$7),FIND("R",Критерий_Перебор_2_20170709140117[[#This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Row],[Скритерий]])))+P$6),"ошибка")</f>
        <v>ошибка</v>
      </c>
      <c r="Q12" t="str">
        <f ca="1">IFERROR(IF(N(INDIRECT(Критерий_Перебор_2_20170709140117[[#This Row],[ССрФизКритерий]],FALSE))=0,"ошибка",IFERROR(INDIRECT(Критерий_Перебор_2_20170709140117[[#This Row],[ССрФизКритерий]],FALSE),"ошибка")),"")</f>
        <v/>
      </c>
      <c r="R12" t="str">
        <f ca="1">IF(OR(Критерий_Перебор_2_20170709140117[[#This Row],[ТипКритерий]]=Перебор!$N$60,Критерий_Перебор_2_20170709140117[[#This Row],[ТипКритерий]]=Перебор!$N$61),IFERROR(REPLACE(REPLACE(Критерий_Перебор_2_20170709140117[[#This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Row],[Скритерий]])))+R$7),FIND("R",Критерий_Перебор_2_20170709140117[[#This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Row],[Скритерий]])))+R$6),"ошибка"),"")</f>
        <v/>
      </c>
      <c r="S12" s="66">
        <f ca="1">IFERROR(IF(AND(Критерий_Перебор_2_20170709140117[[#This Row],[ВидКритерий]]="Критерий",Критерий_Перебор_2_20170709140117[[#This Row],[Фкритерий]]="=Приведение"),1,-1),-1)</f>
        <v>-1</v>
      </c>
    </row>
  </sheetData>
  <conditionalFormatting sqref="W11 C10:C12">
    <cfRule type="cellIs" dxfId="727" priority="1" stopIfTrue="1" operator="notBetween">
      <formula>1</formula>
      <formula>4</formula>
    </cfRule>
  </conditionalFormatting>
  <conditionalFormatting sqref="S10:S12">
    <cfRule type="iconSet" priority="2">
      <iconSet showValue="0">
        <cfvo type="percent" val="0"/>
        <cfvo type="num" val="0"/>
        <cfvo type="num" val="1"/>
      </iconSet>
    </cfRule>
  </conditionalFormatting>
  <conditionalFormatting sqref="W10:W11">
    <cfRule type="cellIs" dxfId="726" priority="3" stopIfTrue="1" operator="notBetween">
      <formula>1</formula>
      <formula>4</formula>
    </cfRule>
  </conditionalFormatting>
  <conditionalFormatting sqref="CJ10:CJ11">
    <cfRule type="iconSet" priority="4">
      <iconSet showValue="0">
        <cfvo type="percent" val="0"/>
        <cfvo type="num" val="0"/>
        <cfvo type="num" val="1"/>
      </iconSet>
    </cfRule>
  </conditionalFormatting>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Лист1111"/>
  <dimension ref="B1:CO23"/>
  <sheetViews>
    <sheetView topLeftCell="BT1" workbookViewId="0">
      <selection activeCell="CI10" sqref="CI10"/>
    </sheetView>
  </sheetViews>
  <sheetFormatPr defaultRowHeight="15" outlineLevelRow="2" x14ac:dyDescent="0.25"/>
  <cols>
    <col min="2" max="2" width="11.140625" customWidth="1"/>
    <col min="4" max="4" width="26.42578125" customWidth="1"/>
    <col min="22" max="22" width="11.140625" customWidth="1"/>
    <col min="24" max="24" width="29.28515625" customWidth="1"/>
    <col min="28" max="29" width="8.85546875" customWidth="1"/>
    <col min="31" max="31" width="13.7109375" customWidth="1"/>
    <col min="36" max="36" width="14.5703125" customWidth="1"/>
    <col min="41" max="41" width="14.85546875" customWidth="1"/>
    <col min="83" max="83" width="9.5703125" customWidth="1"/>
    <col min="86" max="87" width="9.85546875" bestFit="1" customWidth="1"/>
  </cols>
  <sheetData>
    <row r="1" spans="2:89" outlineLevel="2" x14ac:dyDescent="0.25"/>
    <row r="2" spans="2:89" outlineLevel="2" x14ac:dyDescent="0.25">
      <c r="C2" t="s">
        <v>364</v>
      </c>
      <c r="E2">
        <f>ROWS(Критерий_Перебор_2_20170602154411[])</f>
        <v>10</v>
      </c>
      <c r="W2" t="s">
        <v>364</v>
      </c>
      <c r="Y2">
        <f>ROWS(Свёртка_Перебор_2_20170602154411[])</f>
        <v>9</v>
      </c>
    </row>
    <row r="3" spans="2:89" outlineLevel="2" x14ac:dyDescent="0.25">
      <c r="C3" t="s">
        <v>365</v>
      </c>
      <c r="E3">
        <f>COUNTIF(Критерий_Перебор_2_20170602154411[Критерий],"&gt;=1")-COUNTIF(Критерий_Перебор_2_20170602154411[Критерий],"&gt;4")</f>
        <v>0</v>
      </c>
      <c r="W3" t="s">
        <v>365</v>
      </c>
      <c r="Y3">
        <f>COUNTIF(Свёртка_Перебор_2_20170602154411[Свёртка],"&gt;=1")-COUNTIF(Свёртка_Перебор_2_20170602154411[Свёртка],"&gt;4")</f>
        <v>0</v>
      </c>
    </row>
    <row r="4" spans="2:89" outlineLevel="2" x14ac:dyDescent="0.25">
      <c r="C4" t="s">
        <v>447</v>
      </c>
      <c r="E4">
        <f ca="1">COUNTIF(Критерий_Перебор_2_20170602154411[O.K.Критерий],1)</f>
        <v>0</v>
      </c>
      <c r="W4" t="s">
        <v>447</v>
      </c>
      <c r="Y4">
        <f>COUNTIF(Свёртка_Перебор_2_20170602154411[ССВ_3_1_kolvo],1)</f>
        <v>0</v>
      </c>
    </row>
    <row r="5" spans="2:89" outlineLevel="2" x14ac:dyDescent="0.25"/>
    <row r="6" spans="2:89" outlineLevel="2" x14ac:dyDescent="0.25">
      <c r="G6">
        <v>-2</v>
      </c>
      <c r="I6">
        <v>1</v>
      </c>
      <c r="K6">
        <v>-1</v>
      </c>
      <c r="N6">
        <v>1</v>
      </c>
      <c r="P6">
        <v>1</v>
      </c>
      <c r="R6">
        <v>1</v>
      </c>
      <c r="X6">
        <v>1</v>
      </c>
      <c r="Y6">
        <v>2</v>
      </c>
      <c r="Z6">
        <v>3</v>
      </c>
      <c r="AA6">
        <v>4</v>
      </c>
      <c r="AB6">
        <v>-3</v>
      </c>
      <c r="AE6">
        <v>0</v>
      </c>
      <c r="AJ6">
        <v>-1</v>
      </c>
      <c r="AO6">
        <v>0</v>
      </c>
      <c r="AT6">
        <v>-1</v>
      </c>
      <c r="AY6">
        <v>-2</v>
      </c>
      <c r="BD6">
        <v>0</v>
      </c>
      <c r="BI6">
        <v>-2</v>
      </c>
      <c r="BN6">
        <v>-1</v>
      </c>
      <c r="BS6">
        <v>-2</v>
      </c>
      <c r="BY6">
        <v>-2</v>
      </c>
      <c r="CB6">
        <v>-1</v>
      </c>
    </row>
    <row r="7" spans="2:89" outlineLevel="2" x14ac:dyDescent="0.25">
      <c r="G7">
        <v>-3</v>
      </c>
      <c r="I7">
        <v>0</v>
      </c>
      <c r="K7">
        <v>-3</v>
      </c>
      <c r="N7">
        <v>-3</v>
      </c>
      <c r="P7">
        <v>-1</v>
      </c>
      <c r="R7">
        <v>-2</v>
      </c>
      <c r="X7">
        <v>1</v>
      </c>
      <c r="Y7">
        <v>2</v>
      </c>
      <c r="Z7">
        <v>3</v>
      </c>
      <c r="AA7">
        <v>4</v>
      </c>
      <c r="AB7">
        <v>0</v>
      </c>
      <c r="AE7">
        <v>3</v>
      </c>
      <c r="AJ7">
        <v>3</v>
      </c>
      <c r="AO7">
        <v>2</v>
      </c>
      <c r="AT7">
        <v>2</v>
      </c>
      <c r="AY7">
        <v>3</v>
      </c>
      <c r="BD7">
        <v>1</v>
      </c>
      <c r="BI7">
        <v>2</v>
      </c>
      <c r="BN7">
        <v>1</v>
      </c>
      <c r="BS7">
        <v>1</v>
      </c>
      <c r="BY7">
        <v>0</v>
      </c>
      <c r="CB7">
        <v>0</v>
      </c>
    </row>
    <row r="8" spans="2:89" outlineLevel="2" x14ac:dyDescent="0.25">
      <c r="C8">
        <v>0</v>
      </c>
      <c r="D8">
        <v>1</v>
      </c>
      <c r="E8">
        <v>2</v>
      </c>
      <c r="F8">
        <v>3</v>
      </c>
      <c r="G8">
        <v>4</v>
      </c>
      <c r="H8">
        <v>5</v>
      </c>
      <c r="I8">
        <v>6</v>
      </c>
      <c r="J8">
        <v>7</v>
      </c>
      <c r="K8">
        <v>8</v>
      </c>
      <c r="L8">
        <v>9</v>
      </c>
      <c r="M8">
        <v>10</v>
      </c>
      <c r="N8">
        <v>11</v>
      </c>
      <c r="O8">
        <v>12</v>
      </c>
      <c r="P8">
        <v>13</v>
      </c>
      <c r="Q8">
        <v>14</v>
      </c>
      <c r="R8">
        <v>15</v>
      </c>
      <c r="S8">
        <v>16</v>
      </c>
      <c r="W8">
        <v>0</v>
      </c>
      <c r="X8">
        <v>1</v>
      </c>
      <c r="Y8">
        <v>2</v>
      </c>
      <c r="Z8">
        <v>3</v>
      </c>
      <c r="AA8">
        <v>4</v>
      </c>
      <c r="AB8">
        <v>5</v>
      </c>
      <c r="AD8">
        <v>6</v>
      </c>
      <c r="AE8">
        <v>7</v>
      </c>
      <c r="AF8">
        <v>8</v>
      </c>
      <c r="AG8">
        <v>9</v>
      </c>
      <c r="AH8">
        <v>10</v>
      </c>
      <c r="AI8">
        <v>11</v>
      </c>
      <c r="AJ8">
        <v>12</v>
      </c>
      <c r="AK8">
        <v>13</v>
      </c>
      <c r="AL8">
        <v>14</v>
      </c>
      <c r="AM8">
        <v>15</v>
      </c>
      <c r="AN8">
        <v>16</v>
      </c>
      <c r="AO8">
        <v>17</v>
      </c>
      <c r="AP8">
        <v>18</v>
      </c>
      <c r="AQ8">
        <v>19</v>
      </c>
      <c r="AR8">
        <v>20</v>
      </c>
      <c r="AS8">
        <v>21</v>
      </c>
      <c r="AT8">
        <v>22</v>
      </c>
      <c r="AU8">
        <v>23</v>
      </c>
      <c r="AV8">
        <v>24</v>
      </c>
      <c r="AW8">
        <v>25</v>
      </c>
      <c r="AX8">
        <v>26</v>
      </c>
      <c r="AY8">
        <v>27</v>
      </c>
      <c r="AZ8">
        <v>28</v>
      </c>
      <c r="BA8">
        <v>29</v>
      </c>
      <c r="BB8">
        <v>30</v>
      </c>
      <c r="BC8">
        <v>31</v>
      </c>
      <c r="BD8">
        <v>32</v>
      </c>
      <c r="BE8">
        <v>33</v>
      </c>
      <c r="BF8">
        <v>34</v>
      </c>
      <c r="BG8">
        <v>35</v>
      </c>
      <c r="BH8">
        <v>36</v>
      </c>
      <c r="BI8">
        <v>37</v>
      </c>
      <c r="BJ8">
        <v>38</v>
      </c>
      <c r="BK8">
        <v>39</v>
      </c>
      <c r="BL8">
        <v>40</v>
      </c>
      <c r="BM8">
        <v>41</v>
      </c>
      <c r="BN8">
        <v>42</v>
      </c>
      <c r="BO8">
        <v>43</v>
      </c>
      <c r="BP8">
        <v>44</v>
      </c>
      <c r="BQ8">
        <v>45</v>
      </c>
      <c r="BR8">
        <v>46</v>
      </c>
      <c r="BS8">
        <v>47</v>
      </c>
      <c r="BT8">
        <v>48</v>
      </c>
      <c r="BU8">
        <v>49</v>
      </c>
      <c r="BV8">
        <v>50</v>
      </c>
      <c r="BW8">
        <v>51</v>
      </c>
      <c r="BX8">
        <v>52</v>
      </c>
      <c r="BY8">
        <v>53</v>
      </c>
      <c r="BZ8">
        <v>54</v>
      </c>
      <c r="CA8">
        <v>55</v>
      </c>
      <c r="CB8">
        <v>56</v>
      </c>
      <c r="CC8">
        <v>57</v>
      </c>
      <c r="CD8">
        <v>58</v>
      </c>
    </row>
    <row r="9" spans="2:89" x14ac:dyDescent="0.25">
      <c r="B9" t="s">
        <v>395</v>
      </c>
      <c r="C9" t="s">
        <v>396</v>
      </c>
      <c r="D9" t="s">
        <v>397</v>
      </c>
      <c r="E9" t="s">
        <v>409</v>
      </c>
      <c r="F9" t="s">
        <v>456</v>
      </c>
      <c r="G9" t="s">
        <v>457</v>
      </c>
      <c r="H9" t="s">
        <v>398</v>
      </c>
      <c r="I9" t="s">
        <v>399</v>
      </c>
      <c r="J9" t="s">
        <v>400</v>
      </c>
      <c r="K9" t="s">
        <v>401</v>
      </c>
      <c r="L9" t="s">
        <v>402</v>
      </c>
      <c r="M9" t="s">
        <v>403</v>
      </c>
      <c r="N9" t="s">
        <v>404</v>
      </c>
      <c r="O9" t="s">
        <v>405</v>
      </c>
      <c r="P9" t="s">
        <v>406</v>
      </c>
      <c r="Q9" t="s">
        <v>407</v>
      </c>
      <c r="R9" t="s">
        <v>408</v>
      </c>
      <c r="S9" t="s">
        <v>410</v>
      </c>
      <c r="V9" t="s">
        <v>395</v>
      </c>
      <c r="W9" t="s">
        <v>411</v>
      </c>
      <c r="X9" t="s">
        <v>414</v>
      </c>
      <c r="Y9" t="s">
        <v>412</v>
      </c>
      <c r="Z9" t="s">
        <v>413</v>
      </c>
      <c r="AA9" t="s">
        <v>456</v>
      </c>
      <c r="AB9" t="s">
        <v>457</v>
      </c>
      <c r="AC9" t="s">
        <v>561</v>
      </c>
      <c r="AD9" t="s">
        <v>475</v>
      </c>
      <c r="AE9" t="s">
        <v>478</v>
      </c>
      <c r="AF9" t="s">
        <v>519</v>
      </c>
      <c r="AG9" t="s">
        <v>537</v>
      </c>
      <c r="AH9" t="s">
        <v>520</v>
      </c>
      <c r="AI9" t="s">
        <v>476</v>
      </c>
      <c r="AJ9" t="s">
        <v>479</v>
      </c>
      <c r="AK9" t="s">
        <v>521</v>
      </c>
      <c r="AL9" t="s">
        <v>538</v>
      </c>
      <c r="AM9" t="s">
        <v>522</v>
      </c>
      <c r="AN9" t="s">
        <v>477</v>
      </c>
      <c r="AO9" t="s">
        <v>480</v>
      </c>
      <c r="AP9" t="s">
        <v>523</v>
      </c>
      <c r="AQ9" t="s">
        <v>539</v>
      </c>
      <c r="AR9" t="s">
        <v>524</v>
      </c>
      <c r="AS9" t="s">
        <v>481</v>
      </c>
      <c r="AT9" t="s">
        <v>482</v>
      </c>
      <c r="AU9" t="s">
        <v>525</v>
      </c>
      <c r="AV9" t="s">
        <v>540</v>
      </c>
      <c r="AW9" t="s">
        <v>526</v>
      </c>
      <c r="AX9" t="s">
        <v>483</v>
      </c>
      <c r="AY9" t="s">
        <v>484</v>
      </c>
      <c r="AZ9" t="s">
        <v>527</v>
      </c>
      <c r="BA9" t="s">
        <v>541</v>
      </c>
      <c r="BB9" t="s">
        <v>528</v>
      </c>
      <c r="BC9" t="s">
        <v>485</v>
      </c>
      <c r="BD9" t="s">
        <v>486</v>
      </c>
      <c r="BE9" t="s">
        <v>529</v>
      </c>
      <c r="BF9" t="s">
        <v>542</v>
      </c>
      <c r="BG9" t="s">
        <v>530</v>
      </c>
      <c r="BH9" t="s">
        <v>487</v>
      </c>
      <c r="BI9" t="s">
        <v>488</v>
      </c>
      <c r="BJ9" t="s">
        <v>531</v>
      </c>
      <c r="BK9" t="s">
        <v>543</v>
      </c>
      <c r="BL9" t="s">
        <v>532</v>
      </c>
      <c r="BM9" t="s">
        <v>489</v>
      </c>
      <c r="BN9" t="s">
        <v>490</v>
      </c>
      <c r="BO9" t="s">
        <v>533</v>
      </c>
      <c r="BP9" t="s">
        <v>544</v>
      </c>
      <c r="BQ9" t="s">
        <v>534</v>
      </c>
      <c r="BR9" t="s">
        <v>491</v>
      </c>
      <c r="BS9" t="s">
        <v>492</v>
      </c>
      <c r="BT9" t="s">
        <v>535</v>
      </c>
      <c r="BU9" t="s">
        <v>545</v>
      </c>
      <c r="BV9" t="s">
        <v>536</v>
      </c>
      <c r="BW9" t="s">
        <v>546</v>
      </c>
      <c r="BX9" t="s">
        <v>493</v>
      </c>
      <c r="BY9" t="s">
        <v>494</v>
      </c>
      <c r="BZ9" t="s">
        <v>495</v>
      </c>
      <c r="CA9" t="s">
        <v>496</v>
      </c>
      <c r="CB9" t="s">
        <v>497</v>
      </c>
      <c r="CC9" t="s">
        <v>498</v>
      </c>
      <c r="CD9" t="s">
        <v>415</v>
      </c>
      <c r="CE9" t="s">
        <v>559</v>
      </c>
      <c r="CF9" t="s">
        <v>560</v>
      </c>
      <c r="CG9" t="s">
        <v>558</v>
      </c>
      <c r="CH9" t="s">
        <v>562</v>
      </c>
      <c r="CI9" t="s">
        <v>570</v>
      </c>
      <c r="CJ9" t="s">
        <v>569</v>
      </c>
      <c r="CK9" t="s">
        <v>556</v>
      </c>
    </row>
    <row r="10" spans="2:89" x14ac:dyDescent="0.25">
      <c r="B10" t="e">
        <f ca="1">IF(AND(Критерий_Перебор_2_20170602154411[[#This Row],[Критерий]]&lt;&gt;"",Критерий_Перебор_2_20170602154411[[#This Row],[O.K.Критерий]]=1),ROW()-ROW(Критерий_Перебор_2_20170602154411[[#Headers],[№]]),"")</f>
        <v>#REF!</v>
      </c>
      <c r="C10" s="37" t="e">
        <f>Модель!#REF!</f>
        <v>#REF!</v>
      </c>
      <c r="D10" t="str">
        <f ca="1">IFERROR(IF(AND(Критерий_Перебор_2_20170602154411[[#This Row],[Критерий]]&gt;=1,Критерий_Перебор_2_20170602154411[[#This Row],[Критерий]]&lt;=4),IF(IFERROR(FIND("!",_xlfn.FORMULATEXT(Критерий_Перебор_2_20170602154411[[#This Row],[Критерий]])),"на странице")="на странице",CONCATENATE("R",ROW((INDIRECT(RIGHT(_xlfn.FORMULATEXT(Критерий_Перебор_2_20170602154411[[#This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Row],[Критерий]]))-1),FALSE)))-D$8),CONCATENATE(RIGHT(LEFT(_xlfn.FORMULATEXT(Критерий_Перебор_2_20170602154411[[#This Row],[Критерий]]),FIND("!",_xlfn.FORMULATEXT(Критерий_Перебор_2_20170602154411[[#This Row],[Критерий]]))),LEN(LEFT(_xlfn.FORMULATEXT(Критерий_Перебор_2_20170602154411[[#This Row],[Критерий]]),FIND("!",_xlfn.FORMULATEXT(Критерий_Перебор_2_20170602154411[[#This Row],[Критерий]]))))-1),"R",ROW((INDIRECT(RIGHT(_xlfn.FORMULATEXT(Критерий_Перебор_2_20170602154411[[#This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Row],[Критерий]]))-1),FALSE)))-D$8)),"ошибка"),"ошибка")</f>
        <v>ошибка</v>
      </c>
      <c r="E10" t="str">
        <f ca="1">IFERROR(IF(LEFT(Критерий_Перебор_2_20170602154411[[#This Row],[Фкритерий]],5)="=Прив","Критерий",IF(LEFT(Критерий_Перебор_2_20170602154411[[#This Row],[Фкритерий]],5)="=Матр","ошибка","ошибка")),"ошибка")</f>
        <v>ошибка</v>
      </c>
      <c r="F10" t="str">
        <f ca="1">IFERROR(IF(LEN((INDIRECT(Критерий_Перебор_2_20170602154411[[#This Row],[СНаименование]],FALSE)))=0,"ошибка",IFERROR(INDIRECT(Критерий_Перебор_2_20170602154411[[#This Row],[СНаименование]],FALSE),"ошибка")),"ошибка")</f>
        <v>ошибка</v>
      </c>
      <c r="G10"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Row],[Скритерий]])))+G$7),FIND("R",Критерий_Перебор_2_20170602154411[[#This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Row],[Скритерий]])))+G$6),"ошибка")</f>
        <v>ошибка</v>
      </c>
      <c r="H10" t="str">
        <f ca="1">IFERROR(IF(N(INDIRECT(Критерий_Перебор_2_20170602154411[[#This Row],[СФизКритерий]],FALSE))=0,"ошибка",IFERROR(INDIRECT(Критерий_Перебор_2_20170602154411[[#This Row],[СФизКритерий]],FALSE),"ошибка")),"ошибка")</f>
        <v>ошибка</v>
      </c>
      <c r="I10"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Row],[Скритерий]])))+I$7),FIND("R",Критерий_Перебор_2_20170602154411[[#This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Row],[Скритерий]])))+I$6),"ошибка")</f>
        <v>ошибка</v>
      </c>
      <c r="J10" t="str">
        <f ca="1">IFERROR(IF(OR(INDIRECT(Критерий_Перебор_2_20170602154411[[#This Row],[СТипКритерий]],FALSE)=Перебор!$N$58,INDIRECT(Критерий_Перебор_2_20170602154411[[#This Row],[СТипКритерий]],FALSE)=Перебор!$N$59,INDIRECT(Критерий_Перебор_2_20170602154411[[#This Row],[СТипКритерий]],FALSE)=Перебор!$N$60,INDIRECT(Критерий_Перебор_2_20170602154411[[#This Row],[СТипКритерий]],FALSE)=Перебор!$N$61),INDIRECT(Критерий_Перебор_2_20170602154411[[#This Row],[СТипКритерий]],FALSE),"ошибка"),"ошибка")</f>
        <v>ошибка</v>
      </c>
      <c r="K10"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Row],[Скритерий]])))+K$7),FIND("R",Критерий_Перебор_2_20170602154411[[#This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Row],[Скритерий]])))+K$6),"ошибка")</f>
        <v>ошибка</v>
      </c>
      <c r="L10" t="str">
        <f ca="1">IFERROR(_xlfn.FORMULATEXT(INDIRECT(Критерий_Перебор_2_20170602154411[[#This Row],[Скритерий]],FALSE)),"ошибка")</f>
        <v>ошибка</v>
      </c>
      <c r="M10" t="str">
        <f ca="1">IFERROR(IF(N(INDIRECT(Критерий_Перебор_2_20170602154411[[#This Row],[СМинФизКритерий]],FALSE))=0,"ошибка",IFERROR(INDIRECT(Критерий_Перебор_2_20170602154411[[#This Row],[СМинФизКритерий]],FALSE),"ошибка")),"ошибка")</f>
        <v>ошибка</v>
      </c>
      <c r="N10"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Row],[Скритерий]])))+N$7),FIND("R",Критерий_Перебор_2_20170602154411[[#This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Row],[Скритерий]])))+N$6),"ошибка")</f>
        <v>ошибка</v>
      </c>
      <c r="O10" t="str">
        <f ca="1">IFERROR(IF(N(INDIRECT(Критерий_Перебор_2_20170602154411[[#This Row],[СМаксФизКритерий]],FALSE))=0,"ошибка",IFERROR(INDIRECT(Критерий_Перебор_2_20170602154411[[#This Row],[СМаксФизКритерий]],FALSE),"ошибка")),"ошибка")</f>
        <v>ошибка</v>
      </c>
      <c r="P10"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Row],[Скритерий]])))+P$7),FIND("R",Критерий_Перебор_2_20170602154411[[#This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Row],[Скритерий]])))+P$6),"ошибка")</f>
        <v>ошибка</v>
      </c>
      <c r="Q10" t="str">
        <f ca="1">IFERROR(IF(N(INDIRECT(Критерий_Перебор_2_20170602154411[[#This Row],[ССрФизКритерий]],FALSE))=0,"ошибка",IFERROR(INDIRECT(Критерий_Перебор_2_20170602154411[[#This Row],[ССрФизКритерий]],FALSE),"ошибка")),"")</f>
        <v/>
      </c>
      <c r="R10" t="str">
        <f ca="1">IF(OR(Критерий_Перебор_2_20170602154411[[#This Row],[ТипКритерий]]=Перебор!$N$60,Критерий_Перебор_2_20170602154411[[#This Row],[ТипКритерий]]=Перебор!$N$61),IFERROR(REPLACE(REPLACE(Критерий_Перебор_2_20170602154411[[#This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Row],[Скритерий]])))+R$7),FIND("R",Критерий_Перебор_2_20170602154411[[#This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Row],[Скритерий]])))+R$6),"ошибка"),"")</f>
        <v/>
      </c>
      <c r="S10" s="66">
        <f ca="1">IFERROR(IF(AND(Критерий_Перебор_2_20170602154411[[#This Row],[ВидКритерий]]="Критерий",Критерий_Перебор_2_20170602154411[[#This Row],[Фкритерий]]="=Приведение"),1,-1),-1)</f>
        <v>-1</v>
      </c>
      <c r="V10" t="e">
        <f ca="1">IF(AND(Свёртка_Перебор_2_20170602154411[[#This Row],[Свёртка]]&lt;&gt;"",Свёртка_Перебор_2_20170602154411[[#This Row],[O.K.Свёртка]]=1),ROW()-ROW(Свёртка_Перебор_2_20170602154411[[#Headers],[№]]),"")</f>
        <v>#REF!</v>
      </c>
      <c r="W10" s="146" t="e">
        <f>Модель!#REF!</f>
        <v>#REF!</v>
      </c>
      <c r="X10" t="str">
        <f ca="1">IFERROR(IF(AND(Свёртка_Перебор_2_20170602154411[[#This Row],[Свёртка]]&gt;=1,Свёртка_Перебор_2_20170602154411[[#This Row],[Свёртка]]&lt;=4),IF(IFERROR(FIND("!",_xlfn.FORMULATEXT(Свёртка_Перебор_2_20170602154411[[#This Row],[Свёртка]])),"на странице")="на странице",CONCATENATE("R",ROW((INDIRECT(RIGHT(_xlfn.FORMULATEXT(Свёртка_Перебор_2_20170602154411[[#This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Row],[Свёртка]]))-1),FALSE)))-X$6),CONCATENATE(RIGHT(LEFT(_xlfn.FORMULATEXT(Свёртка_Перебор_2_20170602154411[[#This Row],[Свёртка]]),FIND("!",_xlfn.FORMULATEXT(Свёртка_Перебор_2_20170602154411[[#This Row],[Свёртка]]))),LEN(LEFT(_xlfn.FORMULATEXT(Свёртка_Перебор_2_20170602154411[[#This Row],[Свёртка]]),FIND("!",_xlfn.FORMULATEXT(Свёртка_Перебор_2_20170602154411[[#This Row],[Свёртка]]))))-1),"R",ROW((INDIRECT(RIGHT(_xlfn.FORMULATEXT(Свёртка_Перебор_2_20170602154411[[#This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Row],[Свёртка]]))-1),FALSE)))-X$6)),"ошибка"),"ошибка")</f>
        <v>ошибка</v>
      </c>
      <c r="Y10" t="str">
        <f ca="1">IFERROR(_xlfn.FORMULATEXT(INDIRECT(Свёртка_Перебор_2_20170602154411[[#This Row],[ССвёртка]],FALSE)),"ошибка")</f>
        <v>ошибка</v>
      </c>
      <c r="Z10" t="str">
        <f ca="1">IFERROR(IF(LEFT(Свёртка_Перебор_2_20170602154411[[#This Row],[ФСвёртка]],5)="=Прив","ошибка",IF(LEFT(Свёртка_Перебор_2_20170602154411[[#This Row],[ФСвёртка]],5)="=Матр","Свёртка","ошибка")),"ошибка")</f>
        <v>ошибка</v>
      </c>
      <c r="AA10" t="str">
        <f ca="1">IFERROR(IF(LEN((INDIRECT(Свёртка_Перебор_2_20170602154411[[#This Row],[СНаименование]],FALSE)))=0,"ошибка",IFERROR(INDIRECT(Свёртка_Перебор_2_20170602154411[[#This Row],[СНаименование]],FALSE),"ошибка")),"ошибка")</f>
        <v>ошибка</v>
      </c>
      <c r="AB10"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Row],[ССвёртка]])))+AB$6),"ошибка")</f>
        <v>ошибка</v>
      </c>
      <c r="AC10">
        <v>2.71</v>
      </c>
      <c r="AD10" t="str">
        <f ca="1">IFERROR(IF(LEN((INDIRECT(Свёртка_Перебор_2_20170602154411[[#This Row],[ССВ_1_1]],FALSE)))=0,"ошибка",IFERROR(INDIRECT(Свёртка_Перебор_2_20170602154411[[#This Row],[ССВ_1_1]],FALSE),"ошибка")),"ошибка")</f>
        <v>ошибка</v>
      </c>
      <c r="AE10"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Row],[ССвёртка]])))+AE$7),FIND("R",Свёртка_Перебор_2_20170602154411[[#This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Row],[ССвёртка]])))+AE$6),"ошибка")</f>
        <v>ошибка</v>
      </c>
      <c r="AF10">
        <v>0</v>
      </c>
      <c r="AG10">
        <v>2</v>
      </c>
      <c r="AH10">
        <f ca="1">IF(Свёртка_Перебор_2_20170602154411[[#This Row],[F]]&gt;3,0,IF(Свёртка_Перебор_2_20170602154411[[#This Row],[СВ_1_1]]&lt;&gt;"F5",0))</f>
        <v>0</v>
      </c>
      <c r="AI10" t="str">
        <f ca="1">IFERROR(IF(LEN((INDIRECT(Свёртка_Перебор_2_20170602154411[[#This Row],[ССВ_2_1]],FALSE)))=0,"ошибка",IFERROR(INDIRECT(Свёртка_Перебор_2_20170602154411[[#This Row],[ССВ_2_1]],FALSE),"ошибка")),"ошибка")</f>
        <v>ошибка</v>
      </c>
      <c r="AJ10"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Row],[ССвёртка]])))+AJ$7),FIND("R",Свёртка_Перебор_2_20170602154411[[#This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Row],[ССвёртка]])))+AJ$6),"ошибка")</f>
        <v>ошибка</v>
      </c>
      <c r="AK10">
        <v>0</v>
      </c>
      <c r="AL10">
        <v>3</v>
      </c>
      <c r="AM10">
        <v>0</v>
      </c>
      <c r="AN10" t="str">
        <f ca="1">IFERROR(IF(LEN((INDIRECT(Свёртка_Перебор_2_20170602154411[[#This Row],[ССВ_1_2]],FALSE)))=0,"ошибка",IFERROR(INDIRECT(Свёртка_Перебор_2_20170602154411[[#This Row],[ССВ_1_2]],FALSE),"ошибка")),"ошибка")</f>
        <v>ошибка</v>
      </c>
      <c r="AO10"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Row],[ССвёртка]])))+AO$7),FIND("R",Свёртка_Перебор_2_20170602154411[[#This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Row],[ССвёртка]])))+AO$6),"ошибка")</f>
        <v>ошибка</v>
      </c>
      <c r="AP10">
        <v>0</v>
      </c>
      <c r="AQ10">
        <v>3</v>
      </c>
      <c r="AR10">
        <v>0</v>
      </c>
      <c r="AS10" t="str">
        <f ca="1">IFERROR(IF(LEN((INDIRECT(Свёртка_Перебор_2_20170602154411[[#This Row],[ССВ_2_2]],FALSE)))=0,"ошибка",IFERROR(INDIRECT(Свёртка_Перебор_2_20170602154411[[#This Row],[ССВ_2_2]],FALSE),"ошибка")),"ошибка")</f>
        <v>ошибка</v>
      </c>
      <c r="AT10"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Row],[ССвёртка]])))+AT$7),FIND("R",Свёртка_Перебор_2_20170602154411[[#This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Row],[ССвёртка]])))+AT$6),"ошибка")</f>
        <v>ошибка</v>
      </c>
      <c r="AU10">
        <v>1</v>
      </c>
      <c r="AV10">
        <v>4</v>
      </c>
      <c r="AW10">
        <v>84</v>
      </c>
      <c r="AX10" t="str">
        <f ca="1">IFERROR(IF(LEN((INDIRECT(Свёртка_Перебор_2_20170602154411[[#This Row],[ССВ_3_1]],FALSE)))=0,"ошибка",IFERROR(INDIRECT(Свёртка_Перебор_2_20170602154411[[#This Row],[ССВ_3_1]],FALSE),"ошибка")),"ошибка")</f>
        <v>ошибка</v>
      </c>
      <c r="AY10"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Row],[ССвёртка]])))+AY$6),"ошибка")</f>
        <v>ошибка</v>
      </c>
      <c r="AZ10">
        <v>0</v>
      </c>
      <c r="BA10">
        <v>3</v>
      </c>
      <c r="BB10">
        <v>0</v>
      </c>
      <c r="BC10" t="str">
        <f ca="1">IFERROR(IF(LEN((INDIRECT(Свёртка_Перебор_2_20170602154411[[#This Row],[ССВ_1_3]],FALSE)))=0,"ошибка",IFERROR(INDIRECT(Свёртка_Перебор_2_20170602154411[[#This Row],[ССВ_1_3]],FALSE),"ошибка")),"ошибка")</f>
        <v>ошибка</v>
      </c>
      <c r="BD10"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Row],[ССвёртка]])))+BD$7),FIND("R",Свёртка_Перебор_2_20170602154411[[#This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Row],[ССвёртка]])))+BD$6),"ошибка")</f>
        <v>ошибка</v>
      </c>
      <c r="BE10">
        <v>0</v>
      </c>
      <c r="BF10">
        <v>3</v>
      </c>
      <c r="BG10">
        <v>0</v>
      </c>
      <c r="BH10" t="str">
        <f ca="1">IFERROR(IF(LEN((INDIRECT(Свёртка_Перебор_2_20170602154411[[#This Row],[ССВ_3_2]],FALSE)))=0,"ошибка",IFERROR(INDIRECT(Свёртка_Перебор_2_20170602154411[[#This Row],[ССВ_3_2]],FALSE),"ошибка")),"ошибка")</f>
        <v>ошибка</v>
      </c>
      <c r="BI10"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Row],[ССвёртка]])))+BI$7),FIND("R",Свёртка_Перебор_2_20170602154411[[#This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Row],[ССвёртка]])))+BI$6),"ошибка")</f>
        <v>ошибка</v>
      </c>
      <c r="BJ10">
        <v>1</v>
      </c>
      <c r="BK10">
        <v>4</v>
      </c>
      <c r="BL10">
        <v>101</v>
      </c>
      <c r="BM10" t="str">
        <f ca="1">IFERROR(IF(LEN((INDIRECT(Свёртка_Перебор_2_20170602154411[[#This Row],[ССВ_2_3]],FALSE)))=0,"ошибка",IFERROR(INDIRECT(Свёртка_Перебор_2_20170602154411[[#This Row],[ССВ_2_3]],FALSE),"ошибка")),"ошибка")</f>
        <v>ошибка</v>
      </c>
      <c r="BN10"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Row],[ССвёртка]])))+BN$7),FIND("R",Свёртка_Перебор_2_20170602154411[[#This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Row],[ССвёртка]])))+BN$6),"ошибка")</f>
        <v>ошибка</v>
      </c>
      <c r="BO10">
        <v>1</v>
      </c>
      <c r="BP10">
        <v>4</v>
      </c>
      <c r="BQ10">
        <v>101</v>
      </c>
      <c r="BR10" t="str">
        <f ca="1">IFERROR(IF(LEN((INDIRECT(Свёртка_Перебор_2_20170602154411[[#This Row],[ССВ_3_3]],FALSE)))=0,"ошибка",IFERROR(INDIRECT(Свёртка_Перебор_2_20170602154411[[#This Row],[ССВ_3_3]],FALSE),"ошибка")),"ошибка")</f>
        <v>ошибка</v>
      </c>
      <c r="BS10"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Row],[ССвёртка]])))+BS$7),FIND("R",Свёртка_Перебор_2_20170602154411[[#This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Row],[ССвёртка]])))+BS$6),"ошибка")</f>
        <v>ошибка</v>
      </c>
      <c r="BT10">
        <v>0</v>
      </c>
      <c r="BU10">
        <v>4</v>
      </c>
      <c r="BV10">
        <v>0</v>
      </c>
      <c r="BW10">
        <f ca="1">Свёртка_Перебор_2_20170602154411[[#This Row],[ССВ_1_1_kolvo]]+Свёртка_Перебор_2_20170602154411[[#This Row],[ССВ_2_1_kolvo]]+Свёртка_Перебор_2_20170602154411[[#This Row],[ССВ_1_2_kolvo]]+Свёртка_Перебор_2_20170602154411[[#This Row],[ССВ_2_2_kolvo]]+Свёртка_Перебор_2_20170602154411[[#This Row],[ССВ_3_1_kolvo]]+Свёртка_Перебор_2_20170602154411[[#This Row],[ССВ_1_3_kolvo]]+Свёртка_Перебор_2_20170602154411[[#This Row],[ССВ_3_2_kolvo]]+Свёртка_Перебор_2_20170602154411[[#This Row],[ССВ_2_3_kolvo]]+Свёртка_Перебор_2_20170602154411[[#This Row],[ССВ_3_3_kolvo]]</f>
        <v>286</v>
      </c>
      <c r="BX10" t="str">
        <f ca="1">IFERROR(IF(LEN((INDIRECT(Свёртка_Перебор_2_20170602154411[[#This Row],[СЛ]],FALSE)))=0,"ошибка",IFERROR(INDIRECT(Свёртка_Перебор_2_20170602154411[[#This Row],[СЛ]],FALSE),"ошибка")),"ошибка")</f>
        <v>ошибка</v>
      </c>
      <c r="BY10"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Row],[ССвёртка]])))+BY$6),"ошибка")</f>
        <v>ошибка</v>
      </c>
      <c r="BZ10" t="str">
        <f ca="1">IFERROR(_xlfn.FORMULATEXT(INDIRECT(Свёртка_Перебор_2_20170602154411[[#This Row],[СЛ]],FALSE)),"ошибка")</f>
        <v>ошибка</v>
      </c>
      <c r="CA10" t="str">
        <f ca="1">IFERROR(IF(LEN((INDIRECT(Свёртка_Перебор_2_20170602154411[[#This Row],[СП]],FALSE)))=0,"ошибка",IFERROR(INDIRECT(Свёртка_Перебор_2_20170602154411[[#This Row],[СП]],FALSE),"ошибка")),"ошибка")</f>
        <v>ошибка</v>
      </c>
      <c r="CB10"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Row],[ССвёртка]])))+CB$7),FIND("R",Свёртка_Перебор_2_20170602154411[[#This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Row],[ССвёртка]])))+CB$6),"ошибка")</f>
        <v>ошибка</v>
      </c>
      <c r="CC10" t="str">
        <f ca="1">IFERROR(_xlfn.FORMULATEXT(INDIRECT(Свёртка_Перебор_2_20170602154411[[#This Row],[СП]],FALSE)),"ошибка")</f>
        <v>ошибка</v>
      </c>
      <c r="CD10" s="66">
        <f ca="1">IF(AND(Свёртка_Перебор_2_20170602154411[[#This Row],[ВидСвёртка]]="Свёртка",CONCATENATE(LEFT(Свёртка_Перебор_2_20170602154411[[#This Row],[СВ_1_1]],1),LEFT(Свёртка_Перебор_2_20170602154411[[#This Row],[СВ_2_1]],1),LEFT(Свёртка_Перебор_2_20170602154411[[#This Row],[СВ_1_2]],1),LEFT(Свёртка_Перебор_2_20170602154411[[#This Row],[СВ_2_2]],1),LEFT(Свёртка_Перебор_2_20170602154411[[#This Row],[СВ_3_1]],1),LEFT(Свёртка_Перебор_2_20170602154411[[#This Row],[СВ_1_3]],1),LEFT(Свёртка_Перебор_2_20170602154411[[#This Row],[СВ_3_2]],1),LEFT(Свёртка_Перебор_2_20170602154411[[#This Row],[СВ_2_3]],1),LEFT(Свёртка_Перебор_2_20170602154411[[#This Row],[СВ_3_3]],1))="FFFFFFFFF",AND(Свёртка_Перебор_2_20170602154411[[#This Row],[Л]]&gt;=1,Свёртка_Перебор_2_20170602154411[[#This Row],[Л]]&lt;=4),AND(Свёртка_Перебор_2_20170602154411[[#This Row],[П]]&gt;=1,Свёртка_Перебор_2_20170602154411[[#This Row],[П]]&lt;=4)),1,-1)</f>
        <v>-1</v>
      </c>
      <c r="CE10" t="e">
        <f ca="1">_xlfn.NUMBERVALUE(MID(Свёртка_Перебор_2_20170602154411[[#This Row],[ССвёртка]],SEARCH("R",Свёртка_Перебор_2_20170602154411[[#This Row],[ССвёртка]])+1,SEARCH("C",Свёртка_Перебор_2_20170602154411[[#This Row],[ССвёртка]])-SEARCH("R",Свёртка_Перебор_2_20170602154411[[#This Row],[ССвёртка]])-1))</f>
        <v>#VALUE!</v>
      </c>
      <c r="CF10" t="e">
        <f ca="1">_xlfn.NUMBERVALUE(MID(Свёртка_Перебор_2_20170602154411[[#This Row],[ССвёртка]],SEARCH("C",Свёртка_Перебор_2_20170602154411[[#This Row],[ССвёртка]])+1,LEN(Свёртка_Перебор_2_20170602154411[[#This Row],[ССвёртка]])-SEARCH("C",Свёртка_Перебор_2_20170602154411[[#This Row],[ССвёртка]])))</f>
        <v>#VALUE!</v>
      </c>
      <c r="CG10" t="str">
        <f ca="1">IF(ISERR(SEARCH("!",Свёртка_Перебор_2_20170602154411[[#This Row],[ССвёртка]])),"",LEFT(Свёртка_Перебор_2_20170602154411[[#This Row],[ССвёртка]],SEARCH("!",Свёртка_Перебор_2_20170602154411[[#This Row],[ССвёртка]])))</f>
        <v/>
      </c>
      <c r="CH10" t="str">
        <f ca="1">Свёртка_Перебор_2_20170602154411[[#This Row],[ССвёртка]]</f>
        <v>ошибка</v>
      </c>
      <c r="CI10" t="e">
        <f ca="1">IF(SUM(IF(SUM(LOOKUP(--RIGHT(OFFSET(INDIRECT(Свёртка_Перебор_2_20170602154411[[#This Row],[ССвёртка]],FALSE),-2,1)),{0,1,2,3,4,5},{0,1,1,0,1,1.5}),LOOKUP(--RIGHT(OFFSET(INDIRECT(Свёртка_Перебор_2_20170602154411[[#This Row],[ССвёртка]],FALSE),-1,1)),{0,1,2,3,4,5},{0,1,1,0,1,1.5}),LOOKUP(--RIGHT(OFFSET(INDIRECT(Свёртка_Перебор_2_20170602154411[[#This Row],[ССвёртка]],FALSE),0,1)),{0,1,2,3,4,5},{0,1,1,0,1,1.5}))&gt;4,1,0),IF(SUM(LOOKUP(--RIGHT(OFFSET(INDIRECT(Свёртка_Перебор_2_20170602154411[[#This Row],[ССвёртка]],FALSE),-2,2)),{0,1,2,3,4,5},{0,1,1,0,1,1.5}),LOOKUP(--RIGHT(OFFSET(INDIRECT(Свёртка_Перебор_2_20170602154411[[#This Row],[ССвёртка]],FALSE),-1,2)),{0,1,2,3,4,5},{0,1,1,0,1,1.5}),LOOKUP(--RIGHT(OFFSET(INDIRECT(Свёртка_Перебор_2_20170602154411[[#This Row],[ССвёртка]],FALSE),0,2)),{0,1,2,3,4,5},{0,1,1,0,1,1.5}))&gt;4,1,0),IF(SUM(LOOKUP(--RIGHT(OFFSET(INDIRECT(Свёртка_Перебор_2_20170602154411[[#This Row],[ССвёртка]],FALSE),-2,3)),{0,1,2,3,4,5},{0,1,1,0,1,1.5}),LOOKUP(--RIGHT(OFFSET(INDIRECT(Свёртка_Перебор_2_20170602154411[[#This Row],[ССвёртка]],FALSE),-1,3)),{0,1,2,3,4,5},{0,1,1,0,1,1.5}),LOOKUP(--RIGHT(OFFSET(INDIRECT(Свёртка_Перебор_2_20170602154411[[#This Row],[ССвёртка]],FALSE),0,3)),{0,1,2,3,4,5},{0,1,1,0,1,1.5}))&gt;4,1,0),IF(SUM(LOOKUP(--RIGHT(OFFSET(INDIRECT(Свёртка_Перебор_2_20170602154411[[#This Row],[ССвёртка]],FALSE),-2,1)),{0,1,2,3,4,5},{0,1,1,1,1,2}),LOOKUP(--RIGHT(OFFSET(INDIRECT(Свёртка_Перебор_2_20170602154411[[#This Row],[ССвёртка]],FALSE),-1,2)),{0,1,2,3,4,5},{0,1,1,1,1,2}),LOOKUP(--RIGHT(OFFSET(INDIRECT(Свёртка_Перебор_2_20170602154411[[#This Row],[ССвёртка]],FALSE),0,3)),{0,1,2,3,4,5},{0,1,1,1,1,2}))&lt;&gt;3,1,0),IF(SUM(LOOKUP(--RIGHT(OFFSET(INDIRECT(Свёртка_Перебор_2_20170602154411[[#This Row],[ССвёртка]],FALSE),-2,1)),{0,1,2,3,4,5},{0,1,0,1,1,1.5}),LOOKUP(--RIGHT(OFFSET(INDIRECT(Свёртка_Перебор_2_20170602154411[[#This Row],[ССвёртка]],FALSE),-2,2)),{0,1,2,3,4,5},{0,1,0,1,1,1.5}),LOOKUP(--RIGHT(OFFSET(INDIRECT(Свёртка_Перебор_2_20170602154411[[#This Row],[ССвёртка]],FALSE),-2,3)),{0,1,2,3,4,5},{0,1,0,1,1,1.5}))&gt;4,1,0),IF(SUM(LOOKUP(--RIGHT(OFFSET(INDIRECT(Свёртка_Перебор_2_20170602154411[[#This Row],[ССвёртка]],FALSE),-1,1)),{0,1,2,3,4,5},{0,1,0,1,1,1.5}),LOOKUP(--RIGHT(OFFSET(INDIRECT(Свёртка_Перебор_2_20170602154411[[#This Row],[ССвёртка]],FALSE),-1,2)),{0,1,2,3,4,5},{0,1,0,1,1,1.5}),LOOKUP(--RIGHT(OFFSET(INDIRECT(Свёртка_Перебор_2_20170602154411[[#This Row],[ССвёртка]],FALSE),-1,3)),{0,1,2,3,4,5},{0,1,0,1,1,1.5}))&gt;4,1,0),IF(SUM(LOOKUP(--RIGHT(OFFSET(INDIRECT(Свёртка_Перебор_2_20170602154411[[#This Row],[ССвёртка]],FALSE),0,1)),{0,1,2,3,4,5},{0,1,0,1,1,1.5}),LOOKUP(--RIGHT(OFFSET(INDIRECT(Свёртка_Перебор_2_20170602154411[[#This Row],[ССвёртка]],FALSE),0,2)),{0,1,2,3,4,5},{0,1,0,1,1,1.5}),LOOKUP(--RIGHT(OFFSET(INDIRECT(Свёртка_Перебор_2_20170602154411[[#This Row],[ССвёртка]],FALSE),0,3)),{0,1,2,3,4,5},{0,1,0,1,1,1.5}))&gt;4,1,0))&lt;&gt;0,0,1)</f>
        <v>#REF!</v>
      </c>
      <c r="CJ10" t="str">
        <f t="array" aca="1" ref="CJ10" ca="1">IFERROR(IF(SUM((MMULT(CHOOSE(RIGHT(OFFSET(INDIRECT(CONCATENATE(Свёртка_Перебор_2_20170602154411[[#This Row],[Л!]],"R",Свёртка_Перебор_2_20170602154411[[#This Row],[R!]],"C",Свёртка_Перебор_2_20170602154411[[#This Row],[C!]]),FALSE),-2,1,3,3))+1,0,1,0,1,1,1.5),{1;1;1})&gt;4)+(MMULT(TRANSPOSE(CHOOSE(RIGHT(OFFSET(INDIRECT(CONCATENATE(Свёртка_Перебор_2_20170602154411[[#This Row],[Л!]],"R",Свёртка_Перебор_2_20170602154411[[#This Row],[R!]],"C",Свёртка_Перебор_2_20170602154411[[#This Row],[C!]]),FALSE),-2,1,3,3))+1,0,1,1,0,1,1.5)),{1;1;1})&gt;4)+(SUM(CHOOSE(RIGHT(CHOOSE({1;2;3},OFFSET(INDIRECT(CONCATENATE(Свёртка_Перебор_2_20170602154411[[#This Row],[Л!]],"R",Свёртка_Перебор_2_20170602154411[[#This Row],[R!]],"C",Свёртка_Перебор_2_20170602154411[[#This Row],[C!]]),FALSE),-2,1),OFFSET(INDIRECT(CONCATENATE(Свёртка_Перебор_2_20170602154411[[#This Row],[Л!]],"R",Свёртка_Перебор_2_20170602154411[[#This Row],[R!]],"C",Свёртка_Перебор_2_20170602154411[[#This Row],[C!]]),FALSE),-1,2),OFFSET(INDIRECT(CONCATENATE(Свёртка_Перебор_2_20170602154411[[#This Row],[Л!]],"R",Свёртка_Перебор_2_20170602154411[[#This Row],[R!]],"C",Свёртка_Перебор_2_20170602154411[[#This Row],[C!]]),FALSE),0,3)))+1,0,1,1,1,1,2))&lt;&gt;3)),0,1),"!")</f>
        <v>!</v>
      </c>
      <c r="CK10" t="e">
        <f ca="1">COUNTIFS(OFFSET(INDIRECT((OFFSET(INDIRECT(Свёртка_Перебор_2_20170602154411[[#This Row],[С]],FALSE),-2,1)&amp;"!R2C2"),FALSE),,,101,101),"="&amp;(Свёртка_Перебор_2_20170602154411[[#This Row],[F]]-(1+(CHOOSE(--RIGHTB(OFFSET(INDIRECT(Свёртка_Перебор_2_20170602154411[[#This Row],[С]],FALSE),,3))+1,0,1,1,1,1,2)+CHOOSE(--RIGHTB(OFFSET(INDIRECT(Свёртка_Перебор_2_20170602154411[[#This Row],[С]],FALSE),-1,2))+1,0,1,1,1,1,2)))+1))*IF(AND(Свёртка_Перебор_2_20170602154411[[#This Row],[F]]&gt;=(1+(CHOOSE(--RIGHTB(OFFSET(INDIRECT(Свёртка_Перебор_2_20170602154411[[#This Row],[С]],FALSE),,3))+1,0,1,1,1,1,2)+CHOOSE(--RIGHTB(OFFSET(INDIRECT(Свёртка_Перебор_2_20170602154411[[#This Row],[С]],FALSE),-1,2))+1,0,1,1,1,1,2))),Свёртка_Перебор_2_20170602154411[[#This Row],[F]]&lt;=(1+(CHOOSE(--RIGHTB(OFFSET(INDIRECT(Свёртка_Перебор_2_20170602154411[[#This Row],[С]],FALSE),,3))+1,0,1,1,1,1,2)+CHOOSE(--RIGHTB(OFFSET(INDIRECT(Свёртка_Перебор_2_20170602154411[[#This Row],[С]],FALSE),-1,2))+1,0,1,1,1,1,2)+CHOOSE(--RIGHTB(OFFSET(INDIRECT(Свёртка_Перебор_2_20170602154411[[#This Row],[С]],FALSE),-2,1))+1,0,1,1,1,1,2)))),1,0)+COUNTIFS(OFFSET(INDIRECT((OFFSET(INDIRECT(Свёртка_Перебор_2_20170602154411[[#This Row],[С]],FALSE),-2,2)&amp;"!R2C2"),FALSE),,,101,101),"="&amp;(Свёртка_Перебор_2_20170602154411[[#This Row],[F]]-(1+(CHOOSE(--RIGHTB(OFFSET(INDIRECT(Свёртка_Перебор_2_20170602154411[[#This Row],[С]],FALSE),,3))+1,0,1,0,1,1,1)+CHOOSE(--RIGHTB(OFFSET(INDIRECT(Свёртка_Перебор_2_20170602154411[[#This Row],[С]],FALSE),-1,3))+1,0,1,1,1,1,2)))+1))*IF(AND(Свёртка_Перебор_2_20170602154411[[#This Row],[F]]&gt;=(1+(CHOOSE(--RIGHTB(OFFSET(INDIRECT(Свёртка_Перебор_2_20170602154411[[#This Row],[С]],FALSE),,3))+1,0,0,0,1,1,1)+CHOOSE(--RIGHTB(OFFSET(INDIRECT(Свёртка_Перебор_2_20170602154411[[#This Row],[С]],FALSE),-1,3))+1,0,1,1,1,1,2))),Свёртка_Перебор_2_20170602154411[[#This Row],[F]]&lt;=(1+(CHOOSE(--RIGHTB(OFFSET(INDIRECT(Свёртка_Перебор_2_20170602154411[[#This Row],[С]],FALSE),,3))+1,0,0,0,1,1,1)+CHOOSE(--RIGHTB(OFFSET(INDIRECT(Свёртка_Перебор_2_20170602154411[[#This Row],[С]],FALSE),-1,3))+1,0,1,1,1,1,2)+CHOOSE(--RIGHTB(OFFSET(INDIRECT(Свёртка_Перебор_2_20170602154411[[#This Row],[С]],FALSE),-2,2))+1,0,1,1,1,1,2)))),1,0)+COUNTIFS(OFFSET(INDIRECT((OFFSET(INDIRECT(Свёртка_Перебор_2_20170602154411[[#This Row],[С]],FALSE),-2,3)&amp;"!R2C2"),FALSE),,,101,101),"="&amp;(Свёртка_Перебор_2_20170602154411[[#This Row],[F]]-(1+(CHOOSE(--RIGHTB(OFFSET(INDIRECT(Свёртка_Перебор_2_20170602154411[[#This Row],[С]],FALSE),,3))+1,0,0,0,1,1,1)+CHOOSE(--RIGHTB(OFFSET(INDIRECT(Свёртка_Перебор_2_20170602154411[[#This Row],[С]],FALSE),-1,3))+1,0,0,0,1,1,1)))+1))*IF(AND(Свёртка_Перебор_2_20170602154411[[#This Row],[F]]&gt;=(1+(CHOOSE(--RIGHTB(OFFSET(INDIRECT(Свёртка_Перебор_2_20170602154411[[#This Row],[С]],FALSE),,3))+1,0,0,0,1,1,1)+CHOOSE(--RIGHTB(OFFSET(INDIRECT(Свёртка_Перебор_2_20170602154411[[#This Row],[С]],FALSE),-1,3))+1,0,0,0,1,1,1))),Свёртка_Перебор_2_20170602154411[[#This Row],[F]]&lt;=(1+(CHOOSE(--RIGHTB(OFFSET(INDIRECT(Свёртка_Перебор_2_20170602154411[[#This Row],[С]],FALSE),,3))+1,0,0,0,1,1,1)+CHOOSE(--RIGHTB(OFFSET(INDIRECT(Свёртка_Перебор_2_20170602154411[[#This Row],[С]],FALSE),-1,3))+1,0,0,0,1,1,1)+CHOOSE(--RIGHTB(OFFSET(INDIRECT(Свёртка_Перебор_2_20170602154411[[#This Row],[С]],FALSE),-2,3))+1,0,1,1,1,1,2)))),1,0)+COUNTIFS(OFFSET(INDIRECT((OFFSET(INDIRECT(Свёртка_Перебор_2_20170602154411[[#This Row],[С]],FALSE),-1,1)&amp;"!R2C2"),FALSE),,,101,101),"="&amp;(Свёртка_Перебор_2_20170602154411[[#This Row],[F]]-(1+(CHOOSE(--RIGHTB(OFFSET(INDIRECT(Свёртка_Перебор_2_20170602154411[[#This Row],[С]],FALSE),,3))+1,0,0,1,0,1,1)+CHOOSE(--RIGHTB(OFFSET(INDIRECT(Свёртка_Перебор_2_20170602154411[[#This Row],[С]],FALSE),0,2))+1,0,1,1,1,1,2)))+1))*IF(AND(Свёртка_Перебор_2_20170602154411[[#This Row],[F]]&gt;=(1+(CHOOSE(--RIGHTB(OFFSET(INDIRECT(Свёртка_Перебор_2_20170602154411[[#This Row],[С]],FALSE),,3))+1,0,0,1,0,1,1)+CHOOSE(--RIGHTB(OFFSET(INDIRECT(Свёртка_Перебор_2_20170602154411[[#This Row],[С]],FALSE),,2))+1,0,1,1,1,1,2))),Свёртка_Перебор_2_20170602154411[[#This Row],[F]]&lt;=(1+(CHOOSE(--RIGHTB(OFFSET(INDIRECT(Свёртка_Перебор_2_20170602154411[[#This Row],[С]],FALSE),,3))+1,0,0,1,0,1,1)+CHOOSE(--RIGHTB(OFFSET(INDIRECT(Свёртка_Перебор_2_20170602154411[[#This Row],[С]],FALSE),,2))+1,0,1,1,1,1,2)+CHOOSE(--RIGHTB(OFFSET(INDIRECT(Свёртка_Перебор_2_20170602154411[[#This Row],[С]],FALSE),-1,1))+1,0,1,1,1,1,2)))),1,0)+COUNTIFS(OFFSET(INDIRECT((OFFSET(INDIRECT(Свёртка_Перебор_2_20170602154411[[#This Row],[С]],FALSE),-1,2)&amp;"!R2C2"),FALSE),,,101,101),"="&amp;(Свёртка_Перебор_2_20170602154411[[#This Row],[F]]-(1+(CHOOSE(--RIGHTB(OFFSET(INDIRECT(Свёртка_Перебор_2_20170602154411[[#This Row],[С]],FALSE),,3))+1,0,1,1,1,1,2)))+1))*IF(AND(Свёртка_Перебор_2_20170602154411[[#This Row],[F]]&gt;=(1+(CHOOSE(--RIGHTB(OFFSET(INDIRECT(Свёртка_Перебор_2_20170602154411[[#This Row],[С]],FALSE),,3))+1,0,1,1,1,1,2))),Свёртка_Перебор_2_20170602154411[[#This Row],[F]]&lt;=(1+(CHOOSE(--RIGHTB(OFFSET(INDIRECT(Свёртка_Перебор_2_20170602154411[[#This Row],[С]],FALSE),,3))+1,0,1,1,1,1,2)+CHOOSE(--RIGHTB(OFFSET(INDIRECT(Свёртка_Перебор_2_20170602154411[[#This Row],[С]],FALSE),-1,2))+1,0,1,1,1,1,2)))),1,0)+COUNTIFS(OFFSET(INDIRECT((OFFSET(INDIRECT(Свёртка_Перебор_2_20170602154411[[#This Row],[С]],FALSE),-1,3)&amp;"!R2C2"),FALSE),,,101,101),"="&amp;(Свёртка_Перебор_2_20170602154411[[#This Row],[F]]-(1+(CHOOSE(--RIGHTB(OFFSET(INDIRECT(Свёртка_Перебор_2_20170602154411[[#This Row],[С]],FALSE),,3))+1,0,0,0,1,1,1)))+1))*IF(AND(Свёртка_Перебор_2_20170602154411[[#This Row],[F]]&gt;=(1+(CHOOSE(--RIGHTB(OFFSET(INDIRECT(Свёртка_Перебор_2_20170602154411[[#This Row],[С]],FALSE),,3))+1,0,0,0,1,1,1))),Свёртка_Перебор_2_20170602154411[[#This Row],[F]]&lt;=(1+(CHOOSE(--RIGHTB(OFFSET(INDIRECT(Свёртка_Перебор_2_20170602154411[[#This Row],[С]],FALSE),,3))+1,0,0,0,1,1,1)+CHOOSE(--RIGHTB(OFFSET(INDIRECT(Свёртка_Перебор_2_20170602154411[[#This Row],[С]],FALSE),-1,3))+1,0,1,1,1,1,2)))),1,0)+COUNTIFS(OFFSET(INDIRECT((OFFSET(INDIRECT(Свёртка_Перебор_2_20170602154411[[#This Row],[С]],FALSE),,1)&amp;"!R2C2"),FALSE),,,101,101),"="&amp;(Свёртка_Перебор_2_20170602154411[[#This Row],[F]]-(1+(CHOOSE(--RIGHTB(OFFSET(INDIRECT(Свёртка_Перебор_2_20170602154411[[#This Row],[С]],FALSE),,3))+1,0,0,1,0,1,1)+CHOOSE(--RIGHTB(OFFSET(INDIRECT(Свёртка_Перебор_2_20170602154411[[#This Row],[С]],FALSE),,2))+1,0,0,1,0,1,1)))+1))*IF(AND(Свёртка_Перебор_2_20170602154411[[#This Row],[F]]&gt;=(1+(CHOOSE(--RIGHTB(OFFSET(INDIRECT(Свёртка_Перебор_2_20170602154411[[#This Row],[С]],FALSE),,3))+1,0,0,1,0,1,1)+CHOOSE(--RIGHTB(OFFSET(INDIRECT(Свёртка_Перебор_2_20170602154411[[#This Row],[С]],FALSE),,2))+1,0,0,1,0,1,1))),Свёртка_Перебор_2_20170602154411[[#This Row],[F]]&lt;=(1+(CHOOSE(--RIGHTB(OFFSET(INDIRECT(Свёртка_Перебор_2_20170602154411[[#This Row],[С]],FALSE),,3))+1,0,0,1,0,1,1)+CHOOSE(--RIGHTB(OFFSET(INDIRECT(Свёртка_Перебор_2_20170602154411[[#This Row],[С]],FALSE),,2))+1,0,0,1,0,1,1)+CHOOSE(--RIGHTB(OFFSET(INDIRECT(Свёртка_Перебор_2_20170602154411[[#This Row],[С]],FALSE),,1))+1,0,1,1,1,1,2)))),1,0)+COUNTIFS(OFFSET(INDIRECT((OFFSET(INDIRECT(Свёртка_Перебор_2_20170602154411[[#This Row],[С]],FALSE),,2)&amp;"!R2C2"),FALSE),,,101,101),"="&amp;(Свёртка_Перебор_2_20170602154411[[#This Row],[F]]-(1+(CHOOSE(--RIGHTB(OFFSET(INDIRECT(Свёртка_Перебор_2_20170602154411[[#This Row],[С]],FALSE),,3))+1,0,0,1,0,1,1)))+1))*IF(AND(Свёртка_Перебор_2_20170602154411[[#This Row],[F]]&gt;=(1+(CHOOSE(--RIGHTB(OFFSET(INDIRECT(Свёртка_Перебор_2_20170602154411[[#This Row],[С]],FALSE),0,3))+1,0,0,1,0,1,1))),Свёртка_Перебор_2_20170602154411[[#This Row],[F]]&lt;=(1+(CHOOSE(--RIGHTB(OFFSET(INDIRECT(Свёртка_Перебор_2_20170602154411[[#This Row],[С]],FALSE),,3))+1,0,1,0,0,1,1)+CHOOSE(--RIGHTB(OFFSET(INDIRECT(Свёртка_Перебор_2_20170602154411[[#This Row],[С]],FALSE),,2))+1,0,1,1,1,1,2)))),1,0)+COUNTIFS(OFFSET(INDIRECT((OFFSET(INDIRECT(Свёртка_Перебор_2_20170602154411[[#This Row],[С]],FALSE),,3)&amp;"!R2C2"),FALSE),,,101,101),"="&amp;(Свёртка_Перебор_2_20170602154411[[#This Row],[F]]-1+1))*IF(AND(Свёртка_Перебор_2_20170602154411[[#This Row],[F]]&gt;=1,Свёртка_Перебор_2_20170602154411[[#This Row],[F]]&lt;=1+(CHOOSE(--RIGHTB(OFFSET(INDIRECT(Свёртка_Перебор_2_20170602154411[[#This Row],[С]],FALSE),,3))+1,0,1,1,1,1,2))),1,0)</f>
        <v>#REF!</v>
      </c>
    </row>
    <row r="11" spans="2:89" x14ac:dyDescent="0.25">
      <c r="B11" t="e">
        <f ca="1">IF(AND(Критерий_Перебор_2_20170602154411[[#This Row],[Критерий]]&lt;&gt;"",Критерий_Перебор_2_20170602154411[[#This Row],[O.K.Критерий]]=1),ROW()-ROW(Критерий_Перебор_2_20170602154411[[#Headers],[№]]),"")</f>
        <v>#REF!</v>
      </c>
      <c r="C11" s="37" t="e">
        <f>Модель!#REF!</f>
        <v>#REF!</v>
      </c>
      <c r="D11" t="str">
        <f ca="1">IFERROR(IF(AND(Критерий_Перебор_2_20170602154411[[#This Row],[Критерий]]&gt;=1,Критерий_Перебор_2_20170602154411[[#This Row],[Критерий]]&lt;=4),IF(IFERROR(FIND("!",_xlfn.FORMULATEXT(Критерий_Перебор_2_20170602154411[[#This Row],[Критерий]])),"на странице")="на странице",CONCATENATE("R",ROW((INDIRECT(RIGHT(_xlfn.FORMULATEXT(Критерий_Перебор_2_20170602154411[[#This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Row],[Критерий]]))-1),FALSE)))-D$8),CONCATENATE(RIGHT(LEFT(_xlfn.FORMULATEXT(Критерий_Перебор_2_20170602154411[[#This Row],[Критерий]]),FIND("!",_xlfn.FORMULATEXT(Критерий_Перебор_2_20170602154411[[#This Row],[Критерий]]))),LEN(LEFT(_xlfn.FORMULATEXT(Критерий_Перебор_2_20170602154411[[#This Row],[Критерий]]),FIND("!",_xlfn.FORMULATEXT(Критерий_Перебор_2_20170602154411[[#This Row],[Критерий]]))))-1),"R",ROW((INDIRECT(RIGHT(_xlfn.FORMULATEXT(Критерий_Перебор_2_20170602154411[[#This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Row],[Критерий]]))-1),FALSE)))-D$8)),"ошибка"),"ошибка")</f>
        <v>ошибка</v>
      </c>
      <c r="E11" t="str">
        <f ca="1">IFERROR(IF(LEFT(Критерий_Перебор_2_20170602154411[[#This Row],[Фкритерий]],5)="=Прив","Критерий",IF(LEFT(Критерий_Перебор_2_20170602154411[[#This Row],[Фкритерий]],5)="=Матр","ошибка","ошибка")),"ошибка")</f>
        <v>ошибка</v>
      </c>
      <c r="F11" t="str">
        <f ca="1">IFERROR(IF(LEN((INDIRECT(Критерий_Перебор_2_20170602154411[[#This Row],[СНаименование]],FALSE)))=0,"ошибка",IFERROR(INDIRECT(Критерий_Перебор_2_20170602154411[[#This Row],[СНаименование]],FALSE),"ошибка")),"ошибка")</f>
        <v>ошибка</v>
      </c>
      <c r="G11"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Row],[Скритерий]])))+G$7),FIND("R",Критерий_Перебор_2_20170602154411[[#This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Row],[Скритерий]])))+G$6),"ошибка")</f>
        <v>ошибка</v>
      </c>
      <c r="H11" t="str">
        <f ca="1">IFERROR(IF(N(INDIRECT(Критерий_Перебор_2_20170602154411[[#This Row],[СФизКритерий]],FALSE))=0,"ошибка",IFERROR(INDIRECT(Критерий_Перебор_2_20170602154411[[#This Row],[СФизКритерий]],FALSE),"ошибка")),"ошибка")</f>
        <v>ошибка</v>
      </c>
      <c r="I11"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Row],[Скритерий]])))+I$7),FIND("R",Критерий_Перебор_2_20170602154411[[#This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Row],[Скритерий]])))+I$6),"ошибка")</f>
        <v>ошибка</v>
      </c>
      <c r="J11" t="str">
        <f ca="1">IFERROR(IF(OR(INDIRECT(Критерий_Перебор_2_20170602154411[[#This Row],[СТипКритерий]],FALSE)=Перебор!$N$58,INDIRECT(Критерий_Перебор_2_20170602154411[[#This Row],[СТипКритерий]],FALSE)=Перебор!$N$59,INDIRECT(Критерий_Перебор_2_20170602154411[[#This Row],[СТипКритерий]],FALSE)=Перебор!$N$60,INDIRECT(Критерий_Перебор_2_20170602154411[[#This Row],[СТипКритерий]],FALSE)=Перебор!$N$61),INDIRECT(Критерий_Перебор_2_20170602154411[[#This Row],[СТипКритерий]],FALSE),"ошибка"),"ошибка")</f>
        <v>ошибка</v>
      </c>
      <c r="K11"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Row],[Скритерий]])))+K$7),FIND("R",Критерий_Перебор_2_20170602154411[[#This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Row],[Скритерий]])))+K$6),"ошибка")</f>
        <v>ошибка</v>
      </c>
      <c r="L11" t="str">
        <f ca="1">IFERROR(_xlfn.FORMULATEXT(INDIRECT(Критерий_Перебор_2_20170602154411[[#This Row],[Скритерий]],FALSE)),"ошибка")</f>
        <v>ошибка</v>
      </c>
      <c r="M11" t="str">
        <f ca="1">IFERROR(IF(N(INDIRECT(Критерий_Перебор_2_20170602154411[[#This Row],[СМинФизКритерий]],FALSE))=0,"ошибка",IFERROR(INDIRECT(Критерий_Перебор_2_20170602154411[[#This Row],[СМинФизКритерий]],FALSE),"ошибка")),"ошибка")</f>
        <v>ошибка</v>
      </c>
      <c r="N11"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Row],[Скритерий]])))+N$7),FIND("R",Критерий_Перебор_2_20170602154411[[#This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Row],[Скритерий]])))+N$6),"ошибка")</f>
        <v>ошибка</v>
      </c>
      <c r="O11" t="str">
        <f ca="1">IFERROR(IF(N(INDIRECT(Критерий_Перебор_2_20170602154411[[#This Row],[СМаксФизКритерий]],FALSE))=0,"ошибка",IFERROR(INDIRECT(Критерий_Перебор_2_20170602154411[[#This Row],[СМаксФизКритерий]],FALSE),"ошибка")),"ошибка")</f>
        <v>ошибка</v>
      </c>
      <c r="P11"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Row],[Скритерий]])))+P$7),FIND("R",Критерий_Перебор_2_20170602154411[[#This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Row],[Скритерий]])))+P$6),"ошибка")</f>
        <v>ошибка</v>
      </c>
      <c r="Q11" t="str">
        <f ca="1">IFERROR(IF(N(INDIRECT(Критерий_Перебор_2_20170602154411[[#This Row],[ССрФизКритерий]],FALSE))=0,"ошибка",IFERROR(INDIRECT(Критерий_Перебор_2_20170602154411[[#This Row],[ССрФизКритерий]],FALSE),"ошибка")),"")</f>
        <v/>
      </c>
      <c r="R11" t="str">
        <f ca="1">IF(OR(Критерий_Перебор_2_20170602154411[[#This Row],[ТипКритерий]]=Перебор!$N$60,Критерий_Перебор_2_20170602154411[[#This Row],[ТипКритерий]]=Перебор!$N$61),IFERROR(REPLACE(REPLACE(Критерий_Перебор_2_20170602154411[[#This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Row],[Скритерий]])))+R$7),FIND("R",Критерий_Перебор_2_20170602154411[[#This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Row],[Скритерий]])))+R$6),"ошибка"),"")</f>
        <v/>
      </c>
      <c r="S11" s="66">
        <f ca="1">IFERROR(IF(AND(Критерий_Перебор_2_20170602154411[[#This Row],[ВидКритерий]]="Критерий",Критерий_Перебор_2_20170602154411[[#This Row],[Фкритерий]]="=Приведение"),1,-1),-1)</f>
        <v>-1</v>
      </c>
      <c r="V11" t="e">
        <f ca="1">IF(AND(Свёртка_Перебор_2_20170602154411[[#This Row],[Свёртка]]&lt;&gt;"",Свёртка_Перебор_2_20170602154411[[#This Row],[O.K.Свёртка]]=1),ROW()-ROW(Свёртка_Перебор_2_20170602154411[[#Headers],[№]]),"")</f>
        <v>#REF!</v>
      </c>
      <c r="W11" s="146" t="e">
        <f>Модель!#REF!</f>
        <v>#REF!</v>
      </c>
      <c r="X11" t="str">
        <f ca="1">IFERROR(IF(AND(Свёртка_Перебор_2_20170602154411[[#This Row],[Свёртка]]&gt;=1,Свёртка_Перебор_2_20170602154411[[#This Row],[Свёртка]]&lt;=4),IF(IFERROR(FIND("!",_xlfn.FORMULATEXT(Свёртка_Перебор_2_20170602154411[[#This Row],[Свёртка]])),"на странице")="на странице",CONCATENATE("R",ROW((INDIRECT(RIGHT(_xlfn.FORMULATEXT(Свёртка_Перебор_2_20170602154411[[#This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Row],[Свёртка]]))-1),FALSE)))-X$6),CONCATENATE(RIGHT(LEFT(_xlfn.FORMULATEXT(Свёртка_Перебор_2_20170602154411[[#This Row],[Свёртка]]),FIND("!",_xlfn.FORMULATEXT(Свёртка_Перебор_2_20170602154411[[#This Row],[Свёртка]]))),LEN(LEFT(_xlfn.FORMULATEXT(Свёртка_Перебор_2_20170602154411[[#This Row],[Свёртка]]),FIND("!",_xlfn.FORMULATEXT(Свёртка_Перебор_2_20170602154411[[#This Row],[Свёртка]]))))-1),"R",ROW((INDIRECT(RIGHT(_xlfn.FORMULATEXT(Свёртка_Перебор_2_20170602154411[[#This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Row],[Свёртка]]))-1),FALSE)))-X$6)),"ошибка"),"ошибка")</f>
        <v>ошибка</v>
      </c>
      <c r="Y11" t="str">
        <f ca="1">IFERROR(_xlfn.FORMULATEXT(INDIRECT(Свёртка_Перебор_2_20170602154411[[#This Row],[ССвёртка]],FALSE)),"ошибка")</f>
        <v>ошибка</v>
      </c>
      <c r="Z11" t="str">
        <f ca="1">IFERROR(IF(LEFT(Свёртка_Перебор_2_20170602154411[[#This Row],[ФСвёртка]],5)="=Прив","ошибка",IF(LEFT(Свёртка_Перебор_2_20170602154411[[#This Row],[ФСвёртка]],5)="=Матр","Свёртка","ошибка")),"ошибка")</f>
        <v>ошибка</v>
      </c>
      <c r="AA11" t="str">
        <f ca="1">IFERROR(IF(LEN((INDIRECT(Свёртка_Перебор_2_20170602154411[[#This Row],[СНаименование]],FALSE)))=0,"ошибка",IFERROR(INDIRECT(Свёртка_Перебор_2_20170602154411[[#This Row],[СНаименование]],FALSE),"ошибка")),"ошибка")</f>
        <v>ошибка</v>
      </c>
      <c r="AB11"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Row],[ССвёртка]])))+AB$6),"ошибка")</f>
        <v>ошибка</v>
      </c>
      <c r="AC11">
        <v>1.5</v>
      </c>
      <c r="AD11" t="str">
        <f ca="1">IFERROR(IF(LEN((INDIRECT(Свёртка_Перебор_2_20170602154411[[#This Row],[ССВ_1_1]],FALSE)))=0,"ошибка",IFERROR(INDIRECT(Свёртка_Перебор_2_20170602154411[[#This Row],[ССВ_1_1]],FALSE),"ошибка")),"ошибка")</f>
        <v>ошибка</v>
      </c>
      <c r="AE11"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Row],[ССвёртка]])))+AE$7),FIND("R",Свёртка_Перебор_2_20170602154411[[#This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Row],[ССвёртка]])))+AE$6),"ошибка")</f>
        <v>ошибка</v>
      </c>
      <c r="AF11">
        <v>0</v>
      </c>
      <c r="AG11">
        <v>1</v>
      </c>
      <c r="AH11">
        <v>0</v>
      </c>
      <c r="AI11" t="str">
        <f ca="1">IFERROR(IF(LEN((INDIRECT(Свёртка_Перебор_2_20170602154411[[#This Row],[ССВ_2_1]],FALSE)))=0,"ошибка",IFERROR(INDIRECT(Свёртка_Перебор_2_20170602154411[[#This Row],[ССВ_2_1]],FALSE),"ошибка")),"ошибка")</f>
        <v>ошибка</v>
      </c>
      <c r="AJ11"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Row],[ССвёртка]])))+AJ$7),FIND("R",Свёртка_Перебор_2_20170602154411[[#This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Row],[ССвёртка]])))+AJ$6),"ошибка")</f>
        <v>ошибка</v>
      </c>
      <c r="AK11">
        <v>0</v>
      </c>
      <c r="AL11">
        <v>2</v>
      </c>
      <c r="AM11">
        <v>0</v>
      </c>
      <c r="AN11" t="str">
        <f ca="1">IFERROR(IF(LEN((INDIRECT(Свёртка_Перебор_2_20170602154411[[#This Row],[ССВ_1_2]],FALSE)))=0,"ошибка",IFERROR(INDIRECT(Свёртка_Перебор_2_20170602154411[[#This Row],[ССВ_1_2]],FALSE),"ошибка")),"ошибка")</f>
        <v>ошибка</v>
      </c>
      <c r="AO11"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Row],[ССвёртка]])))+AO$7),FIND("R",Свёртка_Перебор_2_20170602154411[[#This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Row],[ССвёртка]])))+AO$6),"ошибка")</f>
        <v>ошибка</v>
      </c>
      <c r="AP11">
        <v>0</v>
      </c>
      <c r="AQ11">
        <v>2</v>
      </c>
      <c r="AR11">
        <v>0</v>
      </c>
      <c r="AS11" t="str">
        <f ca="1">IFERROR(IF(LEN((INDIRECT(Свёртка_Перебор_2_20170602154411[[#This Row],[ССВ_2_2]],FALSE)))=0,"ошибка",IFERROR(INDIRECT(Свёртка_Перебор_2_20170602154411[[#This Row],[ССВ_2_2]],FALSE),"ошибка")),"ошибка")</f>
        <v>ошибка</v>
      </c>
      <c r="AT11"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Row],[ССвёртка]])))+AT$7),FIND("R",Свёртка_Перебор_2_20170602154411[[#This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Row],[ССвёртка]])))+AT$6),"ошибка")</f>
        <v>ошибка</v>
      </c>
      <c r="AU11">
        <v>0</v>
      </c>
      <c r="AV11">
        <v>2</v>
      </c>
      <c r="AW11">
        <v>0</v>
      </c>
      <c r="AX11" t="str">
        <f ca="1">IFERROR(IF(LEN((INDIRECT(Свёртка_Перебор_2_20170602154411[[#This Row],[ССВ_3_1]],FALSE)))=0,"ошибка",IFERROR(INDIRECT(Свёртка_Перебор_2_20170602154411[[#This Row],[ССВ_3_1]],FALSE),"ошибка")),"ошибка")</f>
        <v>ошибка</v>
      </c>
      <c r="AY11"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Row],[ССвёртка]])))+AY$6),"ошибка")</f>
        <v>ошибка</v>
      </c>
      <c r="AZ11">
        <v>0</v>
      </c>
      <c r="BA11">
        <v>2</v>
      </c>
      <c r="BB11">
        <v>0</v>
      </c>
      <c r="BC11" t="str">
        <f ca="1">IFERROR(IF(LEN((INDIRECT(Свёртка_Перебор_2_20170602154411[[#This Row],[ССВ_1_3]],FALSE)))=0,"ошибка",IFERROR(INDIRECT(Свёртка_Перебор_2_20170602154411[[#This Row],[ССВ_1_3]],FALSE),"ошибка")),"ошибка")</f>
        <v>ошибка</v>
      </c>
      <c r="BD11"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Row],[ССвёртка]])))+BD$7),FIND("R",Свёртка_Перебор_2_20170602154411[[#This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Row],[ССвёртка]])))+BD$6),"ошибка")</f>
        <v>ошибка</v>
      </c>
      <c r="BE11">
        <v>0</v>
      </c>
      <c r="BF11">
        <v>3</v>
      </c>
      <c r="BG11">
        <v>0</v>
      </c>
      <c r="BH11" t="str">
        <f ca="1">IFERROR(IF(LEN((INDIRECT(Свёртка_Перебор_2_20170602154411[[#This Row],[ССВ_3_2]],FALSE)))=0,"ошибка",IFERROR(INDIRECT(Свёртка_Перебор_2_20170602154411[[#This Row],[ССВ_3_2]],FALSE),"ошибка")),"ошибка")</f>
        <v>ошибка</v>
      </c>
      <c r="BI11"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Row],[ССвёртка]])))+BI$7),FIND("R",Свёртка_Перебор_2_20170602154411[[#This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Row],[ССвёртка]])))+BI$6),"ошибка")</f>
        <v>ошибка</v>
      </c>
      <c r="BJ11">
        <v>0</v>
      </c>
      <c r="BK11">
        <v>3</v>
      </c>
      <c r="BL11">
        <v>0</v>
      </c>
      <c r="BM11" t="str">
        <f ca="1">IFERROR(IF(LEN((INDIRECT(Свёртка_Перебор_2_20170602154411[[#This Row],[ССВ_2_3]],FALSE)))=0,"ошибка",IFERROR(INDIRECT(Свёртка_Перебор_2_20170602154411[[#This Row],[ССВ_2_3]],FALSE),"ошибка")),"ошибка")</f>
        <v>ошибка</v>
      </c>
      <c r="BN11"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Row],[ССвёртка]])))+BN$7),FIND("R",Свёртка_Перебор_2_20170602154411[[#This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Row],[ССвёртка]])))+BN$6),"ошибка")</f>
        <v>ошибка</v>
      </c>
      <c r="BO11">
        <v>0</v>
      </c>
      <c r="BP11">
        <v>3</v>
      </c>
      <c r="BQ11">
        <v>0</v>
      </c>
      <c r="BR11" t="str">
        <f ca="1">IFERROR(IF(LEN((INDIRECT(Свёртка_Перебор_2_20170602154411[[#This Row],[ССВ_3_3]],FALSE)))=0,"ошибка",IFERROR(INDIRECT(Свёртка_Перебор_2_20170602154411[[#This Row],[ССВ_3_3]],FALSE),"ошибка")),"ошибка")</f>
        <v>ошибка</v>
      </c>
      <c r="BS11"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Row],[ССвёртка]])))+BS$7),FIND("R",Свёртка_Перебор_2_20170602154411[[#This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Row],[ССвёртка]])))+BS$6),"ошибка")</f>
        <v>ошибка</v>
      </c>
      <c r="BT11">
        <v>0</v>
      </c>
      <c r="BU11">
        <v>3</v>
      </c>
      <c r="BV11">
        <v>0</v>
      </c>
      <c r="BW11">
        <f>Свёртка_Перебор_2_20170602154411[[#This Row],[ССВ_1_1_kolvo]]+Свёртка_Перебор_2_20170602154411[[#This Row],[ССВ_2_1_kolvo]]+Свёртка_Перебор_2_20170602154411[[#This Row],[ССВ_1_2_kolvo]]+Свёртка_Перебор_2_20170602154411[[#This Row],[ССВ_2_2_kolvo]]+Свёртка_Перебор_2_20170602154411[[#This Row],[ССВ_3_1_kolvo]]+Свёртка_Перебор_2_20170602154411[[#This Row],[ССВ_1_3_kolvo]]+Свёртка_Перебор_2_20170602154411[[#This Row],[ССВ_3_2_kolvo]]+Свёртка_Перебор_2_20170602154411[[#This Row],[ССВ_2_3_kolvo]]+Свёртка_Перебор_2_20170602154411[[#This Row],[ССВ_3_3_kolvo]]</f>
        <v>0</v>
      </c>
      <c r="BX11" t="str">
        <f ca="1">IFERROR(IF(LEN((INDIRECT(Свёртка_Перебор_2_20170602154411[[#This Row],[СЛ]],FALSE)))=0,"ошибка",IFERROR(INDIRECT(Свёртка_Перебор_2_20170602154411[[#This Row],[СЛ]],FALSE),"ошибка")),"ошибка")</f>
        <v>ошибка</v>
      </c>
      <c r="BY11"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Row],[ССвёртка]])))+BY$6),"ошибка")</f>
        <v>ошибка</v>
      </c>
      <c r="BZ11" t="str">
        <f ca="1">IFERROR(_xlfn.FORMULATEXT(INDIRECT(Свёртка_Перебор_2_20170602154411[[#This Row],[СЛ]],FALSE)),"ошибка")</f>
        <v>ошибка</v>
      </c>
      <c r="CA11" t="str">
        <f ca="1">IFERROR(IF(LEN((INDIRECT(Свёртка_Перебор_2_20170602154411[[#This Row],[СП]],FALSE)))=0,"ошибка",IFERROR(INDIRECT(Свёртка_Перебор_2_20170602154411[[#This Row],[СП]],FALSE),"ошибка")),"ошибка")</f>
        <v>ошибка</v>
      </c>
      <c r="CB11"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Row],[ССвёртка]])))+CB$7),FIND("R",Свёртка_Перебор_2_20170602154411[[#This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Row],[ССвёртка]])))+CB$6),"ошибка")</f>
        <v>ошибка</v>
      </c>
      <c r="CC11" t="str">
        <f ca="1">IFERROR(_xlfn.FORMULATEXT(INDIRECT(Свёртка_Перебор_2_20170602154411[[#This Row],[СП]],FALSE)),"ошибка")</f>
        <v>ошибка</v>
      </c>
      <c r="CD11" s="66">
        <f ca="1">IF(AND(Свёртка_Перебор_2_20170602154411[[#This Row],[ВидСвёртка]]="Свёртка",CONCATENATE(LEFT(Свёртка_Перебор_2_20170602154411[[#This Row],[СВ_1_1]],1),LEFT(Свёртка_Перебор_2_20170602154411[[#This Row],[СВ_2_1]],1),LEFT(Свёртка_Перебор_2_20170602154411[[#This Row],[СВ_1_2]],1),LEFT(Свёртка_Перебор_2_20170602154411[[#This Row],[СВ_2_2]],1),LEFT(Свёртка_Перебор_2_20170602154411[[#This Row],[СВ_3_1]],1),LEFT(Свёртка_Перебор_2_20170602154411[[#This Row],[СВ_1_3]],1),LEFT(Свёртка_Перебор_2_20170602154411[[#This Row],[СВ_3_2]],1),LEFT(Свёртка_Перебор_2_20170602154411[[#This Row],[СВ_2_3]],1),LEFT(Свёртка_Перебор_2_20170602154411[[#This Row],[СВ_3_3]],1))="FFFFFFFFF",AND(Свёртка_Перебор_2_20170602154411[[#This Row],[Л]]&gt;=1,Свёртка_Перебор_2_20170602154411[[#This Row],[Л]]&lt;=4),AND(Свёртка_Перебор_2_20170602154411[[#This Row],[П]]&gt;=1,Свёртка_Перебор_2_20170602154411[[#This Row],[П]]&lt;=4)),1,-1)</f>
        <v>-1</v>
      </c>
      <c r="CE11" t="e">
        <f ca="1">_xlfn.NUMBERVALUE(MID(Свёртка_Перебор_2_20170602154411[[#This Row],[ССвёртка]],SEARCH("R",Свёртка_Перебор_2_20170602154411[[#This Row],[ССвёртка]])+1,SEARCH("C",Свёртка_Перебор_2_20170602154411[[#This Row],[ССвёртка]])-SEARCH("R",Свёртка_Перебор_2_20170602154411[[#This Row],[ССвёртка]])-1))</f>
        <v>#VALUE!</v>
      </c>
      <c r="CF11" t="e">
        <f ca="1">_xlfn.NUMBERVALUE(MID(Свёртка_Перебор_2_20170602154411[[#This Row],[ССвёртка]],SEARCH("C",Свёртка_Перебор_2_20170602154411[[#This Row],[ССвёртка]])+1,LEN(Свёртка_Перебор_2_20170602154411[[#This Row],[ССвёртка]])-SEARCH("C",Свёртка_Перебор_2_20170602154411[[#This Row],[ССвёртка]])))</f>
        <v>#VALUE!</v>
      </c>
      <c r="CG11" t="str">
        <f ca="1">IF(ISERR(SEARCH("!",Свёртка_Перебор_2_20170602154411[[#This Row],[ССвёртка]])),"",LEFT(Свёртка_Перебор_2_20170602154411[[#This Row],[ССвёртка]],SEARCH("!",Свёртка_Перебор_2_20170602154411[[#This Row],[ССвёртка]])))</f>
        <v/>
      </c>
      <c r="CH11" t="str">
        <f ca="1">Свёртка_Перебор_2_20170602154411[[#This Row],[ССвёртка]]</f>
        <v>ошибка</v>
      </c>
      <c r="CI11" t="e">
        <f ca="1">IF(SUM(IF(SUM(LOOKUP(--RIGHT(OFFSET(INDIRECT(Свёртка_Перебор_2_20170602154411[[#This Row],[ССвёртка]],FALSE),-2,1)),{0,1,2,3,4,5},{0,1,1,0,1,1.5}),LOOKUP(--RIGHT(OFFSET(INDIRECT(Свёртка_Перебор_2_20170602154411[[#This Row],[ССвёртка]],FALSE),-1,1)),{0,1,2,3,4,5},{0,1,1,0,1,1.5}),LOOKUP(--RIGHT(OFFSET(INDIRECT(Свёртка_Перебор_2_20170602154411[[#This Row],[ССвёртка]],FALSE),0,1)),{0,1,2,3,4,5},{0,1,1,0,1,1.5}))&gt;4,1,0),IF(SUM(LOOKUP(--RIGHT(OFFSET(INDIRECT(Свёртка_Перебор_2_20170602154411[[#This Row],[ССвёртка]],FALSE),-2,2)),{0,1,2,3,4,5},{0,1,1,0,1,1.5}),LOOKUP(--RIGHT(OFFSET(INDIRECT(Свёртка_Перебор_2_20170602154411[[#This Row],[ССвёртка]],FALSE),-1,2)),{0,1,2,3,4,5},{0,1,1,0,1,1.5}),LOOKUP(--RIGHT(OFFSET(INDIRECT(Свёртка_Перебор_2_20170602154411[[#This Row],[ССвёртка]],FALSE),0,2)),{0,1,2,3,4,5},{0,1,1,0,1,1.5}))&gt;4,1,0),IF(SUM(LOOKUP(--RIGHT(OFFSET(INDIRECT(Свёртка_Перебор_2_20170602154411[[#This Row],[ССвёртка]],FALSE),-2,3)),{0,1,2,3,4,5},{0,1,1,0,1,1.5}),LOOKUP(--RIGHT(OFFSET(INDIRECT(Свёртка_Перебор_2_20170602154411[[#This Row],[ССвёртка]],FALSE),-1,3)),{0,1,2,3,4,5},{0,1,1,0,1,1.5}),LOOKUP(--RIGHT(OFFSET(INDIRECT(Свёртка_Перебор_2_20170602154411[[#This Row],[ССвёртка]],FALSE),0,3)),{0,1,2,3,4,5},{0,1,1,0,1,1.5}))&gt;4,1,0),IF(SUM(LOOKUP(--RIGHT(OFFSET(INDIRECT(Свёртка_Перебор_2_20170602154411[[#This Row],[ССвёртка]],FALSE),-2,1)),{0,1,2,3,4,5},{0,1,1,1,1,2}),LOOKUP(--RIGHT(OFFSET(INDIRECT(Свёртка_Перебор_2_20170602154411[[#This Row],[ССвёртка]],FALSE),-1,2)),{0,1,2,3,4,5},{0,1,1,1,1,2}),LOOKUP(--RIGHT(OFFSET(INDIRECT(Свёртка_Перебор_2_20170602154411[[#This Row],[ССвёртка]],FALSE),0,3)),{0,1,2,3,4,5},{0,1,1,1,1,2}))&lt;&gt;3,1,0),IF(SUM(LOOKUP(--RIGHT(OFFSET(INDIRECT(Свёртка_Перебор_2_20170602154411[[#This Row],[ССвёртка]],FALSE),-2,1)),{0,1,2,3,4,5},{0,1,0,1,1,1.5}),LOOKUP(--RIGHT(OFFSET(INDIRECT(Свёртка_Перебор_2_20170602154411[[#This Row],[ССвёртка]],FALSE),-2,2)),{0,1,2,3,4,5},{0,1,0,1,1,1.5}),LOOKUP(--RIGHT(OFFSET(INDIRECT(Свёртка_Перебор_2_20170602154411[[#This Row],[ССвёртка]],FALSE),-2,3)),{0,1,2,3,4,5},{0,1,0,1,1,1.5}))&gt;4,1,0),IF(SUM(LOOKUP(--RIGHT(OFFSET(INDIRECT(Свёртка_Перебор_2_20170602154411[[#This Row],[ССвёртка]],FALSE),-1,1)),{0,1,2,3,4,5},{0,1,0,1,1,1.5}),LOOKUP(--RIGHT(OFFSET(INDIRECT(Свёртка_Перебор_2_20170602154411[[#This Row],[ССвёртка]],FALSE),-1,2)),{0,1,2,3,4,5},{0,1,0,1,1,1.5}),LOOKUP(--RIGHT(OFFSET(INDIRECT(Свёртка_Перебор_2_20170602154411[[#This Row],[ССвёртка]],FALSE),-1,3)),{0,1,2,3,4,5},{0,1,0,1,1,1.5}))&gt;4,1,0),IF(SUM(LOOKUP(--RIGHT(OFFSET(INDIRECT(Свёртка_Перебор_2_20170602154411[[#This Row],[ССвёртка]],FALSE),0,1)),{0,1,2,3,4,5},{0,1,0,1,1,1.5}),LOOKUP(--RIGHT(OFFSET(INDIRECT(Свёртка_Перебор_2_20170602154411[[#This Row],[ССвёртка]],FALSE),0,2)),{0,1,2,3,4,5},{0,1,0,1,1,1.5}),LOOKUP(--RIGHT(OFFSET(INDIRECT(Свёртка_Перебор_2_20170602154411[[#This Row],[ССвёртка]],FALSE),0,3)),{0,1,2,3,4,5},{0,1,0,1,1,1.5}))&gt;4,1,0))&lt;&gt;0,0,1)</f>
        <v>#REF!</v>
      </c>
      <c r="CJ11" t="str">
        <f t="array" aca="1" ref="CJ11" ca="1">IFERROR(IF(SUM((MMULT(CHOOSE(RIGHT(OFFSET(INDIRECT(CONCATENATE(Свёртка_Перебор_2_20170602154411[[#This Row],[Л!]],"R",Свёртка_Перебор_2_20170602154411[[#This Row],[R!]],"C",Свёртка_Перебор_2_20170602154411[[#This Row],[C!]]),FALSE),-2,1,3,3))+1,0,1,0,1,1,1.5),{1;1;1})&gt;4)+(MMULT(TRANSPOSE(CHOOSE(RIGHT(OFFSET(INDIRECT(CONCATENATE(Свёртка_Перебор_2_20170602154411[[#This Row],[Л!]],"R",Свёртка_Перебор_2_20170602154411[[#This Row],[R!]],"C",Свёртка_Перебор_2_20170602154411[[#This Row],[C!]]),FALSE),-2,1,3,3))+1,0,1,1,0,1,1.5)),{1;1;1})&gt;4)+(SUM(CHOOSE(RIGHT(CHOOSE({1;2;3},OFFSET(INDIRECT(CONCATENATE(Свёртка_Перебор_2_20170602154411[[#This Row],[Л!]],"R",Свёртка_Перебор_2_20170602154411[[#This Row],[R!]],"C",Свёртка_Перебор_2_20170602154411[[#This Row],[C!]]),FALSE),-2,1),OFFSET(INDIRECT(CONCATENATE(Свёртка_Перебор_2_20170602154411[[#This Row],[Л!]],"R",Свёртка_Перебор_2_20170602154411[[#This Row],[R!]],"C",Свёртка_Перебор_2_20170602154411[[#This Row],[C!]]),FALSE),-1,2),OFFSET(INDIRECT(CONCATENATE(Свёртка_Перебор_2_20170602154411[[#This Row],[Л!]],"R",Свёртка_Перебор_2_20170602154411[[#This Row],[R!]],"C",Свёртка_Перебор_2_20170602154411[[#This Row],[C!]]),FALSE),0,3)))+1,0,1,1,1,1,2))&lt;&gt;3)),0,1),"!")</f>
        <v>!</v>
      </c>
      <c r="CK11" t="e">
        <f ca="1">COUNTIFS(OFFSET(INDIRECT((OFFSET(INDIRECT(Свёртка_Перебор_2_20170602154411[[#This Row],[С]],FALSE),-2,1)&amp;"!R2C2"),FALSE),,,101,101),"="&amp;(Свёртка_Перебор_2_20170602154411[[#This Row],[F]]-(1+(CHOOSE(--RIGHTB(OFFSET(INDIRECT(Свёртка_Перебор_2_20170602154411[[#This Row],[С]],FALSE),,3))+1,0,1,1,1,1,2)+CHOOSE(--RIGHTB(OFFSET(INDIRECT(Свёртка_Перебор_2_20170602154411[[#This Row],[С]],FALSE),-1,2))+1,0,1,1,1,1,2)))+1))*IF(AND(Свёртка_Перебор_2_20170602154411[[#This Row],[F]]&gt;=(1+(CHOOSE(--RIGHTB(OFFSET(INDIRECT(Свёртка_Перебор_2_20170602154411[[#This Row],[С]],FALSE),,3))+1,0,1,1,1,1,2)+CHOOSE(--RIGHTB(OFFSET(INDIRECT(Свёртка_Перебор_2_20170602154411[[#This Row],[С]],FALSE),-1,2))+1,0,1,1,1,1,2))),Свёртка_Перебор_2_20170602154411[[#This Row],[F]]&lt;=(1+(CHOOSE(--RIGHTB(OFFSET(INDIRECT(Свёртка_Перебор_2_20170602154411[[#This Row],[С]],FALSE),,3))+1,0,1,1,1,1,2)+CHOOSE(--RIGHTB(OFFSET(INDIRECT(Свёртка_Перебор_2_20170602154411[[#This Row],[С]],FALSE),-1,2))+1,0,1,1,1,1,2)+CHOOSE(--RIGHTB(OFFSET(INDIRECT(Свёртка_Перебор_2_20170602154411[[#This Row],[С]],FALSE),-2,1))+1,0,1,1,1,1,2)))),1,0)+COUNTIFS(OFFSET(INDIRECT((OFFSET(INDIRECT(Свёртка_Перебор_2_20170602154411[[#This Row],[С]],FALSE),-2,2)&amp;"!R2C2"),FALSE),,,101,101),"="&amp;(Свёртка_Перебор_2_20170602154411[[#This Row],[F]]-(1+(CHOOSE(--RIGHTB(OFFSET(INDIRECT(Свёртка_Перебор_2_20170602154411[[#This Row],[С]],FALSE),,3))+1,0,1,0,1,1,1)+CHOOSE(--RIGHTB(OFFSET(INDIRECT(Свёртка_Перебор_2_20170602154411[[#This Row],[С]],FALSE),-1,3))+1,0,1,1,1,1,2)))+1))*IF(AND(Свёртка_Перебор_2_20170602154411[[#This Row],[F]]&gt;=(1+(CHOOSE(--RIGHTB(OFFSET(INDIRECT(Свёртка_Перебор_2_20170602154411[[#This Row],[С]],FALSE),,3))+1,0,0,0,1,1,1)+CHOOSE(--RIGHTB(OFFSET(INDIRECT(Свёртка_Перебор_2_20170602154411[[#This Row],[С]],FALSE),-1,3))+1,0,1,1,1,1,2))),Свёртка_Перебор_2_20170602154411[[#This Row],[F]]&lt;=(1+(CHOOSE(--RIGHTB(OFFSET(INDIRECT(Свёртка_Перебор_2_20170602154411[[#This Row],[С]],FALSE),,3))+1,0,0,0,1,1,1)+CHOOSE(--RIGHTB(OFFSET(INDIRECT(Свёртка_Перебор_2_20170602154411[[#This Row],[С]],FALSE),-1,3))+1,0,1,1,1,1,2)+CHOOSE(--RIGHTB(OFFSET(INDIRECT(Свёртка_Перебор_2_20170602154411[[#This Row],[С]],FALSE),-2,2))+1,0,1,1,1,1,2)))),1,0)+COUNTIFS(OFFSET(INDIRECT((OFFSET(INDIRECT(Свёртка_Перебор_2_20170602154411[[#This Row],[С]],FALSE),-2,3)&amp;"!R2C2"),FALSE),,,101,101),"="&amp;(Свёртка_Перебор_2_20170602154411[[#This Row],[F]]-(1+(CHOOSE(--RIGHTB(OFFSET(INDIRECT(Свёртка_Перебор_2_20170602154411[[#This Row],[С]],FALSE),,3))+1,0,0,0,1,1,1)+CHOOSE(--RIGHTB(OFFSET(INDIRECT(Свёртка_Перебор_2_20170602154411[[#This Row],[С]],FALSE),-1,3))+1,0,0,0,1,1,1)))+1))*IF(AND(Свёртка_Перебор_2_20170602154411[[#This Row],[F]]&gt;=(1+(CHOOSE(--RIGHTB(OFFSET(INDIRECT(Свёртка_Перебор_2_20170602154411[[#This Row],[С]],FALSE),,3))+1,0,0,0,1,1,1)+CHOOSE(--RIGHTB(OFFSET(INDIRECT(Свёртка_Перебор_2_20170602154411[[#This Row],[С]],FALSE),-1,3))+1,0,0,0,1,1,1))),Свёртка_Перебор_2_20170602154411[[#This Row],[F]]&lt;=(1+(CHOOSE(--RIGHTB(OFFSET(INDIRECT(Свёртка_Перебор_2_20170602154411[[#This Row],[С]],FALSE),,3))+1,0,0,0,1,1,1)+CHOOSE(--RIGHTB(OFFSET(INDIRECT(Свёртка_Перебор_2_20170602154411[[#This Row],[С]],FALSE),-1,3))+1,0,0,0,1,1,1)+CHOOSE(--RIGHTB(OFFSET(INDIRECT(Свёртка_Перебор_2_20170602154411[[#This Row],[С]],FALSE),-2,3))+1,0,1,1,1,1,2)))),1,0)+COUNTIFS(OFFSET(INDIRECT((OFFSET(INDIRECT(Свёртка_Перебор_2_20170602154411[[#This Row],[С]],FALSE),-1,1)&amp;"!R2C2"),FALSE),,,101,101),"="&amp;(Свёртка_Перебор_2_20170602154411[[#This Row],[F]]-(1+(CHOOSE(--RIGHTB(OFFSET(INDIRECT(Свёртка_Перебор_2_20170602154411[[#This Row],[С]],FALSE),,3))+1,0,0,1,0,1,1)+CHOOSE(--RIGHTB(OFFSET(INDIRECT(Свёртка_Перебор_2_20170602154411[[#This Row],[С]],FALSE),0,2))+1,0,1,1,1,1,2)))+1))*IF(AND(Свёртка_Перебор_2_20170602154411[[#This Row],[F]]&gt;=(1+(CHOOSE(--RIGHTB(OFFSET(INDIRECT(Свёртка_Перебор_2_20170602154411[[#This Row],[С]],FALSE),,3))+1,0,0,1,0,1,1)+CHOOSE(--RIGHTB(OFFSET(INDIRECT(Свёртка_Перебор_2_20170602154411[[#This Row],[С]],FALSE),,2))+1,0,1,1,1,1,2))),Свёртка_Перебор_2_20170602154411[[#This Row],[F]]&lt;=(1+(CHOOSE(--RIGHTB(OFFSET(INDIRECT(Свёртка_Перебор_2_20170602154411[[#This Row],[С]],FALSE),,3))+1,0,0,1,0,1,1)+CHOOSE(--RIGHTB(OFFSET(INDIRECT(Свёртка_Перебор_2_20170602154411[[#This Row],[С]],FALSE),,2))+1,0,1,1,1,1,2)+CHOOSE(--RIGHTB(OFFSET(INDIRECT(Свёртка_Перебор_2_20170602154411[[#This Row],[С]],FALSE),-1,1))+1,0,1,1,1,1,2)))),1,0)+COUNTIFS(OFFSET(INDIRECT((OFFSET(INDIRECT(Свёртка_Перебор_2_20170602154411[[#This Row],[С]],FALSE),-1,2)&amp;"!R2C2"),FALSE),,,101,101),"="&amp;(Свёртка_Перебор_2_20170602154411[[#This Row],[F]]-(1+(CHOOSE(--RIGHTB(OFFSET(INDIRECT(Свёртка_Перебор_2_20170602154411[[#This Row],[С]],FALSE),,3))+1,0,1,1,1,1,2)))+1))*IF(AND(Свёртка_Перебор_2_20170602154411[[#This Row],[F]]&gt;=(1+(CHOOSE(--RIGHTB(OFFSET(INDIRECT(Свёртка_Перебор_2_20170602154411[[#This Row],[С]],FALSE),,3))+1,0,1,1,1,1,2))),Свёртка_Перебор_2_20170602154411[[#This Row],[F]]&lt;=(1+(CHOOSE(--RIGHTB(OFFSET(INDIRECT(Свёртка_Перебор_2_20170602154411[[#This Row],[С]],FALSE),,3))+1,0,1,1,1,1,2)+CHOOSE(--RIGHTB(OFFSET(INDIRECT(Свёртка_Перебор_2_20170602154411[[#This Row],[С]],FALSE),-1,2))+1,0,1,1,1,1,2)))),1,0)+COUNTIFS(OFFSET(INDIRECT((OFFSET(INDIRECT(Свёртка_Перебор_2_20170602154411[[#This Row],[С]],FALSE),-1,3)&amp;"!R2C2"),FALSE),,,101,101),"="&amp;(Свёртка_Перебор_2_20170602154411[[#This Row],[F]]-(1+(CHOOSE(--RIGHTB(OFFSET(INDIRECT(Свёртка_Перебор_2_20170602154411[[#This Row],[С]],FALSE),,3))+1,0,0,0,1,1,1)))+1))*IF(AND(Свёртка_Перебор_2_20170602154411[[#This Row],[F]]&gt;=(1+(CHOOSE(--RIGHTB(OFFSET(INDIRECT(Свёртка_Перебор_2_20170602154411[[#This Row],[С]],FALSE),,3))+1,0,0,0,1,1,1))),Свёртка_Перебор_2_20170602154411[[#This Row],[F]]&lt;=(1+(CHOOSE(--RIGHTB(OFFSET(INDIRECT(Свёртка_Перебор_2_20170602154411[[#This Row],[С]],FALSE),,3))+1,0,0,0,1,1,1)+CHOOSE(--RIGHTB(OFFSET(INDIRECT(Свёртка_Перебор_2_20170602154411[[#This Row],[С]],FALSE),-1,3))+1,0,1,1,1,1,2)))),1,0)+COUNTIFS(OFFSET(INDIRECT((OFFSET(INDIRECT(Свёртка_Перебор_2_20170602154411[[#This Row],[С]],FALSE),,1)&amp;"!R2C2"),FALSE),,,101,101),"="&amp;(Свёртка_Перебор_2_20170602154411[[#This Row],[F]]-(1+(CHOOSE(--RIGHTB(OFFSET(INDIRECT(Свёртка_Перебор_2_20170602154411[[#This Row],[С]],FALSE),,3))+1,0,0,1,0,1,1)+CHOOSE(--RIGHTB(OFFSET(INDIRECT(Свёртка_Перебор_2_20170602154411[[#This Row],[С]],FALSE),,2))+1,0,0,1,0,1,1)))+1))*IF(AND(Свёртка_Перебор_2_20170602154411[[#This Row],[F]]&gt;=(1+(CHOOSE(--RIGHTB(OFFSET(INDIRECT(Свёртка_Перебор_2_20170602154411[[#This Row],[С]],FALSE),,3))+1,0,0,1,0,1,1)+CHOOSE(--RIGHTB(OFFSET(INDIRECT(Свёртка_Перебор_2_20170602154411[[#This Row],[С]],FALSE),,2))+1,0,0,1,0,1,1))),Свёртка_Перебор_2_20170602154411[[#This Row],[F]]&lt;=(1+(CHOOSE(--RIGHTB(OFFSET(INDIRECT(Свёртка_Перебор_2_20170602154411[[#This Row],[С]],FALSE),,3))+1,0,0,1,0,1,1)+CHOOSE(--RIGHTB(OFFSET(INDIRECT(Свёртка_Перебор_2_20170602154411[[#This Row],[С]],FALSE),,2))+1,0,0,1,0,1,1)+CHOOSE(--RIGHTB(OFFSET(INDIRECT(Свёртка_Перебор_2_20170602154411[[#This Row],[С]],FALSE),,1))+1,0,1,1,1,1,2)))),1,0)+COUNTIFS(OFFSET(INDIRECT((OFFSET(INDIRECT(Свёртка_Перебор_2_20170602154411[[#This Row],[С]],FALSE),,2)&amp;"!R2C2"),FALSE),,,101,101),"="&amp;(Свёртка_Перебор_2_20170602154411[[#This Row],[F]]-(1+(CHOOSE(--RIGHTB(OFFSET(INDIRECT(Свёртка_Перебор_2_20170602154411[[#This Row],[С]],FALSE),,3))+1,0,0,1,0,1,1)))+1))*IF(AND(Свёртка_Перебор_2_20170602154411[[#This Row],[F]]&gt;=(1+(CHOOSE(--RIGHTB(OFFSET(INDIRECT(Свёртка_Перебор_2_20170602154411[[#This Row],[С]],FALSE),0,3))+1,0,0,1,0,1,1))),Свёртка_Перебор_2_20170602154411[[#This Row],[F]]&lt;=(1+(CHOOSE(--RIGHTB(OFFSET(INDIRECT(Свёртка_Перебор_2_20170602154411[[#This Row],[С]],FALSE),,3))+1,0,1,0,0,1,1)+CHOOSE(--RIGHTB(OFFSET(INDIRECT(Свёртка_Перебор_2_20170602154411[[#This Row],[С]],FALSE),,2))+1,0,1,1,1,1,2)))),1,0)+COUNTIFS(OFFSET(INDIRECT((OFFSET(INDIRECT(Свёртка_Перебор_2_20170602154411[[#This Row],[С]],FALSE),,3)&amp;"!R2C2"),FALSE),,,101,101),"="&amp;(Свёртка_Перебор_2_20170602154411[[#This Row],[F]]-1+1))*IF(AND(Свёртка_Перебор_2_20170602154411[[#This Row],[F]]&gt;=1,Свёртка_Перебор_2_20170602154411[[#This Row],[F]]&lt;=1+(CHOOSE(--RIGHTB(OFFSET(INDIRECT(Свёртка_Перебор_2_20170602154411[[#This Row],[С]],FALSE),,3))+1,0,1,1,1,1,2))),1,0)</f>
        <v>#REF!</v>
      </c>
    </row>
    <row r="12" spans="2:89" x14ac:dyDescent="0.25">
      <c r="B12" t="e">
        <f ca="1">IF(AND(Критерий_Перебор_2_20170602154411[[#This Row],[Критерий]]&lt;&gt;"",Критерий_Перебор_2_20170602154411[[#This Row],[O.K.Критерий]]=1),ROW()-ROW(Критерий_Перебор_2_20170602154411[[#Headers],[№]]),"")</f>
        <v>#REF!</v>
      </c>
      <c r="C12" s="37" t="e">
        <f>Модель!#REF!</f>
        <v>#REF!</v>
      </c>
      <c r="D12" t="str">
        <f ca="1">IFERROR(IF(AND(Критерий_Перебор_2_20170602154411[[#This Row],[Критерий]]&gt;=1,Критерий_Перебор_2_20170602154411[[#This Row],[Критерий]]&lt;=4),IF(IFERROR(FIND("!",_xlfn.FORMULATEXT(Критерий_Перебор_2_20170602154411[[#This Row],[Критерий]])),"на странице")="на странице",CONCATENATE("R",ROW((INDIRECT(RIGHT(_xlfn.FORMULATEXT(Критерий_Перебор_2_20170602154411[[#This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Row],[Критерий]]))-1),FALSE)))-D$8),CONCATENATE(RIGHT(LEFT(_xlfn.FORMULATEXT(Критерий_Перебор_2_20170602154411[[#This Row],[Критерий]]),FIND("!",_xlfn.FORMULATEXT(Критерий_Перебор_2_20170602154411[[#This Row],[Критерий]]))),LEN(LEFT(_xlfn.FORMULATEXT(Критерий_Перебор_2_20170602154411[[#This Row],[Критерий]]),FIND("!",_xlfn.FORMULATEXT(Критерий_Перебор_2_20170602154411[[#This Row],[Критерий]]))))-1),"R",ROW((INDIRECT(RIGHT(_xlfn.FORMULATEXT(Критерий_Перебор_2_20170602154411[[#This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Row],[Критерий]]))-1),FALSE)))-D$8)),"ошибка"),"ошибка")</f>
        <v>ошибка</v>
      </c>
      <c r="E12" t="str">
        <f ca="1">IFERROR(IF(LEFT(Критерий_Перебор_2_20170602154411[[#This Row],[Фкритерий]],5)="=Прив","Критерий",IF(LEFT(Критерий_Перебор_2_20170602154411[[#This Row],[Фкритерий]],5)="=Матр","ошибка","ошибка")),"ошибка")</f>
        <v>ошибка</v>
      </c>
      <c r="F12" t="str">
        <f ca="1">IFERROR(IF(LEN((INDIRECT(Критерий_Перебор_2_20170602154411[[#This Row],[СНаименование]],FALSE)))=0,"ошибка",IFERROR(INDIRECT(Критерий_Перебор_2_20170602154411[[#This Row],[СНаименование]],FALSE),"ошибка")),"ошибка")</f>
        <v>ошибка</v>
      </c>
      <c r="G12"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Row],[Скритерий]])))+G$7),FIND("R",Критерий_Перебор_2_20170602154411[[#This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Row],[Скритерий]])))+G$6),"ошибка")</f>
        <v>ошибка</v>
      </c>
      <c r="H12" t="str">
        <f ca="1">IFERROR(IF(N(INDIRECT(Критерий_Перебор_2_20170602154411[[#This Row],[СФизКритерий]],FALSE))=0,"ошибка",IFERROR(INDIRECT(Критерий_Перебор_2_20170602154411[[#This Row],[СФизКритерий]],FALSE),"ошибка")),"ошибка")</f>
        <v>ошибка</v>
      </c>
      <c r="I12"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Row],[Скритерий]])))+I$7),FIND("R",Критерий_Перебор_2_20170602154411[[#This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Row],[Скритерий]])))+I$6),"ошибка")</f>
        <v>ошибка</v>
      </c>
      <c r="J12" t="str">
        <f ca="1">IFERROR(IF(OR(INDIRECT(Критерий_Перебор_2_20170602154411[[#This Row],[СТипКритерий]],FALSE)=Перебор!$N$58,INDIRECT(Критерий_Перебор_2_20170602154411[[#This Row],[СТипКритерий]],FALSE)=Перебор!$N$59,INDIRECT(Критерий_Перебор_2_20170602154411[[#This Row],[СТипКритерий]],FALSE)=Перебор!$N$60,INDIRECT(Критерий_Перебор_2_20170602154411[[#This Row],[СТипКритерий]],FALSE)=Перебор!$N$61),INDIRECT(Критерий_Перебор_2_20170602154411[[#This Row],[СТипКритерий]],FALSE),"ошибка"),"ошибка")</f>
        <v>ошибка</v>
      </c>
      <c r="K12"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Row],[Скритерий]])))+K$7),FIND("R",Критерий_Перебор_2_20170602154411[[#This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Row],[Скритерий]])))+K$6),"ошибка")</f>
        <v>ошибка</v>
      </c>
      <c r="L12" t="str">
        <f ca="1">IFERROR(_xlfn.FORMULATEXT(INDIRECT(Критерий_Перебор_2_20170602154411[[#This Row],[Скритерий]],FALSE)),"ошибка")</f>
        <v>ошибка</v>
      </c>
      <c r="M12" t="str">
        <f ca="1">IFERROR(IF(N(INDIRECT(Критерий_Перебор_2_20170602154411[[#This Row],[СМинФизКритерий]],FALSE))=0,"ошибка",IFERROR(INDIRECT(Критерий_Перебор_2_20170602154411[[#This Row],[СМинФизКритерий]],FALSE),"ошибка")),"ошибка")</f>
        <v>ошибка</v>
      </c>
      <c r="N12"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Row],[Скритерий]])))+N$7),FIND("R",Критерий_Перебор_2_20170602154411[[#This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Row],[Скритерий]])))+N$6),"ошибка")</f>
        <v>ошибка</v>
      </c>
      <c r="O12" t="str">
        <f ca="1">IFERROR(IF(N(INDIRECT(Критерий_Перебор_2_20170602154411[[#This Row],[СМаксФизКритерий]],FALSE))=0,"ошибка",IFERROR(INDIRECT(Критерий_Перебор_2_20170602154411[[#This Row],[СМаксФизКритерий]],FALSE),"ошибка")),"ошибка")</f>
        <v>ошибка</v>
      </c>
      <c r="P12"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Row],[Скритерий]])))+P$7),FIND("R",Критерий_Перебор_2_20170602154411[[#This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Row],[Скритерий]])))+P$6),"ошибка")</f>
        <v>ошибка</v>
      </c>
      <c r="Q12" t="str">
        <f ca="1">IFERROR(IF(N(INDIRECT(Критерий_Перебор_2_20170602154411[[#This Row],[ССрФизКритерий]],FALSE))=0,"ошибка",IFERROR(INDIRECT(Критерий_Перебор_2_20170602154411[[#This Row],[ССрФизКритерий]],FALSE),"ошибка")),"")</f>
        <v/>
      </c>
      <c r="R12" t="str">
        <f ca="1">IF(OR(Критерий_Перебор_2_20170602154411[[#This Row],[ТипКритерий]]=Перебор!$N$60,Критерий_Перебор_2_20170602154411[[#This Row],[ТипКритерий]]=Перебор!$N$61),IFERROR(REPLACE(REPLACE(Критерий_Перебор_2_20170602154411[[#This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Row],[Скритерий]])))+R$7),FIND("R",Критерий_Перебор_2_20170602154411[[#This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Row],[Скритерий]])))+R$6),"ошибка"),"")</f>
        <v/>
      </c>
      <c r="S12" s="66">
        <f ca="1">IFERROR(IF(AND(Критерий_Перебор_2_20170602154411[[#This Row],[ВидКритерий]]="Критерий",Критерий_Перебор_2_20170602154411[[#This Row],[Фкритерий]]="=Приведение"),1,-1),-1)</f>
        <v>-1</v>
      </c>
      <c r="V12" t="e">
        <f ca="1">IF(AND(Свёртка_Перебор_2_20170602154411[[#This Row],[Свёртка]]&lt;&gt;"",Свёртка_Перебор_2_20170602154411[[#This Row],[O.K.Свёртка]]=1),ROW()-ROW(Свёртка_Перебор_2_20170602154411[[#Headers],[№]]),"")</f>
        <v>#REF!</v>
      </c>
      <c r="W12" s="146" t="e">
        <f>Модель!#REF!</f>
        <v>#REF!</v>
      </c>
      <c r="X12" t="str">
        <f ca="1">IFERROR(IF(AND(Свёртка_Перебор_2_20170602154411[[#This Row],[Свёртка]]&gt;=1,Свёртка_Перебор_2_20170602154411[[#This Row],[Свёртка]]&lt;=4),IF(IFERROR(FIND("!",_xlfn.FORMULATEXT(Свёртка_Перебор_2_20170602154411[[#This Row],[Свёртка]])),"на странице")="на странице",CONCATENATE("R",ROW((INDIRECT(RIGHT(_xlfn.FORMULATEXT(Свёртка_Перебор_2_20170602154411[[#This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Row],[Свёртка]]))-1),FALSE)))-X$6),CONCATENATE(RIGHT(LEFT(_xlfn.FORMULATEXT(Свёртка_Перебор_2_20170602154411[[#This Row],[Свёртка]]),FIND("!",_xlfn.FORMULATEXT(Свёртка_Перебор_2_20170602154411[[#This Row],[Свёртка]]))),LEN(LEFT(_xlfn.FORMULATEXT(Свёртка_Перебор_2_20170602154411[[#This Row],[Свёртка]]),FIND("!",_xlfn.FORMULATEXT(Свёртка_Перебор_2_20170602154411[[#This Row],[Свёртка]]))))-1),"R",ROW((INDIRECT(RIGHT(_xlfn.FORMULATEXT(Свёртка_Перебор_2_20170602154411[[#This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Row],[Свёртка]]))-1),FALSE)))-X$6)),"ошибка"),"ошибка")</f>
        <v>ошибка</v>
      </c>
      <c r="Y12" t="str">
        <f ca="1">IFERROR(_xlfn.FORMULATEXT(INDIRECT(Свёртка_Перебор_2_20170602154411[[#This Row],[ССвёртка]],FALSE)),"ошибка")</f>
        <v>ошибка</v>
      </c>
      <c r="Z12" t="str">
        <f ca="1">IFERROR(IF(LEFT(Свёртка_Перебор_2_20170602154411[[#This Row],[ФСвёртка]],5)="=Прив","ошибка",IF(LEFT(Свёртка_Перебор_2_20170602154411[[#This Row],[ФСвёртка]],5)="=Матр","Свёртка","ошибка")),"ошибка")</f>
        <v>ошибка</v>
      </c>
      <c r="AA12" t="str">
        <f ca="1">IFERROR(IF(LEN((INDIRECT(Свёртка_Перебор_2_20170602154411[[#This Row],[СНаименование]],FALSE)))=0,"ошибка",IFERROR(INDIRECT(Свёртка_Перебор_2_20170602154411[[#This Row],[СНаименование]],FALSE),"ошибка")),"ошибка")</f>
        <v>ошибка</v>
      </c>
      <c r="AB12"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Row],[ССвёртка]])))+AB$6),"ошибка")</f>
        <v>ошибка</v>
      </c>
      <c r="AC12">
        <v>3.18</v>
      </c>
      <c r="AD12" t="str">
        <f ca="1">IFERROR(IF(LEN((INDIRECT(Свёртка_Перебор_2_20170602154411[[#This Row],[ССВ_1_1]],FALSE)))=0,"ошибка",IFERROR(INDIRECT(Свёртка_Перебор_2_20170602154411[[#This Row],[ССВ_1_1]],FALSE),"ошибка")),"ошибка")</f>
        <v>ошибка</v>
      </c>
      <c r="AE12"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Row],[ССвёртка]])))+AE$7),FIND("R",Свёртка_Перебор_2_20170602154411[[#This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Row],[ССвёртка]])))+AE$6),"ошибка")</f>
        <v>ошибка</v>
      </c>
      <c r="AF12">
        <v>0</v>
      </c>
      <c r="AG12">
        <v>1</v>
      </c>
      <c r="AH12">
        <v>0</v>
      </c>
      <c r="AI12" t="str">
        <f ca="1">IFERROR(IF(LEN((INDIRECT(Свёртка_Перебор_2_20170602154411[[#This Row],[ССВ_2_1]],FALSE)))=0,"ошибка",IFERROR(INDIRECT(Свёртка_Перебор_2_20170602154411[[#This Row],[ССВ_2_1]],FALSE),"ошибка")),"ошибка")</f>
        <v>ошибка</v>
      </c>
      <c r="AJ12"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Row],[ССвёртка]])))+AJ$7),FIND("R",Свёртка_Перебор_2_20170602154411[[#This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Row],[ССвёртка]])))+AJ$6),"ошибка")</f>
        <v>ошибка</v>
      </c>
      <c r="AK12">
        <v>0</v>
      </c>
      <c r="AL12">
        <v>2</v>
      </c>
      <c r="AM12">
        <v>0</v>
      </c>
      <c r="AN12" t="str">
        <f ca="1">IFERROR(IF(LEN((INDIRECT(Свёртка_Перебор_2_20170602154411[[#This Row],[ССВ_1_2]],FALSE)))=0,"ошибка",IFERROR(INDIRECT(Свёртка_Перебор_2_20170602154411[[#This Row],[ССВ_1_2]],FALSE),"ошибка")),"ошибка")</f>
        <v>ошибка</v>
      </c>
      <c r="AO12"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Row],[ССвёртка]])))+AO$7),FIND("R",Свёртка_Перебор_2_20170602154411[[#This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Row],[ССвёртка]])))+AO$6),"ошибка")</f>
        <v>ошибка</v>
      </c>
      <c r="AP12">
        <v>0</v>
      </c>
      <c r="AQ12">
        <v>1</v>
      </c>
      <c r="AR12">
        <v>0</v>
      </c>
      <c r="AS12" t="str">
        <f ca="1">IFERROR(IF(LEN((INDIRECT(Свёртка_Перебор_2_20170602154411[[#This Row],[ССВ_2_2]],FALSE)))=0,"ошибка",IFERROR(INDIRECT(Свёртка_Перебор_2_20170602154411[[#This Row],[ССВ_2_2]],FALSE),"ошибка")),"ошибка")</f>
        <v>ошибка</v>
      </c>
      <c r="AT12"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Row],[ССвёртка]])))+AT$7),FIND("R",Свёртка_Перебор_2_20170602154411[[#This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Row],[ССвёртка]])))+AT$6),"ошибка")</f>
        <v>ошибка</v>
      </c>
      <c r="AU12">
        <v>0</v>
      </c>
      <c r="AV12">
        <v>2</v>
      </c>
      <c r="AW12">
        <v>0</v>
      </c>
      <c r="AX12" t="str">
        <f ca="1">IFERROR(IF(LEN((INDIRECT(Свёртка_Перебор_2_20170602154411[[#This Row],[ССВ_3_1]],FALSE)))=0,"ошибка",IFERROR(INDIRECT(Свёртка_Перебор_2_20170602154411[[#This Row],[ССВ_3_1]],FALSE),"ошибка")),"ошибка")</f>
        <v>ошибка</v>
      </c>
      <c r="AY12"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Row],[ССвёртка]])))+AY$6),"ошибка")</f>
        <v>ошибка</v>
      </c>
      <c r="AZ12">
        <v>1</v>
      </c>
      <c r="BA12">
        <v>3</v>
      </c>
      <c r="BB12">
        <v>101</v>
      </c>
      <c r="BC12" t="str">
        <f ca="1">IFERROR(IF(LEN((INDIRECT(Свёртка_Перебор_2_20170602154411[[#This Row],[ССВ_1_3]],FALSE)))=0,"ошибка",IFERROR(INDIRECT(Свёртка_Перебор_2_20170602154411[[#This Row],[ССВ_1_3]],FALSE),"ошибка")),"ошибка")</f>
        <v>ошибка</v>
      </c>
      <c r="BD12"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Row],[ССвёртка]])))+BD$7),FIND("R",Свёртка_Перебор_2_20170602154411[[#This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Row],[ССвёртка]])))+BD$6),"ошибка")</f>
        <v>ошибка</v>
      </c>
      <c r="BE12">
        <v>0</v>
      </c>
      <c r="BF12">
        <v>2</v>
      </c>
      <c r="BG12">
        <v>0</v>
      </c>
      <c r="BH12" t="str">
        <f ca="1">IFERROR(IF(LEN((INDIRECT(Свёртка_Перебор_2_20170602154411[[#This Row],[ССВ_3_2]],FALSE)))=0,"ошибка",IFERROR(INDIRECT(Свёртка_Перебор_2_20170602154411[[#This Row],[ССВ_3_2]],FALSE),"ошибка")),"ошибка")</f>
        <v>ошибка</v>
      </c>
      <c r="BI12"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Row],[ССвёртка]])))+BI$7),FIND("R",Свёртка_Перебор_2_20170602154411[[#This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Row],[ССвёртка]])))+BI$6),"ошибка")</f>
        <v>ошибка</v>
      </c>
      <c r="BJ12">
        <v>1</v>
      </c>
      <c r="BK12">
        <v>3</v>
      </c>
      <c r="BL12">
        <v>101</v>
      </c>
      <c r="BM12" t="str">
        <f ca="1">IFERROR(IF(LEN((INDIRECT(Свёртка_Перебор_2_20170602154411[[#This Row],[ССВ_2_3]],FALSE)))=0,"ошибка",IFERROR(INDIRECT(Свёртка_Перебор_2_20170602154411[[#This Row],[ССВ_2_3]],FALSE),"ошибка")),"ошибка")</f>
        <v>ошибка</v>
      </c>
      <c r="BN12"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Row],[ССвёртка]])))+BN$7),FIND("R",Свёртка_Перебор_2_20170602154411[[#This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Row],[ССвёртка]])))+BN$6),"ошибка")</f>
        <v>ошибка</v>
      </c>
      <c r="BO12">
        <v>1</v>
      </c>
      <c r="BP12">
        <v>3</v>
      </c>
      <c r="BQ12">
        <v>61</v>
      </c>
      <c r="BR12" t="str">
        <f ca="1">IFERROR(IF(LEN((INDIRECT(Свёртка_Перебор_2_20170602154411[[#This Row],[ССВ_3_3]],FALSE)))=0,"ошибка",IFERROR(INDIRECT(Свёртка_Перебор_2_20170602154411[[#This Row],[ССВ_3_3]],FALSE),"ошибка")),"ошибка")</f>
        <v>ошибка</v>
      </c>
      <c r="BS12"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Row],[ССвёртка]])))+BS$7),FIND("R",Свёртка_Перебор_2_20170602154411[[#This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Row],[ССвёртка]])))+BS$6),"ошибка")</f>
        <v>ошибка</v>
      </c>
      <c r="BT12">
        <v>1</v>
      </c>
      <c r="BU12">
        <v>4</v>
      </c>
      <c r="BV12">
        <v>61</v>
      </c>
      <c r="BW12">
        <f>Свёртка_Перебор_2_20170602154411[[#This Row],[ССВ_1_1_kolvo]]+Свёртка_Перебор_2_20170602154411[[#This Row],[ССВ_2_1_kolvo]]+Свёртка_Перебор_2_20170602154411[[#This Row],[ССВ_1_2_kolvo]]+Свёртка_Перебор_2_20170602154411[[#This Row],[ССВ_2_2_kolvo]]+Свёртка_Перебор_2_20170602154411[[#This Row],[ССВ_3_1_kolvo]]+Свёртка_Перебор_2_20170602154411[[#This Row],[ССВ_1_3_kolvo]]+Свёртка_Перебор_2_20170602154411[[#This Row],[ССВ_3_2_kolvo]]+Свёртка_Перебор_2_20170602154411[[#This Row],[ССВ_2_3_kolvo]]+Свёртка_Перебор_2_20170602154411[[#This Row],[ССВ_3_3_kolvo]]</f>
        <v>324</v>
      </c>
      <c r="BX12" t="str">
        <f ca="1">IFERROR(IF(LEN((INDIRECT(Свёртка_Перебор_2_20170602154411[[#This Row],[СЛ]],FALSE)))=0,"ошибка",IFERROR(INDIRECT(Свёртка_Перебор_2_20170602154411[[#This Row],[СЛ]],FALSE),"ошибка")),"ошибка")</f>
        <v>ошибка</v>
      </c>
      <c r="BY12"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Row],[ССвёртка]])))+BY$6),"ошибка")</f>
        <v>ошибка</v>
      </c>
      <c r="BZ12" t="str">
        <f ca="1">IFERROR(_xlfn.FORMULATEXT(INDIRECT(Свёртка_Перебор_2_20170602154411[[#This Row],[СЛ]],FALSE)),"ошибка")</f>
        <v>ошибка</v>
      </c>
      <c r="CA12" t="str">
        <f ca="1">IFERROR(IF(LEN((INDIRECT(Свёртка_Перебор_2_20170602154411[[#This Row],[СП]],FALSE)))=0,"ошибка",IFERROR(INDIRECT(Свёртка_Перебор_2_20170602154411[[#This Row],[СП]],FALSE),"ошибка")),"ошибка")</f>
        <v>ошибка</v>
      </c>
      <c r="CB12"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Row],[ССвёртка]])))+CB$7),FIND("R",Свёртка_Перебор_2_20170602154411[[#This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Row],[ССвёртка]])))+CB$6),"ошибка")</f>
        <v>ошибка</v>
      </c>
      <c r="CC12" t="str">
        <f ca="1">IFERROR(_xlfn.FORMULATEXT(INDIRECT(Свёртка_Перебор_2_20170602154411[[#This Row],[СП]],FALSE)),"ошибка")</f>
        <v>ошибка</v>
      </c>
      <c r="CD12" s="66">
        <f ca="1">IF(AND(Свёртка_Перебор_2_20170602154411[[#This Row],[ВидСвёртка]]="Свёртка",CONCATENATE(LEFT(Свёртка_Перебор_2_20170602154411[[#This Row],[СВ_1_1]],1),LEFT(Свёртка_Перебор_2_20170602154411[[#This Row],[СВ_2_1]],1),LEFT(Свёртка_Перебор_2_20170602154411[[#This Row],[СВ_1_2]],1),LEFT(Свёртка_Перебор_2_20170602154411[[#This Row],[СВ_2_2]],1),LEFT(Свёртка_Перебор_2_20170602154411[[#This Row],[СВ_3_1]],1),LEFT(Свёртка_Перебор_2_20170602154411[[#This Row],[СВ_1_3]],1),LEFT(Свёртка_Перебор_2_20170602154411[[#This Row],[СВ_3_2]],1),LEFT(Свёртка_Перебор_2_20170602154411[[#This Row],[СВ_2_3]],1),LEFT(Свёртка_Перебор_2_20170602154411[[#This Row],[СВ_3_3]],1))="FFFFFFFFF",AND(Свёртка_Перебор_2_20170602154411[[#This Row],[Л]]&gt;=1,Свёртка_Перебор_2_20170602154411[[#This Row],[Л]]&lt;=4),AND(Свёртка_Перебор_2_20170602154411[[#This Row],[П]]&gt;=1,Свёртка_Перебор_2_20170602154411[[#This Row],[П]]&lt;=4)),1,-1)</f>
        <v>-1</v>
      </c>
      <c r="CE12" t="e">
        <f ca="1">_xlfn.NUMBERVALUE(MID(Свёртка_Перебор_2_20170602154411[[#This Row],[ССвёртка]],SEARCH("R",Свёртка_Перебор_2_20170602154411[[#This Row],[ССвёртка]])+1,SEARCH("C",Свёртка_Перебор_2_20170602154411[[#This Row],[ССвёртка]])-SEARCH("R",Свёртка_Перебор_2_20170602154411[[#This Row],[ССвёртка]])-1))</f>
        <v>#VALUE!</v>
      </c>
      <c r="CF12" t="e">
        <f ca="1">_xlfn.NUMBERVALUE(MID(Свёртка_Перебор_2_20170602154411[[#This Row],[ССвёртка]],SEARCH("C",Свёртка_Перебор_2_20170602154411[[#This Row],[ССвёртка]])+1,LEN(Свёртка_Перебор_2_20170602154411[[#This Row],[ССвёртка]])-SEARCH("C",Свёртка_Перебор_2_20170602154411[[#This Row],[ССвёртка]])))</f>
        <v>#VALUE!</v>
      </c>
      <c r="CG12" t="str">
        <f ca="1">IF(ISERR(SEARCH("!",Свёртка_Перебор_2_20170602154411[[#This Row],[ССвёртка]])),"",LEFT(Свёртка_Перебор_2_20170602154411[[#This Row],[ССвёртка]],SEARCH("!",Свёртка_Перебор_2_20170602154411[[#This Row],[ССвёртка]])))</f>
        <v/>
      </c>
      <c r="CH12" t="str">
        <f ca="1">Свёртка_Перебор_2_20170602154411[[#This Row],[ССвёртка]]</f>
        <v>ошибка</v>
      </c>
      <c r="CI12" t="e">
        <f ca="1">IF(SUM(IF(SUM(LOOKUP(--RIGHT(OFFSET(INDIRECT(Свёртка_Перебор_2_20170602154411[[#This Row],[ССвёртка]],FALSE),-2,1)),{0,1,2,3,4,5},{0,1,1,0,1,1.5}),LOOKUP(--RIGHT(OFFSET(INDIRECT(Свёртка_Перебор_2_20170602154411[[#This Row],[ССвёртка]],FALSE),-1,1)),{0,1,2,3,4,5},{0,1,1,0,1,1.5}),LOOKUP(--RIGHT(OFFSET(INDIRECT(Свёртка_Перебор_2_20170602154411[[#This Row],[ССвёртка]],FALSE),0,1)),{0,1,2,3,4,5},{0,1,1,0,1,1.5}))&gt;4,1,0),IF(SUM(LOOKUP(--RIGHT(OFFSET(INDIRECT(Свёртка_Перебор_2_20170602154411[[#This Row],[ССвёртка]],FALSE),-2,2)),{0,1,2,3,4,5},{0,1,1,0,1,1.5}),LOOKUP(--RIGHT(OFFSET(INDIRECT(Свёртка_Перебор_2_20170602154411[[#This Row],[ССвёртка]],FALSE),-1,2)),{0,1,2,3,4,5},{0,1,1,0,1,1.5}),LOOKUP(--RIGHT(OFFSET(INDIRECT(Свёртка_Перебор_2_20170602154411[[#This Row],[ССвёртка]],FALSE),0,2)),{0,1,2,3,4,5},{0,1,1,0,1,1.5}))&gt;4,1,0),IF(SUM(LOOKUP(--RIGHT(OFFSET(INDIRECT(Свёртка_Перебор_2_20170602154411[[#This Row],[ССвёртка]],FALSE),-2,3)),{0,1,2,3,4,5},{0,1,1,0,1,1.5}),LOOKUP(--RIGHT(OFFSET(INDIRECT(Свёртка_Перебор_2_20170602154411[[#This Row],[ССвёртка]],FALSE),-1,3)),{0,1,2,3,4,5},{0,1,1,0,1,1.5}),LOOKUP(--RIGHT(OFFSET(INDIRECT(Свёртка_Перебор_2_20170602154411[[#This Row],[ССвёртка]],FALSE),0,3)),{0,1,2,3,4,5},{0,1,1,0,1,1.5}))&gt;4,1,0),IF(SUM(LOOKUP(--RIGHT(OFFSET(INDIRECT(Свёртка_Перебор_2_20170602154411[[#This Row],[ССвёртка]],FALSE),-2,1)),{0,1,2,3,4,5},{0,1,1,1,1,2}),LOOKUP(--RIGHT(OFFSET(INDIRECT(Свёртка_Перебор_2_20170602154411[[#This Row],[ССвёртка]],FALSE),-1,2)),{0,1,2,3,4,5},{0,1,1,1,1,2}),LOOKUP(--RIGHT(OFFSET(INDIRECT(Свёртка_Перебор_2_20170602154411[[#This Row],[ССвёртка]],FALSE),0,3)),{0,1,2,3,4,5},{0,1,1,1,1,2}))&lt;&gt;3,1,0),IF(SUM(LOOKUP(--RIGHT(OFFSET(INDIRECT(Свёртка_Перебор_2_20170602154411[[#This Row],[ССвёртка]],FALSE),-2,1)),{0,1,2,3,4,5},{0,1,0,1,1,1.5}),LOOKUP(--RIGHT(OFFSET(INDIRECT(Свёртка_Перебор_2_20170602154411[[#This Row],[ССвёртка]],FALSE),-2,2)),{0,1,2,3,4,5},{0,1,0,1,1,1.5}),LOOKUP(--RIGHT(OFFSET(INDIRECT(Свёртка_Перебор_2_20170602154411[[#This Row],[ССвёртка]],FALSE),-2,3)),{0,1,2,3,4,5},{0,1,0,1,1,1.5}))&gt;4,1,0),IF(SUM(LOOKUP(--RIGHT(OFFSET(INDIRECT(Свёртка_Перебор_2_20170602154411[[#This Row],[ССвёртка]],FALSE),-1,1)),{0,1,2,3,4,5},{0,1,0,1,1,1.5}),LOOKUP(--RIGHT(OFFSET(INDIRECT(Свёртка_Перебор_2_20170602154411[[#This Row],[ССвёртка]],FALSE),-1,2)),{0,1,2,3,4,5},{0,1,0,1,1,1.5}),LOOKUP(--RIGHT(OFFSET(INDIRECT(Свёртка_Перебор_2_20170602154411[[#This Row],[ССвёртка]],FALSE),-1,3)),{0,1,2,3,4,5},{0,1,0,1,1,1.5}))&gt;4,1,0),IF(SUM(LOOKUP(--RIGHT(OFFSET(INDIRECT(Свёртка_Перебор_2_20170602154411[[#This Row],[ССвёртка]],FALSE),0,1)),{0,1,2,3,4,5},{0,1,0,1,1,1.5}),LOOKUP(--RIGHT(OFFSET(INDIRECT(Свёртка_Перебор_2_20170602154411[[#This Row],[ССвёртка]],FALSE),0,2)),{0,1,2,3,4,5},{0,1,0,1,1,1.5}),LOOKUP(--RIGHT(OFFSET(INDIRECT(Свёртка_Перебор_2_20170602154411[[#This Row],[ССвёртка]],FALSE),0,3)),{0,1,2,3,4,5},{0,1,0,1,1,1.5}))&gt;4,1,0))&lt;&gt;0,0,1)</f>
        <v>#REF!</v>
      </c>
      <c r="CJ12" t="str">
        <f t="array" aca="1" ref="CJ12" ca="1">IFERROR(IF(SUM((MMULT(CHOOSE(RIGHT(OFFSET(INDIRECT(CONCATENATE(Свёртка_Перебор_2_20170602154411[[#This Row],[Л!]],"R",Свёртка_Перебор_2_20170602154411[[#This Row],[R!]],"C",Свёртка_Перебор_2_20170602154411[[#This Row],[C!]]),FALSE),-2,1,3,3))+1,0,1,0,1,1,1.5),{1;1;1})&gt;4)+(MMULT(TRANSPOSE(CHOOSE(RIGHT(OFFSET(INDIRECT(CONCATENATE(Свёртка_Перебор_2_20170602154411[[#This Row],[Л!]],"R",Свёртка_Перебор_2_20170602154411[[#This Row],[R!]],"C",Свёртка_Перебор_2_20170602154411[[#This Row],[C!]]),FALSE),-2,1,3,3))+1,0,1,1,0,1,1.5)),{1;1;1})&gt;4)+(SUM(CHOOSE(RIGHT(CHOOSE({1;2;3},OFFSET(INDIRECT(CONCATENATE(Свёртка_Перебор_2_20170602154411[[#This Row],[Л!]],"R",Свёртка_Перебор_2_20170602154411[[#This Row],[R!]],"C",Свёртка_Перебор_2_20170602154411[[#This Row],[C!]]),FALSE),-2,1),OFFSET(INDIRECT(CONCATENATE(Свёртка_Перебор_2_20170602154411[[#This Row],[Л!]],"R",Свёртка_Перебор_2_20170602154411[[#This Row],[R!]],"C",Свёртка_Перебор_2_20170602154411[[#This Row],[C!]]),FALSE),-1,2),OFFSET(INDIRECT(CONCATENATE(Свёртка_Перебор_2_20170602154411[[#This Row],[Л!]],"R",Свёртка_Перебор_2_20170602154411[[#This Row],[R!]],"C",Свёртка_Перебор_2_20170602154411[[#This Row],[C!]]),FALSE),0,3)))+1,0,1,1,1,1,2))&lt;&gt;3)),0,1),"!")</f>
        <v>!</v>
      </c>
      <c r="CK12" t="e">
        <f ca="1">COUNTIFS(OFFSET(INDIRECT((OFFSET(INDIRECT(Свёртка_Перебор_2_20170602154411[[#This Row],[С]],FALSE),-2,1)&amp;"!R2C2"),FALSE),,,101,101),"="&amp;(Свёртка_Перебор_2_20170602154411[[#This Row],[F]]-(1+(CHOOSE(--RIGHTB(OFFSET(INDIRECT(Свёртка_Перебор_2_20170602154411[[#This Row],[С]],FALSE),,3))+1,0,1,1,1,1,2)+CHOOSE(--RIGHTB(OFFSET(INDIRECT(Свёртка_Перебор_2_20170602154411[[#This Row],[С]],FALSE),-1,2))+1,0,1,1,1,1,2)))+1))*IF(AND(Свёртка_Перебор_2_20170602154411[[#This Row],[F]]&gt;=(1+(CHOOSE(--RIGHTB(OFFSET(INDIRECT(Свёртка_Перебор_2_20170602154411[[#This Row],[С]],FALSE),,3))+1,0,1,1,1,1,2)+CHOOSE(--RIGHTB(OFFSET(INDIRECT(Свёртка_Перебор_2_20170602154411[[#This Row],[С]],FALSE),-1,2))+1,0,1,1,1,1,2))),Свёртка_Перебор_2_20170602154411[[#This Row],[F]]&lt;=(1+(CHOOSE(--RIGHTB(OFFSET(INDIRECT(Свёртка_Перебор_2_20170602154411[[#This Row],[С]],FALSE),,3))+1,0,1,1,1,1,2)+CHOOSE(--RIGHTB(OFFSET(INDIRECT(Свёртка_Перебор_2_20170602154411[[#This Row],[С]],FALSE),-1,2))+1,0,1,1,1,1,2)+CHOOSE(--RIGHTB(OFFSET(INDIRECT(Свёртка_Перебор_2_20170602154411[[#This Row],[С]],FALSE),-2,1))+1,0,1,1,1,1,2)))),1,0)+COUNTIFS(OFFSET(INDIRECT((OFFSET(INDIRECT(Свёртка_Перебор_2_20170602154411[[#This Row],[С]],FALSE),-2,2)&amp;"!R2C2"),FALSE),,,101,101),"="&amp;(Свёртка_Перебор_2_20170602154411[[#This Row],[F]]-(1+(CHOOSE(--RIGHTB(OFFSET(INDIRECT(Свёртка_Перебор_2_20170602154411[[#This Row],[С]],FALSE),,3))+1,0,1,0,1,1,1)+CHOOSE(--RIGHTB(OFFSET(INDIRECT(Свёртка_Перебор_2_20170602154411[[#This Row],[С]],FALSE),-1,3))+1,0,1,1,1,1,2)))+1))*IF(AND(Свёртка_Перебор_2_20170602154411[[#This Row],[F]]&gt;=(1+(CHOOSE(--RIGHTB(OFFSET(INDIRECT(Свёртка_Перебор_2_20170602154411[[#This Row],[С]],FALSE),,3))+1,0,0,0,1,1,1)+CHOOSE(--RIGHTB(OFFSET(INDIRECT(Свёртка_Перебор_2_20170602154411[[#This Row],[С]],FALSE),-1,3))+1,0,1,1,1,1,2))),Свёртка_Перебор_2_20170602154411[[#This Row],[F]]&lt;=(1+(CHOOSE(--RIGHTB(OFFSET(INDIRECT(Свёртка_Перебор_2_20170602154411[[#This Row],[С]],FALSE),,3))+1,0,0,0,1,1,1)+CHOOSE(--RIGHTB(OFFSET(INDIRECT(Свёртка_Перебор_2_20170602154411[[#This Row],[С]],FALSE),-1,3))+1,0,1,1,1,1,2)+CHOOSE(--RIGHTB(OFFSET(INDIRECT(Свёртка_Перебор_2_20170602154411[[#This Row],[С]],FALSE),-2,2))+1,0,1,1,1,1,2)))),1,0)+COUNTIFS(OFFSET(INDIRECT((OFFSET(INDIRECT(Свёртка_Перебор_2_20170602154411[[#This Row],[С]],FALSE),-2,3)&amp;"!R2C2"),FALSE),,,101,101),"="&amp;(Свёртка_Перебор_2_20170602154411[[#This Row],[F]]-(1+(CHOOSE(--RIGHTB(OFFSET(INDIRECT(Свёртка_Перебор_2_20170602154411[[#This Row],[С]],FALSE),,3))+1,0,0,0,1,1,1)+CHOOSE(--RIGHTB(OFFSET(INDIRECT(Свёртка_Перебор_2_20170602154411[[#This Row],[С]],FALSE),-1,3))+1,0,0,0,1,1,1)))+1))*IF(AND(Свёртка_Перебор_2_20170602154411[[#This Row],[F]]&gt;=(1+(CHOOSE(--RIGHTB(OFFSET(INDIRECT(Свёртка_Перебор_2_20170602154411[[#This Row],[С]],FALSE),,3))+1,0,0,0,1,1,1)+CHOOSE(--RIGHTB(OFFSET(INDIRECT(Свёртка_Перебор_2_20170602154411[[#This Row],[С]],FALSE),-1,3))+1,0,0,0,1,1,1))),Свёртка_Перебор_2_20170602154411[[#This Row],[F]]&lt;=(1+(CHOOSE(--RIGHTB(OFFSET(INDIRECT(Свёртка_Перебор_2_20170602154411[[#This Row],[С]],FALSE),,3))+1,0,0,0,1,1,1)+CHOOSE(--RIGHTB(OFFSET(INDIRECT(Свёртка_Перебор_2_20170602154411[[#This Row],[С]],FALSE),-1,3))+1,0,0,0,1,1,1)+CHOOSE(--RIGHTB(OFFSET(INDIRECT(Свёртка_Перебор_2_20170602154411[[#This Row],[С]],FALSE),-2,3))+1,0,1,1,1,1,2)))),1,0)+COUNTIFS(OFFSET(INDIRECT((OFFSET(INDIRECT(Свёртка_Перебор_2_20170602154411[[#This Row],[С]],FALSE),-1,1)&amp;"!R2C2"),FALSE),,,101,101),"="&amp;(Свёртка_Перебор_2_20170602154411[[#This Row],[F]]-(1+(CHOOSE(--RIGHTB(OFFSET(INDIRECT(Свёртка_Перебор_2_20170602154411[[#This Row],[С]],FALSE),,3))+1,0,0,1,0,1,1)+CHOOSE(--RIGHTB(OFFSET(INDIRECT(Свёртка_Перебор_2_20170602154411[[#This Row],[С]],FALSE),0,2))+1,0,1,1,1,1,2)))+1))*IF(AND(Свёртка_Перебор_2_20170602154411[[#This Row],[F]]&gt;=(1+(CHOOSE(--RIGHTB(OFFSET(INDIRECT(Свёртка_Перебор_2_20170602154411[[#This Row],[С]],FALSE),,3))+1,0,0,1,0,1,1)+CHOOSE(--RIGHTB(OFFSET(INDIRECT(Свёртка_Перебор_2_20170602154411[[#This Row],[С]],FALSE),,2))+1,0,1,1,1,1,2))),Свёртка_Перебор_2_20170602154411[[#This Row],[F]]&lt;=(1+(CHOOSE(--RIGHTB(OFFSET(INDIRECT(Свёртка_Перебор_2_20170602154411[[#This Row],[С]],FALSE),,3))+1,0,0,1,0,1,1)+CHOOSE(--RIGHTB(OFFSET(INDIRECT(Свёртка_Перебор_2_20170602154411[[#This Row],[С]],FALSE),,2))+1,0,1,1,1,1,2)+CHOOSE(--RIGHTB(OFFSET(INDIRECT(Свёртка_Перебор_2_20170602154411[[#This Row],[С]],FALSE),-1,1))+1,0,1,1,1,1,2)))),1,0)+COUNTIFS(OFFSET(INDIRECT((OFFSET(INDIRECT(Свёртка_Перебор_2_20170602154411[[#This Row],[С]],FALSE),-1,2)&amp;"!R2C2"),FALSE),,,101,101),"="&amp;(Свёртка_Перебор_2_20170602154411[[#This Row],[F]]-(1+(CHOOSE(--RIGHTB(OFFSET(INDIRECT(Свёртка_Перебор_2_20170602154411[[#This Row],[С]],FALSE),,3))+1,0,1,1,1,1,2)))+1))*IF(AND(Свёртка_Перебор_2_20170602154411[[#This Row],[F]]&gt;=(1+(CHOOSE(--RIGHTB(OFFSET(INDIRECT(Свёртка_Перебор_2_20170602154411[[#This Row],[С]],FALSE),,3))+1,0,1,1,1,1,2))),Свёртка_Перебор_2_20170602154411[[#This Row],[F]]&lt;=(1+(CHOOSE(--RIGHTB(OFFSET(INDIRECT(Свёртка_Перебор_2_20170602154411[[#This Row],[С]],FALSE),,3))+1,0,1,1,1,1,2)+CHOOSE(--RIGHTB(OFFSET(INDIRECT(Свёртка_Перебор_2_20170602154411[[#This Row],[С]],FALSE),-1,2))+1,0,1,1,1,1,2)))),1,0)+COUNTIFS(OFFSET(INDIRECT((OFFSET(INDIRECT(Свёртка_Перебор_2_20170602154411[[#This Row],[С]],FALSE),-1,3)&amp;"!R2C2"),FALSE),,,101,101),"="&amp;(Свёртка_Перебор_2_20170602154411[[#This Row],[F]]-(1+(CHOOSE(--RIGHTB(OFFSET(INDIRECT(Свёртка_Перебор_2_20170602154411[[#This Row],[С]],FALSE),,3))+1,0,0,0,1,1,1)))+1))*IF(AND(Свёртка_Перебор_2_20170602154411[[#This Row],[F]]&gt;=(1+(CHOOSE(--RIGHTB(OFFSET(INDIRECT(Свёртка_Перебор_2_20170602154411[[#This Row],[С]],FALSE),,3))+1,0,0,0,1,1,1))),Свёртка_Перебор_2_20170602154411[[#This Row],[F]]&lt;=(1+(CHOOSE(--RIGHTB(OFFSET(INDIRECT(Свёртка_Перебор_2_20170602154411[[#This Row],[С]],FALSE),,3))+1,0,0,0,1,1,1)+CHOOSE(--RIGHTB(OFFSET(INDIRECT(Свёртка_Перебор_2_20170602154411[[#This Row],[С]],FALSE),-1,3))+1,0,1,1,1,1,2)))),1,0)+COUNTIFS(OFFSET(INDIRECT((OFFSET(INDIRECT(Свёртка_Перебор_2_20170602154411[[#This Row],[С]],FALSE),,1)&amp;"!R2C2"),FALSE),,,101,101),"="&amp;(Свёртка_Перебор_2_20170602154411[[#This Row],[F]]-(1+(CHOOSE(--RIGHTB(OFFSET(INDIRECT(Свёртка_Перебор_2_20170602154411[[#This Row],[С]],FALSE),,3))+1,0,0,1,0,1,1)+CHOOSE(--RIGHTB(OFFSET(INDIRECT(Свёртка_Перебор_2_20170602154411[[#This Row],[С]],FALSE),,2))+1,0,0,1,0,1,1)))+1))*IF(AND(Свёртка_Перебор_2_20170602154411[[#This Row],[F]]&gt;=(1+(CHOOSE(--RIGHTB(OFFSET(INDIRECT(Свёртка_Перебор_2_20170602154411[[#This Row],[С]],FALSE),,3))+1,0,0,1,0,1,1)+CHOOSE(--RIGHTB(OFFSET(INDIRECT(Свёртка_Перебор_2_20170602154411[[#This Row],[С]],FALSE),,2))+1,0,0,1,0,1,1))),Свёртка_Перебор_2_20170602154411[[#This Row],[F]]&lt;=(1+(CHOOSE(--RIGHTB(OFFSET(INDIRECT(Свёртка_Перебор_2_20170602154411[[#This Row],[С]],FALSE),,3))+1,0,0,1,0,1,1)+CHOOSE(--RIGHTB(OFFSET(INDIRECT(Свёртка_Перебор_2_20170602154411[[#This Row],[С]],FALSE),,2))+1,0,0,1,0,1,1)+CHOOSE(--RIGHTB(OFFSET(INDIRECT(Свёртка_Перебор_2_20170602154411[[#This Row],[С]],FALSE),,1))+1,0,1,1,1,1,2)))),1,0)+COUNTIFS(OFFSET(INDIRECT((OFFSET(INDIRECT(Свёртка_Перебор_2_20170602154411[[#This Row],[С]],FALSE),,2)&amp;"!R2C2"),FALSE),,,101,101),"="&amp;(Свёртка_Перебор_2_20170602154411[[#This Row],[F]]-(1+(CHOOSE(--RIGHTB(OFFSET(INDIRECT(Свёртка_Перебор_2_20170602154411[[#This Row],[С]],FALSE),,3))+1,0,0,1,0,1,1)))+1))*IF(AND(Свёртка_Перебор_2_20170602154411[[#This Row],[F]]&gt;=(1+(CHOOSE(--RIGHTB(OFFSET(INDIRECT(Свёртка_Перебор_2_20170602154411[[#This Row],[С]],FALSE),0,3))+1,0,0,1,0,1,1))),Свёртка_Перебор_2_20170602154411[[#This Row],[F]]&lt;=(1+(CHOOSE(--RIGHTB(OFFSET(INDIRECT(Свёртка_Перебор_2_20170602154411[[#This Row],[С]],FALSE),,3))+1,0,1,0,0,1,1)+CHOOSE(--RIGHTB(OFFSET(INDIRECT(Свёртка_Перебор_2_20170602154411[[#This Row],[С]],FALSE),,2))+1,0,1,1,1,1,2)))),1,0)+COUNTIFS(OFFSET(INDIRECT((OFFSET(INDIRECT(Свёртка_Перебор_2_20170602154411[[#This Row],[С]],FALSE),,3)&amp;"!R2C2"),FALSE),,,101,101),"="&amp;(Свёртка_Перебор_2_20170602154411[[#This Row],[F]]-1+1))*IF(AND(Свёртка_Перебор_2_20170602154411[[#This Row],[F]]&gt;=1,Свёртка_Перебор_2_20170602154411[[#This Row],[F]]&lt;=1+(CHOOSE(--RIGHTB(OFFSET(INDIRECT(Свёртка_Перебор_2_20170602154411[[#This Row],[С]],FALSE),,3))+1,0,1,1,1,1,2))),1,0)</f>
        <v>#REF!</v>
      </c>
    </row>
    <row r="13" spans="2:89" x14ac:dyDescent="0.25">
      <c r="B13" t="e">
        <f ca="1">IF(AND(Критерий_Перебор_2_20170602154411[[#This Row],[Критерий]]&lt;&gt;"",Критерий_Перебор_2_20170602154411[[#This Row],[O.K.Критерий]]=1),ROW()-ROW(Критерий_Перебор_2_20170602154411[[#Headers],[№]]),"")</f>
        <v>#REF!</v>
      </c>
      <c r="C13" s="37" t="e">
        <f>Модель!#REF!</f>
        <v>#REF!</v>
      </c>
      <c r="D13" t="str">
        <f ca="1">IFERROR(IF(AND(Критерий_Перебор_2_20170602154411[[#This Row],[Критерий]]&gt;=1,Критерий_Перебор_2_20170602154411[[#This Row],[Критерий]]&lt;=4),IF(IFERROR(FIND("!",_xlfn.FORMULATEXT(Критерий_Перебор_2_20170602154411[[#This Row],[Критерий]])),"на странице")="на странице",CONCATENATE("R",ROW((INDIRECT(RIGHT(_xlfn.FORMULATEXT(Критерий_Перебор_2_20170602154411[[#This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Row],[Критерий]]))-1),FALSE)))-D$8),CONCATENATE(RIGHT(LEFT(_xlfn.FORMULATEXT(Критерий_Перебор_2_20170602154411[[#This Row],[Критерий]]),FIND("!",_xlfn.FORMULATEXT(Критерий_Перебор_2_20170602154411[[#This Row],[Критерий]]))),LEN(LEFT(_xlfn.FORMULATEXT(Критерий_Перебор_2_20170602154411[[#This Row],[Критерий]]),FIND("!",_xlfn.FORMULATEXT(Критерий_Перебор_2_20170602154411[[#This Row],[Критерий]]))))-1),"R",ROW((INDIRECT(RIGHT(_xlfn.FORMULATEXT(Критерий_Перебор_2_20170602154411[[#This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Row],[Критерий]]))-1),FALSE)))-D$8)),"ошибка"),"ошибка")</f>
        <v>ошибка</v>
      </c>
      <c r="E13" t="str">
        <f ca="1">IFERROR(IF(LEFT(Критерий_Перебор_2_20170602154411[[#This Row],[Фкритерий]],5)="=Прив","Критерий",IF(LEFT(Критерий_Перебор_2_20170602154411[[#This Row],[Фкритерий]],5)="=Матр","ошибка","ошибка")),"ошибка")</f>
        <v>ошибка</v>
      </c>
      <c r="F13" t="str">
        <f ca="1">IFERROR(IF(LEN((INDIRECT(Критерий_Перебор_2_20170602154411[[#This Row],[СНаименование]],FALSE)))=0,"ошибка",IFERROR(INDIRECT(Критерий_Перебор_2_20170602154411[[#This Row],[СНаименование]],FALSE),"ошибка")),"ошибка")</f>
        <v>ошибка</v>
      </c>
      <c r="G13"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Row],[Скритерий]])))+G$7),FIND("R",Критерий_Перебор_2_20170602154411[[#This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Row],[Скритерий]])))+G$6),"ошибка")</f>
        <v>ошибка</v>
      </c>
      <c r="H13" t="str">
        <f ca="1">IFERROR(IF(N(INDIRECT(Критерий_Перебор_2_20170602154411[[#This Row],[СФизКритерий]],FALSE))=0,"ошибка",IFERROR(INDIRECT(Критерий_Перебор_2_20170602154411[[#This Row],[СФизКритерий]],FALSE),"ошибка")),"ошибка")</f>
        <v>ошибка</v>
      </c>
      <c r="I13"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Row],[Скритерий]])))+I$7),FIND("R",Критерий_Перебор_2_20170602154411[[#This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Row],[Скритерий]])))+I$6),"ошибка")</f>
        <v>ошибка</v>
      </c>
      <c r="J13" t="str">
        <f ca="1">IFERROR(IF(OR(INDIRECT(Критерий_Перебор_2_20170602154411[[#This Row],[СТипКритерий]],FALSE)=Перебор!$N$58,INDIRECT(Критерий_Перебор_2_20170602154411[[#This Row],[СТипКритерий]],FALSE)=Перебор!$N$59,INDIRECT(Критерий_Перебор_2_20170602154411[[#This Row],[СТипКритерий]],FALSE)=Перебор!$N$60,INDIRECT(Критерий_Перебор_2_20170602154411[[#This Row],[СТипКритерий]],FALSE)=Перебор!$N$61),INDIRECT(Критерий_Перебор_2_20170602154411[[#This Row],[СТипКритерий]],FALSE),"ошибка"),"ошибка")</f>
        <v>ошибка</v>
      </c>
      <c r="K13"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Row],[Скритерий]])))+K$7),FIND("R",Критерий_Перебор_2_20170602154411[[#This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Row],[Скритерий]])))+K$6),"ошибка")</f>
        <v>ошибка</v>
      </c>
      <c r="L13" t="str">
        <f ca="1">IFERROR(_xlfn.FORMULATEXT(INDIRECT(Критерий_Перебор_2_20170602154411[[#This Row],[Скритерий]],FALSE)),"ошибка")</f>
        <v>ошибка</v>
      </c>
      <c r="M13" t="str">
        <f ca="1">IFERROR(IF(N(INDIRECT(Критерий_Перебор_2_20170602154411[[#This Row],[СМинФизКритерий]],FALSE))=0,"ошибка",IFERROR(INDIRECT(Критерий_Перебор_2_20170602154411[[#This Row],[СМинФизКритерий]],FALSE),"ошибка")),"ошибка")</f>
        <v>ошибка</v>
      </c>
      <c r="N13"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Row],[Скритерий]])))+N$7),FIND("R",Критерий_Перебор_2_20170602154411[[#This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Row],[Скритерий]])))+N$6),"ошибка")</f>
        <v>ошибка</v>
      </c>
      <c r="O13" t="str">
        <f ca="1">IFERROR(IF(N(INDIRECT(Критерий_Перебор_2_20170602154411[[#This Row],[СМаксФизКритерий]],FALSE))=0,"ошибка",IFERROR(INDIRECT(Критерий_Перебор_2_20170602154411[[#This Row],[СМаксФизКритерий]],FALSE),"ошибка")),"ошибка")</f>
        <v>ошибка</v>
      </c>
      <c r="P13"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Row],[Скритерий]])))+P$7),FIND("R",Критерий_Перебор_2_20170602154411[[#This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Row],[Скритерий]])))+P$6),"ошибка")</f>
        <v>ошибка</v>
      </c>
      <c r="Q13" t="str">
        <f ca="1">IFERROR(IF(N(INDIRECT(Критерий_Перебор_2_20170602154411[[#This Row],[ССрФизКритерий]],FALSE))=0,"ошибка",IFERROR(INDIRECT(Критерий_Перебор_2_20170602154411[[#This Row],[ССрФизКритерий]],FALSE),"ошибка")),"")</f>
        <v/>
      </c>
      <c r="R13" t="str">
        <f ca="1">IF(OR(Критерий_Перебор_2_20170602154411[[#This Row],[ТипКритерий]]=Перебор!$N$60,Критерий_Перебор_2_20170602154411[[#This Row],[ТипКритерий]]=Перебор!$N$61),IFERROR(REPLACE(REPLACE(Критерий_Перебор_2_20170602154411[[#This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Row],[Скритерий]])))+R$7),FIND("R",Критерий_Перебор_2_20170602154411[[#This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Row],[Скритерий]])))+R$6),"ошибка"),"")</f>
        <v/>
      </c>
      <c r="S13" s="66">
        <f ca="1">IFERROR(IF(AND(Критерий_Перебор_2_20170602154411[[#This Row],[ВидКритерий]]="Критерий",Критерий_Перебор_2_20170602154411[[#This Row],[Фкритерий]]="=Приведение"),1,-1),-1)</f>
        <v>-1</v>
      </c>
      <c r="V13" t="e">
        <f ca="1">IF(AND(Свёртка_Перебор_2_20170602154411[[#This Row],[Свёртка]]&lt;&gt;"",Свёртка_Перебор_2_20170602154411[[#This Row],[O.K.Свёртка]]=1),ROW()-ROW(Свёртка_Перебор_2_20170602154411[[#Headers],[№]]),"")</f>
        <v>#REF!</v>
      </c>
      <c r="W13" s="146" t="e">
        <f>Модель!#REF!</f>
        <v>#REF!</v>
      </c>
      <c r="X13" t="str">
        <f ca="1">IFERROR(IF(AND(Свёртка_Перебор_2_20170602154411[[#This Row],[Свёртка]]&gt;=1,Свёртка_Перебор_2_20170602154411[[#This Row],[Свёртка]]&lt;=4),IF(IFERROR(FIND("!",_xlfn.FORMULATEXT(Свёртка_Перебор_2_20170602154411[[#This Row],[Свёртка]])),"на странице")="на странице",CONCATENATE("R",ROW((INDIRECT(RIGHT(_xlfn.FORMULATEXT(Свёртка_Перебор_2_20170602154411[[#This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Row],[Свёртка]]))-1),FALSE)))-X$6),CONCATENATE(RIGHT(LEFT(_xlfn.FORMULATEXT(Свёртка_Перебор_2_20170602154411[[#This Row],[Свёртка]]),FIND("!",_xlfn.FORMULATEXT(Свёртка_Перебор_2_20170602154411[[#This Row],[Свёртка]]))),LEN(LEFT(_xlfn.FORMULATEXT(Свёртка_Перебор_2_20170602154411[[#This Row],[Свёртка]]),FIND("!",_xlfn.FORMULATEXT(Свёртка_Перебор_2_20170602154411[[#This Row],[Свёртка]]))))-1),"R",ROW((INDIRECT(RIGHT(_xlfn.FORMULATEXT(Свёртка_Перебор_2_20170602154411[[#This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Row],[Свёртка]]))-1),FALSE)))-X$6)),"ошибка"),"ошибка")</f>
        <v>ошибка</v>
      </c>
      <c r="Y13" t="str">
        <f ca="1">IFERROR(_xlfn.FORMULATEXT(INDIRECT(Свёртка_Перебор_2_20170602154411[[#This Row],[ССвёртка]],FALSE)),"ошибка")</f>
        <v>ошибка</v>
      </c>
      <c r="Z13" t="str">
        <f ca="1">IFERROR(IF(LEFT(Свёртка_Перебор_2_20170602154411[[#This Row],[ФСвёртка]],5)="=Прив","ошибка",IF(LEFT(Свёртка_Перебор_2_20170602154411[[#This Row],[ФСвёртка]],5)="=Матр","Свёртка","ошибка")),"ошибка")</f>
        <v>ошибка</v>
      </c>
      <c r="AA13" t="str">
        <f ca="1">IFERROR(IF(LEN((INDIRECT(Свёртка_Перебор_2_20170602154411[[#This Row],[СНаименование]],FALSE)))=0,"ошибка",IFERROR(INDIRECT(Свёртка_Перебор_2_20170602154411[[#This Row],[СНаименование]],FALSE),"ошибка")),"ошибка")</f>
        <v>ошибка</v>
      </c>
      <c r="AB13"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Row],[ССвёртка]])))+AB$6),"ошибка")</f>
        <v>ошибка</v>
      </c>
      <c r="AC13">
        <v>3.1799999999999997</v>
      </c>
      <c r="AD13" t="str">
        <f ca="1">IFERROR(IF(LEN((INDIRECT(Свёртка_Перебор_2_20170602154411[[#This Row],[ССВ_1_1]],FALSE)))=0,"ошибка",IFERROR(INDIRECT(Свёртка_Перебор_2_20170602154411[[#This Row],[ССВ_1_1]],FALSE),"ошибка")),"ошибка")</f>
        <v>ошибка</v>
      </c>
      <c r="AE13"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Row],[ССвёртка]])))+AE$7),FIND("R",Свёртка_Перебор_2_20170602154411[[#This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Row],[ССвёртка]])))+AE$6),"ошибка")</f>
        <v>ошибка</v>
      </c>
      <c r="AF13">
        <v>0</v>
      </c>
      <c r="AG13">
        <v>2</v>
      </c>
      <c r="AH13">
        <v>0</v>
      </c>
      <c r="AI13" t="str">
        <f ca="1">IFERROR(IF(LEN((INDIRECT(Свёртка_Перебор_2_20170602154411[[#This Row],[ССВ_2_1]],FALSE)))=0,"ошибка",IFERROR(INDIRECT(Свёртка_Перебор_2_20170602154411[[#This Row],[ССВ_2_1]],FALSE),"ошибка")),"ошибка")</f>
        <v>ошибка</v>
      </c>
      <c r="AJ13"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Row],[ССвёртка]])))+AJ$7),FIND("R",Свёртка_Перебор_2_20170602154411[[#This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Row],[ССвёртка]])))+AJ$6),"ошибка")</f>
        <v>ошибка</v>
      </c>
      <c r="AK13">
        <v>0</v>
      </c>
      <c r="AL13">
        <v>2</v>
      </c>
      <c r="AM13">
        <v>0</v>
      </c>
      <c r="AN13" t="str">
        <f ca="1">IFERROR(IF(LEN((INDIRECT(Свёртка_Перебор_2_20170602154411[[#This Row],[ССВ_1_2]],FALSE)))=0,"ошибка",IFERROR(INDIRECT(Свёртка_Перебор_2_20170602154411[[#This Row],[ССВ_1_2]],FALSE),"ошибка")),"ошибка")</f>
        <v>ошибка</v>
      </c>
      <c r="AO13"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Row],[ССвёртка]])))+AO$7),FIND("R",Свёртка_Перебор_2_20170602154411[[#This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Row],[ССвёртка]])))+AO$6),"ошибка")</f>
        <v>ошибка</v>
      </c>
      <c r="AP13">
        <v>1</v>
      </c>
      <c r="AQ13">
        <v>3</v>
      </c>
      <c r="AR13">
        <v>101</v>
      </c>
      <c r="AS13" t="str">
        <f ca="1">IFERROR(IF(LEN((INDIRECT(Свёртка_Перебор_2_20170602154411[[#This Row],[ССВ_2_2]],FALSE)))=0,"ошибка",IFERROR(INDIRECT(Свёртка_Перебор_2_20170602154411[[#This Row],[ССВ_2_2]],FALSE),"ошибка")),"ошибка")</f>
        <v>ошибка</v>
      </c>
      <c r="AT13"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Row],[ССвёртка]])))+AT$7),FIND("R",Свёртка_Перебор_2_20170602154411[[#This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Row],[ССвёртка]])))+AT$6),"ошибка")</f>
        <v>ошибка</v>
      </c>
      <c r="AU13">
        <v>1</v>
      </c>
      <c r="AV13">
        <v>3</v>
      </c>
      <c r="AW13">
        <v>101</v>
      </c>
      <c r="AX13" t="str">
        <f ca="1">IFERROR(IF(LEN((INDIRECT(Свёртка_Перебор_2_20170602154411[[#This Row],[ССВ_3_1]],FALSE)))=0,"ошибка",IFERROR(INDIRECT(Свёртка_Перебор_2_20170602154411[[#This Row],[ССВ_3_1]],FALSE),"ошибка")),"ошибка")</f>
        <v>ошибка</v>
      </c>
      <c r="AY13"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Row],[ССвёртка]])))+AY$6),"ошибка")</f>
        <v>ошибка</v>
      </c>
      <c r="AZ13">
        <v>1</v>
      </c>
      <c r="BA13">
        <v>3</v>
      </c>
      <c r="BB13">
        <v>101</v>
      </c>
      <c r="BC13" t="str">
        <f ca="1">IFERROR(IF(LEN((INDIRECT(Свёртка_Перебор_2_20170602154411[[#This Row],[ССВ_1_3]],FALSE)))=0,"ошибка",IFERROR(INDIRECT(Свёртка_Перебор_2_20170602154411[[#This Row],[ССВ_1_3]],FALSE),"ошибка")),"ошибка")</f>
        <v>ошибка</v>
      </c>
      <c r="BD13"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Row],[ССвёртка]])))+BD$7),FIND("R",Свёртка_Перебор_2_20170602154411[[#This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Row],[ССвёртка]])))+BD$6),"ошибка")</f>
        <v>ошибка</v>
      </c>
      <c r="BE13">
        <v>0</v>
      </c>
      <c r="BF13">
        <v>4</v>
      </c>
      <c r="BG13">
        <v>0</v>
      </c>
      <c r="BH13" t="str">
        <f ca="1">IFERROR(IF(LEN((INDIRECT(Свёртка_Перебор_2_20170602154411[[#This Row],[ССВ_3_2]],FALSE)))=0,"ошибка",IFERROR(INDIRECT(Свёртка_Перебор_2_20170602154411[[#This Row],[ССВ_3_2]],FALSE),"ошибка")),"ошибка")</f>
        <v>ошибка</v>
      </c>
      <c r="BI13"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Row],[ССвёртка]])))+BI$7),FIND("R",Свёртка_Перебор_2_20170602154411[[#This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Row],[ССвёртка]])))+BI$6),"ошибка")</f>
        <v>ошибка</v>
      </c>
      <c r="BJ13">
        <v>1</v>
      </c>
      <c r="BK13">
        <v>4</v>
      </c>
      <c r="BL13">
        <v>61</v>
      </c>
      <c r="BM13" t="str">
        <f ca="1">IFERROR(IF(LEN((INDIRECT(Свёртка_Перебор_2_20170602154411[[#This Row],[ССВ_2_3]],FALSE)))=0,"ошибка",IFERROR(INDIRECT(Свёртка_Перебор_2_20170602154411[[#This Row],[ССВ_2_3]],FALSE),"ошибка")),"ошибка")</f>
        <v>ошибка</v>
      </c>
      <c r="BN13"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Row],[ССвёртка]])))+BN$7),FIND("R",Свёртка_Перебор_2_20170602154411[[#This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Row],[ССвёртка]])))+BN$6),"ошибка")</f>
        <v>ошибка</v>
      </c>
      <c r="BO13">
        <v>0</v>
      </c>
      <c r="BP13">
        <v>4</v>
      </c>
      <c r="BQ13">
        <v>0</v>
      </c>
      <c r="BR13" t="str">
        <f ca="1">IFERROR(IF(LEN((INDIRECT(Свёртка_Перебор_2_20170602154411[[#This Row],[ССВ_3_3]],FALSE)))=0,"ошибка",IFERROR(INDIRECT(Свёртка_Перебор_2_20170602154411[[#This Row],[ССВ_3_3]],FALSE),"ошибка")),"ошибка")</f>
        <v>ошибка</v>
      </c>
      <c r="BS13"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Row],[ССвёртка]])))+BS$7),FIND("R",Свёртка_Перебор_2_20170602154411[[#This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Row],[ССвёртка]])))+BS$6),"ошибка")</f>
        <v>ошибка</v>
      </c>
      <c r="BT13">
        <v>0</v>
      </c>
      <c r="BU13">
        <v>4</v>
      </c>
      <c r="BV13">
        <v>0</v>
      </c>
      <c r="BW13">
        <f>Свёртка_Перебор_2_20170602154411[[#This Row],[ССВ_1_1_kolvo]]+Свёртка_Перебор_2_20170602154411[[#This Row],[ССВ_2_1_kolvo]]+Свёртка_Перебор_2_20170602154411[[#This Row],[ССВ_1_2_kolvo]]+Свёртка_Перебор_2_20170602154411[[#This Row],[ССВ_2_2_kolvo]]+Свёртка_Перебор_2_20170602154411[[#This Row],[ССВ_3_1_kolvo]]+Свёртка_Перебор_2_20170602154411[[#This Row],[ССВ_1_3_kolvo]]+Свёртка_Перебор_2_20170602154411[[#This Row],[ССВ_3_2_kolvo]]+Свёртка_Перебор_2_20170602154411[[#This Row],[ССВ_2_3_kolvo]]+Свёртка_Перебор_2_20170602154411[[#This Row],[ССВ_3_3_kolvo]]</f>
        <v>364</v>
      </c>
      <c r="BX13" t="str">
        <f ca="1">IFERROR(IF(LEN((INDIRECT(Свёртка_Перебор_2_20170602154411[[#This Row],[СЛ]],FALSE)))=0,"ошибка",IFERROR(INDIRECT(Свёртка_Перебор_2_20170602154411[[#This Row],[СЛ]],FALSE),"ошибка")),"ошибка")</f>
        <v>ошибка</v>
      </c>
      <c r="BY13"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Row],[ССвёртка]])))+BY$6),"ошибка")</f>
        <v>ошибка</v>
      </c>
      <c r="BZ13" t="str">
        <f ca="1">IFERROR(_xlfn.FORMULATEXT(INDIRECT(Свёртка_Перебор_2_20170602154411[[#This Row],[СЛ]],FALSE)),"ошибка")</f>
        <v>ошибка</v>
      </c>
      <c r="CA13" t="str">
        <f ca="1">IFERROR(IF(LEN((INDIRECT(Свёртка_Перебор_2_20170602154411[[#This Row],[СП]],FALSE)))=0,"ошибка",IFERROR(INDIRECT(Свёртка_Перебор_2_20170602154411[[#This Row],[СП]],FALSE),"ошибка")),"ошибка")</f>
        <v>ошибка</v>
      </c>
      <c r="CB13"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Row],[ССвёртка]])))+CB$7),FIND("R",Свёртка_Перебор_2_20170602154411[[#This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Row],[ССвёртка]])))+CB$6),"ошибка")</f>
        <v>ошибка</v>
      </c>
      <c r="CC13" t="str">
        <f ca="1">IFERROR(_xlfn.FORMULATEXT(INDIRECT(Свёртка_Перебор_2_20170602154411[[#This Row],[СП]],FALSE)),"ошибка")</f>
        <v>ошибка</v>
      </c>
      <c r="CD13" s="66">
        <f ca="1">IF(AND(Свёртка_Перебор_2_20170602154411[[#This Row],[ВидСвёртка]]="Свёртка",CONCATENATE(LEFT(Свёртка_Перебор_2_20170602154411[[#This Row],[СВ_1_1]],1),LEFT(Свёртка_Перебор_2_20170602154411[[#This Row],[СВ_2_1]],1),LEFT(Свёртка_Перебор_2_20170602154411[[#This Row],[СВ_1_2]],1),LEFT(Свёртка_Перебор_2_20170602154411[[#This Row],[СВ_2_2]],1),LEFT(Свёртка_Перебор_2_20170602154411[[#This Row],[СВ_3_1]],1),LEFT(Свёртка_Перебор_2_20170602154411[[#This Row],[СВ_1_3]],1),LEFT(Свёртка_Перебор_2_20170602154411[[#This Row],[СВ_3_2]],1),LEFT(Свёртка_Перебор_2_20170602154411[[#This Row],[СВ_2_3]],1),LEFT(Свёртка_Перебор_2_20170602154411[[#This Row],[СВ_3_3]],1))="FFFFFFFFF",AND(Свёртка_Перебор_2_20170602154411[[#This Row],[Л]]&gt;=1,Свёртка_Перебор_2_20170602154411[[#This Row],[Л]]&lt;=4),AND(Свёртка_Перебор_2_20170602154411[[#This Row],[П]]&gt;=1,Свёртка_Перебор_2_20170602154411[[#This Row],[П]]&lt;=4)),1,-1)</f>
        <v>-1</v>
      </c>
      <c r="CE13" t="e">
        <f ca="1">_xlfn.NUMBERVALUE(MID(Свёртка_Перебор_2_20170602154411[[#This Row],[ССвёртка]],SEARCH("R",Свёртка_Перебор_2_20170602154411[[#This Row],[ССвёртка]])+1,SEARCH("C",Свёртка_Перебор_2_20170602154411[[#This Row],[ССвёртка]])-SEARCH("R",Свёртка_Перебор_2_20170602154411[[#This Row],[ССвёртка]])-1))</f>
        <v>#VALUE!</v>
      </c>
      <c r="CF13" t="e">
        <f ca="1">_xlfn.NUMBERVALUE(MID(Свёртка_Перебор_2_20170602154411[[#This Row],[ССвёртка]],SEARCH("C",Свёртка_Перебор_2_20170602154411[[#This Row],[ССвёртка]])+1,LEN(Свёртка_Перебор_2_20170602154411[[#This Row],[ССвёртка]])-SEARCH("C",Свёртка_Перебор_2_20170602154411[[#This Row],[ССвёртка]])))</f>
        <v>#VALUE!</v>
      </c>
      <c r="CG13" t="str">
        <f ca="1">IF(ISERR(SEARCH("!",Свёртка_Перебор_2_20170602154411[[#This Row],[ССвёртка]])),"",LEFT(Свёртка_Перебор_2_20170602154411[[#This Row],[ССвёртка]],SEARCH("!",Свёртка_Перебор_2_20170602154411[[#This Row],[ССвёртка]])))</f>
        <v/>
      </c>
      <c r="CH13" t="str">
        <f ca="1">Свёртка_Перебор_2_20170602154411[[#This Row],[ССвёртка]]</f>
        <v>ошибка</v>
      </c>
      <c r="CI13" t="e">
        <f ca="1">IF(SUM(IF(SUM(LOOKUP(--RIGHT(OFFSET(INDIRECT(Свёртка_Перебор_2_20170602154411[[#This Row],[ССвёртка]],FALSE),-2,1)),{0,1,2,3,4,5},{0,1,1,0,1,1.5}),LOOKUP(--RIGHT(OFFSET(INDIRECT(Свёртка_Перебор_2_20170602154411[[#This Row],[ССвёртка]],FALSE),-1,1)),{0,1,2,3,4,5},{0,1,1,0,1,1.5}),LOOKUP(--RIGHT(OFFSET(INDIRECT(Свёртка_Перебор_2_20170602154411[[#This Row],[ССвёртка]],FALSE),0,1)),{0,1,2,3,4,5},{0,1,1,0,1,1.5}))&gt;4,1,0),IF(SUM(LOOKUP(--RIGHT(OFFSET(INDIRECT(Свёртка_Перебор_2_20170602154411[[#This Row],[ССвёртка]],FALSE),-2,2)),{0,1,2,3,4,5},{0,1,1,0,1,1.5}),LOOKUP(--RIGHT(OFFSET(INDIRECT(Свёртка_Перебор_2_20170602154411[[#This Row],[ССвёртка]],FALSE),-1,2)),{0,1,2,3,4,5},{0,1,1,0,1,1.5}),LOOKUP(--RIGHT(OFFSET(INDIRECT(Свёртка_Перебор_2_20170602154411[[#This Row],[ССвёртка]],FALSE),0,2)),{0,1,2,3,4,5},{0,1,1,0,1,1.5}))&gt;4,1,0),IF(SUM(LOOKUP(--RIGHT(OFFSET(INDIRECT(Свёртка_Перебор_2_20170602154411[[#This Row],[ССвёртка]],FALSE),-2,3)),{0,1,2,3,4,5},{0,1,1,0,1,1.5}),LOOKUP(--RIGHT(OFFSET(INDIRECT(Свёртка_Перебор_2_20170602154411[[#This Row],[ССвёртка]],FALSE),-1,3)),{0,1,2,3,4,5},{0,1,1,0,1,1.5}),LOOKUP(--RIGHT(OFFSET(INDIRECT(Свёртка_Перебор_2_20170602154411[[#This Row],[ССвёртка]],FALSE),0,3)),{0,1,2,3,4,5},{0,1,1,0,1,1.5}))&gt;4,1,0),IF(SUM(LOOKUP(--RIGHT(OFFSET(INDIRECT(Свёртка_Перебор_2_20170602154411[[#This Row],[ССвёртка]],FALSE),-2,1)),{0,1,2,3,4,5},{0,1,1,1,1,2}),LOOKUP(--RIGHT(OFFSET(INDIRECT(Свёртка_Перебор_2_20170602154411[[#This Row],[ССвёртка]],FALSE),-1,2)),{0,1,2,3,4,5},{0,1,1,1,1,2}),LOOKUP(--RIGHT(OFFSET(INDIRECT(Свёртка_Перебор_2_20170602154411[[#This Row],[ССвёртка]],FALSE),0,3)),{0,1,2,3,4,5},{0,1,1,1,1,2}))&lt;&gt;3,1,0),IF(SUM(LOOKUP(--RIGHT(OFFSET(INDIRECT(Свёртка_Перебор_2_20170602154411[[#This Row],[ССвёртка]],FALSE),-2,1)),{0,1,2,3,4,5},{0,1,0,1,1,1.5}),LOOKUP(--RIGHT(OFFSET(INDIRECT(Свёртка_Перебор_2_20170602154411[[#This Row],[ССвёртка]],FALSE),-2,2)),{0,1,2,3,4,5},{0,1,0,1,1,1.5}),LOOKUP(--RIGHT(OFFSET(INDIRECT(Свёртка_Перебор_2_20170602154411[[#This Row],[ССвёртка]],FALSE),-2,3)),{0,1,2,3,4,5},{0,1,0,1,1,1.5}))&gt;4,1,0),IF(SUM(LOOKUP(--RIGHT(OFFSET(INDIRECT(Свёртка_Перебор_2_20170602154411[[#This Row],[ССвёртка]],FALSE),-1,1)),{0,1,2,3,4,5},{0,1,0,1,1,1.5}),LOOKUP(--RIGHT(OFFSET(INDIRECT(Свёртка_Перебор_2_20170602154411[[#This Row],[ССвёртка]],FALSE),-1,2)),{0,1,2,3,4,5},{0,1,0,1,1,1.5}),LOOKUP(--RIGHT(OFFSET(INDIRECT(Свёртка_Перебор_2_20170602154411[[#This Row],[ССвёртка]],FALSE),-1,3)),{0,1,2,3,4,5},{0,1,0,1,1,1.5}))&gt;4,1,0),IF(SUM(LOOKUP(--RIGHT(OFFSET(INDIRECT(Свёртка_Перебор_2_20170602154411[[#This Row],[ССвёртка]],FALSE),0,1)),{0,1,2,3,4,5},{0,1,0,1,1,1.5}),LOOKUP(--RIGHT(OFFSET(INDIRECT(Свёртка_Перебор_2_20170602154411[[#This Row],[ССвёртка]],FALSE),0,2)),{0,1,2,3,4,5},{0,1,0,1,1,1.5}),LOOKUP(--RIGHT(OFFSET(INDIRECT(Свёртка_Перебор_2_20170602154411[[#This Row],[ССвёртка]],FALSE),0,3)),{0,1,2,3,4,5},{0,1,0,1,1,1.5}))&gt;4,1,0))&lt;&gt;0,0,1)</f>
        <v>#REF!</v>
      </c>
      <c r="CJ13" t="str">
        <f t="array" aca="1" ref="CJ13" ca="1">IFERROR(IF(SUM((MMULT(CHOOSE(RIGHT(OFFSET(INDIRECT(CONCATENATE(Свёртка_Перебор_2_20170602154411[[#This Row],[Л!]],"R",Свёртка_Перебор_2_20170602154411[[#This Row],[R!]],"C",Свёртка_Перебор_2_20170602154411[[#This Row],[C!]]),FALSE),-2,1,3,3))+1,0,1,0,1,1,1.5),{1;1;1})&gt;4)+(MMULT(TRANSPOSE(CHOOSE(RIGHT(OFFSET(INDIRECT(CONCATENATE(Свёртка_Перебор_2_20170602154411[[#This Row],[Л!]],"R",Свёртка_Перебор_2_20170602154411[[#This Row],[R!]],"C",Свёртка_Перебор_2_20170602154411[[#This Row],[C!]]),FALSE),-2,1,3,3))+1,0,1,1,0,1,1.5)),{1;1;1})&gt;4)+(SUM(CHOOSE(RIGHT(CHOOSE({1;2;3},OFFSET(INDIRECT(CONCATENATE(Свёртка_Перебор_2_20170602154411[[#This Row],[Л!]],"R",Свёртка_Перебор_2_20170602154411[[#This Row],[R!]],"C",Свёртка_Перебор_2_20170602154411[[#This Row],[C!]]),FALSE),-2,1),OFFSET(INDIRECT(CONCATENATE(Свёртка_Перебор_2_20170602154411[[#This Row],[Л!]],"R",Свёртка_Перебор_2_20170602154411[[#This Row],[R!]],"C",Свёртка_Перебор_2_20170602154411[[#This Row],[C!]]),FALSE),-1,2),OFFSET(INDIRECT(CONCATENATE(Свёртка_Перебор_2_20170602154411[[#This Row],[Л!]],"R",Свёртка_Перебор_2_20170602154411[[#This Row],[R!]],"C",Свёртка_Перебор_2_20170602154411[[#This Row],[C!]]),FALSE),0,3)))+1,0,1,1,1,1,2))&lt;&gt;3)),0,1),"!")</f>
        <v>!</v>
      </c>
      <c r="CK13" t="e">
        <f ca="1">COUNTIFS(OFFSET(INDIRECT((OFFSET(INDIRECT(Свёртка_Перебор_2_20170602154411[[#This Row],[С]],FALSE),-2,1)&amp;"!R2C2"),FALSE),,,101,101),"="&amp;(Свёртка_Перебор_2_20170602154411[[#This Row],[F]]-(1+(CHOOSE(--RIGHTB(OFFSET(INDIRECT(Свёртка_Перебор_2_20170602154411[[#This Row],[С]],FALSE),,3))+1,0,1,1,1,1,2)+CHOOSE(--RIGHTB(OFFSET(INDIRECT(Свёртка_Перебор_2_20170602154411[[#This Row],[С]],FALSE),-1,2))+1,0,1,1,1,1,2)))+1))*IF(AND(Свёртка_Перебор_2_20170602154411[[#This Row],[F]]&gt;=(1+(CHOOSE(--RIGHTB(OFFSET(INDIRECT(Свёртка_Перебор_2_20170602154411[[#This Row],[С]],FALSE),,3))+1,0,1,1,1,1,2)+CHOOSE(--RIGHTB(OFFSET(INDIRECT(Свёртка_Перебор_2_20170602154411[[#This Row],[С]],FALSE),-1,2))+1,0,1,1,1,1,2))),Свёртка_Перебор_2_20170602154411[[#This Row],[F]]&lt;=(1+(CHOOSE(--RIGHTB(OFFSET(INDIRECT(Свёртка_Перебор_2_20170602154411[[#This Row],[С]],FALSE),,3))+1,0,1,1,1,1,2)+CHOOSE(--RIGHTB(OFFSET(INDIRECT(Свёртка_Перебор_2_20170602154411[[#This Row],[С]],FALSE),-1,2))+1,0,1,1,1,1,2)+CHOOSE(--RIGHTB(OFFSET(INDIRECT(Свёртка_Перебор_2_20170602154411[[#This Row],[С]],FALSE),-2,1))+1,0,1,1,1,1,2)))),1,0)+COUNTIFS(OFFSET(INDIRECT((OFFSET(INDIRECT(Свёртка_Перебор_2_20170602154411[[#This Row],[С]],FALSE),-2,2)&amp;"!R2C2"),FALSE),,,101,101),"="&amp;(Свёртка_Перебор_2_20170602154411[[#This Row],[F]]-(1+(CHOOSE(--RIGHTB(OFFSET(INDIRECT(Свёртка_Перебор_2_20170602154411[[#This Row],[С]],FALSE),,3))+1,0,1,0,1,1,1)+CHOOSE(--RIGHTB(OFFSET(INDIRECT(Свёртка_Перебор_2_20170602154411[[#This Row],[С]],FALSE),-1,3))+1,0,1,1,1,1,2)))+1))*IF(AND(Свёртка_Перебор_2_20170602154411[[#This Row],[F]]&gt;=(1+(CHOOSE(--RIGHTB(OFFSET(INDIRECT(Свёртка_Перебор_2_20170602154411[[#This Row],[С]],FALSE),,3))+1,0,0,0,1,1,1)+CHOOSE(--RIGHTB(OFFSET(INDIRECT(Свёртка_Перебор_2_20170602154411[[#This Row],[С]],FALSE),-1,3))+1,0,1,1,1,1,2))),Свёртка_Перебор_2_20170602154411[[#This Row],[F]]&lt;=(1+(CHOOSE(--RIGHTB(OFFSET(INDIRECT(Свёртка_Перебор_2_20170602154411[[#This Row],[С]],FALSE),,3))+1,0,0,0,1,1,1)+CHOOSE(--RIGHTB(OFFSET(INDIRECT(Свёртка_Перебор_2_20170602154411[[#This Row],[С]],FALSE),-1,3))+1,0,1,1,1,1,2)+CHOOSE(--RIGHTB(OFFSET(INDIRECT(Свёртка_Перебор_2_20170602154411[[#This Row],[С]],FALSE),-2,2))+1,0,1,1,1,1,2)))),1,0)+COUNTIFS(OFFSET(INDIRECT((OFFSET(INDIRECT(Свёртка_Перебор_2_20170602154411[[#This Row],[С]],FALSE),-2,3)&amp;"!R2C2"),FALSE),,,101,101),"="&amp;(Свёртка_Перебор_2_20170602154411[[#This Row],[F]]-(1+(CHOOSE(--RIGHTB(OFFSET(INDIRECT(Свёртка_Перебор_2_20170602154411[[#This Row],[С]],FALSE),,3))+1,0,0,0,1,1,1)+CHOOSE(--RIGHTB(OFFSET(INDIRECT(Свёртка_Перебор_2_20170602154411[[#This Row],[С]],FALSE),-1,3))+1,0,0,0,1,1,1)))+1))*IF(AND(Свёртка_Перебор_2_20170602154411[[#This Row],[F]]&gt;=(1+(CHOOSE(--RIGHTB(OFFSET(INDIRECT(Свёртка_Перебор_2_20170602154411[[#This Row],[С]],FALSE),,3))+1,0,0,0,1,1,1)+CHOOSE(--RIGHTB(OFFSET(INDIRECT(Свёртка_Перебор_2_20170602154411[[#This Row],[С]],FALSE),-1,3))+1,0,0,0,1,1,1))),Свёртка_Перебор_2_20170602154411[[#This Row],[F]]&lt;=(1+(CHOOSE(--RIGHTB(OFFSET(INDIRECT(Свёртка_Перебор_2_20170602154411[[#This Row],[С]],FALSE),,3))+1,0,0,0,1,1,1)+CHOOSE(--RIGHTB(OFFSET(INDIRECT(Свёртка_Перебор_2_20170602154411[[#This Row],[С]],FALSE),-1,3))+1,0,0,0,1,1,1)+CHOOSE(--RIGHTB(OFFSET(INDIRECT(Свёртка_Перебор_2_20170602154411[[#This Row],[С]],FALSE),-2,3))+1,0,1,1,1,1,2)))),1,0)+COUNTIFS(OFFSET(INDIRECT((OFFSET(INDIRECT(Свёртка_Перебор_2_20170602154411[[#This Row],[С]],FALSE),-1,1)&amp;"!R2C2"),FALSE),,,101,101),"="&amp;(Свёртка_Перебор_2_20170602154411[[#This Row],[F]]-(1+(CHOOSE(--RIGHTB(OFFSET(INDIRECT(Свёртка_Перебор_2_20170602154411[[#This Row],[С]],FALSE),,3))+1,0,0,1,0,1,1)+CHOOSE(--RIGHTB(OFFSET(INDIRECT(Свёртка_Перебор_2_20170602154411[[#This Row],[С]],FALSE),0,2))+1,0,1,1,1,1,2)))+1))*IF(AND(Свёртка_Перебор_2_20170602154411[[#This Row],[F]]&gt;=(1+(CHOOSE(--RIGHTB(OFFSET(INDIRECT(Свёртка_Перебор_2_20170602154411[[#This Row],[С]],FALSE),,3))+1,0,0,1,0,1,1)+CHOOSE(--RIGHTB(OFFSET(INDIRECT(Свёртка_Перебор_2_20170602154411[[#This Row],[С]],FALSE),,2))+1,0,1,1,1,1,2))),Свёртка_Перебор_2_20170602154411[[#This Row],[F]]&lt;=(1+(CHOOSE(--RIGHTB(OFFSET(INDIRECT(Свёртка_Перебор_2_20170602154411[[#This Row],[С]],FALSE),,3))+1,0,0,1,0,1,1)+CHOOSE(--RIGHTB(OFFSET(INDIRECT(Свёртка_Перебор_2_20170602154411[[#This Row],[С]],FALSE),,2))+1,0,1,1,1,1,2)+CHOOSE(--RIGHTB(OFFSET(INDIRECT(Свёртка_Перебор_2_20170602154411[[#This Row],[С]],FALSE),-1,1))+1,0,1,1,1,1,2)))),1,0)+COUNTIFS(OFFSET(INDIRECT((OFFSET(INDIRECT(Свёртка_Перебор_2_20170602154411[[#This Row],[С]],FALSE),-1,2)&amp;"!R2C2"),FALSE),,,101,101),"="&amp;(Свёртка_Перебор_2_20170602154411[[#This Row],[F]]-(1+(CHOOSE(--RIGHTB(OFFSET(INDIRECT(Свёртка_Перебор_2_20170602154411[[#This Row],[С]],FALSE),,3))+1,0,1,1,1,1,2)))+1))*IF(AND(Свёртка_Перебор_2_20170602154411[[#This Row],[F]]&gt;=(1+(CHOOSE(--RIGHTB(OFFSET(INDIRECT(Свёртка_Перебор_2_20170602154411[[#This Row],[С]],FALSE),,3))+1,0,1,1,1,1,2))),Свёртка_Перебор_2_20170602154411[[#This Row],[F]]&lt;=(1+(CHOOSE(--RIGHTB(OFFSET(INDIRECT(Свёртка_Перебор_2_20170602154411[[#This Row],[С]],FALSE),,3))+1,0,1,1,1,1,2)+CHOOSE(--RIGHTB(OFFSET(INDIRECT(Свёртка_Перебор_2_20170602154411[[#This Row],[С]],FALSE),-1,2))+1,0,1,1,1,1,2)))),1,0)+COUNTIFS(OFFSET(INDIRECT((OFFSET(INDIRECT(Свёртка_Перебор_2_20170602154411[[#This Row],[С]],FALSE),-1,3)&amp;"!R2C2"),FALSE),,,101,101),"="&amp;(Свёртка_Перебор_2_20170602154411[[#This Row],[F]]-(1+(CHOOSE(--RIGHTB(OFFSET(INDIRECT(Свёртка_Перебор_2_20170602154411[[#This Row],[С]],FALSE),,3))+1,0,0,0,1,1,1)))+1))*IF(AND(Свёртка_Перебор_2_20170602154411[[#This Row],[F]]&gt;=(1+(CHOOSE(--RIGHTB(OFFSET(INDIRECT(Свёртка_Перебор_2_20170602154411[[#This Row],[С]],FALSE),,3))+1,0,0,0,1,1,1))),Свёртка_Перебор_2_20170602154411[[#This Row],[F]]&lt;=(1+(CHOOSE(--RIGHTB(OFFSET(INDIRECT(Свёртка_Перебор_2_20170602154411[[#This Row],[С]],FALSE),,3))+1,0,0,0,1,1,1)+CHOOSE(--RIGHTB(OFFSET(INDIRECT(Свёртка_Перебор_2_20170602154411[[#This Row],[С]],FALSE),-1,3))+1,0,1,1,1,1,2)))),1,0)+COUNTIFS(OFFSET(INDIRECT((OFFSET(INDIRECT(Свёртка_Перебор_2_20170602154411[[#This Row],[С]],FALSE),,1)&amp;"!R2C2"),FALSE),,,101,101),"="&amp;(Свёртка_Перебор_2_20170602154411[[#This Row],[F]]-(1+(CHOOSE(--RIGHTB(OFFSET(INDIRECT(Свёртка_Перебор_2_20170602154411[[#This Row],[С]],FALSE),,3))+1,0,0,1,0,1,1)+CHOOSE(--RIGHTB(OFFSET(INDIRECT(Свёртка_Перебор_2_20170602154411[[#This Row],[С]],FALSE),,2))+1,0,0,1,0,1,1)))+1))*IF(AND(Свёртка_Перебор_2_20170602154411[[#This Row],[F]]&gt;=(1+(CHOOSE(--RIGHTB(OFFSET(INDIRECT(Свёртка_Перебор_2_20170602154411[[#This Row],[С]],FALSE),,3))+1,0,0,1,0,1,1)+CHOOSE(--RIGHTB(OFFSET(INDIRECT(Свёртка_Перебор_2_20170602154411[[#This Row],[С]],FALSE),,2))+1,0,0,1,0,1,1))),Свёртка_Перебор_2_20170602154411[[#This Row],[F]]&lt;=(1+(CHOOSE(--RIGHTB(OFFSET(INDIRECT(Свёртка_Перебор_2_20170602154411[[#This Row],[С]],FALSE),,3))+1,0,0,1,0,1,1)+CHOOSE(--RIGHTB(OFFSET(INDIRECT(Свёртка_Перебор_2_20170602154411[[#This Row],[С]],FALSE),,2))+1,0,0,1,0,1,1)+CHOOSE(--RIGHTB(OFFSET(INDIRECT(Свёртка_Перебор_2_20170602154411[[#This Row],[С]],FALSE),,1))+1,0,1,1,1,1,2)))),1,0)+COUNTIFS(OFFSET(INDIRECT((OFFSET(INDIRECT(Свёртка_Перебор_2_20170602154411[[#This Row],[С]],FALSE),,2)&amp;"!R2C2"),FALSE),,,101,101),"="&amp;(Свёртка_Перебор_2_20170602154411[[#This Row],[F]]-(1+(CHOOSE(--RIGHTB(OFFSET(INDIRECT(Свёртка_Перебор_2_20170602154411[[#This Row],[С]],FALSE),,3))+1,0,0,1,0,1,1)))+1))*IF(AND(Свёртка_Перебор_2_20170602154411[[#This Row],[F]]&gt;=(1+(CHOOSE(--RIGHTB(OFFSET(INDIRECT(Свёртка_Перебор_2_20170602154411[[#This Row],[С]],FALSE),0,3))+1,0,0,1,0,1,1))),Свёртка_Перебор_2_20170602154411[[#This Row],[F]]&lt;=(1+(CHOOSE(--RIGHTB(OFFSET(INDIRECT(Свёртка_Перебор_2_20170602154411[[#This Row],[С]],FALSE),,3))+1,0,1,0,0,1,1)+CHOOSE(--RIGHTB(OFFSET(INDIRECT(Свёртка_Перебор_2_20170602154411[[#This Row],[С]],FALSE),,2))+1,0,1,1,1,1,2)))),1,0)+COUNTIFS(OFFSET(INDIRECT((OFFSET(INDIRECT(Свёртка_Перебор_2_20170602154411[[#This Row],[С]],FALSE),,3)&amp;"!R2C2"),FALSE),,,101,101),"="&amp;(Свёртка_Перебор_2_20170602154411[[#This Row],[F]]-1+1))*IF(AND(Свёртка_Перебор_2_20170602154411[[#This Row],[F]]&gt;=1,Свёртка_Перебор_2_20170602154411[[#This Row],[F]]&lt;=1+(CHOOSE(--RIGHTB(OFFSET(INDIRECT(Свёртка_Перебор_2_20170602154411[[#This Row],[С]],FALSE),,3))+1,0,1,1,1,1,2))),1,0)</f>
        <v>#REF!</v>
      </c>
    </row>
    <row r="14" spans="2:89" x14ac:dyDescent="0.25">
      <c r="B14" t="e">
        <f ca="1">IF(AND(Критерий_Перебор_2_20170602154411[[#This Row],[Критерий]]&lt;&gt;"",Критерий_Перебор_2_20170602154411[[#This Row],[O.K.Критерий]]=1),ROW()-ROW(Критерий_Перебор_2_20170602154411[[#Headers],[№]]),"")</f>
        <v>#REF!</v>
      </c>
      <c r="C14" s="37" t="e">
        <f>Модель!#REF!</f>
        <v>#REF!</v>
      </c>
      <c r="D14" t="str">
        <f ca="1">IFERROR(IF(AND(Критерий_Перебор_2_20170602154411[[#This Row],[Критерий]]&gt;=1,Критерий_Перебор_2_20170602154411[[#This Row],[Критерий]]&lt;=4),IF(IFERROR(FIND("!",_xlfn.FORMULATEXT(Критерий_Перебор_2_20170602154411[[#This Row],[Критерий]])),"на странице")="на странице",CONCATENATE("R",ROW((INDIRECT(RIGHT(_xlfn.FORMULATEXT(Критерий_Перебор_2_20170602154411[[#This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Row],[Критерий]]))-1),FALSE)))-D$8),CONCATENATE(RIGHT(LEFT(_xlfn.FORMULATEXT(Критерий_Перебор_2_20170602154411[[#This Row],[Критерий]]),FIND("!",_xlfn.FORMULATEXT(Критерий_Перебор_2_20170602154411[[#This Row],[Критерий]]))),LEN(LEFT(_xlfn.FORMULATEXT(Критерий_Перебор_2_20170602154411[[#This Row],[Критерий]]),FIND("!",_xlfn.FORMULATEXT(Критерий_Перебор_2_20170602154411[[#This Row],[Критерий]]))))-1),"R",ROW((INDIRECT(RIGHT(_xlfn.FORMULATEXT(Критерий_Перебор_2_20170602154411[[#This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Row],[Критерий]]))-1),FALSE)))-D$8)),"ошибка"),"ошибка")</f>
        <v>ошибка</v>
      </c>
      <c r="E14" t="str">
        <f ca="1">IFERROR(IF(LEFT(Критерий_Перебор_2_20170602154411[[#This Row],[Фкритерий]],5)="=Прив","Критерий",IF(LEFT(Критерий_Перебор_2_20170602154411[[#This Row],[Фкритерий]],5)="=Матр","ошибка","ошибка")),"ошибка")</f>
        <v>ошибка</v>
      </c>
      <c r="F14" t="str">
        <f ca="1">IFERROR(IF(LEN((INDIRECT(Критерий_Перебор_2_20170602154411[[#This Row],[СНаименование]],FALSE)))=0,"ошибка",IFERROR(INDIRECT(Критерий_Перебор_2_20170602154411[[#This Row],[СНаименование]],FALSE),"ошибка")),"ошибка")</f>
        <v>ошибка</v>
      </c>
      <c r="G14"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Row],[Скритерий]])))+G$7),FIND("R",Критерий_Перебор_2_20170602154411[[#This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Row],[Скритерий]])))+G$6),"ошибка")</f>
        <v>ошибка</v>
      </c>
      <c r="H14" t="str">
        <f ca="1">IFERROR(IF(N(INDIRECT(Критерий_Перебор_2_20170602154411[[#This Row],[СФизКритерий]],FALSE))=0,"ошибка",IFERROR(INDIRECT(Критерий_Перебор_2_20170602154411[[#This Row],[СФизКритерий]],FALSE),"ошибка")),"ошибка")</f>
        <v>ошибка</v>
      </c>
      <c r="I14"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Row],[Скритерий]])))+I$7),FIND("R",Критерий_Перебор_2_20170602154411[[#This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Row],[Скритерий]])))+I$6),"ошибка")</f>
        <v>ошибка</v>
      </c>
      <c r="J14" t="str">
        <f ca="1">IFERROR(IF(OR(INDIRECT(Критерий_Перебор_2_20170602154411[[#This Row],[СТипКритерий]],FALSE)=Перебор!$N$58,INDIRECT(Критерий_Перебор_2_20170602154411[[#This Row],[СТипКритерий]],FALSE)=Перебор!$N$59,INDIRECT(Критерий_Перебор_2_20170602154411[[#This Row],[СТипКритерий]],FALSE)=Перебор!$N$60,INDIRECT(Критерий_Перебор_2_20170602154411[[#This Row],[СТипКритерий]],FALSE)=Перебор!$N$61),INDIRECT(Критерий_Перебор_2_20170602154411[[#This Row],[СТипКритерий]],FALSE),"ошибка"),"ошибка")</f>
        <v>ошибка</v>
      </c>
      <c r="K14"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Row],[Скритерий]])))+K$7),FIND("R",Критерий_Перебор_2_20170602154411[[#This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Row],[Скритерий]])))+K$6),"ошибка")</f>
        <v>ошибка</v>
      </c>
      <c r="L14" t="str">
        <f ca="1">IFERROR(_xlfn.FORMULATEXT(INDIRECT(Критерий_Перебор_2_20170602154411[[#This Row],[Скритерий]],FALSE)),"ошибка")</f>
        <v>ошибка</v>
      </c>
      <c r="M14" t="str">
        <f ca="1">IFERROR(IF(N(INDIRECT(Критерий_Перебор_2_20170602154411[[#This Row],[СМинФизКритерий]],FALSE))=0,"ошибка",IFERROR(INDIRECT(Критерий_Перебор_2_20170602154411[[#This Row],[СМинФизКритерий]],FALSE),"ошибка")),"ошибка")</f>
        <v>ошибка</v>
      </c>
      <c r="N14"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Row],[Скритерий]])))+N$7),FIND("R",Критерий_Перебор_2_20170602154411[[#This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Row],[Скритерий]])))+N$6),"ошибка")</f>
        <v>ошибка</v>
      </c>
      <c r="O14" t="str">
        <f ca="1">IFERROR(IF(N(INDIRECT(Критерий_Перебор_2_20170602154411[[#This Row],[СМаксФизКритерий]],FALSE))=0,"ошибка",IFERROR(INDIRECT(Критерий_Перебор_2_20170602154411[[#This Row],[СМаксФизКритерий]],FALSE),"ошибка")),"ошибка")</f>
        <v>ошибка</v>
      </c>
      <c r="P14"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Row],[Скритерий]])))+P$7),FIND("R",Критерий_Перебор_2_20170602154411[[#This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Row],[Скритерий]])))+P$6),"ошибка")</f>
        <v>ошибка</v>
      </c>
      <c r="Q14" t="str">
        <f ca="1">IFERROR(IF(N(INDIRECT(Критерий_Перебор_2_20170602154411[[#This Row],[ССрФизКритерий]],FALSE))=0,"ошибка",IFERROR(INDIRECT(Критерий_Перебор_2_20170602154411[[#This Row],[ССрФизКритерий]],FALSE),"ошибка")),"")</f>
        <v/>
      </c>
      <c r="R14" t="str">
        <f ca="1">IF(OR(Критерий_Перебор_2_20170602154411[[#This Row],[ТипКритерий]]=Перебор!$N$60,Критерий_Перебор_2_20170602154411[[#This Row],[ТипКритерий]]=Перебор!$N$61),IFERROR(REPLACE(REPLACE(Критерий_Перебор_2_20170602154411[[#This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Row],[Скритерий]])))+R$7),FIND("R",Критерий_Перебор_2_20170602154411[[#This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Row],[Скритерий]])))+R$6),"ошибка"),"")</f>
        <v/>
      </c>
      <c r="S14" s="66">
        <f ca="1">IFERROR(IF(AND(Критерий_Перебор_2_20170602154411[[#This Row],[ВидКритерий]]="Критерий",Критерий_Перебор_2_20170602154411[[#This Row],[Фкритерий]]="=Приведение"),1,-1),-1)</f>
        <v>-1</v>
      </c>
      <c r="V14" t="e">
        <f ca="1">IF(AND(Свёртка_Перебор_2_20170602154411[[#This Row],[Свёртка]]&lt;&gt;"",Свёртка_Перебор_2_20170602154411[[#This Row],[O.K.Свёртка]]=1),ROW()-ROW(Свёртка_Перебор_2_20170602154411[[#Headers],[№]]),"")</f>
        <v>#REF!</v>
      </c>
      <c r="W14" s="146" t="e">
        <f>Модель!#REF!</f>
        <v>#REF!</v>
      </c>
      <c r="X14" t="str">
        <f ca="1">IFERROR(IF(AND(Свёртка_Перебор_2_20170602154411[[#This Row],[Свёртка]]&gt;=1,Свёртка_Перебор_2_20170602154411[[#This Row],[Свёртка]]&lt;=4),IF(IFERROR(FIND("!",_xlfn.FORMULATEXT(Свёртка_Перебор_2_20170602154411[[#This Row],[Свёртка]])),"на странице")="на странице",CONCATENATE("R",ROW((INDIRECT(RIGHT(_xlfn.FORMULATEXT(Свёртка_Перебор_2_20170602154411[[#This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Row],[Свёртка]]))-1),FALSE)))-X$6),CONCATENATE(RIGHT(LEFT(_xlfn.FORMULATEXT(Свёртка_Перебор_2_20170602154411[[#This Row],[Свёртка]]),FIND("!",_xlfn.FORMULATEXT(Свёртка_Перебор_2_20170602154411[[#This Row],[Свёртка]]))),LEN(LEFT(_xlfn.FORMULATEXT(Свёртка_Перебор_2_20170602154411[[#This Row],[Свёртка]]),FIND("!",_xlfn.FORMULATEXT(Свёртка_Перебор_2_20170602154411[[#This Row],[Свёртка]]))))-1),"R",ROW((INDIRECT(RIGHT(_xlfn.FORMULATEXT(Свёртка_Перебор_2_20170602154411[[#This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Row],[Свёртка]]))-1),FALSE)))-X$6)),"ошибка"),"ошибка")</f>
        <v>ошибка</v>
      </c>
      <c r="Y14" t="str">
        <f ca="1">IFERROR(_xlfn.FORMULATEXT(INDIRECT(Свёртка_Перебор_2_20170602154411[[#This Row],[ССвёртка]],FALSE)),"ошибка")</f>
        <v>ошибка</v>
      </c>
      <c r="Z14" t="str">
        <f ca="1">IFERROR(IF(LEFT(Свёртка_Перебор_2_20170602154411[[#This Row],[ФСвёртка]],5)="=Прив","ошибка",IF(LEFT(Свёртка_Перебор_2_20170602154411[[#This Row],[ФСвёртка]],5)="=Матр","Свёртка","ошибка")),"ошибка")</f>
        <v>ошибка</v>
      </c>
      <c r="AA14" t="str">
        <f ca="1">IFERROR(IF(LEN((INDIRECT(Свёртка_Перебор_2_20170602154411[[#This Row],[СНаименование]],FALSE)))=0,"ошибка",IFERROR(INDIRECT(Свёртка_Перебор_2_20170602154411[[#This Row],[СНаименование]],FALSE),"ошибка")),"ошибка")</f>
        <v>ошибка</v>
      </c>
      <c r="AB14"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Row],[ССвёртка]])))+AB$6),"ошибка")</f>
        <v>ошибка</v>
      </c>
      <c r="AC14">
        <v>1.54</v>
      </c>
      <c r="AD14" t="str">
        <f ca="1">IFERROR(IF(LEN((INDIRECT(Свёртка_Перебор_2_20170602154411[[#This Row],[ССВ_1_1]],FALSE)))=0,"ошибка",IFERROR(INDIRECT(Свёртка_Перебор_2_20170602154411[[#This Row],[ССВ_1_1]],FALSE),"ошибка")),"ошибка")</f>
        <v>ошибка</v>
      </c>
      <c r="AE14"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Row],[ССвёртка]])))+AE$7),FIND("R",Свёртка_Перебор_2_20170602154411[[#This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Row],[ССвёртка]])))+AE$6),"ошибка")</f>
        <v>ошибка</v>
      </c>
      <c r="AF14">
        <v>1</v>
      </c>
      <c r="AG14">
        <v>2</v>
      </c>
      <c r="AH14">
        <v>81</v>
      </c>
      <c r="AI14" t="str">
        <f ca="1">IFERROR(IF(LEN((INDIRECT(Свёртка_Перебор_2_20170602154411[[#This Row],[ССВ_2_1]],FALSE)))=0,"ошибка",IFERROR(INDIRECT(Свёртка_Перебор_2_20170602154411[[#This Row],[ССВ_2_1]],FALSE),"ошибка")),"ошибка")</f>
        <v>ошибка</v>
      </c>
      <c r="AJ14"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Row],[ССвёртка]])))+AJ$7),FIND("R",Свёртка_Перебор_2_20170602154411[[#This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Row],[ССвёртка]])))+AJ$6),"ошибка")</f>
        <v>ошибка</v>
      </c>
      <c r="AK14">
        <v>0</v>
      </c>
      <c r="AL14">
        <v>3</v>
      </c>
      <c r="AM14">
        <v>0</v>
      </c>
      <c r="AN14" t="str">
        <f ca="1">IFERROR(IF(LEN((INDIRECT(Свёртка_Перебор_2_20170602154411[[#This Row],[ССВ_1_2]],FALSE)))=0,"ошибка",IFERROR(INDIRECT(Свёртка_Перебор_2_20170602154411[[#This Row],[ССВ_1_2]],FALSE),"ошибка")),"ошибка")</f>
        <v>ошибка</v>
      </c>
      <c r="AO14"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Row],[ССвёртка]])))+AO$7),FIND("R",Свёртка_Перебор_2_20170602154411[[#This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Row],[ССвёртка]])))+AO$6),"ошибка")</f>
        <v>ошибка</v>
      </c>
      <c r="AP14">
        <v>0</v>
      </c>
      <c r="AQ14">
        <v>3</v>
      </c>
      <c r="AR14">
        <v>0</v>
      </c>
      <c r="AS14" t="str">
        <f ca="1">IFERROR(IF(LEN((INDIRECT(Свёртка_Перебор_2_20170602154411[[#This Row],[ССВ_2_2]],FALSE)))=0,"ошибка",IFERROR(INDIRECT(Свёртка_Перебор_2_20170602154411[[#This Row],[ССВ_2_2]],FALSE),"ошибка")),"ошибка")</f>
        <v>ошибка</v>
      </c>
      <c r="AT14"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Row],[ССвёртка]])))+AT$7),FIND("R",Свёртка_Перебор_2_20170602154411[[#This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Row],[ССвёртка]])))+AT$6),"ошибка")</f>
        <v>ошибка</v>
      </c>
      <c r="AU14">
        <v>0</v>
      </c>
      <c r="AV14">
        <v>4</v>
      </c>
      <c r="AW14">
        <v>0</v>
      </c>
      <c r="AX14" t="str">
        <f ca="1">IFERROR(IF(LEN((INDIRECT(Свёртка_Перебор_2_20170602154411[[#This Row],[ССВ_3_1]],FALSE)))=0,"ошибка",IFERROR(INDIRECT(Свёртка_Перебор_2_20170602154411[[#This Row],[ССВ_3_1]],FALSE),"ошибка")),"ошибка")</f>
        <v>ошибка</v>
      </c>
      <c r="AY14"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Row],[ССвёртка]])))+AY$6),"ошибка")</f>
        <v>ошибка</v>
      </c>
      <c r="AZ14">
        <v>0</v>
      </c>
      <c r="BA14">
        <v>4</v>
      </c>
      <c r="BB14">
        <v>0</v>
      </c>
      <c r="BC14" t="str">
        <f ca="1">IFERROR(IF(LEN((INDIRECT(Свёртка_Перебор_2_20170602154411[[#This Row],[ССВ_1_3]],FALSE)))=0,"ошибка",IFERROR(INDIRECT(Свёртка_Перебор_2_20170602154411[[#This Row],[ССВ_1_3]],FALSE),"ошибка")),"ошибка")</f>
        <v>ошибка</v>
      </c>
      <c r="BD14"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Row],[ССвёртка]])))+BD$7),FIND("R",Свёртка_Перебор_2_20170602154411[[#This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Row],[ССвёртка]])))+BD$6),"ошибка")</f>
        <v>ошибка</v>
      </c>
      <c r="BE14">
        <v>0</v>
      </c>
      <c r="BF14">
        <v>3</v>
      </c>
      <c r="BG14">
        <v>0</v>
      </c>
      <c r="BH14" t="str">
        <f ca="1">IFERROR(IF(LEN((INDIRECT(Свёртка_Перебор_2_20170602154411[[#This Row],[ССВ_3_2]],FALSE)))=0,"ошибка",IFERROR(INDIRECT(Свёртка_Перебор_2_20170602154411[[#This Row],[ССВ_3_2]],FALSE),"ошибка")),"ошибка")</f>
        <v>ошибка</v>
      </c>
      <c r="BI14"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Row],[ССвёртка]])))+BI$7),FIND("R",Свёртка_Перебор_2_20170602154411[[#This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Row],[ССвёртка]])))+BI$6),"ошибка")</f>
        <v>ошибка</v>
      </c>
      <c r="BJ14">
        <v>0</v>
      </c>
      <c r="BK14">
        <v>4</v>
      </c>
      <c r="BL14">
        <v>0</v>
      </c>
      <c r="BM14" t="str">
        <f ca="1">IFERROR(IF(LEN((INDIRECT(Свёртка_Перебор_2_20170602154411[[#This Row],[ССВ_2_3]],FALSE)))=0,"ошибка",IFERROR(INDIRECT(Свёртка_Перебор_2_20170602154411[[#This Row],[ССВ_2_3]],FALSE),"ошибка")),"ошибка")</f>
        <v>ошибка</v>
      </c>
      <c r="BN14"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Row],[ССвёртка]])))+BN$7),FIND("R",Свёртка_Перебор_2_20170602154411[[#This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Row],[ССвёртка]])))+BN$6),"ошибка")</f>
        <v>ошибка</v>
      </c>
      <c r="BO14">
        <v>0</v>
      </c>
      <c r="BP14">
        <v>4</v>
      </c>
      <c r="BQ14">
        <v>0</v>
      </c>
      <c r="BR14" t="str">
        <f ca="1">IFERROR(IF(LEN((INDIRECT(Свёртка_Перебор_2_20170602154411[[#This Row],[ССВ_3_3]],FALSE)))=0,"ошибка",IFERROR(INDIRECT(Свёртка_Перебор_2_20170602154411[[#This Row],[ССВ_3_3]],FALSE),"ошибка")),"ошибка")</f>
        <v>ошибка</v>
      </c>
      <c r="BS14"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Row],[ССвёртка]])))+BS$7),FIND("R",Свёртка_Перебор_2_20170602154411[[#This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Row],[ССвёртка]])))+BS$6),"ошибка")</f>
        <v>ошибка</v>
      </c>
      <c r="BT14">
        <v>0</v>
      </c>
      <c r="BU14">
        <v>4</v>
      </c>
      <c r="BV14">
        <v>0</v>
      </c>
      <c r="BW14">
        <f>Свёртка_Перебор_2_20170602154411[[#This Row],[ССВ_1_1_kolvo]]+Свёртка_Перебор_2_20170602154411[[#This Row],[ССВ_2_1_kolvo]]+Свёртка_Перебор_2_20170602154411[[#This Row],[ССВ_1_2_kolvo]]+Свёртка_Перебор_2_20170602154411[[#This Row],[ССВ_2_2_kolvo]]+Свёртка_Перебор_2_20170602154411[[#This Row],[ССВ_3_1_kolvo]]+Свёртка_Перебор_2_20170602154411[[#This Row],[ССВ_1_3_kolvo]]+Свёртка_Перебор_2_20170602154411[[#This Row],[ССВ_3_2_kolvo]]+Свёртка_Перебор_2_20170602154411[[#This Row],[ССВ_2_3_kolvo]]+Свёртка_Перебор_2_20170602154411[[#This Row],[ССВ_3_3_kolvo]]</f>
        <v>81</v>
      </c>
      <c r="BX14" t="str">
        <f ca="1">IFERROR(IF(LEN((INDIRECT(Свёртка_Перебор_2_20170602154411[[#This Row],[СЛ]],FALSE)))=0,"ошибка",IFERROR(INDIRECT(Свёртка_Перебор_2_20170602154411[[#This Row],[СЛ]],FALSE),"ошибка")),"ошибка")</f>
        <v>ошибка</v>
      </c>
      <c r="BY14"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Row],[ССвёртка]])))+BY$6),"ошибка")</f>
        <v>ошибка</v>
      </c>
      <c r="BZ14" t="str">
        <f ca="1">IFERROR(_xlfn.FORMULATEXT(INDIRECT(Свёртка_Перебор_2_20170602154411[[#This Row],[СЛ]],FALSE)),"ошибка")</f>
        <v>ошибка</v>
      </c>
      <c r="CA14" t="str">
        <f ca="1">IFERROR(IF(LEN((INDIRECT(Свёртка_Перебор_2_20170602154411[[#This Row],[СП]],FALSE)))=0,"ошибка",IFERROR(INDIRECT(Свёртка_Перебор_2_20170602154411[[#This Row],[СП]],FALSE),"ошибка")),"ошибка")</f>
        <v>ошибка</v>
      </c>
      <c r="CB14"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Row],[ССвёртка]])))+CB$7),FIND("R",Свёртка_Перебор_2_20170602154411[[#This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Row],[ССвёртка]])))+CB$6),"ошибка")</f>
        <v>ошибка</v>
      </c>
      <c r="CC14" t="str">
        <f ca="1">IFERROR(_xlfn.FORMULATEXT(INDIRECT(Свёртка_Перебор_2_20170602154411[[#This Row],[СП]],FALSE)),"ошибка")</f>
        <v>ошибка</v>
      </c>
      <c r="CD14" s="66">
        <f ca="1">IF(AND(Свёртка_Перебор_2_20170602154411[[#This Row],[ВидСвёртка]]="Свёртка",CONCATENATE(LEFT(Свёртка_Перебор_2_20170602154411[[#This Row],[СВ_1_1]],1),LEFT(Свёртка_Перебор_2_20170602154411[[#This Row],[СВ_2_1]],1),LEFT(Свёртка_Перебор_2_20170602154411[[#This Row],[СВ_1_2]],1),LEFT(Свёртка_Перебор_2_20170602154411[[#This Row],[СВ_2_2]],1),LEFT(Свёртка_Перебор_2_20170602154411[[#This Row],[СВ_3_1]],1),LEFT(Свёртка_Перебор_2_20170602154411[[#This Row],[СВ_1_3]],1),LEFT(Свёртка_Перебор_2_20170602154411[[#This Row],[СВ_3_2]],1),LEFT(Свёртка_Перебор_2_20170602154411[[#This Row],[СВ_2_3]],1),LEFT(Свёртка_Перебор_2_20170602154411[[#This Row],[СВ_3_3]],1))="FFFFFFFFF",AND(Свёртка_Перебор_2_20170602154411[[#This Row],[Л]]&gt;=1,Свёртка_Перебор_2_20170602154411[[#This Row],[Л]]&lt;=4),AND(Свёртка_Перебор_2_20170602154411[[#This Row],[П]]&gt;=1,Свёртка_Перебор_2_20170602154411[[#This Row],[П]]&lt;=4)),1,-1)</f>
        <v>-1</v>
      </c>
      <c r="CE14" t="e">
        <f ca="1">_xlfn.NUMBERVALUE(MID(Свёртка_Перебор_2_20170602154411[[#This Row],[ССвёртка]],SEARCH("R",Свёртка_Перебор_2_20170602154411[[#This Row],[ССвёртка]])+1,SEARCH("C",Свёртка_Перебор_2_20170602154411[[#This Row],[ССвёртка]])-SEARCH("R",Свёртка_Перебор_2_20170602154411[[#This Row],[ССвёртка]])-1))</f>
        <v>#VALUE!</v>
      </c>
      <c r="CF14" t="e">
        <f ca="1">_xlfn.NUMBERVALUE(MID(Свёртка_Перебор_2_20170602154411[[#This Row],[ССвёртка]],SEARCH("C",Свёртка_Перебор_2_20170602154411[[#This Row],[ССвёртка]])+1,LEN(Свёртка_Перебор_2_20170602154411[[#This Row],[ССвёртка]])-SEARCH("C",Свёртка_Перебор_2_20170602154411[[#This Row],[ССвёртка]])))</f>
        <v>#VALUE!</v>
      </c>
      <c r="CG14" t="str">
        <f ca="1">IF(ISERR(SEARCH("!",Свёртка_Перебор_2_20170602154411[[#This Row],[ССвёртка]])),"",LEFT(Свёртка_Перебор_2_20170602154411[[#This Row],[ССвёртка]],SEARCH("!",Свёртка_Перебор_2_20170602154411[[#This Row],[ССвёртка]])))</f>
        <v/>
      </c>
      <c r="CH14" t="str">
        <f ca="1">Свёртка_Перебор_2_20170602154411[[#This Row],[ССвёртка]]</f>
        <v>ошибка</v>
      </c>
      <c r="CI14" t="e">
        <f ca="1">IF(SUM(IF(SUM(LOOKUP(--RIGHT(OFFSET(INDIRECT(Свёртка_Перебор_2_20170602154411[[#This Row],[ССвёртка]],FALSE),-2,1)),{0,1,2,3,4,5},{0,1,1,0,1,1.5}),LOOKUP(--RIGHT(OFFSET(INDIRECT(Свёртка_Перебор_2_20170602154411[[#This Row],[ССвёртка]],FALSE),-1,1)),{0,1,2,3,4,5},{0,1,1,0,1,1.5}),LOOKUP(--RIGHT(OFFSET(INDIRECT(Свёртка_Перебор_2_20170602154411[[#This Row],[ССвёртка]],FALSE),0,1)),{0,1,2,3,4,5},{0,1,1,0,1,1.5}))&gt;4,1,0),IF(SUM(LOOKUP(--RIGHT(OFFSET(INDIRECT(Свёртка_Перебор_2_20170602154411[[#This Row],[ССвёртка]],FALSE),-2,2)),{0,1,2,3,4,5},{0,1,1,0,1,1.5}),LOOKUP(--RIGHT(OFFSET(INDIRECT(Свёртка_Перебор_2_20170602154411[[#This Row],[ССвёртка]],FALSE),-1,2)),{0,1,2,3,4,5},{0,1,1,0,1,1.5}),LOOKUP(--RIGHT(OFFSET(INDIRECT(Свёртка_Перебор_2_20170602154411[[#This Row],[ССвёртка]],FALSE),0,2)),{0,1,2,3,4,5},{0,1,1,0,1,1.5}))&gt;4,1,0),IF(SUM(LOOKUP(--RIGHT(OFFSET(INDIRECT(Свёртка_Перебор_2_20170602154411[[#This Row],[ССвёртка]],FALSE),-2,3)),{0,1,2,3,4,5},{0,1,1,0,1,1.5}),LOOKUP(--RIGHT(OFFSET(INDIRECT(Свёртка_Перебор_2_20170602154411[[#This Row],[ССвёртка]],FALSE),-1,3)),{0,1,2,3,4,5},{0,1,1,0,1,1.5}),LOOKUP(--RIGHT(OFFSET(INDIRECT(Свёртка_Перебор_2_20170602154411[[#This Row],[ССвёртка]],FALSE),0,3)),{0,1,2,3,4,5},{0,1,1,0,1,1.5}))&gt;4,1,0),IF(SUM(LOOKUP(--RIGHT(OFFSET(INDIRECT(Свёртка_Перебор_2_20170602154411[[#This Row],[ССвёртка]],FALSE),-2,1)),{0,1,2,3,4,5},{0,1,1,1,1,2}),LOOKUP(--RIGHT(OFFSET(INDIRECT(Свёртка_Перебор_2_20170602154411[[#This Row],[ССвёртка]],FALSE),-1,2)),{0,1,2,3,4,5},{0,1,1,1,1,2}),LOOKUP(--RIGHT(OFFSET(INDIRECT(Свёртка_Перебор_2_20170602154411[[#This Row],[ССвёртка]],FALSE),0,3)),{0,1,2,3,4,5},{0,1,1,1,1,2}))&lt;&gt;3,1,0),IF(SUM(LOOKUP(--RIGHT(OFFSET(INDIRECT(Свёртка_Перебор_2_20170602154411[[#This Row],[ССвёртка]],FALSE),-2,1)),{0,1,2,3,4,5},{0,1,0,1,1,1.5}),LOOKUP(--RIGHT(OFFSET(INDIRECT(Свёртка_Перебор_2_20170602154411[[#This Row],[ССвёртка]],FALSE),-2,2)),{0,1,2,3,4,5},{0,1,0,1,1,1.5}),LOOKUP(--RIGHT(OFFSET(INDIRECT(Свёртка_Перебор_2_20170602154411[[#This Row],[ССвёртка]],FALSE),-2,3)),{0,1,2,3,4,5},{0,1,0,1,1,1.5}))&gt;4,1,0),IF(SUM(LOOKUP(--RIGHT(OFFSET(INDIRECT(Свёртка_Перебор_2_20170602154411[[#This Row],[ССвёртка]],FALSE),-1,1)),{0,1,2,3,4,5},{0,1,0,1,1,1.5}),LOOKUP(--RIGHT(OFFSET(INDIRECT(Свёртка_Перебор_2_20170602154411[[#This Row],[ССвёртка]],FALSE),-1,2)),{0,1,2,3,4,5},{0,1,0,1,1,1.5}),LOOKUP(--RIGHT(OFFSET(INDIRECT(Свёртка_Перебор_2_20170602154411[[#This Row],[ССвёртка]],FALSE),-1,3)),{0,1,2,3,4,5},{0,1,0,1,1,1.5}))&gt;4,1,0),IF(SUM(LOOKUP(--RIGHT(OFFSET(INDIRECT(Свёртка_Перебор_2_20170602154411[[#This Row],[ССвёртка]],FALSE),0,1)),{0,1,2,3,4,5},{0,1,0,1,1,1.5}),LOOKUP(--RIGHT(OFFSET(INDIRECT(Свёртка_Перебор_2_20170602154411[[#This Row],[ССвёртка]],FALSE),0,2)),{0,1,2,3,4,5},{0,1,0,1,1,1.5}),LOOKUP(--RIGHT(OFFSET(INDIRECT(Свёртка_Перебор_2_20170602154411[[#This Row],[ССвёртка]],FALSE),0,3)),{0,1,2,3,4,5},{0,1,0,1,1,1.5}))&gt;4,1,0))&lt;&gt;0,0,1)</f>
        <v>#REF!</v>
      </c>
      <c r="CJ14" t="str">
        <f t="array" aca="1" ref="CJ14" ca="1">IFERROR(IF(SUM((MMULT(CHOOSE(RIGHT(OFFSET(INDIRECT(CONCATENATE(Свёртка_Перебор_2_20170602154411[[#This Row],[Л!]],"R",Свёртка_Перебор_2_20170602154411[[#This Row],[R!]],"C",Свёртка_Перебор_2_20170602154411[[#This Row],[C!]]),FALSE),-2,1,3,3))+1,0,1,0,1,1,1.5),{1;1;1})&gt;4)+(MMULT(TRANSPOSE(CHOOSE(RIGHT(OFFSET(INDIRECT(CONCATENATE(Свёртка_Перебор_2_20170602154411[[#This Row],[Л!]],"R",Свёртка_Перебор_2_20170602154411[[#This Row],[R!]],"C",Свёртка_Перебор_2_20170602154411[[#This Row],[C!]]),FALSE),-2,1,3,3))+1,0,1,1,0,1,1.5)),{1;1;1})&gt;4)+(SUM(CHOOSE(RIGHT(CHOOSE({1;2;3},OFFSET(INDIRECT(CONCATENATE(Свёртка_Перебор_2_20170602154411[[#This Row],[Л!]],"R",Свёртка_Перебор_2_20170602154411[[#This Row],[R!]],"C",Свёртка_Перебор_2_20170602154411[[#This Row],[C!]]),FALSE),-2,1),OFFSET(INDIRECT(CONCATENATE(Свёртка_Перебор_2_20170602154411[[#This Row],[Л!]],"R",Свёртка_Перебор_2_20170602154411[[#This Row],[R!]],"C",Свёртка_Перебор_2_20170602154411[[#This Row],[C!]]),FALSE),-1,2),OFFSET(INDIRECT(CONCATENATE(Свёртка_Перебор_2_20170602154411[[#This Row],[Л!]],"R",Свёртка_Перебор_2_20170602154411[[#This Row],[R!]],"C",Свёртка_Перебор_2_20170602154411[[#This Row],[C!]]),FALSE),0,3)))+1,0,1,1,1,1,2))&lt;&gt;3)),0,1),"!")</f>
        <v>!</v>
      </c>
      <c r="CK14" t="e">
        <f ca="1">COUNTIFS(OFFSET(INDIRECT((OFFSET(INDIRECT(Свёртка_Перебор_2_20170602154411[[#This Row],[С]],FALSE),-2,1)&amp;"!R2C2"),FALSE),,,101,101),"="&amp;(Свёртка_Перебор_2_20170602154411[[#This Row],[F]]-(1+(CHOOSE(--RIGHTB(OFFSET(INDIRECT(Свёртка_Перебор_2_20170602154411[[#This Row],[С]],FALSE),,3))+1,0,1,1,1,1,2)+CHOOSE(--RIGHTB(OFFSET(INDIRECT(Свёртка_Перебор_2_20170602154411[[#This Row],[С]],FALSE),-1,2))+1,0,1,1,1,1,2)))+1))*IF(AND(Свёртка_Перебор_2_20170602154411[[#This Row],[F]]&gt;=(1+(CHOOSE(--RIGHTB(OFFSET(INDIRECT(Свёртка_Перебор_2_20170602154411[[#This Row],[С]],FALSE),,3))+1,0,1,1,1,1,2)+CHOOSE(--RIGHTB(OFFSET(INDIRECT(Свёртка_Перебор_2_20170602154411[[#This Row],[С]],FALSE),-1,2))+1,0,1,1,1,1,2))),Свёртка_Перебор_2_20170602154411[[#This Row],[F]]&lt;=(1+(CHOOSE(--RIGHTB(OFFSET(INDIRECT(Свёртка_Перебор_2_20170602154411[[#This Row],[С]],FALSE),,3))+1,0,1,1,1,1,2)+CHOOSE(--RIGHTB(OFFSET(INDIRECT(Свёртка_Перебор_2_20170602154411[[#This Row],[С]],FALSE),-1,2))+1,0,1,1,1,1,2)+CHOOSE(--RIGHTB(OFFSET(INDIRECT(Свёртка_Перебор_2_20170602154411[[#This Row],[С]],FALSE),-2,1))+1,0,1,1,1,1,2)))),1,0)+COUNTIFS(OFFSET(INDIRECT((OFFSET(INDIRECT(Свёртка_Перебор_2_20170602154411[[#This Row],[С]],FALSE),-2,2)&amp;"!R2C2"),FALSE),,,101,101),"="&amp;(Свёртка_Перебор_2_20170602154411[[#This Row],[F]]-(1+(CHOOSE(--RIGHTB(OFFSET(INDIRECT(Свёртка_Перебор_2_20170602154411[[#This Row],[С]],FALSE),,3))+1,0,1,0,1,1,1)+CHOOSE(--RIGHTB(OFFSET(INDIRECT(Свёртка_Перебор_2_20170602154411[[#This Row],[С]],FALSE),-1,3))+1,0,1,1,1,1,2)))+1))*IF(AND(Свёртка_Перебор_2_20170602154411[[#This Row],[F]]&gt;=(1+(CHOOSE(--RIGHTB(OFFSET(INDIRECT(Свёртка_Перебор_2_20170602154411[[#This Row],[С]],FALSE),,3))+1,0,0,0,1,1,1)+CHOOSE(--RIGHTB(OFFSET(INDIRECT(Свёртка_Перебор_2_20170602154411[[#This Row],[С]],FALSE),-1,3))+1,0,1,1,1,1,2))),Свёртка_Перебор_2_20170602154411[[#This Row],[F]]&lt;=(1+(CHOOSE(--RIGHTB(OFFSET(INDIRECT(Свёртка_Перебор_2_20170602154411[[#This Row],[С]],FALSE),,3))+1,0,0,0,1,1,1)+CHOOSE(--RIGHTB(OFFSET(INDIRECT(Свёртка_Перебор_2_20170602154411[[#This Row],[С]],FALSE),-1,3))+1,0,1,1,1,1,2)+CHOOSE(--RIGHTB(OFFSET(INDIRECT(Свёртка_Перебор_2_20170602154411[[#This Row],[С]],FALSE),-2,2))+1,0,1,1,1,1,2)))),1,0)+COUNTIFS(OFFSET(INDIRECT((OFFSET(INDIRECT(Свёртка_Перебор_2_20170602154411[[#This Row],[С]],FALSE),-2,3)&amp;"!R2C2"),FALSE),,,101,101),"="&amp;(Свёртка_Перебор_2_20170602154411[[#This Row],[F]]-(1+(CHOOSE(--RIGHTB(OFFSET(INDIRECT(Свёртка_Перебор_2_20170602154411[[#This Row],[С]],FALSE),,3))+1,0,0,0,1,1,1)+CHOOSE(--RIGHTB(OFFSET(INDIRECT(Свёртка_Перебор_2_20170602154411[[#This Row],[С]],FALSE),-1,3))+1,0,0,0,1,1,1)))+1))*IF(AND(Свёртка_Перебор_2_20170602154411[[#This Row],[F]]&gt;=(1+(CHOOSE(--RIGHTB(OFFSET(INDIRECT(Свёртка_Перебор_2_20170602154411[[#This Row],[С]],FALSE),,3))+1,0,0,0,1,1,1)+CHOOSE(--RIGHTB(OFFSET(INDIRECT(Свёртка_Перебор_2_20170602154411[[#This Row],[С]],FALSE),-1,3))+1,0,0,0,1,1,1))),Свёртка_Перебор_2_20170602154411[[#This Row],[F]]&lt;=(1+(CHOOSE(--RIGHTB(OFFSET(INDIRECT(Свёртка_Перебор_2_20170602154411[[#This Row],[С]],FALSE),,3))+1,0,0,0,1,1,1)+CHOOSE(--RIGHTB(OFFSET(INDIRECT(Свёртка_Перебор_2_20170602154411[[#This Row],[С]],FALSE),-1,3))+1,0,0,0,1,1,1)+CHOOSE(--RIGHTB(OFFSET(INDIRECT(Свёртка_Перебор_2_20170602154411[[#This Row],[С]],FALSE),-2,3))+1,0,1,1,1,1,2)))),1,0)+COUNTIFS(OFFSET(INDIRECT((OFFSET(INDIRECT(Свёртка_Перебор_2_20170602154411[[#This Row],[С]],FALSE),-1,1)&amp;"!R2C2"),FALSE),,,101,101),"="&amp;(Свёртка_Перебор_2_20170602154411[[#This Row],[F]]-(1+(CHOOSE(--RIGHTB(OFFSET(INDIRECT(Свёртка_Перебор_2_20170602154411[[#This Row],[С]],FALSE),,3))+1,0,0,1,0,1,1)+CHOOSE(--RIGHTB(OFFSET(INDIRECT(Свёртка_Перебор_2_20170602154411[[#This Row],[С]],FALSE),0,2))+1,0,1,1,1,1,2)))+1))*IF(AND(Свёртка_Перебор_2_20170602154411[[#This Row],[F]]&gt;=(1+(CHOOSE(--RIGHTB(OFFSET(INDIRECT(Свёртка_Перебор_2_20170602154411[[#This Row],[С]],FALSE),,3))+1,0,0,1,0,1,1)+CHOOSE(--RIGHTB(OFFSET(INDIRECT(Свёртка_Перебор_2_20170602154411[[#This Row],[С]],FALSE),,2))+1,0,1,1,1,1,2))),Свёртка_Перебор_2_20170602154411[[#This Row],[F]]&lt;=(1+(CHOOSE(--RIGHTB(OFFSET(INDIRECT(Свёртка_Перебор_2_20170602154411[[#This Row],[С]],FALSE),,3))+1,0,0,1,0,1,1)+CHOOSE(--RIGHTB(OFFSET(INDIRECT(Свёртка_Перебор_2_20170602154411[[#This Row],[С]],FALSE),,2))+1,0,1,1,1,1,2)+CHOOSE(--RIGHTB(OFFSET(INDIRECT(Свёртка_Перебор_2_20170602154411[[#This Row],[С]],FALSE),-1,1))+1,0,1,1,1,1,2)))),1,0)+COUNTIFS(OFFSET(INDIRECT((OFFSET(INDIRECT(Свёртка_Перебор_2_20170602154411[[#This Row],[С]],FALSE),-1,2)&amp;"!R2C2"),FALSE),,,101,101),"="&amp;(Свёртка_Перебор_2_20170602154411[[#This Row],[F]]-(1+(CHOOSE(--RIGHTB(OFFSET(INDIRECT(Свёртка_Перебор_2_20170602154411[[#This Row],[С]],FALSE),,3))+1,0,1,1,1,1,2)))+1))*IF(AND(Свёртка_Перебор_2_20170602154411[[#This Row],[F]]&gt;=(1+(CHOOSE(--RIGHTB(OFFSET(INDIRECT(Свёртка_Перебор_2_20170602154411[[#This Row],[С]],FALSE),,3))+1,0,1,1,1,1,2))),Свёртка_Перебор_2_20170602154411[[#This Row],[F]]&lt;=(1+(CHOOSE(--RIGHTB(OFFSET(INDIRECT(Свёртка_Перебор_2_20170602154411[[#This Row],[С]],FALSE),,3))+1,0,1,1,1,1,2)+CHOOSE(--RIGHTB(OFFSET(INDIRECT(Свёртка_Перебор_2_20170602154411[[#This Row],[С]],FALSE),-1,2))+1,0,1,1,1,1,2)))),1,0)+COUNTIFS(OFFSET(INDIRECT((OFFSET(INDIRECT(Свёртка_Перебор_2_20170602154411[[#This Row],[С]],FALSE),-1,3)&amp;"!R2C2"),FALSE),,,101,101),"="&amp;(Свёртка_Перебор_2_20170602154411[[#This Row],[F]]-(1+(CHOOSE(--RIGHTB(OFFSET(INDIRECT(Свёртка_Перебор_2_20170602154411[[#This Row],[С]],FALSE),,3))+1,0,0,0,1,1,1)))+1))*IF(AND(Свёртка_Перебор_2_20170602154411[[#This Row],[F]]&gt;=(1+(CHOOSE(--RIGHTB(OFFSET(INDIRECT(Свёртка_Перебор_2_20170602154411[[#This Row],[С]],FALSE),,3))+1,0,0,0,1,1,1))),Свёртка_Перебор_2_20170602154411[[#This Row],[F]]&lt;=(1+(CHOOSE(--RIGHTB(OFFSET(INDIRECT(Свёртка_Перебор_2_20170602154411[[#This Row],[С]],FALSE),,3))+1,0,0,0,1,1,1)+CHOOSE(--RIGHTB(OFFSET(INDIRECT(Свёртка_Перебор_2_20170602154411[[#This Row],[С]],FALSE),-1,3))+1,0,1,1,1,1,2)))),1,0)+COUNTIFS(OFFSET(INDIRECT((OFFSET(INDIRECT(Свёртка_Перебор_2_20170602154411[[#This Row],[С]],FALSE),,1)&amp;"!R2C2"),FALSE),,,101,101),"="&amp;(Свёртка_Перебор_2_20170602154411[[#This Row],[F]]-(1+(CHOOSE(--RIGHTB(OFFSET(INDIRECT(Свёртка_Перебор_2_20170602154411[[#This Row],[С]],FALSE),,3))+1,0,0,1,0,1,1)+CHOOSE(--RIGHTB(OFFSET(INDIRECT(Свёртка_Перебор_2_20170602154411[[#This Row],[С]],FALSE),,2))+1,0,0,1,0,1,1)))+1))*IF(AND(Свёртка_Перебор_2_20170602154411[[#This Row],[F]]&gt;=(1+(CHOOSE(--RIGHTB(OFFSET(INDIRECT(Свёртка_Перебор_2_20170602154411[[#This Row],[С]],FALSE),,3))+1,0,0,1,0,1,1)+CHOOSE(--RIGHTB(OFFSET(INDIRECT(Свёртка_Перебор_2_20170602154411[[#This Row],[С]],FALSE),,2))+1,0,0,1,0,1,1))),Свёртка_Перебор_2_20170602154411[[#This Row],[F]]&lt;=(1+(CHOOSE(--RIGHTB(OFFSET(INDIRECT(Свёртка_Перебор_2_20170602154411[[#This Row],[С]],FALSE),,3))+1,0,0,1,0,1,1)+CHOOSE(--RIGHTB(OFFSET(INDIRECT(Свёртка_Перебор_2_20170602154411[[#This Row],[С]],FALSE),,2))+1,0,0,1,0,1,1)+CHOOSE(--RIGHTB(OFFSET(INDIRECT(Свёртка_Перебор_2_20170602154411[[#This Row],[С]],FALSE),,1))+1,0,1,1,1,1,2)))),1,0)+COUNTIFS(OFFSET(INDIRECT((OFFSET(INDIRECT(Свёртка_Перебор_2_20170602154411[[#This Row],[С]],FALSE),,2)&amp;"!R2C2"),FALSE),,,101,101),"="&amp;(Свёртка_Перебор_2_20170602154411[[#This Row],[F]]-(1+(CHOOSE(--RIGHTB(OFFSET(INDIRECT(Свёртка_Перебор_2_20170602154411[[#This Row],[С]],FALSE),,3))+1,0,0,1,0,1,1)))+1))*IF(AND(Свёртка_Перебор_2_20170602154411[[#This Row],[F]]&gt;=(1+(CHOOSE(--RIGHTB(OFFSET(INDIRECT(Свёртка_Перебор_2_20170602154411[[#This Row],[С]],FALSE),0,3))+1,0,0,1,0,1,1))),Свёртка_Перебор_2_20170602154411[[#This Row],[F]]&lt;=(1+(CHOOSE(--RIGHTB(OFFSET(INDIRECT(Свёртка_Перебор_2_20170602154411[[#This Row],[С]],FALSE),,3))+1,0,1,0,0,1,1)+CHOOSE(--RIGHTB(OFFSET(INDIRECT(Свёртка_Перебор_2_20170602154411[[#This Row],[С]],FALSE),,2))+1,0,1,1,1,1,2)))),1,0)+COUNTIFS(OFFSET(INDIRECT((OFFSET(INDIRECT(Свёртка_Перебор_2_20170602154411[[#This Row],[С]],FALSE),,3)&amp;"!R2C2"),FALSE),,,101,101),"="&amp;(Свёртка_Перебор_2_20170602154411[[#This Row],[F]]-1+1))*IF(AND(Свёртка_Перебор_2_20170602154411[[#This Row],[F]]&gt;=1,Свёртка_Перебор_2_20170602154411[[#This Row],[F]]&lt;=1+(CHOOSE(--RIGHTB(OFFSET(INDIRECT(Свёртка_Перебор_2_20170602154411[[#This Row],[С]],FALSE),,3))+1,0,1,1,1,1,2))),1,0)</f>
        <v>#REF!</v>
      </c>
    </row>
    <row r="15" spans="2:89" x14ac:dyDescent="0.25">
      <c r="B15" t="e">
        <f ca="1">IF(AND(Критерий_Перебор_2_20170602154411[[#This Row],[Критерий]]&lt;&gt;"",Критерий_Перебор_2_20170602154411[[#This Row],[O.K.Критерий]]=1),ROW()-ROW(Критерий_Перебор_2_20170602154411[[#Headers],[№]]),"")</f>
        <v>#REF!</v>
      </c>
      <c r="C15" s="37" t="e">
        <f>Модель!#REF!</f>
        <v>#REF!</v>
      </c>
      <c r="D15" t="str">
        <f ca="1">IFERROR(IF(AND(Критерий_Перебор_2_20170602154411[[#This Row],[Критерий]]&gt;=1,Критерий_Перебор_2_20170602154411[[#This Row],[Критерий]]&lt;=4),IF(IFERROR(FIND("!",_xlfn.FORMULATEXT(Критерий_Перебор_2_20170602154411[[#This Row],[Критерий]])),"на странице")="на странице",CONCATENATE("R",ROW((INDIRECT(RIGHT(_xlfn.FORMULATEXT(Критерий_Перебор_2_20170602154411[[#This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Row],[Критерий]]))-1),FALSE)))-D$8),CONCATENATE(RIGHT(LEFT(_xlfn.FORMULATEXT(Критерий_Перебор_2_20170602154411[[#This Row],[Критерий]]),FIND("!",_xlfn.FORMULATEXT(Критерий_Перебор_2_20170602154411[[#This Row],[Критерий]]))),LEN(LEFT(_xlfn.FORMULATEXT(Критерий_Перебор_2_20170602154411[[#This Row],[Критерий]]),FIND("!",_xlfn.FORMULATEXT(Критерий_Перебор_2_20170602154411[[#This Row],[Критерий]]))))-1),"R",ROW((INDIRECT(RIGHT(_xlfn.FORMULATEXT(Критерий_Перебор_2_20170602154411[[#This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Row],[Критерий]]))-1),FALSE)))-D$8)),"ошибка"),"ошибка")</f>
        <v>ошибка</v>
      </c>
      <c r="E15" t="str">
        <f ca="1">IFERROR(IF(LEFT(Критерий_Перебор_2_20170602154411[[#This Row],[Фкритерий]],5)="=Прив","Критерий",IF(LEFT(Критерий_Перебор_2_20170602154411[[#This Row],[Фкритерий]],5)="=Матр","ошибка","ошибка")),"ошибка")</f>
        <v>ошибка</v>
      </c>
      <c r="F15" t="str">
        <f ca="1">IFERROR(IF(LEN((INDIRECT(Критерий_Перебор_2_20170602154411[[#This Row],[СНаименование]],FALSE)))=0,"ошибка",IFERROR(INDIRECT(Критерий_Перебор_2_20170602154411[[#This Row],[СНаименование]],FALSE),"ошибка")),"ошибка")</f>
        <v>ошибка</v>
      </c>
      <c r="G15"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Row],[Скритерий]])))+G$7),FIND("R",Критерий_Перебор_2_20170602154411[[#This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Row],[Скритерий]])))+G$6),"ошибка")</f>
        <v>ошибка</v>
      </c>
      <c r="H15" t="str">
        <f ca="1">IFERROR(IF(N(INDIRECT(Критерий_Перебор_2_20170602154411[[#This Row],[СФизКритерий]],FALSE))=0,"ошибка",IFERROR(INDIRECT(Критерий_Перебор_2_20170602154411[[#This Row],[СФизКритерий]],FALSE),"ошибка")),"ошибка")</f>
        <v>ошибка</v>
      </c>
      <c r="I15"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Row],[Скритерий]])))+I$7),FIND("R",Критерий_Перебор_2_20170602154411[[#This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Row],[Скритерий]])))+I$6),"ошибка")</f>
        <v>ошибка</v>
      </c>
      <c r="J15" t="str">
        <f ca="1">IFERROR(IF(OR(INDIRECT(Критерий_Перебор_2_20170602154411[[#This Row],[СТипКритерий]],FALSE)=Перебор!$N$58,INDIRECT(Критерий_Перебор_2_20170602154411[[#This Row],[СТипКритерий]],FALSE)=Перебор!$N$59,INDIRECT(Критерий_Перебор_2_20170602154411[[#This Row],[СТипКритерий]],FALSE)=Перебор!$N$60,INDIRECT(Критерий_Перебор_2_20170602154411[[#This Row],[СТипКритерий]],FALSE)=Перебор!$N$61),INDIRECT(Критерий_Перебор_2_20170602154411[[#This Row],[СТипКритерий]],FALSE),"ошибка"),"ошибка")</f>
        <v>ошибка</v>
      </c>
      <c r="K15"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Row],[Скритерий]])))+K$7),FIND("R",Критерий_Перебор_2_20170602154411[[#This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Row],[Скритерий]])))+K$6),"ошибка")</f>
        <v>ошибка</v>
      </c>
      <c r="L15" t="str">
        <f ca="1">IFERROR(_xlfn.FORMULATEXT(INDIRECT(Критерий_Перебор_2_20170602154411[[#This Row],[Скритерий]],FALSE)),"ошибка")</f>
        <v>ошибка</v>
      </c>
      <c r="M15" t="str">
        <f ca="1">IFERROR(IF(N(INDIRECT(Критерий_Перебор_2_20170602154411[[#This Row],[СМинФизКритерий]],FALSE))=0,"ошибка",IFERROR(INDIRECT(Критерий_Перебор_2_20170602154411[[#This Row],[СМинФизКритерий]],FALSE),"ошибка")),"ошибка")</f>
        <v>ошибка</v>
      </c>
      <c r="N15"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Row],[Скритерий]])))+N$7),FIND("R",Критерий_Перебор_2_20170602154411[[#This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Row],[Скритерий]])))+N$6),"ошибка")</f>
        <v>ошибка</v>
      </c>
      <c r="O15" t="str">
        <f ca="1">IFERROR(IF(N(INDIRECT(Критерий_Перебор_2_20170602154411[[#This Row],[СМаксФизКритерий]],FALSE))=0,"ошибка",IFERROR(INDIRECT(Критерий_Перебор_2_20170602154411[[#This Row],[СМаксФизКритерий]],FALSE),"ошибка")),"ошибка")</f>
        <v>ошибка</v>
      </c>
      <c r="P15"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Row],[Скритерий]])))+P$7),FIND("R",Критерий_Перебор_2_20170602154411[[#This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Row],[Скритерий]])))+P$6),"ошибка")</f>
        <v>ошибка</v>
      </c>
      <c r="Q15" t="str">
        <f ca="1">IFERROR(IF(N(INDIRECT(Критерий_Перебор_2_20170602154411[[#This Row],[ССрФизКритерий]],FALSE))=0,"ошибка",IFERROR(INDIRECT(Критерий_Перебор_2_20170602154411[[#This Row],[ССрФизКритерий]],FALSE),"ошибка")),"")</f>
        <v/>
      </c>
      <c r="R15" t="str">
        <f ca="1">IF(OR(Критерий_Перебор_2_20170602154411[[#This Row],[ТипКритерий]]=Перебор!$N$60,Критерий_Перебор_2_20170602154411[[#This Row],[ТипКритерий]]=Перебор!$N$61),IFERROR(REPLACE(REPLACE(Критерий_Перебор_2_20170602154411[[#This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Row],[Скритерий]])))+R$7),FIND("R",Критерий_Перебор_2_20170602154411[[#This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Row],[Скритерий]])))+R$6),"ошибка"),"")</f>
        <v/>
      </c>
      <c r="S15" s="66">
        <f ca="1">IFERROR(IF(AND(Критерий_Перебор_2_20170602154411[[#This Row],[ВидКритерий]]="Критерий",Критерий_Перебор_2_20170602154411[[#This Row],[Фкритерий]]="=Приведение"),1,-1),-1)</f>
        <v>-1</v>
      </c>
      <c r="V15" t="e">
        <f ca="1">IF(AND(Свёртка_Перебор_2_20170602154411[[#This Row],[Свёртка]]&lt;&gt;"",Свёртка_Перебор_2_20170602154411[[#This Row],[O.K.Свёртка]]=1),ROW()-ROW(Свёртка_Перебор_2_20170602154411[[#Headers],[№]]),"")</f>
        <v>#REF!</v>
      </c>
      <c r="W15" s="146" t="e">
        <f>Модель!#REF!</f>
        <v>#REF!</v>
      </c>
      <c r="X15" t="str">
        <f ca="1">IFERROR(IF(AND(Свёртка_Перебор_2_20170602154411[[#This Row],[Свёртка]]&gt;=1,Свёртка_Перебор_2_20170602154411[[#This Row],[Свёртка]]&lt;=4),IF(IFERROR(FIND("!",_xlfn.FORMULATEXT(Свёртка_Перебор_2_20170602154411[[#This Row],[Свёртка]])),"на странице")="на странице",CONCATENATE("R",ROW((INDIRECT(RIGHT(_xlfn.FORMULATEXT(Свёртка_Перебор_2_20170602154411[[#This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Row],[Свёртка]]))-1),FALSE)))-X$6),CONCATENATE(RIGHT(LEFT(_xlfn.FORMULATEXT(Свёртка_Перебор_2_20170602154411[[#This Row],[Свёртка]]),FIND("!",_xlfn.FORMULATEXT(Свёртка_Перебор_2_20170602154411[[#This Row],[Свёртка]]))),LEN(LEFT(_xlfn.FORMULATEXT(Свёртка_Перебор_2_20170602154411[[#This Row],[Свёртка]]),FIND("!",_xlfn.FORMULATEXT(Свёртка_Перебор_2_20170602154411[[#This Row],[Свёртка]]))))-1),"R",ROW((INDIRECT(RIGHT(_xlfn.FORMULATEXT(Свёртка_Перебор_2_20170602154411[[#This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Row],[Свёртка]]))-1),FALSE)))-X$6)),"ошибка"),"ошибка")</f>
        <v>ошибка</v>
      </c>
      <c r="Y15" t="str">
        <f ca="1">IFERROR(_xlfn.FORMULATEXT(INDIRECT(Свёртка_Перебор_2_20170602154411[[#This Row],[ССвёртка]],FALSE)),"ошибка")</f>
        <v>ошибка</v>
      </c>
      <c r="Z15" t="str">
        <f ca="1">IFERROR(IF(LEFT(Свёртка_Перебор_2_20170602154411[[#This Row],[ФСвёртка]],5)="=Прив","ошибка",IF(LEFT(Свёртка_Перебор_2_20170602154411[[#This Row],[ФСвёртка]],5)="=Матр","Свёртка","ошибка")),"ошибка")</f>
        <v>ошибка</v>
      </c>
      <c r="AA15" t="str">
        <f ca="1">IFERROR(IF(LEN((INDIRECT(Свёртка_Перебор_2_20170602154411[[#This Row],[СНаименование]],FALSE)))=0,"ошибка",IFERROR(INDIRECT(Свёртка_Перебор_2_20170602154411[[#This Row],[СНаименование]],FALSE),"ошибка")),"ошибка")</f>
        <v>ошибка</v>
      </c>
      <c r="AB15"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Row],[ССвёртка]])))+AB$6),"ошибка")</f>
        <v>ошибка</v>
      </c>
      <c r="AC15">
        <v>3.19</v>
      </c>
      <c r="AD15" t="str">
        <f ca="1">IFERROR(IF(LEN((INDIRECT(Свёртка_Перебор_2_20170602154411[[#This Row],[ССВ_1_1]],FALSE)))=0,"ошибка",IFERROR(INDIRECT(Свёртка_Перебор_2_20170602154411[[#This Row],[ССВ_1_1]],FALSE),"ошибка")),"ошибка")</f>
        <v>ошибка</v>
      </c>
      <c r="AE15"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Row],[ССвёртка]])))+AE$7),FIND("R",Свёртка_Перебор_2_20170602154411[[#This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Row],[ССвёртка]])))+AE$6),"ошибка")</f>
        <v>ошибка</v>
      </c>
      <c r="AF15">
        <v>0</v>
      </c>
      <c r="AG15">
        <v>2</v>
      </c>
      <c r="AH15">
        <v>0</v>
      </c>
      <c r="AI15" t="str">
        <f ca="1">IFERROR(IF(LEN((INDIRECT(Свёртка_Перебор_2_20170602154411[[#This Row],[ССВ_2_1]],FALSE)))=0,"ошибка",IFERROR(INDIRECT(Свёртка_Перебор_2_20170602154411[[#This Row],[ССВ_2_1]],FALSE),"ошибка")),"ошибка")</f>
        <v>ошибка</v>
      </c>
      <c r="AJ15"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Row],[ССвёртка]])))+AJ$7),FIND("R",Свёртка_Перебор_2_20170602154411[[#This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Row],[ССвёртка]])))+AJ$6),"ошибка")</f>
        <v>ошибка</v>
      </c>
      <c r="AK15">
        <v>0</v>
      </c>
      <c r="AL15">
        <v>2</v>
      </c>
      <c r="AM15">
        <v>0</v>
      </c>
      <c r="AN15" t="str">
        <f ca="1">IFERROR(IF(LEN((INDIRECT(Свёртка_Перебор_2_20170602154411[[#This Row],[ССВ_1_2]],FALSE)))=0,"ошибка",IFERROR(INDIRECT(Свёртка_Перебор_2_20170602154411[[#This Row],[ССВ_1_2]],FALSE),"ошибка")),"ошибка")</f>
        <v>ошибка</v>
      </c>
      <c r="AO15"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Row],[ССвёртка]])))+AO$7),FIND("R",Свёртка_Перебор_2_20170602154411[[#This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Row],[ССвёртка]])))+AO$6),"ошибка")</f>
        <v>ошибка</v>
      </c>
      <c r="AP15">
        <v>1</v>
      </c>
      <c r="AQ15">
        <v>3</v>
      </c>
      <c r="AR15">
        <v>4</v>
      </c>
      <c r="AS15" t="str">
        <f ca="1">IFERROR(IF(LEN((INDIRECT(Свёртка_Перебор_2_20170602154411[[#This Row],[ССВ_2_2]],FALSE)))=0,"ошибка",IFERROR(INDIRECT(Свёртка_Перебор_2_20170602154411[[#This Row],[ССВ_2_2]],FALSE),"ошибка")),"ошибка")</f>
        <v>ошибка</v>
      </c>
      <c r="AT15"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Row],[ССвёртка]])))+AT$7),FIND("R",Свёртка_Перебор_2_20170602154411[[#This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Row],[ССвёртка]])))+AT$6),"ошибка")</f>
        <v>ошибка</v>
      </c>
      <c r="AU15">
        <v>1</v>
      </c>
      <c r="AV15">
        <v>3</v>
      </c>
      <c r="AW15">
        <v>81</v>
      </c>
      <c r="AX15" t="str">
        <f ca="1">IFERROR(IF(LEN((INDIRECT(Свёртка_Перебор_2_20170602154411[[#This Row],[ССВ_3_1]],FALSE)))=0,"ошибка",IFERROR(INDIRECT(Свёртка_Перебор_2_20170602154411[[#This Row],[ССВ_3_1]],FALSE),"ошибка")),"ошибка")</f>
        <v>ошибка</v>
      </c>
      <c r="AY15"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Row],[ССвёртка]])))+AY$6),"ошибка")</f>
        <v>ошибка</v>
      </c>
      <c r="AZ15">
        <v>1</v>
      </c>
      <c r="BA15">
        <v>3</v>
      </c>
      <c r="BB15">
        <v>9</v>
      </c>
      <c r="BC15" t="str">
        <f ca="1">IFERROR(IF(LEN((INDIRECT(Свёртка_Перебор_2_20170602154411[[#This Row],[ССВ_1_3]],FALSE)))=0,"ошибка",IFERROR(INDIRECT(Свёртка_Перебор_2_20170602154411[[#This Row],[ССВ_1_3]],FALSE),"ошибка")),"ошибка")</f>
        <v>ошибка</v>
      </c>
      <c r="BD15"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Row],[ССвёртка]])))+BD$7),FIND("R",Свёртка_Перебор_2_20170602154411[[#This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Row],[ССвёртка]])))+BD$6),"ошибка")</f>
        <v>ошибка</v>
      </c>
      <c r="BE15">
        <v>1</v>
      </c>
      <c r="BF15">
        <v>3</v>
      </c>
      <c r="BG15">
        <v>81</v>
      </c>
      <c r="BH15" t="str">
        <f ca="1">IFERROR(IF(LEN((INDIRECT(Свёртка_Перебор_2_20170602154411[[#This Row],[ССВ_3_2]],FALSE)))=0,"ошибка",IFERROR(INDIRECT(Свёртка_Перебор_2_20170602154411[[#This Row],[ССВ_3_2]],FALSE),"ошибка")),"ошибка")</f>
        <v>ошибка</v>
      </c>
      <c r="BI15"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Row],[ССвёртка]])))+BI$7),FIND("R",Свёртка_Перебор_2_20170602154411[[#This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Row],[ССвёртка]])))+BI$6),"ошибка")</f>
        <v>ошибка</v>
      </c>
      <c r="BJ15">
        <v>1</v>
      </c>
      <c r="BK15">
        <v>4</v>
      </c>
      <c r="BL15">
        <v>119</v>
      </c>
      <c r="BM15" t="str">
        <f ca="1">IFERROR(IF(LEN((INDIRECT(Свёртка_Перебор_2_20170602154411[[#This Row],[ССВ_2_3]],FALSE)))=0,"ошибка",IFERROR(INDIRECT(Свёртка_Перебор_2_20170602154411[[#This Row],[ССВ_2_3]],FALSE),"ошибка")),"ошибка")</f>
        <v>ошибка</v>
      </c>
      <c r="BN15"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Row],[ССвёртка]])))+BN$7),FIND("R",Свёртка_Перебор_2_20170602154411[[#This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Row],[ССвёртка]])))+BN$6),"ошибка")</f>
        <v>ошибка</v>
      </c>
      <c r="BO15">
        <v>0</v>
      </c>
      <c r="BP15">
        <v>4</v>
      </c>
      <c r="BQ15">
        <v>0</v>
      </c>
      <c r="BR15" t="str">
        <f ca="1">IFERROR(IF(LEN((INDIRECT(Свёртка_Перебор_2_20170602154411[[#This Row],[ССВ_3_3]],FALSE)))=0,"ошибка",IFERROR(INDIRECT(Свёртка_Перебор_2_20170602154411[[#This Row],[ССВ_3_3]],FALSE),"ошибка")),"ошибка")</f>
        <v>ошибка</v>
      </c>
      <c r="BS15"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Row],[ССвёртка]])))+BS$7),FIND("R",Свёртка_Перебор_2_20170602154411[[#This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Row],[ССвёртка]])))+BS$6),"ошибка")</f>
        <v>ошибка</v>
      </c>
      <c r="BT15">
        <v>0</v>
      </c>
      <c r="BU15">
        <v>4</v>
      </c>
      <c r="BV15">
        <v>0</v>
      </c>
      <c r="BW15">
        <f>Свёртка_Перебор_2_20170602154411[[#This Row],[ССВ_1_1_kolvo]]+Свёртка_Перебор_2_20170602154411[[#This Row],[ССВ_2_1_kolvo]]+Свёртка_Перебор_2_20170602154411[[#This Row],[ССВ_1_2_kolvo]]+Свёртка_Перебор_2_20170602154411[[#This Row],[ССВ_2_2_kolvo]]+Свёртка_Перебор_2_20170602154411[[#This Row],[ССВ_3_1_kolvo]]+Свёртка_Перебор_2_20170602154411[[#This Row],[ССВ_1_3_kolvo]]+Свёртка_Перебор_2_20170602154411[[#This Row],[ССВ_3_2_kolvo]]+Свёртка_Перебор_2_20170602154411[[#This Row],[ССВ_2_3_kolvo]]+Свёртка_Перебор_2_20170602154411[[#This Row],[ССВ_3_3_kolvo]]</f>
        <v>294</v>
      </c>
      <c r="BX15" t="str">
        <f ca="1">IFERROR(IF(LEN((INDIRECT(Свёртка_Перебор_2_20170602154411[[#This Row],[СЛ]],FALSE)))=0,"ошибка",IFERROR(INDIRECT(Свёртка_Перебор_2_20170602154411[[#This Row],[СЛ]],FALSE),"ошибка")),"ошибка")</f>
        <v>ошибка</v>
      </c>
      <c r="BY15"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Row],[ССвёртка]])))+BY$6),"ошибка")</f>
        <v>ошибка</v>
      </c>
      <c r="BZ15" t="str">
        <f ca="1">IFERROR(_xlfn.FORMULATEXT(INDIRECT(Свёртка_Перебор_2_20170602154411[[#This Row],[СЛ]],FALSE)),"ошибка")</f>
        <v>ошибка</v>
      </c>
      <c r="CA15" t="str">
        <f ca="1">IFERROR(IF(LEN((INDIRECT(Свёртка_Перебор_2_20170602154411[[#This Row],[СП]],FALSE)))=0,"ошибка",IFERROR(INDIRECT(Свёртка_Перебор_2_20170602154411[[#This Row],[СП]],FALSE),"ошибка")),"ошибка")</f>
        <v>ошибка</v>
      </c>
      <c r="CB15"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Row],[ССвёртка]])))+CB$7),FIND("R",Свёртка_Перебор_2_20170602154411[[#This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Row],[ССвёртка]])))+CB$6),"ошибка")</f>
        <v>ошибка</v>
      </c>
      <c r="CC15" t="str">
        <f ca="1">IFERROR(_xlfn.FORMULATEXT(INDIRECT(Свёртка_Перебор_2_20170602154411[[#This Row],[СП]],FALSE)),"ошибка")</f>
        <v>ошибка</v>
      </c>
      <c r="CD15" s="66">
        <f ca="1">IF(AND(Свёртка_Перебор_2_20170602154411[[#This Row],[ВидСвёртка]]="Свёртка",CONCATENATE(LEFT(Свёртка_Перебор_2_20170602154411[[#This Row],[СВ_1_1]],1),LEFT(Свёртка_Перебор_2_20170602154411[[#This Row],[СВ_2_1]],1),LEFT(Свёртка_Перебор_2_20170602154411[[#This Row],[СВ_1_2]],1),LEFT(Свёртка_Перебор_2_20170602154411[[#This Row],[СВ_2_2]],1),LEFT(Свёртка_Перебор_2_20170602154411[[#This Row],[СВ_3_1]],1),LEFT(Свёртка_Перебор_2_20170602154411[[#This Row],[СВ_1_3]],1),LEFT(Свёртка_Перебор_2_20170602154411[[#This Row],[СВ_3_2]],1),LEFT(Свёртка_Перебор_2_20170602154411[[#This Row],[СВ_2_3]],1),LEFT(Свёртка_Перебор_2_20170602154411[[#This Row],[СВ_3_3]],1))="FFFFFFFFF",AND(Свёртка_Перебор_2_20170602154411[[#This Row],[Л]]&gt;=1,Свёртка_Перебор_2_20170602154411[[#This Row],[Л]]&lt;=4),AND(Свёртка_Перебор_2_20170602154411[[#This Row],[П]]&gt;=1,Свёртка_Перебор_2_20170602154411[[#This Row],[П]]&lt;=4)),1,-1)</f>
        <v>-1</v>
      </c>
      <c r="CE15" t="e">
        <f ca="1">_xlfn.NUMBERVALUE(MID(Свёртка_Перебор_2_20170602154411[[#This Row],[ССвёртка]],SEARCH("R",Свёртка_Перебор_2_20170602154411[[#This Row],[ССвёртка]])+1,SEARCH("C",Свёртка_Перебор_2_20170602154411[[#This Row],[ССвёртка]])-SEARCH("R",Свёртка_Перебор_2_20170602154411[[#This Row],[ССвёртка]])-1))</f>
        <v>#VALUE!</v>
      </c>
      <c r="CF15" t="e">
        <f ca="1">_xlfn.NUMBERVALUE(MID(Свёртка_Перебор_2_20170602154411[[#This Row],[ССвёртка]],SEARCH("C",Свёртка_Перебор_2_20170602154411[[#This Row],[ССвёртка]])+1,LEN(Свёртка_Перебор_2_20170602154411[[#This Row],[ССвёртка]])-SEARCH("C",Свёртка_Перебор_2_20170602154411[[#This Row],[ССвёртка]])))</f>
        <v>#VALUE!</v>
      </c>
      <c r="CG15" t="str">
        <f ca="1">IF(ISERR(SEARCH("!",Свёртка_Перебор_2_20170602154411[[#This Row],[ССвёртка]])),"",LEFT(Свёртка_Перебор_2_20170602154411[[#This Row],[ССвёртка]],SEARCH("!",Свёртка_Перебор_2_20170602154411[[#This Row],[ССвёртка]])))</f>
        <v/>
      </c>
      <c r="CH15" t="str">
        <f ca="1">Свёртка_Перебор_2_20170602154411[[#This Row],[ССвёртка]]</f>
        <v>ошибка</v>
      </c>
      <c r="CI15" t="e">
        <f ca="1">IF(SUM(IF(SUM(LOOKUP(--RIGHT(OFFSET(INDIRECT(Свёртка_Перебор_2_20170602154411[[#This Row],[ССвёртка]],FALSE),-2,1)),{0,1,2,3,4,5},{0,1,1,0,1,1.5}),LOOKUP(--RIGHT(OFFSET(INDIRECT(Свёртка_Перебор_2_20170602154411[[#This Row],[ССвёртка]],FALSE),-1,1)),{0,1,2,3,4,5},{0,1,1,0,1,1.5}),LOOKUP(--RIGHT(OFFSET(INDIRECT(Свёртка_Перебор_2_20170602154411[[#This Row],[ССвёртка]],FALSE),0,1)),{0,1,2,3,4,5},{0,1,1,0,1,1.5}))&gt;4,1,0),IF(SUM(LOOKUP(--RIGHT(OFFSET(INDIRECT(Свёртка_Перебор_2_20170602154411[[#This Row],[ССвёртка]],FALSE),-2,2)),{0,1,2,3,4,5},{0,1,1,0,1,1.5}),LOOKUP(--RIGHT(OFFSET(INDIRECT(Свёртка_Перебор_2_20170602154411[[#This Row],[ССвёртка]],FALSE),-1,2)),{0,1,2,3,4,5},{0,1,1,0,1,1.5}),LOOKUP(--RIGHT(OFFSET(INDIRECT(Свёртка_Перебор_2_20170602154411[[#This Row],[ССвёртка]],FALSE),0,2)),{0,1,2,3,4,5},{0,1,1,0,1,1.5}))&gt;4,1,0),IF(SUM(LOOKUP(--RIGHT(OFFSET(INDIRECT(Свёртка_Перебор_2_20170602154411[[#This Row],[ССвёртка]],FALSE),-2,3)),{0,1,2,3,4,5},{0,1,1,0,1,1.5}),LOOKUP(--RIGHT(OFFSET(INDIRECT(Свёртка_Перебор_2_20170602154411[[#This Row],[ССвёртка]],FALSE),-1,3)),{0,1,2,3,4,5},{0,1,1,0,1,1.5}),LOOKUP(--RIGHT(OFFSET(INDIRECT(Свёртка_Перебор_2_20170602154411[[#This Row],[ССвёртка]],FALSE),0,3)),{0,1,2,3,4,5},{0,1,1,0,1,1.5}))&gt;4,1,0),IF(SUM(LOOKUP(--RIGHT(OFFSET(INDIRECT(Свёртка_Перебор_2_20170602154411[[#This Row],[ССвёртка]],FALSE),-2,1)),{0,1,2,3,4,5},{0,1,1,1,1,2}),LOOKUP(--RIGHT(OFFSET(INDIRECT(Свёртка_Перебор_2_20170602154411[[#This Row],[ССвёртка]],FALSE),-1,2)),{0,1,2,3,4,5},{0,1,1,1,1,2}),LOOKUP(--RIGHT(OFFSET(INDIRECT(Свёртка_Перебор_2_20170602154411[[#This Row],[ССвёртка]],FALSE),0,3)),{0,1,2,3,4,5},{0,1,1,1,1,2}))&lt;&gt;3,1,0),IF(SUM(LOOKUP(--RIGHT(OFFSET(INDIRECT(Свёртка_Перебор_2_20170602154411[[#This Row],[ССвёртка]],FALSE),-2,1)),{0,1,2,3,4,5},{0,1,0,1,1,1.5}),LOOKUP(--RIGHT(OFFSET(INDIRECT(Свёртка_Перебор_2_20170602154411[[#This Row],[ССвёртка]],FALSE),-2,2)),{0,1,2,3,4,5},{0,1,0,1,1,1.5}),LOOKUP(--RIGHT(OFFSET(INDIRECT(Свёртка_Перебор_2_20170602154411[[#This Row],[ССвёртка]],FALSE),-2,3)),{0,1,2,3,4,5},{0,1,0,1,1,1.5}))&gt;4,1,0),IF(SUM(LOOKUP(--RIGHT(OFFSET(INDIRECT(Свёртка_Перебор_2_20170602154411[[#This Row],[ССвёртка]],FALSE),-1,1)),{0,1,2,3,4,5},{0,1,0,1,1,1.5}),LOOKUP(--RIGHT(OFFSET(INDIRECT(Свёртка_Перебор_2_20170602154411[[#This Row],[ССвёртка]],FALSE),-1,2)),{0,1,2,3,4,5},{0,1,0,1,1,1.5}),LOOKUP(--RIGHT(OFFSET(INDIRECT(Свёртка_Перебор_2_20170602154411[[#This Row],[ССвёртка]],FALSE),-1,3)),{0,1,2,3,4,5},{0,1,0,1,1,1.5}))&gt;4,1,0),IF(SUM(LOOKUP(--RIGHT(OFFSET(INDIRECT(Свёртка_Перебор_2_20170602154411[[#This Row],[ССвёртка]],FALSE),0,1)),{0,1,2,3,4,5},{0,1,0,1,1,1.5}),LOOKUP(--RIGHT(OFFSET(INDIRECT(Свёртка_Перебор_2_20170602154411[[#This Row],[ССвёртка]],FALSE),0,2)),{0,1,2,3,4,5},{0,1,0,1,1,1.5}),LOOKUP(--RIGHT(OFFSET(INDIRECT(Свёртка_Перебор_2_20170602154411[[#This Row],[ССвёртка]],FALSE),0,3)),{0,1,2,3,4,5},{0,1,0,1,1,1.5}))&gt;4,1,0))&lt;&gt;0,0,1)</f>
        <v>#REF!</v>
      </c>
      <c r="CJ15" t="str">
        <f t="array" aca="1" ref="CJ15" ca="1">IFERROR(IF(SUM((MMULT(CHOOSE(RIGHT(OFFSET(INDIRECT(CONCATENATE(Свёртка_Перебор_2_20170602154411[[#This Row],[Л!]],"R",Свёртка_Перебор_2_20170602154411[[#This Row],[R!]],"C",Свёртка_Перебор_2_20170602154411[[#This Row],[C!]]),FALSE),-2,1,3,3))+1,0,1,0,1,1,1.5),{1;1;1})&gt;4)+(MMULT(TRANSPOSE(CHOOSE(RIGHT(OFFSET(INDIRECT(CONCATENATE(Свёртка_Перебор_2_20170602154411[[#This Row],[Л!]],"R",Свёртка_Перебор_2_20170602154411[[#This Row],[R!]],"C",Свёртка_Перебор_2_20170602154411[[#This Row],[C!]]),FALSE),-2,1,3,3))+1,0,1,1,0,1,1.5)),{1;1;1})&gt;4)+(SUM(CHOOSE(RIGHT(CHOOSE({1;2;3},OFFSET(INDIRECT(CONCATENATE(Свёртка_Перебор_2_20170602154411[[#This Row],[Л!]],"R",Свёртка_Перебор_2_20170602154411[[#This Row],[R!]],"C",Свёртка_Перебор_2_20170602154411[[#This Row],[C!]]),FALSE),-2,1),OFFSET(INDIRECT(CONCATENATE(Свёртка_Перебор_2_20170602154411[[#This Row],[Л!]],"R",Свёртка_Перебор_2_20170602154411[[#This Row],[R!]],"C",Свёртка_Перебор_2_20170602154411[[#This Row],[C!]]),FALSE),-1,2),OFFSET(INDIRECT(CONCATENATE(Свёртка_Перебор_2_20170602154411[[#This Row],[Л!]],"R",Свёртка_Перебор_2_20170602154411[[#This Row],[R!]],"C",Свёртка_Перебор_2_20170602154411[[#This Row],[C!]]),FALSE),0,3)))+1,0,1,1,1,1,2))&lt;&gt;3)),0,1),"!")</f>
        <v>!</v>
      </c>
      <c r="CK15" t="e">
        <f ca="1">COUNTIFS(OFFSET(INDIRECT((OFFSET(INDIRECT(Свёртка_Перебор_2_20170602154411[[#This Row],[С]],FALSE),-2,1)&amp;"!R2C2"),FALSE),,,101,101),"="&amp;(Свёртка_Перебор_2_20170602154411[[#This Row],[F]]-(1+(CHOOSE(--RIGHTB(OFFSET(INDIRECT(Свёртка_Перебор_2_20170602154411[[#This Row],[С]],FALSE),,3))+1,0,1,1,1,1,2)+CHOOSE(--RIGHTB(OFFSET(INDIRECT(Свёртка_Перебор_2_20170602154411[[#This Row],[С]],FALSE),-1,2))+1,0,1,1,1,1,2)))+1))*IF(AND(Свёртка_Перебор_2_20170602154411[[#This Row],[F]]&gt;=(1+(CHOOSE(--RIGHTB(OFFSET(INDIRECT(Свёртка_Перебор_2_20170602154411[[#This Row],[С]],FALSE),,3))+1,0,1,1,1,1,2)+CHOOSE(--RIGHTB(OFFSET(INDIRECT(Свёртка_Перебор_2_20170602154411[[#This Row],[С]],FALSE),-1,2))+1,0,1,1,1,1,2))),Свёртка_Перебор_2_20170602154411[[#This Row],[F]]&lt;=(1+(CHOOSE(--RIGHTB(OFFSET(INDIRECT(Свёртка_Перебор_2_20170602154411[[#This Row],[С]],FALSE),,3))+1,0,1,1,1,1,2)+CHOOSE(--RIGHTB(OFFSET(INDIRECT(Свёртка_Перебор_2_20170602154411[[#This Row],[С]],FALSE),-1,2))+1,0,1,1,1,1,2)+CHOOSE(--RIGHTB(OFFSET(INDIRECT(Свёртка_Перебор_2_20170602154411[[#This Row],[С]],FALSE),-2,1))+1,0,1,1,1,1,2)))),1,0)+COUNTIFS(OFFSET(INDIRECT((OFFSET(INDIRECT(Свёртка_Перебор_2_20170602154411[[#This Row],[С]],FALSE),-2,2)&amp;"!R2C2"),FALSE),,,101,101),"="&amp;(Свёртка_Перебор_2_20170602154411[[#This Row],[F]]-(1+(CHOOSE(--RIGHTB(OFFSET(INDIRECT(Свёртка_Перебор_2_20170602154411[[#This Row],[С]],FALSE),,3))+1,0,1,0,1,1,1)+CHOOSE(--RIGHTB(OFFSET(INDIRECT(Свёртка_Перебор_2_20170602154411[[#This Row],[С]],FALSE),-1,3))+1,0,1,1,1,1,2)))+1))*IF(AND(Свёртка_Перебор_2_20170602154411[[#This Row],[F]]&gt;=(1+(CHOOSE(--RIGHTB(OFFSET(INDIRECT(Свёртка_Перебор_2_20170602154411[[#This Row],[С]],FALSE),,3))+1,0,0,0,1,1,1)+CHOOSE(--RIGHTB(OFFSET(INDIRECT(Свёртка_Перебор_2_20170602154411[[#This Row],[С]],FALSE),-1,3))+1,0,1,1,1,1,2))),Свёртка_Перебор_2_20170602154411[[#This Row],[F]]&lt;=(1+(CHOOSE(--RIGHTB(OFFSET(INDIRECT(Свёртка_Перебор_2_20170602154411[[#This Row],[С]],FALSE),,3))+1,0,0,0,1,1,1)+CHOOSE(--RIGHTB(OFFSET(INDIRECT(Свёртка_Перебор_2_20170602154411[[#This Row],[С]],FALSE),-1,3))+1,0,1,1,1,1,2)+CHOOSE(--RIGHTB(OFFSET(INDIRECT(Свёртка_Перебор_2_20170602154411[[#This Row],[С]],FALSE),-2,2))+1,0,1,1,1,1,2)))),1,0)+COUNTIFS(OFFSET(INDIRECT((OFFSET(INDIRECT(Свёртка_Перебор_2_20170602154411[[#This Row],[С]],FALSE),-2,3)&amp;"!R2C2"),FALSE),,,101,101),"="&amp;(Свёртка_Перебор_2_20170602154411[[#This Row],[F]]-(1+(CHOOSE(--RIGHTB(OFFSET(INDIRECT(Свёртка_Перебор_2_20170602154411[[#This Row],[С]],FALSE),,3))+1,0,0,0,1,1,1)+CHOOSE(--RIGHTB(OFFSET(INDIRECT(Свёртка_Перебор_2_20170602154411[[#This Row],[С]],FALSE),-1,3))+1,0,0,0,1,1,1)))+1))*IF(AND(Свёртка_Перебор_2_20170602154411[[#This Row],[F]]&gt;=(1+(CHOOSE(--RIGHTB(OFFSET(INDIRECT(Свёртка_Перебор_2_20170602154411[[#This Row],[С]],FALSE),,3))+1,0,0,0,1,1,1)+CHOOSE(--RIGHTB(OFFSET(INDIRECT(Свёртка_Перебор_2_20170602154411[[#This Row],[С]],FALSE),-1,3))+1,0,0,0,1,1,1))),Свёртка_Перебор_2_20170602154411[[#This Row],[F]]&lt;=(1+(CHOOSE(--RIGHTB(OFFSET(INDIRECT(Свёртка_Перебор_2_20170602154411[[#This Row],[С]],FALSE),,3))+1,0,0,0,1,1,1)+CHOOSE(--RIGHTB(OFFSET(INDIRECT(Свёртка_Перебор_2_20170602154411[[#This Row],[С]],FALSE),-1,3))+1,0,0,0,1,1,1)+CHOOSE(--RIGHTB(OFFSET(INDIRECT(Свёртка_Перебор_2_20170602154411[[#This Row],[С]],FALSE),-2,3))+1,0,1,1,1,1,2)))),1,0)+COUNTIFS(OFFSET(INDIRECT((OFFSET(INDIRECT(Свёртка_Перебор_2_20170602154411[[#This Row],[С]],FALSE),-1,1)&amp;"!R2C2"),FALSE),,,101,101),"="&amp;(Свёртка_Перебор_2_20170602154411[[#This Row],[F]]-(1+(CHOOSE(--RIGHTB(OFFSET(INDIRECT(Свёртка_Перебор_2_20170602154411[[#This Row],[С]],FALSE),,3))+1,0,0,1,0,1,1)+CHOOSE(--RIGHTB(OFFSET(INDIRECT(Свёртка_Перебор_2_20170602154411[[#This Row],[С]],FALSE),0,2))+1,0,1,1,1,1,2)))+1))*IF(AND(Свёртка_Перебор_2_20170602154411[[#This Row],[F]]&gt;=(1+(CHOOSE(--RIGHTB(OFFSET(INDIRECT(Свёртка_Перебор_2_20170602154411[[#This Row],[С]],FALSE),,3))+1,0,0,1,0,1,1)+CHOOSE(--RIGHTB(OFFSET(INDIRECT(Свёртка_Перебор_2_20170602154411[[#This Row],[С]],FALSE),,2))+1,0,1,1,1,1,2))),Свёртка_Перебор_2_20170602154411[[#This Row],[F]]&lt;=(1+(CHOOSE(--RIGHTB(OFFSET(INDIRECT(Свёртка_Перебор_2_20170602154411[[#This Row],[С]],FALSE),,3))+1,0,0,1,0,1,1)+CHOOSE(--RIGHTB(OFFSET(INDIRECT(Свёртка_Перебор_2_20170602154411[[#This Row],[С]],FALSE),,2))+1,0,1,1,1,1,2)+CHOOSE(--RIGHTB(OFFSET(INDIRECT(Свёртка_Перебор_2_20170602154411[[#This Row],[С]],FALSE),-1,1))+1,0,1,1,1,1,2)))),1,0)+COUNTIFS(OFFSET(INDIRECT((OFFSET(INDIRECT(Свёртка_Перебор_2_20170602154411[[#This Row],[С]],FALSE),-1,2)&amp;"!R2C2"),FALSE),,,101,101),"="&amp;(Свёртка_Перебор_2_20170602154411[[#This Row],[F]]-(1+(CHOOSE(--RIGHTB(OFFSET(INDIRECT(Свёртка_Перебор_2_20170602154411[[#This Row],[С]],FALSE),,3))+1,0,1,1,1,1,2)))+1))*IF(AND(Свёртка_Перебор_2_20170602154411[[#This Row],[F]]&gt;=(1+(CHOOSE(--RIGHTB(OFFSET(INDIRECT(Свёртка_Перебор_2_20170602154411[[#This Row],[С]],FALSE),,3))+1,0,1,1,1,1,2))),Свёртка_Перебор_2_20170602154411[[#This Row],[F]]&lt;=(1+(CHOOSE(--RIGHTB(OFFSET(INDIRECT(Свёртка_Перебор_2_20170602154411[[#This Row],[С]],FALSE),,3))+1,0,1,1,1,1,2)+CHOOSE(--RIGHTB(OFFSET(INDIRECT(Свёртка_Перебор_2_20170602154411[[#This Row],[С]],FALSE),-1,2))+1,0,1,1,1,1,2)))),1,0)+COUNTIFS(OFFSET(INDIRECT((OFFSET(INDIRECT(Свёртка_Перебор_2_20170602154411[[#This Row],[С]],FALSE),-1,3)&amp;"!R2C2"),FALSE),,,101,101),"="&amp;(Свёртка_Перебор_2_20170602154411[[#This Row],[F]]-(1+(CHOOSE(--RIGHTB(OFFSET(INDIRECT(Свёртка_Перебор_2_20170602154411[[#This Row],[С]],FALSE),,3))+1,0,0,0,1,1,1)))+1))*IF(AND(Свёртка_Перебор_2_20170602154411[[#This Row],[F]]&gt;=(1+(CHOOSE(--RIGHTB(OFFSET(INDIRECT(Свёртка_Перебор_2_20170602154411[[#This Row],[С]],FALSE),,3))+1,0,0,0,1,1,1))),Свёртка_Перебор_2_20170602154411[[#This Row],[F]]&lt;=(1+(CHOOSE(--RIGHTB(OFFSET(INDIRECT(Свёртка_Перебор_2_20170602154411[[#This Row],[С]],FALSE),,3))+1,0,0,0,1,1,1)+CHOOSE(--RIGHTB(OFFSET(INDIRECT(Свёртка_Перебор_2_20170602154411[[#This Row],[С]],FALSE),-1,3))+1,0,1,1,1,1,2)))),1,0)+COUNTIFS(OFFSET(INDIRECT((OFFSET(INDIRECT(Свёртка_Перебор_2_20170602154411[[#This Row],[С]],FALSE),,1)&amp;"!R2C2"),FALSE),,,101,101),"="&amp;(Свёртка_Перебор_2_20170602154411[[#This Row],[F]]-(1+(CHOOSE(--RIGHTB(OFFSET(INDIRECT(Свёртка_Перебор_2_20170602154411[[#This Row],[С]],FALSE),,3))+1,0,0,1,0,1,1)+CHOOSE(--RIGHTB(OFFSET(INDIRECT(Свёртка_Перебор_2_20170602154411[[#This Row],[С]],FALSE),,2))+1,0,0,1,0,1,1)))+1))*IF(AND(Свёртка_Перебор_2_20170602154411[[#This Row],[F]]&gt;=(1+(CHOOSE(--RIGHTB(OFFSET(INDIRECT(Свёртка_Перебор_2_20170602154411[[#This Row],[С]],FALSE),,3))+1,0,0,1,0,1,1)+CHOOSE(--RIGHTB(OFFSET(INDIRECT(Свёртка_Перебор_2_20170602154411[[#This Row],[С]],FALSE),,2))+1,0,0,1,0,1,1))),Свёртка_Перебор_2_20170602154411[[#This Row],[F]]&lt;=(1+(CHOOSE(--RIGHTB(OFFSET(INDIRECT(Свёртка_Перебор_2_20170602154411[[#This Row],[С]],FALSE),,3))+1,0,0,1,0,1,1)+CHOOSE(--RIGHTB(OFFSET(INDIRECT(Свёртка_Перебор_2_20170602154411[[#This Row],[С]],FALSE),,2))+1,0,0,1,0,1,1)+CHOOSE(--RIGHTB(OFFSET(INDIRECT(Свёртка_Перебор_2_20170602154411[[#This Row],[С]],FALSE),,1))+1,0,1,1,1,1,2)))),1,0)+COUNTIFS(OFFSET(INDIRECT((OFFSET(INDIRECT(Свёртка_Перебор_2_20170602154411[[#This Row],[С]],FALSE),,2)&amp;"!R2C2"),FALSE),,,101,101),"="&amp;(Свёртка_Перебор_2_20170602154411[[#This Row],[F]]-(1+(CHOOSE(--RIGHTB(OFFSET(INDIRECT(Свёртка_Перебор_2_20170602154411[[#This Row],[С]],FALSE),,3))+1,0,0,1,0,1,1)))+1))*IF(AND(Свёртка_Перебор_2_20170602154411[[#This Row],[F]]&gt;=(1+(CHOOSE(--RIGHTB(OFFSET(INDIRECT(Свёртка_Перебор_2_20170602154411[[#This Row],[С]],FALSE),0,3))+1,0,0,1,0,1,1))),Свёртка_Перебор_2_20170602154411[[#This Row],[F]]&lt;=(1+(CHOOSE(--RIGHTB(OFFSET(INDIRECT(Свёртка_Перебор_2_20170602154411[[#This Row],[С]],FALSE),,3))+1,0,1,0,0,1,1)+CHOOSE(--RIGHTB(OFFSET(INDIRECT(Свёртка_Перебор_2_20170602154411[[#This Row],[С]],FALSE),,2))+1,0,1,1,1,1,2)))),1,0)+COUNTIFS(OFFSET(INDIRECT((OFFSET(INDIRECT(Свёртка_Перебор_2_20170602154411[[#This Row],[С]],FALSE),,3)&amp;"!R2C2"),FALSE),,,101,101),"="&amp;(Свёртка_Перебор_2_20170602154411[[#This Row],[F]]-1+1))*IF(AND(Свёртка_Перебор_2_20170602154411[[#This Row],[F]]&gt;=1,Свёртка_Перебор_2_20170602154411[[#This Row],[F]]&lt;=1+(CHOOSE(--RIGHTB(OFFSET(INDIRECT(Свёртка_Перебор_2_20170602154411[[#This Row],[С]],FALSE),,3))+1,0,1,1,1,1,2))),1,0)</f>
        <v>#REF!</v>
      </c>
    </row>
    <row r="16" spans="2:89" x14ac:dyDescent="0.25">
      <c r="B16" t="e">
        <f ca="1">IF(AND(Критерий_Перебор_2_20170602154411[[#This Row],[Критерий]]&lt;&gt;"",Критерий_Перебор_2_20170602154411[[#This Row],[O.K.Критерий]]=1),ROW()-ROW(Критерий_Перебор_2_20170602154411[[#Headers],[№]]),"")</f>
        <v>#REF!</v>
      </c>
      <c r="C16" s="37" t="e">
        <f>Модель!#REF!</f>
        <v>#REF!</v>
      </c>
      <c r="D16" t="str">
        <f ca="1">IFERROR(IF(AND(Критерий_Перебор_2_20170602154411[[#This Row],[Критерий]]&gt;=1,Критерий_Перебор_2_20170602154411[[#This Row],[Критерий]]&lt;=4),IF(IFERROR(FIND("!",_xlfn.FORMULATEXT(Критерий_Перебор_2_20170602154411[[#This Row],[Критерий]])),"на странице")="на странице",CONCATENATE("R",ROW((INDIRECT(RIGHT(_xlfn.FORMULATEXT(Критерий_Перебор_2_20170602154411[[#This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Row],[Критерий]]))-1),FALSE)))-D$8),CONCATENATE(RIGHT(LEFT(_xlfn.FORMULATEXT(Критерий_Перебор_2_20170602154411[[#This Row],[Критерий]]),FIND("!",_xlfn.FORMULATEXT(Критерий_Перебор_2_20170602154411[[#This Row],[Критерий]]))),LEN(LEFT(_xlfn.FORMULATEXT(Критерий_Перебор_2_20170602154411[[#This Row],[Критерий]]),FIND("!",_xlfn.FORMULATEXT(Критерий_Перебор_2_20170602154411[[#This Row],[Критерий]]))))-1),"R",ROW((INDIRECT(RIGHT(_xlfn.FORMULATEXT(Критерий_Перебор_2_20170602154411[[#This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Row],[Критерий]]))-1),FALSE)))-D$8)),"ошибка"),"ошибка")</f>
        <v>ошибка</v>
      </c>
      <c r="E16" t="str">
        <f ca="1">IFERROR(IF(LEFT(Критерий_Перебор_2_20170602154411[[#This Row],[Фкритерий]],5)="=Прив","Критерий",IF(LEFT(Критерий_Перебор_2_20170602154411[[#This Row],[Фкритерий]],5)="=Матр","ошибка","ошибка")),"ошибка")</f>
        <v>ошибка</v>
      </c>
      <c r="F16" t="str">
        <f ca="1">IFERROR(IF(LEN((INDIRECT(Критерий_Перебор_2_20170602154411[[#This Row],[СНаименование]],FALSE)))=0,"ошибка",IFERROR(INDIRECT(Критерий_Перебор_2_20170602154411[[#This Row],[СНаименование]],FALSE),"ошибка")),"ошибка")</f>
        <v>ошибка</v>
      </c>
      <c r="G16"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Row],[Скритерий]])))+G$7),FIND("R",Критерий_Перебор_2_20170602154411[[#This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Row],[Скритерий]])))+G$6),"ошибка")</f>
        <v>ошибка</v>
      </c>
      <c r="H16" t="str">
        <f ca="1">IFERROR(IF(N(INDIRECT(Критерий_Перебор_2_20170602154411[[#This Row],[СФизКритерий]],FALSE))=0,"ошибка",IFERROR(INDIRECT(Критерий_Перебор_2_20170602154411[[#This Row],[СФизКритерий]],FALSE),"ошибка")),"ошибка")</f>
        <v>ошибка</v>
      </c>
      <c r="I16"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Row],[Скритерий]])))+I$7),FIND("R",Критерий_Перебор_2_20170602154411[[#This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Row],[Скритерий]])))+I$6),"ошибка")</f>
        <v>ошибка</v>
      </c>
      <c r="J16" t="str">
        <f ca="1">IFERROR(IF(OR(INDIRECT(Критерий_Перебор_2_20170602154411[[#This Row],[СТипКритерий]],FALSE)=Перебор!$N$58,INDIRECT(Критерий_Перебор_2_20170602154411[[#This Row],[СТипКритерий]],FALSE)=Перебор!$N$59,INDIRECT(Критерий_Перебор_2_20170602154411[[#This Row],[СТипКритерий]],FALSE)=Перебор!$N$60,INDIRECT(Критерий_Перебор_2_20170602154411[[#This Row],[СТипКритерий]],FALSE)=Перебор!$N$61),INDIRECT(Критерий_Перебор_2_20170602154411[[#This Row],[СТипКритерий]],FALSE),"ошибка"),"ошибка")</f>
        <v>ошибка</v>
      </c>
      <c r="K16"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Row],[Скритерий]])))+K$7),FIND("R",Критерий_Перебор_2_20170602154411[[#This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Row],[Скритерий]])))+K$6),"ошибка")</f>
        <v>ошибка</v>
      </c>
      <c r="L16" t="str">
        <f ca="1">IFERROR(_xlfn.FORMULATEXT(INDIRECT(Критерий_Перебор_2_20170602154411[[#This Row],[Скритерий]],FALSE)),"ошибка")</f>
        <v>ошибка</v>
      </c>
      <c r="M16" t="str">
        <f ca="1">IFERROR(IF(N(INDIRECT(Критерий_Перебор_2_20170602154411[[#This Row],[СМинФизКритерий]],FALSE))=0,"ошибка",IFERROR(INDIRECT(Критерий_Перебор_2_20170602154411[[#This Row],[СМинФизКритерий]],FALSE),"ошибка")),"ошибка")</f>
        <v>ошибка</v>
      </c>
      <c r="N16"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Row],[Скритерий]])))+N$7),FIND("R",Критерий_Перебор_2_20170602154411[[#This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Row],[Скритерий]])))+N$6),"ошибка")</f>
        <v>ошибка</v>
      </c>
      <c r="O16" t="str">
        <f ca="1">IFERROR(IF(N(INDIRECT(Критерий_Перебор_2_20170602154411[[#This Row],[СМаксФизКритерий]],FALSE))=0,"ошибка",IFERROR(INDIRECT(Критерий_Перебор_2_20170602154411[[#This Row],[СМаксФизКритерий]],FALSE),"ошибка")),"ошибка")</f>
        <v>ошибка</v>
      </c>
      <c r="P16"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Row],[Скритерий]])))+P$7),FIND("R",Критерий_Перебор_2_20170602154411[[#This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Row],[Скритерий]])))+P$6),"ошибка")</f>
        <v>ошибка</v>
      </c>
      <c r="Q16" t="str">
        <f ca="1">IFERROR(IF(N(INDIRECT(Критерий_Перебор_2_20170602154411[[#This Row],[ССрФизКритерий]],FALSE))=0,"ошибка",IFERROR(INDIRECT(Критерий_Перебор_2_20170602154411[[#This Row],[ССрФизКритерий]],FALSE),"ошибка")),"")</f>
        <v/>
      </c>
      <c r="R16" t="str">
        <f ca="1">IF(OR(Критерий_Перебор_2_20170602154411[[#This Row],[ТипКритерий]]=Перебор!$N$60,Критерий_Перебор_2_20170602154411[[#This Row],[ТипКритерий]]=Перебор!$N$61),IFERROR(REPLACE(REPLACE(Критерий_Перебор_2_20170602154411[[#This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Row],[Скритерий]])))+R$7),FIND("R",Критерий_Перебор_2_20170602154411[[#This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Row],[Скритерий]])))+R$6),"ошибка"),"")</f>
        <v/>
      </c>
      <c r="S16" s="66">
        <f ca="1">IFERROR(IF(AND(Критерий_Перебор_2_20170602154411[[#This Row],[ВидКритерий]]="Критерий",Критерий_Перебор_2_20170602154411[[#This Row],[Фкритерий]]="=Приведение"),1,-1),-1)</f>
        <v>-1</v>
      </c>
      <c r="V16" t="e">
        <f ca="1">IF(AND(Свёртка_Перебор_2_20170602154411[[#This Row],[Свёртка]]&lt;&gt;"",Свёртка_Перебор_2_20170602154411[[#This Row],[O.K.Свёртка]]=1),ROW()-ROW(Свёртка_Перебор_2_20170602154411[[#Headers],[№]]),"")</f>
        <v>#REF!</v>
      </c>
      <c r="W16" s="146" t="e">
        <f>Модель!#REF!</f>
        <v>#REF!</v>
      </c>
      <c r="X16" t="str">
        <f ca="1">IFERROR(IF(AND(Свёртка_Перебор_2_20170602154411[[#This Row],[Свёртка]]&gt;=1,Свёртка_Перебор_2_20170602154411[[#This Row],[Свёртка]]&lt;=4),IF(IFERROR(FIND("!",_xlfn.FORMULATEXT(Свёртка_Перебор_2_20170602154411[[#This Row],[Свёртка]])),"на странице")="на странице",CONCATENATE("R",ROW((INDIRECT(RIGHT(_xlfn.FORMULATEXT(Свёртка_Перебор_2_20170602154411[[#This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Row],[Свёртка]]))-1),FALSE)))-X$6),CONCATENATE(RIGHT(LEFT(_xlfn.FORMULATEXT(Свёртка_Перебор_2_20170602154411[[#This Row],[Свёртка]]),FIND("!",_xlfn.FORMULATEXT(Свёртка_Перебор_2_20170602154411[[#This Row],[Свёртка]]))),LEN(LEFT(_xlfn.FORMULATEXT(Свёртка_Перебор_2_20170602154411[[#This Row],[Свёртка]]),FIND("!",_xlfn.FORMULATEXT(Свёртка_Перебор_2_20170602154411[[#This Row],[Свёртка]]))))-1),"R",ROW((INDIRECT(RIGHT(_xlfn.FORMULATEXT(Свёртка_Перебор_2_20170602154411[[#This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Row],[Свёртка]]))-1),FALSE)))-X$6)),"ошибка"),"ошибка")</f>
        <v>ошибка</v>
      </c>
      <c r="Y16" t="str">
        <f ca="1">IFERROR(_xlfn.FORMULATEXT(INDIRECT(Свёртка_Перебор_2_20170602154411[[#This Row],[ССвёртка]],FALSE)),"ошибка")</f>
        <v>ошибка</v>
      </c>
      <c r="Z16" t="str">
        <f ca="1">IFERROR(IF(LEFT(Свёртка_Перебор_2_20170602154411[[#This Row],[ФСвёртка]],5)="=Прив","ошибка",IF(LEFT(Свёртка_Перебор_2_20170602154411[[#This Row],[ФСвёртка]],5)="=Матр","Свёртка","ошибка")),"ошибка")</f>
        <v>ошибка</v>
      </c>
      <c r="AA16" t="str">
        <f ca="1">IFERROR(IF(LEN((INDIRECT(Свёртка_Перебор_2_20170602154411[[#This Row],[СНаименование]],FALSE)))=0,"ошибка",IFERROR(INDIRECT(Свёртка_Перебор_2_20170602154411[[#This Row],[СНаименование]],FALSE),"ошибка")),"ошибка")</f>
        <v>ошибка</v>
      </c>
      <c r="AB16"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Row],[ССвёртка]])))+AB$6),"ошибка")</f>
        <v>ошибка</v>
      </c>
      <c r="AC16">
        <v>2.19</v>
      </c>
      <c r="AD16" t="str">
        <f ca="1">IFERROR(IF(LEN((INDIRECT(Свёртка_Перебор_2_20170602154411[[#This Row],[ССВ_1_1]],FALSE)))=0,"ошибка",IFERROR(INDIRECT(Свёртка_Перебор_2_20170602154411[[#This Row],[ССВ_1_1]],FALSE),"ошибка")),"ошибка")</f>
        <v>ошибка</v>
      </c>
      <c r="AE16"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Row],[ССвёртка]])))+AE$7),FIND("R",Свёртка_Перебор_2_20170602154411[[#This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Row],[ССвёртка]])))+AE$6),"ошибка")</f>
        <v>ошибка</v>
      </c>
      <c r="AF16">
        <v>0</v>
      </c>
      <c r="AG16">
        <v>2</v>
      </c>
      <c r="AH16">
        <v>0</v>
      </c>
      <c r="AI16" t="str">
        <f ca="1">IFERROR(IF(LEN((INDIRECT(Свёртка_Перебор_2_20170602154411[[#This Row],[ССВ_2_1]],FALSE)))=0,"ошибка",IFERROR(INDIRECT(Свёртка_Перебор_2_20170602154411[[#This Row],[ССВ_2_1]],FALSE),"ошибка")),"ошибка")</f>
        <v>ошибка</v>
      </c>
      <c r="AJ16"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Row],[ССвёртка]])))+AJ$7),FIND("R",Свёртка_Перебор_2_20170602154411[[#This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Row],[ССвёртка]])))+AJ$6),"ошибка")</f>
        <v>ошибка</v>
      </c>
      <c r="AK16">
        <v>1</v>
      </c>
      <c r="AL16">
        <v>3</v>
      </c>
      <c r="AM16">
        <v>4</v>
      </c>
      <c r="AN16" t="str">
        <f ca="1">IFERROR(IF(LEN((INDIRECT(Свёртка_Перебор_2_20170602154411[[#This Row],[ССВ_1_2]],FALSE)))=0,"ошибка",IFERROR(INDIRECT(Свёртка_Перебор_2_20170602154411[[#This Row],[ССВ_1_2]],FALSE),"ошибка")),"ошибка")</f>
        <v>ошибка</v>
      </c>
      <c r="AO16"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Row],[ССвёртка]])))+AO$7),FIND("R",Свёртка_Перебор_2_20170602154411[[#This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Row],[ССвёртка]])))+AO$6),"ошибка")</f>
        <v>ошибка</v>
      </c>
      <c r="AP16">
        <v>1</v>
      </c>
      <c r="AQ16">
        <v>3</v>
      </c>
      <c r="AR16">
        <v>81</v>
      </c>
      <c r="AS16" t="str">
        <f ca="1">IFERROR(IF(LEN((INDIRECT(Свёртка_Перебор_2_20170602154411[[#This Row],[ССВ_2_2]],FALSE)))=0,"ошибка",IFERROR(INDIRECT(Свёртка_Перебор_2_20170602154411[[#This Row],[ССВ_2_2]],FALSE),"ошибка")),"ошибка")</f>
        <v>ошибка</v>
      </c>
      <c r="AT16"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Row],[ССвёртка]])))+AT$7),FIND("R",Свёртка_Перебор_2_20170602154411[[#This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Row],[ССвёртка]])))+AT$6),"ошибка")</f>
        <v>ошибка</v>
      </c>
      <c r="AU16">
        <v>1</v>
      </c>
      <c r="AV16">
        <v>4</v>
      </c>
      <c r="AW16">
        <v>119</v>
      </c>
      <c r="AX16" t="str">
        <f ca="1">IFERROR(IF(LEN((INDIRECT(Свёртка_Перебор_2_20170602154411[[#This Row],[ССВ_3_1]],FALSE)))=0,"ошибка",IFERROR(INDIRECT(Свёртка_Перебор_2_20170602154411[[#This Row],[ССВ_3_1]],FALSE),"ошибка")),"ошибка")</f>
        <v>ошибка</v>
      </c>
      <c r="AY16"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Row],[ССвёртка]])))+AY$6),"ошибка")</f>
        <v>ошибка</v>
      </c>
      <c r="AZ16">
        <v>1</v>
      </c>
      <c r="BA16">
        <v>4</v>
      </c>
      <c r="BB16">
        <v>119</v>
      </c>
      <c r="BC16" t="str">
        <f ca="1">IFERROR(IF(LEN((INDIRECT(Свёртка_Перебор_2_20170602154411[[#This Row],[ССВ_1_3]],FALSE)))=0,"ошибка",IFERROR(INDIRECT(Свёртка_Перебор_2_20170602154411[[#This Row],[ССВ_1_3]],FALSE),"ошибка")),"ошибка")</f>
        <v>ошибка</v>
      </c>
      <c r="BD16"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Row],[ССвёртка]])))+BD$7),FIND("R",Свёртка_Перебор_2_20170602154411[[#This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Row],[ССвёртка]])))+BD$6),"ошибка")</f>
        <v>ошибка</v>
      </c>
      <c r="BE16">
        <v>0</v>
      </c>
      <c r="BF16">
        <v>4</v>
      </c>
      <c r="BG16">
        <v>0</v>
      </c>
      <c r="BH16" t="str">
        <f ca="1">IFERROR(IF(LEN((INDIRECT(Свёртка_Перебор_2_20170602154411[[#This Row],[ССВ_3_2]],FALSE)))=0,"ошибка",IFERROR(INDIRECT(Свёртка_Перебор_2_20170602154411[[#This Row],[ССВ_3_2]],FALSE),"ошибка")),"ошибка")</f>
        <v>ошибка</v>
      </c>
      <c r="BI16"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Row],[ССвёртка]])))+BI$7),FIND("R",Свёртка_Перебор_2_20170602154411[[#This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Row],[ССвёртка]])))+BI$6),"ошибка")</f>
        <v>ошибка</v>
      </c>
      <c r="BJ16">
        <v>0</v>
      </c>
      <c r="BK16">
        <v>4</v>
      </c>
      <c r="BL16">
        <v>0</v>
      </c>
      <c r="BM16" t="str">
        <f ca="1">IFERROR(IF(LEN((INDIRECT(Свёртка_Перебор_2_20170602154411[[#This Row],[ССВ_2_3]],FALSE)))=0,"ошибка",IFERROR(INDIRECT(Свёртка_Перебор_2_20170602154411[[#This Row],[ССВ_2_3]],FALSE),"ошибка")),"ошибка")</f>
        <v>ошибка</v>
      </c>
      <c r="BN16"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Row],[ССвёртка]])))+BN$7),FIND("R",Свёртка_Перебор_2_20170602154411[[#This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Row],[ССвёртка]])))+BN$6),"ошибка")</f>
        <v>ошибка</v>
      </c>
      <c r="BO16">
        <v>0</v>
      </c>
      <c r="BP16">
        <v>4</v>
      </c>
      <c r="BQ16">
        <v>0</v>
      </c>
      <c r="BR16" t="str">
        <f ca="1">IFERROR(IF(LEN((INDIRECT(Свёртка_Перебор_2_20170602154411[[#This Row],[ССВ_3_3]],FALSE)))=0,"ошибка",IFERROR(INDIRECT(Свёртка_Перебор_2_20170602154411[[#This Row],[ССВ_3_3]],FALSE),"ошибка")),"ошибка")</f>
        <v>ошибка</v>
      </c>
      <c r="BS16"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Row],[ССвёртка]])))+BS$7),FIND("R",Свёртка_Перебор_2_20170602154411[[#This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Row],[ССвёртка]])))+BS$6),"ошибка")</f>
        <v>ошибка</v>
      </c>
      <c r="BT16">
        <v>0</v>
      </c>
      <c r="BU16">
        <v>4</v>
      </c>
      <c r="BV16">
        <v>0</v>
      </c>
      <c r="BW16">
        <f>Свёртка_Перебор_2_20170602154411[[#This Row],[ССВ_1_1_kolvo]]+Свёртка_Перебор_2_20170602154411[[#This Row],[ССВ_2_1_kolvo]]+Свёртка_Перебор_2_20170602154411[[#This Row],[ССВ_1_2_kolvo]]+Свёртка_Перебор_2_20170602154411[[#This Row],[ССВ_2_2_kolvo]]+Свёртка_Перебор_2_20170602154411[[#This Row],[ССВ_3_1_kolvo]]+Свёртка_Перебор_2_20170602154411[[#This Row],[ССВ_1_3_kolvo]]+Свёртка_Перебор_2_20170602154411[[#This Row],[ССВ_3_2_kolvo]]+Свёртка_Перебор_2_20170602154411[[#This Row],[ССВ_2_3_kolvo]]+Свёртка_Перебор_2_20170602154411[[#This Row],[ССВ_3_3_kolvo]]</f>
        <v>323</v>
      </c>
      <c r="BX16" t="str">
        <f ca="1">IFERROR(IF(LEN((INDIRECT(Свёртка_Перебор_2_20170602154411[[#This Row],[СЛ]],FALSE)))=0,"ошибка",IFERROR(INDIRECT(Свёртка_Перебор_2_20170602154411[[#This Row],[СЛ]],FALSE),"ошибка")),"ошибка")</f>
        <v>ошибка</v>
      </c>
      <c r="BY16"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Row],[ССвёртка]])))+BY$6),"ошибка")</f>
        <v>ошибка</v>
      </c>
      <c r="BZ16" t="str">
        <f ca="1">IFERROR(_xlfn.FORMULATEXT(INDIRECT(Свёртка_Перебор_2_20170602154411[[#This Row],[СЛ]],FALSE)),"ошибка")</f>
        <v>ошибка</v>
      </c>
      <c r="CA16" t="str">
        <f ca="1">IFERROR(IF(LEN((INDIRECT(Свёртка_Перебор_2_20170602154411[[#This Row],[СП]],FALSE)))=0,"ошибка",IFERROR(INDIRECT(Свёртка_Перебор_2_20170602154411[[#This Row],[СП]],FALSE),"ошибка")),"ошибка")</f>
        <v>ошибка</v>
      </c>
      <c r="CB16"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Row],[ССвёртка]])))+CB$7),FIND("R",Свёртка_Перебор_2_20170602154411[[#This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Row],[ССвёртка]])))+CB$6),"ошибка")</f>
        <v>ошибка</v>
      </c>
      <c r="CC16" t="str">
        <f ca="1">IFERROR(_xlfn.FORMULATEXT(INDIRECT(Свёртка_Перебор_2_20170602154411[[#This Row],[СП]],FALSE)),"ошибка")</f>
        <v>ошибка</v>
      </c>
      <c r="CD16" s="66">
        <f ca="1">IF(AND(Свёртка_Перебор_2_20170602154411[[#This Row],[ВидСвёртка]]="Свёртка",CONCATENATE(LEFT(Свёртка_Перебор_2_20170602154411[[#This Row],[СВ_1_1]],1),LEFT(Свёртка_Перебор_2_20170602154411[[#This Row],[СВ_2_1]],1),LEFT(Свёртка_Перебор_2_20170602154411[[#This Row],[СВ_1_2]],1),LEFT(Свёртка_Перебор_2_20170602154411[[#This Row],[СВ_2_2]],1),LEFT(Свёртка_Перебор_2_20170602154411[[#This Row],[СВ_3_1]],1),LEFT(Свёртка_Перебор_2_20170602154411[[#This Row],[СВ_1_3]],1),LEFT(Свёртка_Перебор_2_20170602154411[[#This Row],[СВ_3_2]],1),LEFT(Свёртка_Перебор_2_20170602154411[[#This Row],[СВ_2_3]],1),LEFT(Свёртка_Перебор_2_20170602154411[[#This Row],[СВ_3_3]],1))="FFFFFFFFF",AND(Свёртка_Перебор_2_20170602154411[[#This Row],[Л]]&gt;=1,Свёртка_Перебор_2_20170602154411[[#This Row],[Л]]&lt;=4),AND(Свёртка_Перебор_2_20170602154411[[#This Row],[П]]&gt;=1,Свёртка_Перебор_2_20170602154411[[#This Row],[П]]&lt;=4)),1,-1)</f>
        <v>-1</v>
      </c>
      <c r="CE16" t="e">
        <f ca="1">_xlfn.NUMBERVALUE(MID(Свёртка_Перебор_2_20170602154411[[#This Row],[ССвёртка]],SEARCH("R",Свёртка_Перебор_2_20170602154411[[#This Row],[ССвёртка]])+1,SEARCH("C",Свёртка_Перебор_2_20170602154411[[#This Row],[ССвёртка]])-SEARCH("R",Свёртка_Перебор_2_20170602154411[[#This Row],[ССвёртка]])-1))</f>
        <v>#VALUE!</v>
      </c>
      <c r="CF16" t="e">
        <f ca="1">_xlfn.NUMBERVALUE(MID(Свёртка_Перебор_2_20170602154411[[#This Row],[ССвёртка]],SEARCH("C",Свёртка_Перебор_2_20170602154411[[#This Row],[ССвёртка]])+1,LEN(Свёртка_Перебор_2_20170602154411[[#This Row],[ССвёртка]])-SEARCH("C",Свёртка_Перебор_2_20170602154411[[#This Row],[ССвёртка]])))</f>
        <v>#VALUE!</v>
      </c>
      <c r="CG16" t="str">
        <f ca="1">IF(ISERR(SEARCH("!",Свёртка_Перебор_2_20170602154411[[#This Row],[ССвёртка]])),"",LEFT(Свёртка_Перебор_2_20170602154411[[#This Row],[ССвёртка]],SEARCH("!",Свёртка_Перебор_2_20170602154411[[#This Row],[ССвёртка]])))</f>
        <v/>
      </c>
      <c r="CH16" t="str">
        <f ca="1">Свёртка_Перебор_2_20170602154411[[#This Row],[ССвёртка]]</f>
        <v>ошибка</v>
      </c>
      <c r="CI16" t="e">
        <f ca="1">IF(SUM(IF(SUM(LOOKUP(--RIGHT(OFFSET(INDIRECT(Свёртка_Перебор_2_20170602154411[[#This Row],[ССвёртка]],FALSE),-2,1)),{0,1,2,3,4,5},{0,1,1,0,1,1.5}),LOOKUP(--RIGHT(OFFSET(INDIRECT(Свёртка_Перебор_2_20170602154411[[#This Row],[ССвёртка]],FALSE),-1,1)),{0,1,2,3,4,5},{0,1,1,0,1,1.5}),LOOKUP(--RIGHT(OFFSET(INDIRECT(Свёртка_Перебор_2_20170602154411[[#This Row],[ССвёртка]],FALSE),0,1)),{0,1,2,3,4,5},{0,1,1,0,1,1.5}))&gt;4,1,0),IF(SUM(LOOKUP(--RIGHT(OFFSET(INDIRECT(Свёртка_Перебор_2_20170602154411[[#This Row],[ССвёртка]],FALSE),-2,2)),{0,1,2,3,4,5},{0,1,1,0,1,1.5}),LOOKUP(--RIGHT(OFFSET(INDIRECT(Свёртка_Перебор_2_20170602154411[[#This Row],[ССвёртка]],FALSE),-1,2)),{0,1,2,3,4,5},{0,1,1,0,1,1.5}),LOOKUP(--RIGHT(OFFSET(INDIRECT(Свёртка_Перебор_2_20170602154411[[#This Row],[ССвёртка]],FALSE),0,2)),{0,1,2,3,4,5},{0,1,1,0,1,1.5}))&gt;4,1,0),IF(SUM(LOOKUP(--RIGHT(OFFSET(INDIRECT(Свёртка_Перебор_2_20170602154411[[#This Row],[ССвёртка]],FALSE),-2,3)),{0,1,2,3,4,5},{0,1,1,0,1,1.5}),LOOKUP(--RIGHT(OFFSET(INDIRECT(Свёртка_Перебор_2_20170602154411[[#This Row],[ССвёртка]],FALSE),-1,3)),{0,1,2,3,4,5},{0,1,1,0,1,1.5}),LOOKUP(--RIGHT(OFFSET(INDIRECT(Свёртка_Перебор_2_20170602154411[[#This Row],[ССвёртка]],FALSE),0,3)),{0,1,2,3,4,5},{0,1,1,0,1,1.5}))&gt;4,1,0),IF(SUM(LOOKUP(--RIGHT(OFFSET(INDIRECT(Свёртка_Перебор_2_20170602154411[[#This Row],[ССвёртка]],FALSE),-2,1)),{0,1,2,3,4,5},{0,1,1,1,1,2}),LOOKUP(--RIGHT(OFFSET(INDIRECT(Свёртка_Перебор_2_20170602154411[[#This Row],[ССвёртка]],FALSE),-1,2)),{0,1,2,3,4,5},{0,1,1,1,1,2}),LOOKUP(--RIGHT(OFFSET(INDIRECT(Свёртка_Перебор_2_20170602154411[[#This Row],[ССвёртка]],FALSE),0,3)),{0,1,2,3,4,5},{0,1,1,1,1,2}))&lt;&gt;3,1,0),IF(SUM(LOOKUP(--RIGHT(OFFSET(INDIRECT(Свёртка_Перебор_2_20170602154411[[#This Row],[ССвёртка]],FALSE),-2,1)),{0,1,2,3,4,5},{0,1,0,1,1,1.5}),LOOKUP(--RIGHT(OFFSET(INDIRECT(Свёртка_Перебор_2_20170602154411[[#This Row],[ССвёртка]],FALSE),-2,2)),{0,1,2,3,4,5},{0,1,0,1,1,1.5}),LOOKUP(--RIGHT(OFFSET(INDIRECT(Свёртка_Перебор_2_20170602154411[[#This Row],[ССвёртка]],FALSE),-2,3)),{0,1,2,3,4,5},{0,1,0,1,1,1.5}))&gt;4,1,0),IF(SUM(LOOKUP(--RIGHT(OFFSET(INDIRECT(Свёртка_Перебор_2_20170602154411[[#This Row],[ССвёртка]],FALSE),-1,1)),{0,1,2,3,4,5},{0,1,0,1,1,1.5}),LOOKUP(--RIGHT(OFFSET(INDIRECT(Свёртка_Перебор_2_20170602154411[[#This Row],[ССвёртка]],FALSE),-1,2)),{0,1,2,3,4,5},{0,1,0,1,1,1.5}),LOOKUP(--RIGHT(OFFSET(INDIRECT(Свёртка_Перебор_2_20170602154411[[#This Row],[ССвёртка]],FALSE),-1,3)),{0,1,2,3,4,5},{0,1,0,1,1,1.5}))&gt;4,1,0),IF(SUM(LOOKUP(--RIGHT(OFFSET(INDIRECT(Свёртка_Перебор_2_20170602154411[[#This Row],[ССвёртка]],FALSE),0,1)),{0,1,2,3,4,5},{0,1,0,1,1,1.5}),LOOKUP(--RIGHT(OFFSET(INDIRECT(Свёртка_Перебор_2_20170602154411[[#This Row],[ССвёртка]],FALSE),0,2)),{0,1,2,3,4,5},{0,1,0,1,1,1.5}),LOOKUP(--RIGHT(OFFSET(INDIRECT(Свёртка_Перебор_2_20170602154411[[#This Row],[ССвёртка]],FALSE),0,3)),{0,1,2,3,4,5},{0,1,0,1,1,1.5}))&gt;4,1,0))&lt;&gt;0,0,1)</f>
        <v>#REF!</v>
      </c>
      <c r="CJ16" t="str">
        <f t="array" aca="1" ref="CJ16" ca="1">IFERROR(IF(SUM((MMULT(CHOOSE(RIGHT(OFFSET(INDIRECT(CONCATENATE(Свёртка_Перебор_2_20170602154411[[#This Row],[Л!]],"R",Свёртка_Перебор_2_20170602154411[[#This Row],[R!]],"C",Свёртка_Перебор_2_20170602154411[[#This Row],[C!]]),FALSE),-2,1,3,3))+1,0,1,0,1,1,1.5),{1;1;1})&gt;4)+(MMULT(TRANSPOSE(CHOOSE(RIGHT(OFFSET(INDIRECT(CONCATENATE(Свёртка_Перебор_2_20170602154411[[#This Row],[Л!]],"R",Свёртка_Перебор_2_20170602154411[[#This Row],[R!]],"C",Свёртка_Перебор_2_20170602154411[[#This Row],[C!]]),FALSE),-2,1,3,3))+1,0,1,1,0,1,1.5)),{1;1;1})&gt;4)+(SUM(CHOOSE(RIGHT(CHOOSE({1;2;3},OFFSET(INDIRECT(CONCATENATE(Свёртка_Перебор_2_20170602154411[[#This Row],[Л!]],"R",Свёртка_Перебор_2_20170602154411[[#This Row],[R!]],"C",Свёртка_Перебор_2_20170602154411[[#This Row],[C!]]),FALSE),-2,1),OFFSET(INDIRECT(CONCATENATE(Свёртка_Перебор_2_20170602154411[[#This Row],[Л!]],"R",Свёртка_Перебор_2_20170602154411[[#This Row],[R!]],"C",Свёртка_Перебор_2_20170602154411[[#This Row],[C!]]),FALSE),-1,2),OFFSET(INDIRECT(CONCATENATE(Свёртка_Перебор_2_20170602154411[[#This Row],[Л!]],"R",Свёртка_Перебор_2_20170602154411[[#This Row],[R!]],"C",Свёртка_Перебор_2_20170602154411[[#This Row],[C!]]),FALSE),0,3)))+1,0,1,1,1,1,2))&lt;&gt;3)),0,1),"!")</f>
        <v>!</v>
      </c>
      <c r="CK16" t="e">
        <f ca="1">COUNTIFS(OFFSET(INDIRECT((OFFSET(INDIRECT(Свёртка_Перебор_2_20170602154411[[#This Row],[С]],FALSE),-2,1)&amp;"!R2C2"),FALSE),,,101,101),"="&amp;(Свёртка_Перебор_2_20170602154411[[#This Row],[F]]-(1+(CHOOSE(--RIGHTB(OFFSET(INDIRECT(Свёртка_Перебор_2_20170602154411[[#This Row],[С]],FALSE),,3))+1,0,1,1,1,1,2)+CHOOSE(--RIGHTB(OFFSET(INDIRECT(Свёртка_Перебор_2_20170602154411[[#This Row],[С]],FALSE),-1,2))+1,0,1,1,1,1,2)))+1))*IF(AND(Свёртка_Перебор_2_20170602154411[[#This Row],[F]]&gt;=(1+(CHOOSE(--RIGHTB(OFFSET(INDIRECT(Свёртка_Перебор_2_20170602154411[[#This Row],[С]],FALSE),,3))+1,0,1,1,1,1,2)+CHOOSE(--RIGHTB(OFFSET(INDIRECT(Свёртка_Перебор_2_20170602154411[[#This Row],[С]],FALSE),-1,2))+1,0,1,1,1,1,2))),Свёртка_Перебор_2_20170602154411[[#This Row],[F]]&lt;=(1+(CHOOSE(--RIGHTB(OFFSET(INDIRECT(Свёртка_Перебор_2_20170602154411[[#This Row],[С]],FALSE),,3))+1,0,1,1,1,1,2)+CHOOSE(--RIGHTB(OFFSET(INDIRECT(Свёртка_Перебор_2_20170602154411[[#This Row],[С]],FALSE),-1,2))+1,0,1,1,1,1,2)+CHOOSE(--RIGHTB(OFFSET(INDIRECT(Свёртка_Перебор_2_20170602154411[[#This Row],[С]],FALSE),-2,1))+1,0,1,1,1,1,2)))),1,0)+COUNTIFS(OFFSET(INDIRECT((OFFSET(INDIRECT(Свёртка_Перебор_2_20170602154411[[#This Row],[С]],FALSE),-2,2)&amp;"!R2C2"),FALSE),,,101,101),"="&amp;(Свёртка_Перебор_2_20170602154411[[#This Row],[F]]-(1+(CHOOSE(--RIGHTB(OFFSET(INDIRECT(Свёртка_Перебор_2_20170602154411[[#This Row],[С]],FALSE),,3))+1,0,1,0,1,1,1)+CHOOSE(--RIGHTB(OFFSET(INDIRECT(Свёртка_Перебор_2_20170602154411[[#This Row],[С]],FALSE),-1,3))+1,0,1,1,1,1,2)))+1))*IF(AND(Свёртка_Перебор_2_20170602154411[[#This Row],[F]]&gt;=(1+(CHOOSE(--RIGHTB(OFFSET(INDIRECT(Свёртка_Перебор_2_20170602154411[[#This Row],[С]],FALSE),,3))+1,0,0,0,1,1,1)+CHOOSE(--RIGHTB(OFFSET(INDIRECT(Свёртка_Перебор_2_20170602154411[[#This Row],[С]],FALSE),-1,3))+1,0,1,1,1,1,2))),Свёртка_Перебор_2_20170602154411[[#This Row],[F]]&lt;=(1+(CHOOSE(--RIGHTB(OFFSET(INDIRECT(Свёртка_Перебор_2_20170602154411[[#This Row],[С]],FALSE),,3))+1,0,0,0,1,1,1)+CHOOSE(--RIGHTB(OFFSET(INDIRECT(Свёртка_Перебор_2_20170602154411[[#This Row],[С]],FALSE),-1,3))+1,0,1,1,1,1,2)+CHOOSE(--RIGHTB(OFFSET(INDIRECT(Свёртка_Перебор_2_20170602154411[[#This Row],[С]],FALSE),-2,2))+1,0,1,1,1,1,2)))),1,0)+COUNTIFS(OFFSET(INDIRECT((OFFSET(INDIRECT(Свёртка_Перебор_2_20170602154411[[#This Row],[С]],FALSE),-2,3)&amp;"!R2C2"),FALSE),,,101,101),"="&amp;(Свёртка_Перебор_2_20170602154411[[#This Row],[F]]-(1+(CHOOSE(--RIGHTB(OFFSET(INDIRECT(Свёртка_Перебор_2_20170602154411[[#This Row],[С]],FALSE),,3))+1,0,0,0,1,1,1)+CHOOSE(--RIGHTB(OFFSET(INDIRECT(Свёртка_Перебор_2_20170602154411[[#This Row],[С]],FALSE),-1,3))+1,0,0,0,1,1,1)))+1))*IF(AND(Свёртка_Перебор_2_20170602154411[[#This Row],[F]]&gt;=(1+(CHOOSE(--RIGHTB(OFFSET(INDIRECT(Свёртка_Перебор_2_20170602154411[[#This Row],[С]],FALSE),,3))+1,0,0,0,1,1,1)+CHOOSE(--RIGHTB(OFFSET(INDIRECT(Свёртка_Перебор_2_20170602154411[[#This Row],[С]],FALSE),-1,3))+1,0,0,0,1,1,1))),Свёртка_Перебор_2_20170602154411[[#This Row],[F]]&lt;=(1+(CHOOSE(--RIGHTB(OFFSET(INDIRECT(Свёртка_Перебор_2_20170602154411[[#This Row],[С]],FALSE),,3))+1,0,0,0,1,1,1)+CHOOSE(--RIGHTB(OFFSET(INDIRECT(Свёртка_Перебор_2_20170602154411[[#This Row],[С]],FALSE),-1,3))+1,0,0,0,1,1,1)+CHOOSE(--RIGHTB(OFFSET(INDIRECT(Свёртка_Перебор_2_20170602154411[[#This Row],[С]],FALSE),-2,3))+1,0,1,1,1,1,2)))),1,0)+COUNTIFS(OFFSET(INDIRECT((OFFSET(INDIRECT(Свёртка_Перебор_2_20170602154411[[#This Row],[С]],FALSE),-1,1)&amp;"!R2C2"),FALSE),,,101,101),"="&amp;(Свёртка_Перебор_2_20170602154411[[#This Row],[F]]-(1+(CHOOSE(--RIGHTB(OFFSET(INDIRECT(Свёртка_Перебор_2_20170602154411[[#This Row],[С]],FALSE),,3))+1,0,0,1,0,1,1)+CHOOSE(--RIGHTB(OFFSET(INDIRECT(Свёртка_Перебор_2_20170602154411[[#This Row],[С]],FALSE),0,2))+1,0,1,1,1,1,2)))+1))*IF(AND(Свёртка_Перебор_2_20170602154411[[#This Row],[F]]&gt;=(1+(CHOOSE(--RIGHTB(OFFSET(INDIRECT(Свёртка_Перебор_2_20170602154411[[#This Row],[С]],FALSE),,3))+1,0,0,1,0,1,1)+CHOOSE(--RIGHTB(OFFSET(INDIRECT(Свёртка_Перебор_2_20170602154411[[#This Row],[С]],FALSE),,2))+1,0,1,1,1,1,2))),Свёртка_Перебор_2_20170602154411[[#This Row],[F]]&lt;=(1+(CHOOSE(--RIGHTB(OFFSET(INDIRECT(Свёртка_Перебор_2_20170602154411[[#This Row],[С]],FALSE),,3))+1,0,0,1,0,1,1)+CHOOSE(--RIGHTB(OFFSET(INDIRECT(Свёртка_Перебор_2_20170602154411[[#This Row],[С]],FALSE),,2))+1,0,1,1,1,1,2)+CHOOSE(--RIGHTB(OFFSET(INDIRECT(Свёртка_Перебор_2_20170602154411[[#This Row],[С]],FALSE),-1,1))+1,0,1,1,1,1,2)))),1,0)+COUNTIFS(OFFSET(INDIRECT((OFFSET(INDIRECT(Свёртка_Перебор_2_20170602154411[[#This Row],[С]],FALSE),-1,2)&amp;"!R2C2"),FALSE),,,101,101),"="&amp;(Свёртка_Перебор_2_20170602154411[[#This Row],[F]]-(1+(CHOOSE(--RIGHTB(OFFSET(INDIRECT(Свёртка_Перебор_2_20170602154411[[#This Row],[С]],FALSE),,3))+1,0,1,1,1,1,2)))+1))*IF(AND(Свёртка_Перебор_2_20170602154411[[#This Row],[F]]&gt;=(1+(CHOOSE(--RIGHTB(OFFSET(INDIRECT(Свёртка_Перебор_2_20170602154411[[#This Row],[С]],FALSE),,3))+1,0,1,1,1,1,2))),Свёртка_Перебор_2_20170602154411[[#This Row],[F]]&lt;=(1+(CHOOSE(--RIGHTB(OFFSET(INDIRECT(Свёртка_Перебор_2_20170602154411[[#This Row],[С]],FALSE),,3))+1,0,1,1,1,1,2)+CHOOSE(--RIGHTB(OFFSET(INDIRECT(Свёртка_Перебор_2_20170602154411[[#This Row],[С]],FALSE),-1,2))+1,0,1,1,1,1,2)))),1,0)+COUNTIFS(OFFSET(INDIRECT((OFFSET(INDIRECT(Свёртка_Перебор_2_20170602154411[[#This Row],[С]],FALSE),-1,3)&amp;"!R2C2"),FALSE),,,101,101),"="&amp;(Свёртка_Перебор_2_20170602154411[[#This Row],[F]]-(1+(CHOOSE(--RIGHTB(OFFSET(INDIRECT(Свёртка_Перебор_2_20170602154411[[#This Row],[С]],FALSE),,3))+1,0,0,0,1,1,1)))+1))*IF(AND(Свёртка_Перебор_2_20170602154411[[#This Row],[F]]&gt;=(1+(CHOOSE(--RIGHTB(OFFSET(INDIRECT(Свёртка_Перебор_2_20170602154411[[#This Row],[С]],FALSE),,3))+1,0,0,0,1,1,1))),Свёртка_Перебор_2_20170602154411[[#This Row],[F]]&lt;=(1+(CHOOSE(--RIGHTB(OFFSET(INDIRECT(Свёртка_Перебор_2_20170602154411[[#This Row],[С]],FALSE),,3))+1,0,0,0,1,1,1)+CHOOSE(--RIGHTB(OFFSET(INDIRECT(Свёртка_Перебор_2_20170602154411[[#This Row],[С]],FALSE),-1,3))+1,0,1,1,1,1,2)))),1,0)+COUNTIFS(OFFSET(INDIRECT((OFFSET(INDIRECT(Свёртка_Перебор_2_20170602154411[[#This Row],[С]],FALSE),,1)&amp;"!R2C2"),FALSE),,,101,101),"="&amp;(Свёртка_Перебор_2_20170602154411[[#This Row],[F]]-(1+(CHOOSE(--RIGHTB(OFFSET(INDIRECT(Свёртка_Перебор_2_20170602154411[[#This Row],[С]],FALSE),,3))+1,0,0,1,0,1,1)+CHOOSE(--RIGHTB(OFFSET(INDIRECT(Свёртка_Перебор_2_20170602154411[[#This Row],[С]],FALSE),,2))+1,0,0,1,0,1,1)))+1))*IF(AND(Свёртка_Перебор_2_20170602154411[[#This Row],[F]]&gt;=(1+(CHOOSE(--RIGHTB(OFFSET(INDIRECT(Свёртка_Перебор_2_20170602154411[[#This Row],[С]],FALSE),,3))+1,0,0,1,0,1,1)+CHOOSE(--RIGHTB(OFFSET(INDIRECT(Свёртка_Перебор_2_20170602154411[[#This Row],[С]],FALSE),,2))+1,0,0,1,0,1,1))),Свёртка_Перебор_2_20170602154411[[#This Row],[F]]&lt;=(1+(CHOOSE(--RIGHTB(OFFSET(INDIRECT(Свёртка_Перебор_2_20170602154411[[#This Row],[С]],FALSE),,3))+1,0,0,1,0,1,1)+CHOOSE(--RIGHTB(OFFSET(INDIRECT(Свёртка_Перебор_2_20170602154411[[#This Row],[С]],FALSE),,2))+1,0,0,1,0,1,1)+CHOOSE(--RIGHTB(OFFSET(INDIRECT(Свёртка_Перебор_2_20170602154411[[#This Row],[С]],FALSE),,1))+1,0,1,1,1,1,2)))),1,0)+COUNTIFS(OFFSET(INDIRECT((OFFSET(INDIRECT(Свёртка_Перебор_2_20170602154411[[#This Row],[С]],FALSE),,2)&amp;"!R2C2"),FALSE),,,101,101),"="&amp;(Свёртка_Перебор_2_20170602154411[[#This Row],[F]]-(1+(CHOOSE(--RIGHTB(OFFSET(INDIRECT(Свёртка_Перебор_2_20170602154411[[#This Row],[С]],FALSE),,3))+1,0,0,1,0,1,1)))+1))*IF(AND(Свёртка_Перебор_2_20170602154411[[#This Row],[F]]&gt;=(1+(CHOOSE(--RIGHTB(OFFSET(INDIRECT(Свёртка_Перебор_2_20170602154411[[#This Row],[С]],FALSE),0,3))+1,0,0,1,0,1,1))),Свёртка_Перебор_2_20170602154411[[#This Row],[F]]&lt;=(1+(CHOOSE(--RIGHTB(OFFSET(INDIRECT(Свёртка_Перебор_2_20170602154411[[#This Row],[С]],FALSE),,3))+1,0,1,0,0,1,1)+CHOOSE(--RIGHTB(OFFSET(INDIRECT(Свёртка_Перебор_2_20170602154411[[#This Row],[С]],FALSE),,2))+1,0,1,1,1,1,2)))),1,0)+COUNTIFS(OFFSET(INDIRECT((OFFSET(INDIRECT(Свёртка_Перебор_2_20170602154411[[#This Row],[С]],FALSE),,3)&amp;"!R2C2"),FALSE),,,101,101),"="&amp;(Свёртка_Перебор_2_20170602154411[[#This Row],[F]]-1+1))*IF(AND(Свёртка_Перебор_2_20170602154411[[#This Row],[F]]&gt;=1,Свёртка_Перебор_2_20170602154411[[#This Row],[F]]&lt;=1+(CHOOSE(--RIGHTB(OFFSET(INDIRECT(Свёртка_Перебор_2_20170602154411[[#This Row],[С]],FALSE),,3))+1,0,1,1,1,1,2))),1,0)</f>
        <v>#REF!</v>
      </c>
    </row>
    <row r="17" spans="2:93" x14ac:dyDescent="0.25">
      <c r="B17" t="e">
        <f ca="1">IF(AND(Критерий_Перебор_2_20170602154411[[#This Row],[Критерий]]&lt;&gt;"",Критерий_Перебор_2_20170602154411[[#This Row],[O.K.Критерий]]=1),ROW()-ROW(Критерий_Перебор_2_20170602154411[[#Headers],[№]]),"")</f>
        <v>#REF!</v>
      </c>
      <c r="C17" s="37" t="e">
        <f>Модель!#REF!</f>
        <v>#REF!</v>
      </c>
      <c r="D17" t="str">
        <f ca="1">IFERROR(IF(AND(Критерий_Перебор_2_20170602154411[[#This Row],[Критерий]]&gt;=1,Критерий_Перебор_2_20170602154411[[#This Row],[Критерий]]&lt;=4),IF(IFERROR(FIND("!",_xlfn.FORMULATEXT(Критерий_Перебор_2_20170602154411[[#This Row],[Критерий]])),"на странице")="на странице",CONCATENATE("R",ROW((INDIRECT(RIGHT(_xlfn.FORMULATEXT(Критерий_Перебор_2_20170602154411[[#This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Row],[Критерий]]))-1),FALSE)))-D$8),CONCATENATE(RIGHT(LEFT(_xlfn.FORMULATEXT(Критерий_Перебор_2_20170602154411[[#This Row],[Критерий]]),FIND("!",_xlfn.FORMULATEXT(Критерий_Перебор_2_20170602154411[[#This Row],[Критерий]]))),LEN(LEFT(_xlfn.FORMULATEXT(Критерий_Перебор_2_20170602154411[[#This Row],[Критерий]]),FIND("!",_xlfn.FORMULATEXT(Критерий_Перебор_2_20170602154411[[#This Row],[Критерий]]))))-1),"R",ROW((INDIRECT(RIGHT(_xlfn.FORMULATEXT(Критерий_Перебор_2_20170602154411[[#This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Row],[Критерий]]))-1),FALSE)))-D$8)),"ошибка"),"ошибка")</f>
        <v>ошибка</v>
      </c>
      <c r="E17" t="str">
        <f ca="1">IFERROR(IF(LEFT(Критерий_Перебор_2_20170602154411[[#This Row],[Фкритерий]],5)="=Прив","Критерий",IF(LEFT(Критерий_Перебор_2_20170602154411[[#This Row],[Фкритерий]],5)="=Матр","ошибка","ошибка")),"ошибка")</f>
        <v>ошибка</v>
      </c>
      <c r="F17" t="str">
        <f ca="1">IFERROR(IF(LEN((INDIRECT(Критерий_Перебор_2_20170602154411[[#This Row],[СНаименование]],FALSE)))=0,"ошибка",IFERROR(INDIRECT(Критерий_Перебор_2_20170602154411[[#This Row],[СНаименование]],FALSE),"ошибка")),"ошибка")</f>
        <v>ошибка</v>
      </c>
      <c r="G17"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Row],[Скритерий]])))+G$7),FIND("R",Критерий_Перебор_2_20170602154411[[#This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Row],[Скритерий]])))+G$6),"ошибка")</f>
        <v>ошибка</v>
      </c>
      <c r="H17" t="str">
        <f ca="1">IFERROR(IF(N(INDIRECT(Критерий_Перебор_2_20170602154411[[#This Row],[СФизКритерий]],FALSE))=0,"ошибка",IFERROR(INDIRECT(Критерий_Перебор_2_20170602154411[[#This Row],[СФизКритерий]],FALSE),"ошибка")),"ошибка")</f>
        <v>ошибка</v>
      </c>
      <c r="I17"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Row],[Скритерий]])))+I$7),FIND("R",Критерий_Перебор_2_20170602154411[[#This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Row],[Скритерий]])))+I$6),"ошибка")</f>
        <v>ошибка</v>
      </c>
      <c r="J17" t="str">
        <f ca="1">IFERROR(IF(OR(INDIRECT(Критерий_Перебор_2_20170602154411[[#This Row],[СТипКритерий]],FALSE)=Перебор!$N$58,INDIRECT(Критерий_Перебор_2_20170602154411[[#This Row],[СТипКритерий]],FALSE)=Перебор!$N$59,INDIRECT(Критерий_Перебор_2_20170602154411[[#This Row],[СТипКритерий]],FALSE)=Перебор!$N$60,INDIRECT(Критерий_Перебор_2_20170602154411[[#This Row],[СТипКритерий]],FALSE)=Перебор!$N$61),INDIRECT(Критерий_Перебор_2_20170602154411[[#This Row],[СТипКритерий]],FALSE),"ошибка"),"ошибка")</f>
        <v>ошибка</v>
      </c>
      <c r="K17"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Row],[Скритерий]])))+K$7),FIND("R",Критерий_Перебор_2_20170602154411[[#This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Row],[Скритерий]])))+K$6),"ошибка")</f>
        <v>ошибка</v>
      </c>
      <c r="L17" t="str">
        <f ca="1">IFERROR(_xlfn.FORMULATEXT(INDIRECT(Критерий_Перебор_2_20170602154411[[#This Row],[Скритерий]],FALSE)),"ошибка")</f>
        <v>ошибка</v>
      </c>
      <c r="M17" t="str">
        <f ca="1">IFERROR(IF(N(INDIRECT(Критерий_Перебор_2_20170602154411[[#This Row],[СМинФизКритерий]],FALSE))=0,"ошибка",IFERROR(INDIRECT(Критерий_Перебор_2_20170602154411[[#This Row],[СМинФизКритерий]],FALSE),"ошибка")),"ошибка")</f>
        <v>ошибка</v>
      </c>
      <c r="N17"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Row],[Скритерий]])))+N$7),FIND("R",Критерий_Перебор_2_20170602154411[[#This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Row],[Скритерий]])))+N$6),"ошибка")</f>
        <v>ошибка</v>
      </c>
      <c r="O17" t="str">
        <f ca="1">IFERROR(IF(N(INDIRECT(Критерий_Перебор_2_20170602154411[[#This Row],[СМаксФизКритерий]],FALSE))=0,"ошибка",IFERROR(INDIRECT(Критерий_Перебор_2_20170602154411[[#This Row],[СМаксФизКритерий]],FALSE),"ошибка")),"ошибка")</f>
        <v>ошибка</v>
      </c>
      <c r="P17"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Row],[Скритерий]])))+P$7),FIND("R",Критерий_Перебор_2_20170602154411[[#This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Row],[Скритерий]])))+P$6),"ошибка")</f>
        <v>ошибка</v>
      </c>
      <c r="Q17" t="str">
        <f ca="1">IFERROR(IF(N(INDIRECT(Критерий_Перебор_2_20170602154411[[#This Row],[ССрФизКритерий]],FALSE))=0,"ошибка",IFERROR(INDIRECT(Критерий_Перебор_2_20170602154411[[#This Row],[ССрФизКритерий]],FALSE),"ошибка")),"")</f>
        <v/>
      </c>
      <c r="R17" t="str">
        <f ca="1">IF(OR(Критерий_Перебор_2_20170602154411[[#This Row],[ТипКритерий]]=Перебор!$N$60,Критерий_Перебор_2_20170602154411[[#This Row],[ТипКритерий]]=Перебор!$N$61),IFERROR(REPLACE(REPLACE(Критерий_Перебор_2_20170602154411[[#This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Row],[Скритерий]])))+R$7),FIND("R",Критерий_Перебор_2_20170602154411[[#This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Row],[Скритерий]])))+R$6),"ошибка"),"")</f>
        <v/>
      </c>
      <c r="S17" s="66">
        <f ca="1">IFERROR(IF(AND(Критерий_Перебор_2_20170602154411[[#This Row],[ВидКритерий]]="Критерий",Критерий_Перебор_2_20170602154411[[#This Row],[Фкритерий]]="=Приведение"),1,-1),-1)</f>
        <v>-1</v>
      </c>
      <c r="V17" t="e">
        <f ca="1">IF(AND(Свёртка_Перебор_2_20170602154411[[#This Row],[Свёртка]]&lt;&gt;"",Свёртка_Перебор_2_20170602154411[[#This Row],[O.K.Свёртка]]=1),ROW()-ROW(Свёртка_Перебор_2_20170602154411[[#Headers],[№]]),"")</f>
        <v>#REF!</v>
      </c>
      <c r="W17" s="146" t="e">
        <f>Модель!#REF!</f>
        <v>#REF!</v>
      </c>
      <c r="X17" t="str">
        <f ca="1">IFERROR(IF(AND(Свёртка_Перебор_2_20170602154411[[#This Row],[Свёртка]]&gt;=1,Свёртка_Перебор_2_20170602154411[[#This Row],[Свёртка]]&lt;=4),IF(IFERROR(FIND("!",_xlfn.FORMULATEXT(Свёртка_Перебор_2_20170602154411[[#This Row],[Свёртка]])),"на странице")="на странице",CONCATENATE("R",ROW((INDIRECT(RIGHT(_xlfn.FORMULATEXT(Свёртка_Перебор_2_20170602154411[[#This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Row],[Свёртка]]))-1),FALSE)))-X$6),CONCATENATE(RIGHT(LEFT(_xlfn.FORMULATEXT(Свёртка_Перебор_2_20170602154411[[#This Row],[Свёртка]]),FIND("!",_xlfn.FORMULATEXT(Свёртка_Перебор_2_20170602154411[[#This Row],[Свёртка]]))),LEN(LEFT(_xlfn.FORMULATEXT(Свёртка_Перебор_2_20170602154411[[#This Row],[Свёртка]]),FIND("!",_xlfn.FORMULATEXT(Свёртка_Перебор_2_20170602154411[[#This Row],[Свёртка]]))))-1),"R",ROW((INDIRECT(RIGHT(_xlfn.FORMULATEXT(Свёртка_Перебор_2_20170602154411[[#This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Row],[Свёртка]]))-1),FALSE)))-X$6)),"ошибка"),"ошибка")</f>
        <v>ошибка</v>
      </c>
      <c r="Y17" t="str">
        <f ca="1">IFERROR(_xlfn.FORMULATEXT(INDIRECT(Свёртка_Перебор_2_20170602154411[[#This Row],[ССвёртка]],FALSE)),"ошибка")</f>
        <v>ошибка</v>
      </c>
      <c r="Z17" t="str">
        <f ca="1">IFERROR(IF(LEFT(Свёртка_Перебор_2_20170602154411[[#This Row],[ФСвёртка]],5)="=Прив","ошибка",IF(LEFT(Свёртка_Перебор_2_20170602154411[[#This Row],[ФСвёртка]],5)="=Матр","Свёртка","ошибка")),"ошибка")</f>
        <v>ошибка</v>
      </c>
      <c r="AA17" t="str">
        <f ca="1">IFERROR(IF(LEN((INDIRECT(Свёртка_Перебор_2_20170602154411[[#This Row],[СНаименование]],FALSE)))=0,"ошибка",IFERROR(INDIRECT(Свёртка_Перебор_2_20170602154411[[#This Row],[СНаименование]],FALSE),"ошибка")),"ошибка")</f>
        <v>ошибка</v>
      </c>
      <c r="AB17"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Row],[ССвёртка]])))+AB$6),"ошибка")</f>
        <v>ошибка</v>
      </c>
      <c r="AC17">
        <v>4</v>
      </c>
      <c r="AD17" t="str">
        <f ca="1">IFERROR(IF(LEN((INDIRECT(Свёртка_Перебор_2_20170602154411[[#This Row],[ССВ_1_1]],FALSE)))=0,"ошибка",IFERROR(INDIRECT(Свёртка_Перебор_2_20170602154411[[#This Row],[ССВ_1_1]],FALSE),"ошибка")),"ошибка")</f>
        <v>ошибка</v>
      </c>
      <c r="AE17"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Row],[ССвёртка]])))+AE$7),FIND("R",Свёртка_Перебор_2_20170602154411[[#This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Row],[ССвёртка]])))+AE$6),"ошибка")</f>
        <v>ошибка</v>
      </c>
      <c r="AF17">
        <v>1</v>
      </c>
      <c r="AG17">
        <v>3</v>
      </c>
      <c r="AH17">
        <v>12</v>
      </c>
      <c r="AI17" t="str">
        <f ca="1">IFERROR(IF(LEN((INDIRECT(Свёртка_Перебор_2_20170602154411[[#This Row],[ССВ_2_1]],FALSE)))=0,"ошибка",IFERROR(INDIRECT(Свёртка_Перебор_2_20170602154411[[#This Row],[ССВ_2_1]],FALSE),"ошибка")),"ошибка")</f>
        <v>ошибка</v>
      </c>
      <c r="AJ17"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Row],[ССвёртка]])))+AJ$7),FIND("R",Свёртка_Перебор_2_20170602154411[[#This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Row],[ССвёртка]])))+AJ$6),"ошибка")</f>
        <v>ошибка</v>
      </c>
      <c r="AK17">
        <v>0</v>
      </c>
      <c r="AL17">
        <v>3</v>
      </c>
      <c r="AM17">
        <v>0</v>
      </c>
      <c r="AN17" t="str">
        <f ca="1">IFERROR(IF(LEN((INDIRECT(Свёртка_Перебор_2_20170602154411[[#This Row],[ССВ_1_2]],FALSE)))=0,"ошибка",IFERROR(INDIRECT(Свёртка_Перебор_2_20170602154411[[#This Row],[ССВ_1_2]],FALSE),"ошибка")),"ошибка")</f>
        <v>ошибка</v>
      </c>
      <c r="AO17"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Row],[ССвёртка]])))+AO$7),FIND("R",Свёртка_Перебор_2_20170602154411[[#This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Row],[ССвёртка]])))+AO$6),"ошибка")</f>
        <v>ошибка</v>
      </c>
      <c r="AP17">
        <v>0</v>
      </c>
      <c r="AQ17">
        <v>3</v>
      </c>
      <c r="AR17">
        <v>0</v>
      </c>
      <c r="AS17" t="str">
        <f ca="1">IFERROR(IF(LEN((INDIRECT(Свёртка_Перебор_2_20170602154411[[#This Row],[ССВ_2_2]],FALSE)))=0,"ошибка",IFERROR(INDIRECT(Свёртка_Перебор_2_20170602154411[[#This Row],[ССВ_2_2]],FALSE),"ошибка")),"ошибка")</f>
        <v>ошибка</v>
      </c>
      <c r="AT17"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Row],[ССвёртка]])))+AT$7),FIND("R",Свёртка_Перебор_2_20170602154411[[#This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Row],[ССвёртка]])))+AT$6),"ошибка")</f>
        <v>ошибка</v>
      </c>
      <c r="AU17">
        <v>0</v>
      </c>
      <c r="AV17">
        <v>4</v>
      </c>
      <c r="AW17">
        <v>0</v>
      </c>
      <c r="AX17" t="str">
        <f ca="1">IFERROR(IF(LEN((INDIRECT(Свёртка_Перебор_2_20170602154411[[#This Row],[ССВ_3_1]],FALSE)))=0,"ошибка",IFERROR(INDIRECT(Свёртка_Перебор_2_20170602154411[[#This Row],[ССВ_3_1]],FALSE),"ошибка")),"ошибка")</f>
        <v>ошибка</v>
      </c>
      <c r="AY17"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Row],[ССвёртка]])))+AY$6),"ошибка")</f>
        <v>ошибка</v>
      </c>
      <c r="AZ17">
        <v>0</v>
      </c>
      <c r="BA17">
        <v>4</v>
      </c>
      <c r="BB17">
        <v>0</v>
      </c>
      <c r="BC17" t="str">
        <f ca="1">IFERROR(IF(LEN((INDIRECT(Свёртка_Перебор_2_20170602154411[[#This Row],[ССВ_1_3]],FALSE)))=0,"ошибка",IFERROR(INDIRECT(Свёртка_Перебор_2_20170602154411[[#This Row],[ССВ_1_3]],FALSE),"ошибка")),"ошибка")</f>
        <v>ошибка</v>
      </c>
      <c r="BD17"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Row],[ССвёртка]])))+BD$7),FIND("R",Свёртка_Перебор_2_20170602154411[[#This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Row],[ССвёртка]])))+BD$6),"ошибка")</f>
        <v>ошибка</v>
      </c>
      <c r="BE17">
        <v>0</v>
      </c>
      <c r="BF17">
        <v>4</v>
      </c>
      <c r="BG17">
        <v>0</v>
      </c>
      <c r="BH17" t="str">
        <f ca="1">IFERROR(IF(LEN((INDIRECT(Свёртка_Перебор_2_20170602154411[[#This Row],[ССВ_3_2]],FALSE)))=0,"ошибка",IFERROR(INDIRECT(Свёртка_Перебор_2_20170602154411[[#This Row],[ССВ_3_2]],FALSE),"ошибка")),"ошибка")</f>
        <v>ошибка</v>
      </c>
      <c r="BI17"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Row],[ССвёртка]])))+BI$7),FIND("R",Свёртка_Перебор_2_20170602154411[[#This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Row],[ССвёртка]])))+BI$6),"ошибка")</f>
        <v>ошибка</v>
      </c>
      <c r="BJ17">
        <v>0</v>
      </c>
      <c r="BK17">
        <v>4</v>
      </c>
      <c r="BL17">
        <v>0</v>
      </c>
      <c r="BM17" t="str">
        <f ca="1">IFERROR(IF(LEN((INDIRECT(Свёртка_Перебор_2_20170602154411[[#This Row],[ССВ_2_3]],FALSE)))=0,"ошибка",IFERROR(INDIRECT(Свёртка_Перебор_2_20170602154411[[#This Row],[ССВ_2_3]],FALSE),"ошибка")),"ошибка")</f>
        <v>ошибка</v>
      </c>
      <c r="BN17"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Row],[ССвёртка]])))+BN$7),FIND("R",Свёртка_Перебор_2_20170602154411[[#This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Row],[ССвёртка]])))+BN$6),"ошибка")</f>
        <v>ошибка</v>
      </c>
      <c r="BO17">
        <v>0</v>
      </c>
      <c r="BP17">
        <v>4</v>
      </c>
      <c r="BQ17">
        <v>0</v>
      </c>
      <c r="BR17" t="str">
        <f ca="1">IFERROR(IF(LEN((INDIRECT(Свёртка_Перебор_2_20170602154411[[#This Row],[ССВ_3_3]],FALSE)))=0,"ошибка",IFERROR(INDIRECT(Свёртка_Перебор_2_20170602154411[[#This Row],[ССВ_3_3]],FALSE),"ошибка")),"ошибка")</f>
        <v>ошибка</v>
      </c>
      <c r="BS17"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Row],[ССвёртка]])))+BS$7),FIND("R",Свёртка_Перебор_2_20170602154411[[#This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Row],[ССвёртка]])))+BS$6),"ошибка")</f>
        <v>ошибка</v>
      </c>
      <c r="BT17">
        <v>0</v>
      </c>
      <c r="BU17">
        <v>4</v>
      </c>
      <c r="BV17">
        <v>0</v>
      </c>
      <c r="BW17">
        <f>Свёртка_Перебор_2_20170602154411[[#This Row],[ССВ_1_1_kolvo]]+Свёртка_Перебор_2_20170602154411[[#This Row],[ССВ_2_1_kolvo]]+Свёртка_Перебор_2_20170602154411[[#This Row],[ССВ_1_2_kolvo]]+Свёртка_Перебор_2_20170602154411[[#This Row],[ССВ_2_2_kolvo]]+Свёртка_Перебор_2_20170602154411[[#This Row],[ССВ_3_1_kolvo]]+Свёртка_Перебор_2_20170602154411[[#This Row],[ССВ_1_3_kolvo]]+Свёртка_Перебор_2_20170602154411[[#This Row],[ССВ_3_2_kolvo]]+Свёртка_Перебор_2_20170602154411[[#This Row],[ССВ_2_3_kolvo]]+Свёртка_Перебор_2_20170602154411[[#This Row],[ССВ_3_3_kolvo]]</f>
        <v>12</v>
      </c>
      <c r="BX17" t="str">
        <f ca="1">IFERROR(IF(LEN((INDIRECT(Свёртка_Перебор_2_20170602154411[[#This Row],[СЛ]],FALSE)))=0,"ошибка",IFERROR(INDIRECT(Свёртка_Перебор_2_20170602154411[[#This Row],[СЛ]],FALSE),"ошибка")),"ошибка")</f>
        <v>ошибка</v>
      </c>
      <c r="BY17"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Row],[ССвёртка]])))+BY$6),"ошибка")</f>
        <v>ошибка</v>
      </c>
      <c r="BZ17" t="str">
        <f ca="1">IFERROR(_xlfn.FORMULATEXT(INDIRECT(Свёртка_Перебор_2_20170602154411[[#This Row],[СЛ]],FALSE)),"ошибка")</f>
        <v>ошибка</v>
      </c>
      <c r="CA17" t="str">
        <f ca="1">IFERROR(IF(LEN((INDIRECT(Свёртка_Перебор_2_20170602154411[[#This Row],[СП]],FALSE)))=0,"ошибка",IFERROR(INDIRECT(Свёртка_Перебор_2_20170602154411[[#This Row],[СП]],FALSE),"ошибка")),"ошибка")</f>
        <v>ошибка</v>
      </c>
      <c r="CB17"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Row],[ССвёртка]])))+CB$7),FIND("R",Свёртка_Перебор_2_20170602154411[[#This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Row],[ССвёртка]])))+CB$6),"ошибка")</f>
        <v>ошибка</v>
      </c>
      <c r="CC17" t="str">
        <f ca="1">IFERROR(_xlfn.FORMULATEXT(INDIRECT(Свёртка_Перебор_2_20170602154411[[#This Row],[СП]],FALSE)),"ошибка")</f>
        <v>ошибка</v>
      </c>
      <c r="CD17" s="66">
        <f ca="1">IF(AND(Свёртка_Перебор_2_20170602154411[[#This Row],[ВидСвёртка]]="Свёртка",CONCATENATE(LEFT(Свёртка_Перебор_2_20170602154411[[#This Row],[СВ_1_1]],1),LEFT(Свёртка_Перебор_2_20170602154411[[#This Row],[СВ_2_1]],1),LEFT(Свёртка_Перебор_2_20170602154411[[#This Row],[СВ_1_2]],1),LEFT(Свёртка_Перебор_2_20170602154411[[#This Row],[СВ_2_2]],1),LEFT(Свёртка_Перебор_2_20170602154411[[#This Row],[СВ_3_1]],1),LEFT(Свёртка_Перебор_2_20170602154411[[#This Row],[СВ_1_3]],1),LEFT(Свёртка_Перебор_2_20170602154411[[#This Row],[СВ_3_2]],1),LEFT(Свёртка_Перебор_2_20170602154411[[#This Row],[СВ_2_3]],1),LEFT(Свёртка_Перебор_2_20170602154411[[#This Row],[СВ_3_3]],1))="FFFFFFFFF",AND(Свёртка_Перебор_2_20170602154411[[#This Row],[Л]]&gt;=1,Свёртка_Перебор_2_20170602154411[[#This Row],[Л]]&lt;=4),AND(Свёртка_Перебор_2_20170602154411[[#This Row],[П]]&gt;=1,Свёртка_Перебор_2_20170602154411[[#This Row],[П]]&lt;=4)),1,-1)</f>
        <v>-1</v>
      </c>
      <c r="CE17" t="e">
        <f ca="1">_xlfn.NUMBERVALUE(MID(Свёртка_Перебор_2_20170602154411[[#This Row],[ССвёртка]],SEARCH("R",Свёртка_Перебор_2_20170602154411[[#This Row],[ССвёртка]])+1,SEARCH("C",Свёртка_Перебор_2_20170602154411[[#This Row],[ССвёртка]])-SEARCH("R",Свёртка_Перебор_2_20170602154411[[#This Row],[ССвёртка]])-1))</f>
        <v>#VALUE!</v>
      </c>
      <c r="CF17" t="e">
        <f ca="1">_xlfn.NUMBERVALUE(MID(Свёртка_Перебор_2_20170602154411[[#This Row],[ССвёртка]],SEARCH("C",Свёртка_Перебор_2_20170602154411[[#This Row],[ССвёртка]])+1,LEN(Свёртка_Перебор_2_20170602154411[[#This Row],[ССвёртка]])-SEARCH("C",Свёртка_Перебор_2_20170602154411[[#This Row],[ССвёртка]])))</f>
        <v>#VALUE!</v>
      </c>
      <c r="CG17" t="str">
        <f ca="1">IF(ISERR(SEARCH("!",Свёртка_Перебор_2_20170602154411[[#This Row],[ССвёртка]])),"",LEFT(Свёртка_Перебор_2_20170602154411[[#This Row],[ССвёртка]],SEARCH("!",Свёртка_Перебор_2_20170602154411[[#This Row],[ССвёртка]])))</f>
        <v/>
      </c>
      <c r="CH17" t="str">
        <f ca="1">Свёртка_Перебор_2_20170602154411[[#This Row],[ССвёртка]]</f>
        <v>ошибка</v>
      </c>
      <c r="CI17" t="e">
        <f ca="1">IF(SUM(IF(SUM(LOOKUP(--RIGHT(OFFSET(INDIRECT(Свёртка_Перебор_2_20170602154411[[#This Row],[ССвёртка]],FALSE),-2,1)),{0,1,2,3,4,5},{0,1,1,0,1,1.5}),LOOKUP(--RIGHT(OFFSET(INDIRECT(Свёртка_Перебор_2_20170602154411[[#This Row],[ССвёртка]],FALSE),-1,1)),{0,1,2,3,4,5},{0,1,1,0,1,1.5}),LOOKUP(--RIGHT(OFFSET(INDIRECT(Свёртка_Перебор_2_20170602154411[[#This Row],[ССвёртка]],FALSE),0,1)),{0,1,2,3,4,5},{0,1,1,0,1,1.5}))&gt;4,1,0),IF(SUM(LOOKUP(--RIGHT(OFFSET(INDIRECT(Свёртка_Перебор_2_20170602154411[[#This Row],[ССвёртка]],FALSE),-2,2)),{0,1,2,3,4,5},{0,1,1,0,1,1.5}),LOOKUP(--RIGHT(OFFSET(INDIRECT(Свёртка_Перебор_2_20170602154411[[#This Row],[ССвёртка]],FALSE),-1,2)),{0,1,2,3,4,5},{0,1,1,0,1,1.5}),LOOKUP(--RIGHT(OFFSET(INDIRECT(Свёртка_Перебор_2_20170602154411[[#This Row],[ССвёртка]],FALSE),0,2)),{0,1,2,3,4,5},{0,1,1,0,1,1.5}))&gt;4,1,0),IF(SUM(LOOKUP(--RIGHT(OFFSET(INDIRECT(Свёртка_Перебор_2_20170602154411[[#This Row],[ССвёртка]],FALSE),-2,3)),{0,1,2,3,4,5},{0,1,1,0,1,1.5}),LOOKUP(--RIGHT(OFFSET(INDIRECT(Свёртка_Перебор_2_20170602154411[[#This Row],[ССвёртка]],FALSE),-1,3)),{0,1,2,3,4,5},{0,1,1,0,1,1.5}),LOOKUP(--RIGHT(OFFSET(INDIRECT(Свёртка_Перебор_2_20170602154411[[#This Row],[ССвёртка]],FALSE),0,3)),{0,1,2,3,4,5},{0,1,1,0,1,1.5}))&gt;4,1,0),IF(SUM(LOOKUP(--RIGHT(OFFSET(INDIRECT(Свёртка_Перебор_2_20170602154411[[#This Row],[ССвёртка]],FALSE),-2,1)),{0,1,2,3,4,5},{0,1,1,1,1,2}),LOOKUP(--RIGHT(OFFSET(INDIRECT(Свёртка_Перебор_2_20170602154411[[#This Row],[ССвёртка]],FALSE),-1,2)),{0,1,2,3,4,5},{0,1,1,1,1,2}),LOOKUP(--RIGHT(OFFSET(INDIRECT(Свёртка_Перебор_2_20170602154411[[#This Row],[ССвёртка]],FALSE),0,3)),{0,1,2,3,4,5},{0,1,1,1,1,2}))&lt;&gt;3,1,0),IF(SUM(LOOKUP(--RIGHT(OFFSET(INDIRECT(Свёртка_Перебор_2_20170602154411[[#This Row],[ССвёртка]],FALSE),-2,1)),{0,1,2,3,4,5},{0,1,0,1,1,1.5}),LOOKUP(--RIGHT(OFFSET(INDIRECT(Свёртка_Перебор_2_20170602154411[[#This Row],[ССвёртка]],FALSE),-2,2)),{0,1,2,3,4,5},{0,1,0,1,1,1.5}),LOOKUP(--RIGHT(OFFSET(INDIRECT(Свёртка_Перебор_2_20170602154411[[#This Row],[ССвёртка]],FALSE),-2,3)),{0,1,2,3,4,5},{0,1,0,1,1,1.5}))&gt;4,1,0),IF(SUM(LOOKUP(--RIGHT(OFFSET(INDIRECT(Свёртка_Перебор_2_20170602154411[[#This Row],[ССвёртка]],FALSE),-1,1)),{0,1,2,3,4,5},{0,1,0,1,1,1.5}),LOOKUP(--RIGHT(OFFSET(INDIRECT(Свёртка_Перебор_2_20170602154411[[#This Row],[ССвёртка]],FALSE),-1,2)),{0,1,2,3,4,5},{0,1,0,1,1,1.5}),LOOKUP(--RIGHT(OFFSET(INDIRECT(Свёртка_Перебор_2_20170602154411[[#This Row],[ССвёртка]],FALSE),-1,3)),{0,1,2,3,4,5},{0,1,0,1,1,1.5}))&gt;4,1,0),IF(SUM(LOOKUP(--RIGHT(OFFSET(INDIRECT(Свёртка_Перебор_2_20170602154411[[#This Row],[ССвёртка]],FALSE),0,1)),{0,1,2,3,4,5},{0,1,0,1,1,1.5}),LOOKUP(--RIGHT(OFFSET(INDIRECT(Свёртка_Перебор_2_20170602154411[[#This Row],[ССвёртка]],FALSE),0,2)),{0,1,2,3,4,5},{0,1,0,1,1,1.5}),LOOKUP(--RIGHT(OFFSET(INDIRECT(Свёртка_Перебор_2_20170602154411[[#This Row],[ССвёртка]],FALSE),0,3)),{0,1,2,3,4,5},{0,1,0,1,1,1.5}))&gt;4,1,0))&lt;&gt;0,0,1)</f>
        <v>#REF!</v>
      </c>
      <c r="CJ17" t="str">
        <f t="array" aca="1" ref="CJ17" ca="1">IFERROR(IF(SUM((MMULT(CHOOSE(RIGHT(OFFSET(INDIRECT(CONCATENATE(Свёртка_Перебор_2_20170602154411[[#This Row],[Л!]],"R",Свёртка_Перебор_2_20170602154411[[#This Row],[R!]],"C",Свёртка_Перебор_2_20170602154411[[#This Row],[C!]]),FALSE),-2,1,3,3))+1,0,1,0,1,1,1.5),{1;1;1})&gt;4)+(MMULT(TRANSPOSE(CHOOSE(RIGHT(OFFSET(INDIRECT(CONCATENATE(Свёртка_Перебор_2_20170602154411[[#This Row],[Л!]],"R",Свёртка_Перебор_2_20170602154411[[#This Row],[R!]],"C",Свёртка_Перебор_2_20170602154411[[#This Row],[C!]]),FALSE),-2,1,3,3))+1,0,1,1,0,1,1.5)),{1;1;1})&gt;4)+(SUM(CHOOSE(RIGHT(CHOOSE({1;2;3},OFFSET(INDIRECT(CONCATENATE(Свёртка_Перебор_2_20170602154411[[#This Row],[Л!]],"R",Свёртка_Перебор_2_20170602154411[[#This Row],[R!]],"C",Свёртка_Перебор_2_20170602154411[[#This Row],[C!]]),FALSE),-2,1),OFFSET(INDIRECT(CONCATENATE(Свёртка_Перебор_2_20170602154411[[#This Row],[Л!]],"R",Свёртка_Перебор_2_20170602154411[[#This Row],[R!]],"C",Свёртка_Перебор_2_20170602154411[[#This Row],[C!]]),FALSE),-1,2),OFFSET(INDIRECT(CONCATENATE(Свёртка_Перебор_2_20170602154411[[#This Row],[Л!]],"R",Свёртка_Перебор_2_20170602154411[[#This Row],[R!]],"C",Свёртка_Перебор_2_20170602154411[[#This Row],[C!]]),FALSE),0,3)))+1,0,1,1,1,1,2))&lt;&gt;3)),0,1),"!")</f>
        <v>!</v>
      </c>
      <c r="CK17" t="e">
        <f ca="1">COUNTIFS(OFFSET(INDIRECT((OFFSET(INDIRECT(Свёртка_Перебор_2_20170602154411[[#This Row],[С]],FALSE),-2,1)&amp;"!R2C2"),FALSE),,,101,101),"="&amp;(Свёртка_Перебор_2_20170602154411[[#This Row],[F]]-(1+(CHOOSE(--RIGHTB(OFFSET(INDIRECT(Свёртка_Перебор_2_20170602154411[[#This Row],[С]],FALSE),,3))+1,0,1,1,1,1,2)+CHOOSE(--RIGHTB(OFFSET(INDIRECT(Свёртка_Перебор_2_20170602154411[[#This Row],[С]],FALSE),-1,2))+1,0,1,1,1,1,2)))+1))*IF(AND(Свёртка_Перебор_2_20170602154411[[#This Row],[F]]&gt;=(1+(CHOOSE(--RIGHTB(OFFSET(INDIRECT(Свёртка_Перебор_2_20170602154411[[#This Row],[С]],FALSE),,3))+1,0,1,1,1,1,2)+CHOOSE(--RIGHTB(OFFSET(INDIRECT(Свёртка_Перебор_2_20170602154411[[#This Row],[С]],FALSE),-1,2))+1,0,1,1,1,1,2))),Свёртка_Перебор_2_20170602154411[[#This Row],[F]]&lt;=(1+(CHOOSE(--RIGHTB(OFFSET(INDIRECT(Свёртка_Перебор_2_20170602154411[[#This Row],[С]],FALSE),,3))+1,0,1,1,1,1,2)+CHOOSE(--RIGHTB(OFFSET(INDIRECT(Свёртка_Перебор_2_20170602154411[[#This Row],[С]],FALSE),-1,2))+1,0,1,1,1,1,2)+CHOOSE(--RIGHTB(OFFSET(INDIRECT(Свёртка_Перебор_2_20170602154411[[#This Row],[С]],FALSE),-2,1))+1,0,1,1,1,1,2)))),1,0)+COUNTIFS(OFFSET(INDIRECT((OFFSET(INDIRECT(Свёртка_Перебор_2_20170602154411[[#This Row],[С]],FALSE),-2,2)&amp;"!R2C2"),FALSE),,,101,101),"="&amp;(Свёртка_Перебор_2_20170602154411[[#This Row],[F]]-(1+(CHOOSE(--RIGHTB(OFFSET(INDIRECT(Свёртка_Перебор_2_20170602154411[[#This Row],[С]],FALSE),,3))+1,0,1,0,1,1,1)+CHOOSE(--RIGHTB(OFFSET(INDIRECT(Свёртка_Перебор_2_20170602154411[[#This Row],[С]],FALSE),-1,3))+1,0,1,1,1,1,2)))+1))*IF(AND(Свёртка_Перебор_2_20170602154411[[#This Row],[F]]&gt;=(1+(CHOOSE(--RIGHTB(OFFSET(INDIRECT(Свёртка_Перебор_2_20170602154411[[#This Row],[С]],FALSE),,3))+1,0,0,0,1,1,1)+CHOOSE(--RIGHTB(OFFSET(INDIRECT(Свёртка_Перебор_2_20170602154411[[#This Row],[С]],FALSE),-1,3))+1,0,1,1,1,1,2))),Свёртка_Перебор_2_20170602154411[[#This Row],[F]]&lt;=(1+(CHOOSE(--RIGHTB(OFFSET(INDIRECT(Свёртка_Перебор_2_20170602154411[[#This Row],[С]],FALSE),,3))+1,0,0,0,1,1,1)+CHOOSE(--RIGHTB(OFFSET(INDIRECT(Свёртка_Перебор_2_20170602154411[[#This Row],[С]],FALSE),-1,3))+1,0,1,1,1,1,2)+CHOOSE(--RIGHTB(OFFSET(INDIRECT(Свёртка_Перебор_2_20170602154411[[#This Row],[С]],FALSE),-2,2))+1,0,1,1,1,1,2)))),1,0)+COUNTIFS(OFFSET(INDIRECT((OFFSET(INDIRECT(Свёртка_Перебор_2_20170602154411[[#This Row],[С]],FALSE),-2,3)&amp;"!R2C2"),FALSE),,,101,101),"="&amp;(Свёртка_Перебор_2_20170602154411[[#This Row],[F]]-(1+(CHOOSE(--RIGHTB(OFFSET(INDIRECT(Свёртка_Перебор_2_20170602154411[[#This Row],[С]],FALSE),,3))+1,0,0,0,1,1,1)+CHOOSE(--RIGHTB(OFFSET(INDIRECT(Свёртка_Перебор_2_20170602154411[[#This Row],[С]],FALSE),-1,3))+1,0,0,0,1,1,1)))+1))*IF(AND(Свёртка_Перебор_2_20170602154411[[#This Row],[F]]&gt;=(1+(CHOOSE(--RIGHTB(OFFSET(INDIRECT(Свёртка_Перебор_2_20170602154411[[#This Row],[С]],FALSE),,3))+1,0,0,0,1,1,1)+CHOOSE(--RIGHTB(OFFSET(INDIRECT(Свёртка_Перебор_2_20170602154411[[#This Row],[С]],FALSE),-1,3))+1,0,0,0,1,1,1))),Свёртка_Перебор_2_20170602154411[[#This Row],[F]]&lt;=(1+(CHOOSE(--RIGHTB(OFFSET(INDIRECT(Свёртка_Перебор_2_20170602154411[[#This Row],[С]],FALSE),,3))+1,0,0,0,1,1,1)+CHOOSE(--RIGHTB(OFFSET(INDIRECT(Свёртка_Перебор_2_20170602154411[[#This Row],[С]],FALSE),-1,3))+1,0,0,0,1,1,1)+CHOOSE(--RIGHTB(OFFSET(INDIRECT(Свёртка_Перебор_2_20170602154411[[#This Row],[С]],FALSE),-2,3))+1,0,1,1,1,1,2)))),1,0)+COUNTIFS(OFFSET(INDIRECT((OFFSET(INDIRECT(Свёртка_Перебор_2_20170602154411[[#This Row],[С]],FALSE),-1,1)&amp;"!R2C2"),FALSE),,,101,101),"="&amp;(Свёртка_Перебор_2_20170602154411[[#This Row],[F]]-(1+(CHOOSE(--RIGHTB(OFFSET(INDIRECT(Свёртка_Перебор_2_20170602154411[[#This Row],[С]],FALSE),,3))+1,0,0,1,0,1,1)+CHOOSE(--RIGHTB(OFFSET(INDIRECT(Свёртка_Перебор_2_20170602154411[[#This Row],[С]],FALSE),0,2))+1,0,1,1,1,1,2)))+1))*IF(AND(Свёртка_Перебор_2_20170602154411[[#This Row],[F]]&gt;=(1+(CHOOSE(--RIGHTB(OFFSET(INDIRECT(Свёртка_Перебор_2_20170602154411[[#This Row],[С]],FALSE),,3))+1,0,0,1,0,1,1)+CHOOSE(--RIGHTB(OFFSET(INDIRECT(Свёртка_Перебор_2_20170602154411[[#This Row],[С]],FALSE),,2))+1,0,1,1,1,1,2))),Свёртка_Перебор_2_20170602154411[[#This Row],[F]]&lt;=(1+(CHOOSE(--RIGHTB(OFFSET(INDIRECT(Свёртка_Перебор_2_20170602154411[[#This Row],[С]],FALSE),,3))+1,0,0,1,0,1,1)+CHOOSE(--RIGHTB(OFFSET(INDIRECT(Свёртка_Перебор_2_20170602154411[[#This Row],[С]],FALSE),,2))+1,0,1,1,1,1,2)+CHOOSE(--RIGHTB(OFFSET(INDIRECT(Свёртка_Перебор_2_20170602154411[[#This Row],[С]],FALSE),-1,1))+1,0,1,1,1,1,2)))),1,0)+COUNTIFS(OFFSET(INDIRECT((OFFSET(INDIRECT(Свёртка_Перебор_2_20170602154411[[#This Row],[С]],FALSE),-1,2)&amp;"!R2C2"),FALSE),,,101,101),"="&amp;(Свёртка_Перебор_2_20170602154411[[#This Row],[F]]-(1+(CHOOSE(--RIGHTB(OFFSET(INDIRECT(Свёртка_Перебор_2_20170602154411[[#This Row],[С]],FALSE),,3))+1,0,1,1,1,1,2)))+1))*IF(AND(Свёртка_Перебор_2_20170602154411[[#This Row],[F]]&gt;=(1+(CHOOSE(--RIGHTB(OFFSET(INDIRECT(Свёртка_Перебор_2_20170602154411[[#This Row],[С]],FALSE),,3))+1,0,1,1,1,1,2))),Свёртка_Перебор_2_20170602154411[[#This Row],[F]]&lt;=(1+(CHOOSE(--RIGHTB(OFFSET(INDIRECT(Свёртка_Перебор_2_20170602154411[[#This Row],[С]],FALSE),,3))+1,0,1,1,1,1,2)+CHOOSE(--RIGHTB(OFFSET(INDIRECT(Свёртка_Перебор_2_20170602154411[[#This Row],[С]],FALSE),-1,2))+1,0,1,1,1,1,2)))),1,0)+COUNTIFS(OFFSET(INDIRECT((OFFSET(INDIRECT(Свёртка_Перебор_2_20170602154411[[#This Row],[С]],FALSE),-1,3)&amp;"!R2C2"),FALSE),,,101,101),"="&amp;(Свёртка_Перебор_2_20170602154411[[#This Row],[F]]-(1+(CHOOSE(--RIGHTB(OFFSET(INDIRECT(Свёртка_Перебор_2_20170602154411[[#This Row],[С]],FALSE),,3))+1,0,0,0,1,1,1)))+1))*IF(AND(Свёртка_Перебор_2_20170602154411[[#This Row],[F]]&gt;=(1+(CHOOSE(--RIGHTB(OFFSET(INDIRECT(Свёртка_Перебор_2_20170602154411[[#This Row],[С]],FALSE),,3))+1,0,0,0,1,1,1))),Свёртка_Перебор_2_20170602154411[[#This Row],[F]]&lt;=(1+(CHOOSE(--RIGHTB(OFFSET(INDIRECT(Свёртка_Перебор_2_20170602154411[[#This Row],[С]],FALSE),,3))+1,0,0,0,1,1,1)+CHOOSE(--RIGHTB(OFFSET(INDIRECT(Свёртка_Перебор_2_20170602154411[[#This Row],[С]],FALSE),-1,3))+1,0,1,1,1,1,2)))),1,0)+COUNTIFS(OFFSET(INDIRECT((OFFSET(INDIRECT(Свёртка_Перебор_2_20170602154411[[#This Row],[С]],FALSE),,1)&amp;"!R2C2"),FALSE),,,101,101),"="&amp;(Свёртка_Перебор_2_20170602154411[[#This Row],[F]]-(1+(CHOOSE(--RIGHTB(OFFSET(INDIRECT(Свёртка_Перебор_2_20170602154411[[#This Row],[С]],FALSE),,3))+1,0,0,1,0,1,1)+CHOOSE(--RIGHTB(OFFSET(INDIRECT(Свёртка_Перебор_2_20170602154411[[#This Row],[С]],FALSE),,2))+1,0,0,1,0,1,1)))+1))*IF(AND(Свёртка_Перебор_2_20170602154411[[#This Row],[F]]&gt;=(1+(CHOOSE(--RIGHTB(OFFSET(INDIRECT(Свёртка_Перебор_2_20170602154411[[#This Row],[С]],FALSE),,3))+1,0,0,1,0,1,1)+CHOOSE(--RIGHTB(OFFSET(INDIRECT(Свёртка_Перебор_2_20170602154411[[#This Row],[С]],FALSE),,2))+1,0,0,1,0,1,1))),Свёртка_Перебор_2_20170602154411[[#This Row],[F]]&lt;=(1+(CHOOSE(--RIGHTB(OFFSET(INDIRECT(Свёртка_Перебор_2_20170602154411[[#This Row],[С]],FALSE),,3))+1,0,0,1,0,1,1)+CHOOSE(--RIGHTB(OFFSET(INDIRECT(Свёртка_Перебор_2_20170602154411[[#This Row],[С]],FALSE),,2))+1,0,0,1,0,1,1)+CHOOSE(--RIGHTB(OFFSET(INDIRECT(Свёртка_Перебор_2_20170602154411[[#This Row],[С]],FALSE),,1))+1,0,1,1,1,1,2)))),1,0)+COUNTIFS(OFFSET(INDIRECT((OFFSET(INDIRECT(Свёртка_Перебор_2_20170602154411[[#This Row],[С]],FALSE),,2)&amp;"!R2C2"),FALSE),,,101,101),"="&amp;(Свёртка_Перебор_2_20170602154411[[#This Row],[F]]-(1+(CHOOSE(--RIGHTB(OFFSET(INDIRECT(Свёртка_Перебор_2_20170602154411[[#This Row],[С]],FALSE),,3))+1,0,0,1,0,1,1)))+1))*IF(AND(Свёртка_Перебор_2_20170602154411[[#This Row],[F]]&gt;=(1+(CHOOSE(--RIGHTB(OFFSET(INDIRECT(Свёртка_Перебор_2_20170602154411[[#This Row],[С]],FALSE),0,3))+1,0,0,1,0,1,1))),Свёртка_Перебор_2_20170602154411[[#This Row],[F]]&lt;=(1+(CHOOSE(--RIGHTB(OFFSET(INDIRECT(Свёртка_Перебор_2_20170602154411[[#This Row],[С]],FALSE),,3))+1,0,1,0,0,1,1)+CHOOSE(--RIGHTB(OFFSET(INDIRECT(Свёртка_Перебор_2_20170602154411[[#This Row],[С]],FALSE),,2))+1,0,1,1,1,1,2)))),1,0)+COUNTIFS(OFFSET(INDIRECT((OFFSET(INDIRECT(Свёртка_Перебор_2_20170602154411[[#This Row],[С]],FALSE),,3)&amp;"!R2C2"),FALSE),,,101,101),"="&amp;(Свёртка_Перебор_2_20170602154411[[#This Row],[F]]-1+1))*IF(AND(Свёртка_Перебор_2_20170602154411[[#This Row],[F]]&gt;=1,Свёртка_Перебор_2_20170602154411[[#This Row],[F]]&lt;=1+(CHOOSE(--RIGHTB(OFFSET(INDIRECT(Свёртка_Перебор_2_20170602154411[[#This Row],[С]],FALSE),,3))+1,0,1,1,1,1,2))),1,0)</f>
        <v>#REF!</v>
      </c>
    </row>
    <row r="18" spans="2:93" x14ac:dyDescent="0.25">
      <c r="B18" t="e">
        <f ca="1">IF(AND(Критерий_Перебор_2_20170602154411[[#This Row],[Критерий]]&lt;&gt;"",Критерий_Перебор_2_20170602154411[[#This Row],[O.K.Критерий]]=1),ROW()-ROW(Критерий_Перебор_2_20170602154411[[#Headers],[№]]),"")</f>
        <v>#REF!</v>
      </c>
      <c r="C18" s="37" t="e">
        <f>Модель!#REF!</f>
        <v>#REF!</v>
      </c>
      <c r="D18" t="str">
        <f ca="1">IFERROR(IF(AND(Критерий_Перебор_2_20170602154411[[#This Row],[Критерий]]&gt;=1,Критерий_Перебор_2_20170602154411[[#This Row],[Критерий]]&lt;=4),IF(IFERROR(FIND("!",_xlfn.FORMULATEXT(Критерий_Перебор_2_20170602154411[[#This Row],[Критерий]])),"на странице")="на странице",CONCATENATE("R",ROW((INDIRECT(RIGHT(_xlfn.FORMULATEXT(Критерий_Перебор_2_20170602154411[[#This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Row],[Критерий]]))-1),FALSE)))-D$8),CONCATENATE(RIGHT(LEFT(_xlfn.FORMULATEXT(Критерий_Перебор_2_20170602154411[[#This Row],[Критерий]]),FIND("!",_xlfn.FORMULATEXT(Критерий_Перебор_2_20170602154411[[#This Row],[Критерий]]))),LEN(LEFT(_xlfn.FORMULATEXT(Критерий_Перебор_2_20170602154411[[#This Row],[Критерий]]),FIND("!",_xlfn.FORMULATEXT(Критерий_Перебор_2_20170602154411[[#This Row],[Критерий]]))))-1),"R",ROW((INDIRECT(RIGHT(_xlfn.FORMULATEXT(Критерий_Перебор_2_20170602154411[[#This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Row],[Критерий]]))-1),FALSE)))-D$8)),"ошибка"),"ошибка")</f>
        <v>ошибка</v>
      </c>
      <c r="E18" t="str">
        <f ca="1">IFERROR(IF(LEFT(Критерий_Перебор_2_20170602154411[[#This Row],[Фкритерий]],5)="=Прив","Критерий",IF(LEFT(Критерий_Перебор_2_20170602154411[[#This Row],[Фкритерий]],5)="=Матр","ошибка","ошибка")),"ошибка")</f>
        <v>ошибка</v>
      </c>
      <c r="F18" t="str">
        <f ca="1">IFERROR(IF(LEN((INDIRECT(Критерий_Перебор_2_20170602154411[[#This Row],[СНаименование]],FALSE)))=0,"ошибка",IFERROR(INDIRECT(Критерий_Перебор_2_20170602154411[[#This Row],[СНаименование]],FALSE),"ошибка")),"ошибка")</f>
        <v>ошибка</v>
      </c>
      <c r="G18"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Row],[Скритерий]])))+G$7),FIND("R",Критерий_Перебор_2_20170602154411[[#This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Row],[Скритерий]])))+G$6),"ошибка")</f>
        <v>ошибка</v>
      </c>
      <c r="H18" t="str">
        <f ca="1">IFERROR(IF(N(INDIRECT(Критерий_Перебор_2_20170602154411[[#This Row],[СФизКритерий]],FALSE))=0,"ошибка",IFERROR(INDIRECT(Критерий_Перебор_2_20170602154411[[#This Row],[СФизКритерий]],FALSE),"ошибка")),"ошибка")</f>
        <v>ошибка</v>
      </c>
      <c r="I18"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Row],[Скритерий]])))+I$7),FIND("R",Критерий_Перебор_2_20170602154411[[#This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Row],[Скритерий]])))+I$6),"ошибка")</f>
        <v>ошибка</v>
      </c>
      <c r="J18" t="str">
        <f ca="1">IFERROR(IF(OR(INDIRECT(Критерий_Перебор_2_20170602154411[[#This Row],[СТипКритерий]],FALSE)=Перебор!$N$58,INDIRECT(Критерий_Перебор_2_20170602154411[[#This Row],[СТипКритерий]],FALSE)=Перебор!$N$59,INDIRECT(Критерий_Перебор_2_20170602154411[[#This Row],[СТипКритерий]],FALSE)=Перебор!$N$60,INDIRECT(Критерий_Перебор_2_20170602154411[[#This Row],[СТипКритерий]],FALSE)=Перебор!$N$61),INDIRECT(Критерий_Перебор_2_20170602154411[[#This Row],[СТипКритерий]],FALSE),"ошибка"),"ошибка")</f>
        <v>ошибка</v>
      </c>
      <c r="K18"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Row],[Скритерий]])))+K$7),FIND("R",Критерий_Перебор_2_20170602154411[[#This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Row],[Скритерий]])))+K$6),"ошибка")</f>
        <v>ошибка</v>
      </c>
      <c r="L18" t="str">
        <f ca="1">IFERROR(_xlfn.FORMULATEXT(INDIRECT(Критерий_Перебор_2_20170602154411[[#This Row],[Скритерий]],FALSE)),"ошибка")</f>
        <v>ошибка</v>
      </c>
      <c r="M18" t="str">
        <f ca="1">IFERROR(IF(N(INDIRECT(Критерий_Перебор_2_20170602154411[[#This Row],[СМинФизКритерий]],FALSE))=0,"ошибка",IFERROR(INDIRECT(Критерий_Перебор_2_20170602154411[[#This Row],[СМинФизКритерий]],FALSE),"ошибка")),"ошибка")</f>
        <v>ошибка</v>
      </c>
      <c r="N18"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Row],[Скритерий]])))+N$7),FIND("R",Критерий_Перебор_2_20170602154411[[#This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Row],[Скритерий]])))+N$6),"ошибка")</f>
        <v>ошибка</v>
      </c>
      <c r="O18" t="str">
        <f ca="1">IFERROR(IF(N(INDIRECT(Критерий_Перебор_2_20170602154411[[#This Row],[СМаксФизКритерий]],FALSE))=0,"ошибка",IFERROR(INDIRECT(Критерий_Перебор_2_20170602154411[[#This Row],[СМаксФизКритерий]],FALSE),"ошибка")),"ошибка")</f>
        <v>ошибка</v>
      </c>
      <c r="P18"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Row],[Скритерий]])))+P$7),FIND("R",Критерий_Перебор_2_20170602154411[[#This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Row],[Скритерий]])))+P$6),"ошибка")</f>
        <v>ошибка</v>
      </c>
      <c r="Q18" t="str">
        <f ca="1">IFERROR(IF(N(INDIRECT(Критерий_Перебор_2_20170602154411[[#This Row],[ССрФизКритерий]],FALSE))=0,"ошибка",IFERROR(INDIRECT(Критерий_Перебор_2_20170602154411[[#This Row],[ССрФизКритерий]],FALSE),"ошибка")),"")</f>
        <v/>
      </c>
      <c r="R18" t="str">
        <f ca="1">IF(OR(Критерий_Перебор_2_20170602154411[[#This Row],[ТипКритерий]]=Перебор!$N$60,Критерий_Перебор_2_20170602154411[[#This Row],[ТипКритерий]]=Перебор!$N$61),IFERROR(REPLACE(REPLACE(Критерий_Перебор_2_20170602154411[[#This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Row],[Скритерий]])))+R$7),FIND("R",Критерий_Перебор_2_20170602154411[[#This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Row],[Скритерий]])))+R$6),"ошибка"),"")</f>
        <v/>
      </c>
      <c r="S18" s="66">
        <f ca="1">IFERROR(IF(AND(Критерий_Перебор_2_20170602154411[[#This Row],[ВидКритерий]]="Критерий",Критерий_Перебор_2_20170602154411[[#This Row],[Фкритерий]]="=Приведение"),1,-1),-1)</f>
        <v>-1</v>
      </c>
      <c r="V18" t="str">
        <f ca="1">IF(AND(Свёртка_Перебор_2_20170602154411[[#This Row],[Свёртка]]&lt;&gt;"",Свёртка_Перебор_2_20170602154411[[#This Row],[O.K.Свёртка]]=1),ROW()-ROW(Свёртка_Перебор_2_20170602154411[[#Headers],[№]]),"")</f>
        <v/>
      </c>
      <c r="W18" s="146"/>
      <c r="X18" t="str">
        <f ca="1">IFERROR(IF(AND(Свёртка_Перебор_2_20170602154411[[#This Row],[Свёртка]]&gt;=1,Свёртка_Перебор_2_20170602154411[[#This Row],[Свёртка]]&lt;=4),IF(IFERROR(FIND("!",_xlfn.FORMULATEXT(Свёртка_Перебор_2_20170602154411[[#This Row],[Свёртка]])),"на странице")="на странице",CONCATENATE("R",ROW((INDIRECT(RIGHT(_xlfn.FORMULATEXT(Свёртка_Перебор_2_20170602154411[[#This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Row],[Свёртка]]))-1),FALSE)))-X$6),CONCATENATE(RIGHT(LEFT(_xlfn.FORMULATEXT(Свёртка_Перебор_2_20170602154411[[#This Row],[Свёртка]]),FIND("!",_xlfn.FORMULATEXT(Свёртка_Перебор_2_20170602154411[[#This Row],[Свёртка]]))),LEN(LEFT(_xlfn.FORMULATEXT(Свёртка_Перебор_2_20170602154411[[#This Row],[Свёртка]]),FIND("!",_xlfn.FORMULATEXT(Свёртка_Перебор_2_20170602154411[[#This Row],[Свёртка]]))))-1),"R",ROW((INDIRECT(RIGHT(_xlfn.FORMULATEXT(Свёртка_Перебор_2_20170602154411[[#This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Row],[Свёртка]]))-1),FALSE)))-X$6)),"ошибка"),"ошибка")</f>
        <v>ошибка</v>
      </c>
      <c r="Y18" t="str">
        <f ca="1">IFERROR(_xlfn.FORMULATEXT(INDIRECT(Свёртка_Перебор_2_20170602154411[[#This Row],[ССвёртка]],FALSE)),"ошибка")</f>
        <v>ошибка</v>
      </c>
      <c r="Z18" t="str">
        <f ca="1">IFERROR(IF(LEFT(Свёртка_Перебор_2_20170602154411[[#This Row],[ФСвёртка]],5)="=Прив","ошибка",IF(LEFT(Свёртка_Перебор_2_20170602154411[[#This Row],[ФСвёртка]],5)="=Матр","Свёртка","ошибка")),"ошибка")</f>
        <v>ошибка</v>
      </c>
      <c r="AA18" t="str">
        <f ca="1">IFERROR(IF(LEN((INDIRECT(Свёртка_Перебор_2_20170602154411[[#This Row],[СНаименование]],FALSE)))=0,"ошибка",IFERROR(INDIRECT(Свёртка_Перебор_2_20170602154411[[#This Row],[СНаименование]],FALSE),"ошибка")),"ошибка")</f>
        <v>ошибка</v>
      </c>
      <c r="AB18"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Row],[ССвёртка]])))+AB$6),"ошибка")</f>
        <v>ошибка</v>
      </c>
      <c r="AD18" t="str">
        <f ca="1">IFERROR(IF(LEN((INDIRECT(Свёртка_Перебор_2_20170602154411[[#This Row],[ССВ_1_1]],FALSE)))=0,"ошибка",IFERROR(INDIRECT(Свёртка_Перебор_2_20170602154411[[#This Row],[ССВ_1_1]],FALSE),"ошибка")),"ошибка")</f>
        <v>ошибка</v>
      </c>
      <c r="AE18"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Row],[ССвёртка]])))+AE$7),FIND("R",Свёртка_Перебор_2_20170602154411[[#This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Row],[ССвёртка]])))+AE$6),"ошибка")</f>
        <v>ошибка</v>
      </c>
      <c r="AI18" t="str">
        <f ca="1">IFERROR(IF(LEN((INDIRECT(Свёртка_Перебор_2_20170602154411[[#This Row],[ССВ_2_1]],FALSE)))=0,"ошибка",IFERROR(INDIRECT(Свёртка_Перебор_2_20170602154411[[#This Row],[ССВ_2_1]],FALSE),"ошибка")),"ошибка")</f>
        <v>ошибка</v>
      </c>
      <c r="AJ18"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Row],[ССвёртка]])))+AJ$7),FIND("R",Свёртка_Перебор_2_20170602154411[[#This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Row],[ССвёртка]])))+AJ$6),"ошибка")</f>
        <v>ошибка</v>
      </c>
      <c r="AN18" t="str">
        <f ca="1">IFERROR(IF(LEN((INDIRECT(Свёртка_Перебор_2_20170602154411[[#This Row],[ССВ_1_2]],FALSE)))=0,"ошибка",IFERROR(INDIRECT(Свёртка_Перебор_2_20170602154411[[#This Row],[ССВ_1_2]],FALSE),"ошибка")),"ошибка")</f>
        <v>ошибка</v>
      </c>
      <c r="AO18"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Row],[ССвёртка]])))+AO$7),FIND("R",Свёртка_Перебор_2_20170602154411[[#This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Row],[ССвёртка]])))+AO$6),"ошибка")</f>
        <v>ошибка</v>
      </c>
      <c r="AS18" t="str">
        <f ca="1">IFERROR(IF(LEN((INDIRECT(Свёртка_Перебор_2_20170602154411[[#This Row],[ССВ_2_2]],FALSE)))=0,"ошибка",IFERROR(INDIRECT(Свёртка_Перебор_2_20170602154411[[#This Row],[ССВ_2_2]],FALSE),"ошибка")),"ошибка")</f>
        <v>ошибка</v>
      </c>
      <c r="AT18"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Row],[ССвёртка]])))+AT$7),FIND("R",Свёртка_Перебор_2_20170602154411[[#This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Row],[ССвёртка]])))+AT$6),"ошибка")</f>
        <v>ошибка</v>
      </c>
      <c r="AX18" t="str">
        <f ca="1">IFERROR(IF(LEN((INDIRECT(Свёртка_Перебор_2_20170602154411[[#This Row],[ССВ_3_1]],FALSE)))=0,"ошибка",IFERROR(INDIRECT(Свёртка_Перебор_2_20170602154411[[#This Row],[ССВ_3_1]],FALSE),"ошибка")),"ошибка")</f>
        <v>ошибка</v>
      </c>
      <c r="AY18"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Row],[ССвёртка]])))+AY$6),"ошибка")</f>
        <v>ошибка</v>
      </c>
      <c r="BC18" t="str">
        <f ca="1">IFERROR(IF(LEN((INDIRECT(Свёртка_Перебор_2_20170602154411[[#This Row],[ССВ_1_3]],FALSE)))=0,"ошибка",IFERROR(INDIRECT(Свёртка_Перебор_2_20170602154411[[#This Row],[ССВ_1_3]],FALSE),"ошибка")),"ошибка")</f>
        <v>ошибка</v>
      </c>
      <c r="BD18"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Row],[ССвёртка]])))+BD$7),FIND("R",Свёртка_Перебор_2_20170602154411[[#This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Row],[ССвёртка]])))+BD$6),"ошибка")</f>
        <v>ошибка</v>
      </c>
      <c r="BH18" t="str">
        <f ca="1">IFERROR(IF(LEN((INDIRECT(Свёртка_Перебор_2_20170602154411[[#This Row],[ССВ_3_2]],FALSE)))=0,"ошибка",IFERROR(INDIRECT(Свёртка_Перебор_2_20170602154411[[#This Row],[ССВ_3_2]],FALSE),"ошибка")),"ошибка")</f>
        <v>ошибка</v>
      </c>
      <c r="BI18"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Row],[ССвёртка]])))+BI$7),FIND("R",Свёртка_Перебор_2_20170602154411[[#This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Row],[ССвёртка]])))+BI$6),"ошибка")</f>
        <v>ошибка</v>
      </c>
      <c r="BM18" t="str">
        <f ca="1">IFERROR(IF(LEN((INDIRECT(Свёртка_Перебор_2_20170602154411[[#This Row],[ССВ_2_3]],FALSE)))=0,"ошибка",IFERROR(INDIRECT(Свёртка_Перебор_2_20170602154411[[#This Row],[ССВ_2_3]],FALSE),"ошибка")),"ошибка")</f>
        <v>ошибка</v>
      </c>
      <c r="BN18"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Row],[ССвёртка]])))+BN$7),FIND("R",Свёртка_Перебор_2_20170602154411[[#This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Row],[ССвёртка]])))+BN$6),"ошибка")</f>
        <v>ошибка</v>
      </c>
      <c r="BR18" t="str">
        <f ca="1">IFERROR(IF(LEN((INDIRECT(Свёртка_Перебор_2_20170602154411[[#This Row],[ССВ_3_3]],FALSE)))=0,"ошибка",IFERROR(INDIRECT(Свёртка_Перебор_2_20170602154411[[#This Row],[ССВ_3_3]],FALSE),"ошибка")),"ошибка")</f>
        <v>ошибка</v>
      </c>
      <c r="BS18"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Row],[ССвёртка]])))+BS$7),FIND("R",Свёртка_Перебор_2_20170602154411[[#This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Row],[ССвёртка]])))+BS$6),"ошибка")</f>
        <v>ошибка</v>
      </c>
      <c r="BW18">
        <f>Свёртка_Перебор_2_20170602154411[[#This Row],[ССВ_1_1_kolvo]]+Свёртка_Перебор_2_20170602154411[[#This Row],[ССВ_2_1_kolvo]]+Свёртка_Перебор_2_20170602154411[[#This Row],[ССВ_1_2_kolvo]]+Свёртка_Перебор_2_20170602154411[[#This Row],[ССВ_2_2_kolvo]]+Свёртка_Перебор_2_20170602154411[[#This Row],[ССВ_3_1_kolvo]]+Свёртка_Перебор_2_20170602154411[[#This Row],[ССВ_1_3_kolvo]]+Свёртка_Перебор_2_20170602154411[[#This Row],[ССВ_3_2_kolvo]]+Свёртка_Перебор_2_20170602154411[[#This Row],[ССВ_2_3_kolvo]]+Свёртка_Перебор_2_20170602154411[[#This Row],[ССВ_3_3_kolvo]]</f>
        <v>0</v>
      </c>
      <c r="BX18" t="str">
        <f ca="1">IFERROR(IF(LEN((INDIRECT(Свёртка_Перебор_2_20170602154411[[#This Row],[СЛ]],FALSE)))=0,"ошибка",IFERROR(INDIRECT(Свёртка_Перебор_2_20170602154411[[#This Row],[СЛ]],FALSE),"ошибка")),"ошибка")</f>
        <v>ошибка</v>
      </c>
      <c r="BY18"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Row],[ССвёртка]])))+BY$6),"ошибка")</f>
        <v>ошибка</v>
      </c>
      <c r="BZ18" t="str">
        <f ca="1">IFERROR(_xlfn.FORMULATEXT(INDIRECT(Свёртка_Перебор_2_20170602154411[[#This Row],[СЛ]],FALSE)),"ошибка")</f>
        <v>ошибка</v>
      </c>
      <c r="CA18" t="str">
        <f ca="1">IFERROR(IF(LEN((INDIRECT(Свёртка_Перебор_2_20170602154411[[#This Row],[СП]],FALSE)))=0,"ошибка",IFERROR(INDIRECT(Свёртка_Перебор_2_20170602154411[[#This Row],[СП]],FALSE),"ошибка")),"ошибка")</f>
        <v>ошибка</v>
      </c>
      <c r="CB18"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Row],[ССвёртка]])))+CB$7),FIND("R",Свёртка_Перебор_2_20170602154411[[#This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Row],[ССвёртка]])))+CB$6),"ошибка")</f>
        <v>ошибка</v>
      </c>
      <c r="CC18" t="str">
        <f ca="1">IFERROR(_xlfn.FORMULATEXT(INDIRECT(Свёртка_Перебор_2_20170602154411[[#This Row],[СП]],FALSE)),"ошибка")</f>
        <v>ошибка</v>
      </c>
      <c r="CD18" s="66">
        <f ca="1">IF(AND(Свёртка_Перебор_2_20170602154411[[#This Row],[ВидСвёртка]]="Свёртка",CONCATENATE(LEFT(Свёртка_Перебор_2_20170602154411[[#This Row],[СВ_1_1]],1),LEFT(Свёртка_Перебор_2_20170602154411[[#This Row],[СВ_2_1]],1),LEFT(Свёртка_Перебор_2_20170602154411[[#This Row],[СВ_1_2]],1),LEFT(Свёртка_Перебор_2_20170602154411[[#This Row],[СВ_2_2]],1),LEFT(Свёртка_Перебор_2_20170602154411[[#This Row],[СВ_3_1]],1),LEFT(Свёртка_Перебор_2_20170602154411[[#This Row],[СВ_1_3]],1),LEFT(Свёртка_Перебор_2_20170602154411[[#This Row],[СВ_3_2]],1),LEFT(Свёртка_Перебор_2_20170602154411[[#This Row],[СВ_2_3]],1),LEFT(Свёртка_Перебор_2_20170602154411[[#This Row],[СВ_3_3]],1))="FFFFFFFFF",AND(Свёртка_Перебор_2_20170602154411[[#This Row],[Л]]&gt;=1,Свёртка_Перебор_2_20170602154411[[#This Row],[Л]]&lt;=4),AND(Свёртка_Перебор_2_20170602154411[[#This Row],[П]]&gt;=1,Свёртка_Перебор_2_20170602154411[[#This Row],[П]]&lt;=4)),1,-1)</f>
        <v>-1</v>
      </c>
      <c r="CE18" t="e">
        <f ca="1">_xlfn.NUMBERVALUE(MID(Свёртка_Перебор_2_20170602154411[[#This Row],[ССвёртка]],SEARCH("R",Свёртка_Перебор_2_20170602154411[[#This Row],[ССвёртка]])+1,SEARCH("C",Свёртка_Перебор_2_20170602154411[[#This Row],[ССвёртка]])-SEARCH("R",Свёртка_Перебор_2_20170602154411[[#This Row],[ССвёртка]])-1))</f>
        <v>#VALUE!</v>
      </c>
      <c r="CF18" t="e">
        <f ca="1">_xlfn.NUMBERVALUE(MID(Свёртка_Перебор_2_20170602154411[[#This Row],[ССвёртка]],SEARCH("C",Свёртка_Перебор_2_20170602154411[[#This Row],[ССвёртка]])+1,LEN(Свёртка_Перебор_2_20170602154411[[#This Row],[ССвёртка]])-SEARCH("C",Свёртка_Перебор_2_20170602154411[[#This Row],[ССвёртка]])))</f>
        <v>#VALUE!</v>
      </c>
      <c r="CG18" t="str">
        <f ca="1">IF(ISERR(SEARCH("!",Свёртка_Перебор_2_20170602154411[[#This Row],[ССвёртка]])),"",LEFT(Свёртка_Перебор_2_20170602154411[[#This Row],[ССвёртка]],SEARCH("!",Свёртка_Перебор_2_20170602154411[[#This Row],[ССвёртка]])))</f>
        <v/>
      </c>
      <c r="CH18" t="str">
        <f ca="1">Свёртка_Перебор_2_20170602154411[[#This Row],[ССвёртка]]</f>
        <v>ошибка</v>
      </c>
      <c r="CI18" t="e">
        <f ca="1">IF(SUM(IF(SUM(LOOKUP(--RIGHT(OFFSET(INDIRECT(Свёртка_Перебор_2_20170602154411[[#This Row],[ССвёртка]],FALSE),-2,1)),{0,1,2,3,4,5},{0,1,1,0,1,1.5}),LOOKUP(--RIGHT(OFFSET(INDIRECT(Свёртка_Перебор_2_20170602154411[[#This Row],[ССвёртка]],FALSE),-1,1)),{0,1,2,3,4,5},{0,1,1,0,1,1.5}),LOOKUP(--RIGHT(OFFSET(INDIRECT(Свёртка_Перебор_2_20170602154411[[#This Row],[ССвёртка]],FALSE),0,1)),{0,1,2,3,4,5},{0,1,1,0,1,1.5}))&gt;4,1,0),IF(SUM(LOOKUP(--RIGHT(OFFSET(INDIRECT(Свёртка_Перебор_2_20170602154411[[#This Row],[ССвёртка]],FALSE),-2,2)),{0,1,2,3,4,5},{0,1,1,0,1,1.5}),LOOKUP(--RIGHT(OFFSET(INDIRECT(Свёртка_Перебор_2_20170602154411[[#This Row],[ССвёртка]],FALSE),-1,2)),{0,1,2,3,4,5},{0,1,1,0,1,1.5}),LOOKUP(--RIGHT(OFFSET(INDIRECT(Свёртка_Перебор_2_20170602154411[[#This Row],[ССвёртка]],FALSE),0,2)),{0,1,2,3,4,5},{0,1,1,0,1,1.5}))&gt;4,1,0),IF(SUM(LOOKUP(--RIGHT(OFFSET(INDIRECT(Свёртка_Перебор_2_20170602154411[[#This Row],[ССвёртка]],FALSE),-2,3)),{0,1,2,3,4,5},{0,1,1,0,1,1.5}),LOOKUP(--RIGHT(OFFSET(INDIRECT(Свёртка_Перебор_2_20170602154411[[#This Row],[ССвёртка]],FALSE),-1,3)),{0,1,2,3,4,5},{0,1,1,0,1,1.5}),LOOKUP(--RIGHT(OFFSET(INDIRECT(Свёртка_Перебор_2_20170602154411[[#This Row],[ССвёртка]],FALSE),0,3)),{0,1,2,3,4,5},{0,1,1,0,1,1.5}))&gt;4,1,0),IF(SUM(LOOKUP(--RIGHT(OFFSET(INDIRECT(Свёртка_Перебор_2_20170602154411[[#This Row],[ССвёртка]],FALSE),-2,1)),{0,1,2,3,4,5},{0,1,1,1,1,2}),LOOKUP(--RIGHT(OFFSET(INDIRECT(Свёртка_Перебор_2_20170602154411[[#This Row],[ССвёртка]],FALSE),-1,2)),{0,1,2,3,4,5},{0,1,1,1,1,2}),LOOKUP(--RIGHT(OFFSET(INDIRECT(Свёртка_Перебор_2_20170602154411[[#This Row],[ССвёртка]],FALSE),0,3)),{0,1,2,3,4,5},{0,1,1,1,1,2}))&lt;&gt;3,1,0),IF(SUM(LOOKUP(--RIGHT(OFFSET(INDIRECT(Свёртка_Перебор_2_20170602154411[[#This Row],[ССвёртка]],FALSE),-2,1)),{0,1,2,3,4,5},{0,1,0,1,1,1.5}),LOOKUP(--RIGHT(OFFSET(INDIRECT(Свёртка_Перебор_2_20170602154411[[#This Row],[ССвёртка]],FALSE),-2,2)),{0,1,2,3,4,5},{0,1,0,1,1,1.5}),LOOKUP(--RIGHT(OFFSET(INDIRECT(Свёртка_Перебор_2_20170602154411[[#This Row],[ССвёртка]],FALSE),-2,3)),{0,1,2,3,4,5},{0,1,0,1,1,1.5}))&gt;4,1,0),IF(SUM(LOOKUP(--RIGHT(OFFSET(INDIRECT(Свёртка_Перебор_2_20170602154411[[#This Row],[ССвёртка]],FALSE),-1,1)),{0,1,2,3,4,5},{0,1,0,1,1,1.5}),LOOKUP(--RIGHT(OFFSET(INDIRECT(Свёртка_Перебор_2_20170602154411[[#This Row],[ССвёртка]],FALSE),-1,2)),{0,1,2,3,4,5},{0,1,0,1,1,1.5}),LOOKUP(--RIGHT(OFFSET(INDIRECT(Свёртка_Перебор_2_20170602154411[[#This Row],[ССвёртка]],FALSE),-1,3)),{0,1,2,3,4,5},{0,1,0,1,1,1.5}))&gt;4,1,0),IF(SUM(LOOKUP(--RIGHT(OFFSET(INDIRECT(Свёртка_Перебор_2_20170602154411[[#This Row],[ССвёртка]],FALSE),0,1)),{0,1,2,3,4,5},{0,1,0,1,1,1.5}),LOOKUP(--RIGHT(OFFSET(INDIRECT(Свёртка_Перебор_2_20170602154411[[#This Row],[ССвёртка]],FALSE),0,2)),{0,1,2,3,4,5},{0,1,0,1,1,1.5}),LOOKUP(--RIGHT(OFFSET(INDIRECT(Свёртка_Перебор_2_20170602154411[[#This Row],[ССвёртка]],FALSE),0,3)),{0,1,2,3,4,5},{0,1,0,1,1,1.5}))&gt;4,1,0))&lt;&gt;0,0,1)</f>
        <v>#REF!</v>
      </c>
      <c r="CJ18" t="str">
        <f t="array" aca="1" ref="CJ18" ca="1">IFERROR(IF(SUM((MMULT(CHOOSE(RIGHT(OFFSET(INDIRECT(CONCATENATE(Свёртка_Перебор_2_20170602154411[[#This Row],[Л!]],"R",Свёртка_Перебор_2_20170602154411[[#This Row],[R!]],"C",Свёртка_Перебор_2_20170602154411[[#This Row],[C!]]),FALSE),-2,1,3,3))+1,0,1,0,1,1,1.5),{1;1;1})&gt;4)+(MMULT(TRANSPOSE(CHOOSE(RIGHT(OFFSET(INDIRECT(CONCATENATE(Свёртка_Перебор_2_20170602154411[[#This Row],[Л!]],"R",Свёртка_Перебор_2_20170602154411[[#This Row],[R!]],"C",Свёртка_Перебор_2_20170602154411[[#This Row],[C!]]),FALSE),-2,1,3,3))+1,0,1,1,0,1,1.5)),{1;1;1})&gt;4)+(SUM(CHOOSE(RIGHT(CHOOSE({1;2;3},OFFSET(INDIRECT(CONCATENATE(Свёртка_Перебор_2_20170602154411[[#This Row],[Л!]],"R",Свёртка_Перебор_2_20170602154411[[#This Row],[R!]],"C",Свёртка_Перебор_2_20170602154411[[#This Row],[C!]]),FALSE),-2,1),OFFSET(INDIRECT(CONCATENATE(Свёртка_Перебор_2_20170602154411[[#This Row],[Л!]],"R",Свёртка_Перебор_2_20170602154411[[#This Row],[R!]],"C",Свёртка_Перебор_2_20170602154411[[#This Row],[C!]]),FALSE),-1,2),OFFSET(INDIRECT(CONCATENATE(Свёртка_Перебор_2_20170602154411[[#This Row],[Л!]],"R",Свёртка_Перебор_2_20170602154411[[#This Row],[R!]],"C",Свёртка_Перебор_2_20170602154411[[#This Row],[C!]]),FALSE),0,3)))+1,0,1,1,1,1,2))&lt;&gt;3)),0,1),"!")</f>
        <v>!</v>
      </c>
      <c r="CK18" t="e">
        <f ca="1">COUNTIFS(OFFSET(INDIRECT((OFFSET(INDIRECT(Свёртка_Перебор_2_20170602154411[[#This Row],[С]],FALSE),-2,1)&amp;"!R2C2"),FALSE),,,101,101),"="&amp;(Свёртка_Перебор_2_20170602154411[[#This Row],[F]]-(1+(CHOOSE(--RIGHTB(OFFSET(INDIRECT(Свёртка_Перебор_2_20170602154411[[#This Row],[С]],FALSE),,3))+1,0,1,1,1,1,2)+CHOOSE(--RIGHTB(OFFSET(INDIRECT(Свёртка_Перебор_2_20170602154411[[#This Row],[С]],FALSE),-1,2))+1,0,1,1,1,1,2)))+1))*IF(AND(Свёртка_Перебор_2_20170602154411[[#This Row],[F]]&gt;=(1+(CHOOSE(--RIGHTB(OFFSET(INDIRECT(Свёртка_Перебор_2_20170602154411[[#This Row],[С]],FALSE),,3))+1,0,1,1,1,1,2)+CHOOSE(--RIGHTB(OFFSET(INDIRECT(Свёртка_Перебор_2_20170602154411[[#This Row],[С]],FALSE),-1,2))+1,0,1,1,1,1,2))),Свёртка_Перебор_2_20170602154411[[#This Row],[F]]&lt;=(1+(CHOOSE(--RIGHTB(OFFSET(INDIRECT(Свёртка_Перебор_2_20170602154411[[#This Row],[С]],FALSE),,3))+1,0,1,1,1,1,2)+CHOOSE(--RIGHTB(OFFSET(INDIRECT(Свёртка_Перебор_2_20170602154411[[#This Row],[С]],FALSE),-1,2))+1,0,1,1,1,1,2)+CHOOSE(--RIGHTB(OFFSET(INDIRECT(Свёртка_Перебор_2_20170602154411[[#This Row],[С]],FALSE),-2,1))+1,0,1,1,1,1,2)))),1,0)+COUNTIFS(OFFSET(INDIRECT((OFFSET(INDIRECT(Свёртка_Перебор_2_20170602154411[[#This Row],[С]],FALSE),-2,2)&amp;"!R2C2"),FALSE),,,101,101),"="&amp;(Свёртка_Перебор_2_20170602154411[[#This Row],[F]]-(1+(CHOOSE(--RIGHTB(OFFSET(INDIRECT(Свёртка_Перебор_2_20170602154411[[#This Row],[С]],FALSE),,3))+1,0,1,0,1,1,1)+CHOOSE(--RIGHTB(OFFSET(INDIRECT(Свёртка_Перебор_2_20170602154411[[#This Row],[С]],FALSE),-1,3))+1,0,1,1,1,1,2)))+1))*IF(AND(Свёртка_Перебор_2_20170602154411[[#This Row],[F]]&gt;=(1+(CHOOSE(--RIGHTB(OFFSET(INDIRECT(Свёртка_Перебор_2_20170602154411[[#This Row],[С]],FALSE),,3))+1,0,0,0,1,1,1)+CHOOSE(--RIGHTB(OFFSET(INDIRECT(Свёртка_Перебор_2_20170602154411[[#This Row],[С]],FALSE),-1,3))+1,0,1,1,1,1,2))),Свёртка_Перебор_2_20170602154411[[#This Row],[F]]&lt;=(1+(CHOOSE(--RIGHTB(OFFSET(INDIRECT(Свёртка_Перебор_2_20170602154411[[#This Row],[С]],FALSE),,3))+1,0,0,0,1,1,1)+CHOOSE(--RIGHTB(OFFSET(INDIRECT(Свёртка_Перебор_2_20170602154411[[#This Row],[С]],FALSE),-1,3))+1,0,1,1,1,1,2)+CHOOSE(--RIGHTB(OFFSET(INDIRECT(Свёртка_Перебор_2_20170602154411[[#This Row],[С]],FALSE),-2,2))+1,0,1,1,1,1,2)))),1,0)+COUNTIFS(OFFSET(INDIRECT((OFFSET(INDIRECT(Свёртка_Перебор_2_20170602154411[[#This Row],[С]],FALSE),-2,3)&amp;"!R2C2"),FALSE),,,101,101),"="&amp;(Свёртка_Перебор_2_20170602154411[[#This Row],[F]]-(1+(CHOOSE(--RIGHTB(OFFSET(INDIRECT(Свёртка_Перебор_2_20170602154411[[#This Row],[С]],FALSE),,3))+1,0,0,0,1,1,1)+CHOOSE(--RIGHTB(OFFSET(INDIRECT(Свёртка_Перебор_2_20170602154411[[#This Row],[С]],FALSE),-1,3))+1,0,0,0,1,1,1)))+1))*IF(AND(Свёртка_Перебор_2_20170602154411[[#This Row],[F]]&gt;=(1+(CHOOSE(--RIGHTB(OFFSET(INDIRECT(Свёртка_Перебор_2_20170602154411[[#This Row],[С]],FALSE),,3))+1,0,0,0,1,1,1)+CHOOSE(--RIGHTB(OFFSET(INDIRECT(Свёртка_Перебор_2_20170602154411[[#This Row],[С]],FALSE),-1,3))+1,0,0,0,1,1,1))),Свёртка_Перебор_2_20170602154411[[#This Row],[F]]&lt;=(1+(CHOOSE(--RIGHTB(OFFSET(INDIRECT(Свёртка_Перебор_2_20170602154411[[#This Row],[С]],FALSE),,3))+1,0,0,0,1,1,1)+CHOOSE(--RIGHTB(OFFSET(INDIRECT(Свёртка_Перебор_2_20170602154411[[#This Row],[С]],FALSE),-1,3))+1,0,0,0,1,1,1)+CHOOSE(--RIGHTB(OFFSET(INDIRECT(Свёртка_Перебор_2_20170602154411[[#This Row],[С]],FALSE),-2,3))+1,0,1,1,1,1,2)))),1,0)+COUNTIFS(OFFSET(INDIRECT((OFFSET(INDIRECT(Свёртка_Перебор_2_20170602154411[[#This Row],[С]],FALSE),-1,1)&amp;"!R2C2"),FALSE),,,101,101),"="&amp;(Свёртка_Перебор_2_20170602154411[[#This Row],[F]]-(1+(CHOOSE(--RIGHTB(OFFSET(INDIRECT(Свёртка_Перебор_2_20170602154411[[#This Row],[С]],FALSE),,3))+1,0,0,1,0,1,1)+CHOOSE(--RIGHTB(OFFSET(INDIRECT(Свёртка_Перебор_2_20170602154411[[#This Row],[С]],FALSE),0,2))+1,0,1,1,1,1,2)))+1))*IF(AND(Свёртка_Перебор_2_20170602154411[[#This Row],[F]]&gt;=(1+(CHOOSE(--RIGHTB(OFFSET(INDIRECT(Свёртка_Перебор_2_20170602154411[[#This Row],[С]],FALSE),,3))+1,0,0,1,0,1,1)+CHOOSE(--RIGHTB(OFFSET(INDIRECT(Свёртка_Перебор_2_20170602154411[[#This Row],[С]],FALSE),,2))+1,0,1,1,1,1,2))),Свёртка_Перебор_2_20170602154411[[#This Row],[F]]&lt;=(1+(CHOOSE(--RIGHTB(OFFSET(INDIRECT(Свёртка_Перебор_2_20170602154411[[#This Row],[С]],FALSE),,3))+1,0,0,1,0,1,1)+CHOOSE(--RIGHTB(OFFSET(INDIRECT(Свёртка_Перебор_2_20170602154411[[#This Row],[С]],FALSE),,2))+1,0,1,1,1,1,2)+CHOOSE(--RIGHTB(OFFSET(INDIRECT(Свёртка_Перебор_2_20170602154411[[#This Row],[С]],FALSE),-1,1))+1,0,1,1,1,1,2)))),1,0)+COUNTIFS(OFFSET(INDIRECT((OFFSET(INDIRECT(Свёртка_Перебор_2_20170602154411[[#This Row],[С]],FALSE),-1,2)&amp;"!R2C2"),FALSE),,,101,101),"="&amp;(Свёртка_Перебор_2_20170602154411[[#This Row],[F]]-(1+(CHOOSE(--RIGHTB(OFFSET(INDIRECT(Свёртка_Перебор_2_20170602154411[[#This Row],[С]],FALSE),,3))+1,0,1,1,1,1,2)))+1))*IF(AND(Свёртка_Перебор_2_20170602154411[[#This Row],[F]]&gt;=(1+(CHOOSE(--RIGHTB(OFFSET(INDIRECT(Свёртка_Перебор_2_20170602154411[[#This Row],[С]],FALSE),,3))+1,0,1,1,1,1,2))),Свёртка_Перебор_2_20170602154411[[#This Row],[F]]&lt;=(1+(CHOOSE(--RIGHTB(OFFSET(INDIRECT(Свёртка_Перебор_2_20170602154411[[#This Row],[С]],FALSE),,3))+1,0,1,1,1,1,2)+CHOOSE(--RIGHTB(OFFSET(INDIRECT(Свёртка_Перебор_2_20170602154411[[#This Row],[С]],FALSE),-1,2))+1,0,1,1,1,1,2)))),1,0)+COUNTIFS(OFFSET(INDIRECT((OFFSET(INDIRECT(Свёртка_Перебор_2_20170602154411[[#This Row],[С]],FALSE),-1,3)&amp;"!R2C2"),FALSE),,,101,101),"="&amp;(Свёртка_Перебор_2_20170602154411[[#This Row],[F]]-(1+(CHOOSE(--RIGHTB(OFFSET(INDIRECT(Свёртка_Перебор_2_20170602154411[[#This Row],[С]],FALSE),,3))+1,0,0,0,1,1,1)))+1))*IF(AND(Свёртка_Перебор_2_20170602154411[[#This Row],[F]]&gt;=(1+(CHOOSE(--RIGHTB(OFFSET(INDIRECT(Свёртка_Перебор_2_20170602154411[[#This Row],[С]],FALSE),,3))+1,0,0,0,1,1,1))),Свёртка_Перебор_2_20170602154411[[#This Row],[F]]&lt;=(1+(CHOOSE(--RIGHTB(OFFSET(INDIRECT(Свёртка_Перебор_2_20170602154411[[#This Row],[С]],FALSE),,3))+1,0,0,0,1,1,1)+CHOOSE(--RIGHTB(OFFSET(INDIRECT(Свёртка_Перебор_2_20170602154411[[#This Row],[С]],FALSE),-1,3))+1,0,1,1,1,1,2)))),1,0)+COUNTIFS(OFFSET(INDIRECT((OFFSET(INDIRECT(Свёртка_Перебор_2_20170602154411[[#This Row],[С]],FALSE),,1)&amp;"!R2C2"),FALSE),,,101,101),"="&amp;(Свёртка_Перебор_2_20170602154411[[#This Row],[F]]-(1+(CHOOSE(--RIGHTB(OFFSET(INDIRECT(Свёртка_Перебор_2_20170602154411[[#This Row],[С]],FALSE),,3))+1,0,0,1,0,1,1)+CHOOSE(--RIGHTB(OFFSET(INDIRECT(Свёртка_Перебор_2_20170602154411[[#This Row],[С]],FALSE),,2))+1,0,0,1,0,1,1)))+1))*IF(AND(Свёртка_Перебор_2_20170602154411[[#This Row],[F]]&gt;=(1+(CHOOSE(--RIGHTB(OFFSET(INDIRECT(Свёртка_Перебор_2_20170602154411[[#This Row],[С]],FALSE),,3))+1,0,0,1,0,1,1)+CHOOSE(--RIGHTB(OFFSET(INDIRECT(Свёртка_Перебор_2_20170602154411[[#This Row],[С]],FALSE),,2))+1,0,0,1,0,1,1))),Свёртка_Перебор_2_20170602154411[[#This Row],[F]]&lt;=(1+(CHOOSE(--RIGHTB(OFFSET(INDIRECT(Свёртка_Перебор_2_20170602154411[[#This Row],[С]],FALSE),,3))+1,0,0,1,0,1,1)+CHOOSE(--RIGHTB(OFFSET(INDIRECT(Свёртка_Перебор_2_20170602154411[[#This Row],[С]],FALSE),,2))+1,0,0,1,0,1,1)+CHOOSE(--RIGHTB(OFFSET(INDIRECT(Свёртка_Перебор_2_20170602154411[[#This Row],[С]],FALSE),,1))+1,0,1,1,1,1,2)))),1,0)+COUNTIFS(OFFSET(INDIRECT((OFFSET(INDIRECT(Свёртка_Перебор_2_20170602154411[[#This Row],[С]],FALSE),,2)&amp;"!R2C2"),FALSE),,,101,101),"="&amp;(Свёртка_Перебор_2_20170602154411[[#This Row],[F]]-(1+(CHOOSE(--RIGHTB(OFFSET(INDIRECT(Свёртка_Перебор_2_20170602154411[[#This Row],[С]],FALSE),,3))+1,0,0,1,0,1,1)))+1))*IF(AND(Свёртка_Перебор_2_20170602154411[[#This Row],[F]]&gt;=(1+(CHOOSE(--RIGHTB(OFFSET(INDIRECT(Свёртка_Перебор_2_20170602154411[[#This Row],[С]],FALSE),0,3))+1,0,0,1,0,1,1))),Свёртка_Перебор_2_20170602154411[[#This Row],[F]]&lt;=(1+(CHOOSE(--RIGHTB(OFFSET(INDIRECT(Свёртка_Перебор_2_20170602154411[[#This Row],[С]],FALSE),,3))+1,0,1,0,0,1,1)+CHOOSE(--RIGHTB(OFFSET(INDIRECT(Свёртка_Перебор_2_20170602154411[[#This Row],[С]],FALSE),,2))+1,0,1,1,1,1,2)))),1,0)+COUNTIFS(OFFSET(INDIRECT((OFFSET(INDIRECT(Свёртка_Перебор_2_20170602154411[[#This Row],[С]],FALSE),,3)&amp;"!R2C2"),FALSE),,,101,101),"="&amp;(Свёртка_Перебор_2_20170602154411[[#This Row],[F]]-1+1))*IF(AND(Свёртка_Перебор_2_20170602154411[[#This Row],[F]]&gt;=1,Свёртка_Перебор_2_20170602154411[[#This Row],[F]]&lt;=1+(CHOOSE(--RIGHTB(OFFSET(INDIRECT(Свёртка_Перебор_2_20170602154411[[#This Row],[С]],FALSE),,3))+1,0,1,1,1,1,2))),1,0)</f>
        <v>#REF!</v>
      </c>
      <c r="CO18" t="s">
        <v>559</v>
      </c>
    </row>
    <row r="19" spans="2:93" x14ac:dyDescent="0.25">
      <c r="B19" t="str">
        <f ca="1">IF(AND(Критерий_Перебор_2_20170602154411[[#This Row],[Критерий]]&lt;&gt;"",Критерий_Перебор_2_20170602154411[[#This Row],[O.K.Критерий]]=1),ROW()-ROW(Критерий_Перебор_2_20170602154411[[#Headers],[№]]),"")</f>
        <v/>
      </c>
      <c r="C19" s="37"/>
      <c r="D19" t="str">
        <f ca="1">IFERROR(IF(AND(Критерий_Перебор_2_20170602154411[[#This Row],[Критерий]]&gt;=1,Критерий_Перебор_2_20170602154411[[#This Row],[Критерий]]&lt;=4),IF(IFERROR(FIND("!",_xlfn.FORMULATEXT(Критерий_Перебор_2_20170602154411[[#This Row],[Критерий]])),"на странице")="на странице",CONCATENATE("R",ROW((INDIRECT(RIGHT(_xlfn.FORMULATEXT(Критерий_Перебор_2_20170602154411[[#This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Row],[Критерий]]))-1),FALSE)))-D$8),CONCATENATE(RIGHT(LEFT(_xlfn.FORMULATEXT(Критерий_Перебор_2_20170602154411[[#This Row],[Критерий]]),FIND("!",_xlfn.FORMULATEXT(Критерий_Перебор_2_20170602154411[[#This Row],[Критерий]]))),LEN(LEFT(_xlfn.FORMULATEXT(Критерий_Перебор_2_20170602154411[[#This Row],[Критерий]]),FIND("!",_xlfn.FORMULATEXT(Критерий_Перебор_2_20170602154411[[#This Row],[Критерий]]))))-1),"R",ROW((INDIRECT(RIGHT(_xlfn.FORMULATEXT(Критерий_Перебор_2_20170602154411[[#This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Row],[Критерий]]))-1),FALSE)))-D$8)),"ошибка"),"ошибка")</f>
        <v>ошибка</v>
      </c>
      <c r="E19" t="str">
        <f ca="1">IFERROR(IF(LEFT(Критерий_Перебор_2_20170602154411[[#This Row],[Фкритерий]],5)="=Прив","Критерий",IF(LEFT(Критерий_Перебор_2_20170602154411[[#This Row],[Фкритерий]],5)="=Матр","ошибка","ошибка")),"ошибка")</f>
        <v>ошибка</v>
      </c>
      <c r="F19" t="str">
        <f ca="1">IFERROR(IF(LEN((INDIRECT(Критерий_Перебор_2_20170602154411[[#This Row],[СНаименование]],FALSE)))=0,"ошибка",IFERROR(INDIRECT(Критерий_Перебор_2_20170602154411[[#This Row],[СНаименование]],FALSE),"ошибка")),"ошибка")</f>
        <v>ошибка</v>
      </c>
      <c r="G19"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Row],[Скритерий]])))+G$7),FIND("R",Критерий_Перебор_2_20170602154411[[#This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Row],[Скритерий]])))+G$6),"ошибка")</f>
        <v>ошибка</v>
      </c>
      <c r="H19" t="str">
        <f ca="1">IFERROR(IF(N(INDIRECT(Критерий_Перебор_2_20170602154411[[#This Row],[СФизКритерий]],FALSE))=0,"ошибка",IFERROR(INDIRECT(Критерий_Перебор_2_20170602154411[[#This Row],[СФизКритерий]],FALSE),"ошибка")),"ошибка")</f>
        <v>ошибка</v>
      </c>
      <c r="I19"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Row],[Скритерий]])))+I$7),FIND("R",Критерий_Перебор_2_20170602154411[[#This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Row],[Скритерий]])))+I$6),"ошибка")</f>
        <v>ошибка</v>
      </c>
      <c r="J19" t="str">
        <f ca="1">IFERROR(IF(OR(INDIRECT(Критерий_Перебор_2_20170602154411[[#This Row],[СТипКритерий]],FALSE)=Перебор!$N$58,INDIRECT(Критерий_Перебор_2_20170602154411[[#This Row],[СТипКритерий]],FALSE)=Перебор!$N$59,INDIRECT(Критерий_Перебор_2_20170602154411[[#This Row],[СТипКритерий]],FALSE)=Перебор!$N$60,INDIRECT(Критерий_Перебор_2_20170602154411[[#This Row],[СТипКритерий]],FALSE)=Перебор!$N$61),INDIRECT(Критерий_Перебор_2_20170602154411[[#This Row],[СТипКритерий]],FALSE),"ошибка"),"ошибка")</f>
        <v>ошибка</v>
      </c>
      <c r="K19"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Row],[Скритерий]])))+K$7),FIND("R",Критерий_Перебор_2_20170602154411[[#This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Row],[Скритерий]])))+K$6),"ошибка")</f>
        <v>ошибка</v>
      </c>
      <c r="L19" t="str">
        <f ca="1">IFERROR(_xlfn.FORMULATEXT(INDIRECT(Критерий_Перебор_2_20170602154411[[#This Row],[Скритерий]],FALSE)),"ошибка")</f>
        <v>ошибка</v>
      </c>
      <c r="M19" t="str">
        <f ca="1">IFERROR(IF(N(INDIRECT(Критерий_Перебор_2_20170602154411[[#This Row],[СМинФизКритерий]],FALSE))=0,"ошибка",IFERROR(INDIRECT(Критерий_Перебор_2_20170602154411[[#This Row],[СМинФизКритерий]],FALSE),"ошибка")),"ошибка")</f>
        <v>ошибка</v>
      </c>
      <c r="N19"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Row],[Скритерий]])))+N$7),FIND("R",Критерий_Перебор_2_20170602154411[[#This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Row],[Скритерий]])))+N$6),"ошибка")</f>
        <v>ошибка</v>
      </c>
      <c r="O19" t="str">
        <f ca="1">IFERROR(IF(N(INDIRECT(Критерий_Перебор_2_20170602154411[[#This Row],[СМаксФизКритерий]],FALSE))=0,"ошибка",IFERROR(INDIRECT(Критерий_Перебор_2_20170602154411[[#This Row],[СМаксФизКритерий]],FALSE),"ошибка")),"ошибка")</f>
        <v>ошибка</v>
      </c>
      <c r="P19"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Row],[Скритерий]])))+P$7),FIND("R",Критерий_Перебор_2_20170602154411[[#This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Row],[Скритерий]])))+P$6),"ошибка")</f>
        <v>ошибка</v>
      </c>
      <c r="Q19" t="str">
        <f ca="1">IFERROR(IF(N(INDIRECT(Критерий_Перебор_2_20170602154411[[#This Row],[ССрФизКритерий]],FALSE))=0,"ошибка",IFERROR(INDIRECT(Критерий_Перебор_2_20170602154411[[#This Row],[ССрФизКритерий]],FALSE),"ошибка")),"")</f>
        <v/>
      </c>
      <c r="R19" t="str">
        <f ca="1">IF(OR(Критерий_Перебор_2_20170602154411[[#This Row],[ТипКритерий]]=Перебор!$N$60,Критерий_Перебор_2_20170602154411[[#This Row],[ТипКритерий]]=Перебор!$N$61),IFERROR(REPLACE(REPLACE(Критерий_Перебор_2_20170602154411[[#This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Row],[Скритерий]])))+R$7),FIND("R",Критерий_Перебор_2_20170602154411[[#This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Row],[Скритерий]])))+R$6),"ошибка"),"")</f>
        <v/>
      </c>
      <c r="S19" s="66">
        <f ca="1">IFERROR(IF(AND(Критерий_Перебор_2_20170602154411[[#This Row],[ВидКритерий]]="Критерий",Критерий_Перебор_2_20170602154411[[#This Row],[Фкритерий]]="=Приведение"),1,-1),-1)</f>
        <v>-1</v>
      </c>
      <c r="CN19" t="s">
        <v>560</v>
      </c>
    </row>
    <row r="20" spans="2:93" x14ac:dyDescent="0.25">
      <c r="CN20" t="s">
        <v>558</v>
      </c>
    </row>
    <row r="21" spans="2:93" x14ac:dyDescent="0.25">
      <c r="CN21" t="s">
        <v>562</v>
      </c>
    </row>
    <row r="22" spans="2:93" x14ac:dyDescent="0.25">
      <c r="CN22" t="s">
        <v>557</v>
      </c>
    </row>
    <row r="23" spans="2:93" x14ac:dyDescent="0.25">
      <c r="CN23" t="s">
        <v>556</v>
      </c>
    </row>
  </sheetData>
  <conditionalFormatting sqref="W11:W18 C10:C19">
    <cfRule type="cellIs" dxfId="723" priority="1" stopIfTrue="1" operator="notBetween">
      <formula>1</formula>
      <formula>4</formula>
    </cfRule>
  </conditionalFormatting>
  <conditionalFormatting sqref="S10:S19">
    <cfRule type="iconSet" priority="2">
      <iconSet showValue="0">
        <cfvo type="percent" val="0"/>
        <cfvo type="num" val="0"/>
        <cfvo type="num" val="1"/>
      </iconSet>
    </cfRule>
  </conditionalFormatting>
  <conditionalFormatting sqref="W10:W18">
    <cfRule type="cellIs" dxfId="722" priority="3" stopIfTrue="1" operator="notBetween">
      <formula>1</formula>
      <formula>4</formula>
    </cfRule>
  </conditionalFormatting>
  <conditionalFormatting sqref="CD10:CD18">
    <cfRule type="iconSet" priority="4">
      <iconSet showValue="0">
        <cfvo type="percent" val="0"/>
        <cfvo type="num" val="0"/>
        <cfvo type="num" val="1"/>
      </iconSet>
    </cfRule>
  </conditionalFormatting>
  <pageMargins left="0.7" right="0.7" top="0.75" bottom="0.75" header="0.3" footer="0.3"/>
  <tableParts count="2">
    <tablePart r:id="rId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1611"/>
  <dimension ref="A1:AX40"/>
  <sheetViews>
    <sheetView zoomScale="85" zoomScaleNormal="85" workbookViewId="0">
      <selection activeCell="K5" sqref="K5"/>
    </sheetView>
  </sheetViews>
  <sheetFormatPr defaultColWidth="4.7109375" defaultRowHeight="22.9" customHeight="1" x14ac:dyDescent="0.25"/>
  <cols>
    <col min="1" max="1" width="4.7109375" style="39"/>
    <col min="2" max="2" width="4.7109375" style="39" customWidth="1"/>
    <col min="3" max="5" width="4.7109375" style="39"/>
    <col min="6" max="7" width="4.7109375" style="39" customWidth="1"/>
    <col min="8" max="9" width="4.7109375" style="39"/>
    <col min="10" max="11" width="4.7109375" style="39" customWidth="1"/>
    <col min="12" max="12" width="4.7109375" style="39"/>
    <col min="13" max="13" width="4.7109375" style="39" customWidth="1"/>
    <col min="14" max="35" width="4.7109375" style="39"/>
    <col min="36" max="36" width="5.140625" style="39" bestFit="1" customWidth="1"/>
    <col min="37" max="16384" width="4.7109375" style="39"/>
  </cols>
  <sheetData>
    <row r="1" spans="1:50" ht="22.9" customHeight="1" x14ac:dyDescent="0.25">
      <c r="A1" s="257" t="s">
        <v>361</v>
      </c>
      <c r="B1" s="258"/>
      <c r="C1" s="258"/>
      <c r="D1" s="258"/>
      <c r="E1" s="258"/>
      <c r="F1" s="258"/>
      <c r="G1" s="258"/>
      <c r="H1" s="258"/>
      <c r="I1" s="258"/>
      <c r="J1" s="258"/>
      <c r="K1" s="258"/>
      <c r="L1" s="258"/>
      <c r="M1" s="258"/>
      <c r="N1" s="259"/>
    </row>
    <row r="2" spans="1:50" ht="22.9" customHeight="1" thickBot="1" x14ac:dyDescent="0.3">
      <c r="A2" s="40"/>
      <c r="B2" s="256" t="s">
        <v>362</v>
      </c>
      <c r="C2" s="256"/>
      <c r="D2" s="256"/>
      <c r="E2" s="256"/>
      <c r="F2" s="256"/>
      <c r="G2" s="256"/>
      <c r="H2" s="256"/>
      <c r="I2" s="41"/>
      <c r="J2" s="256" t="s">
        <v>363</v>
      </c>
      <c r="K2" s="256"/>
      <c r="L2" s="256"/>
      <c r="M2" s="256"/>
      <c r="N2" s="42"/>
    </row>
    <row r="3" spans="1:50" ht="22.9" customHeight="1" thickTop="1" thickBot="1" x14ac:dyDescent="0.3">
      <c r="A3" s="40"/>
      <c r="B3" s="239"/>
      <c r="C3" s="240"/>
      <c r="D3" s="240"/>
      <c r="E3" s="240"/>
      <c r="F3" s="240"/>
      <c r="G3" s="240"/>
      <c r="H3" s="241"/>
      <c r="I3" s="41"/>
      <c r="J3" s="239"/>
      <c r="K3" s="240"/>
      <c r="L3" s="240"/>
      <c r="M3" s="241"/>
      <c r="N3" s="42"/>
      <c r="W3"/>
      <c r="X3"/>
      <c r="Y3"/>
      <c r="Z3"/>
      <c r="AA3"/>
      <c r="AB3"/>
      <c r="AC3"/>
      <c r="AD3"/>
      <c r="AE3"/>
      <c r="AF3"/>
      <c r="AG3"/>
      <c r="AH3"/>
    </row>
    <row r="4" spans="1:50" ht="22.9" customHeight="1" thickTop="1" x14ac:dyDescent="0.25">
      <c r="A4" s="43"/>
      <c r="B4" s="115"/>
      <c r="C4" s="116"/>
      <c r="D4" s="117"/>
      <c r="E4" s="118"/>
      <c r="F4" s="119" t="str">
        <f>Изопрайса</f>
        <v/>
      </c>
      <c r="G4" s="120" t="str">
        <f>Изопрайса</f>
        <v/>
      </c>
      <c r="H4" s="121" t="str">
        <f>Изопрайса</f>
        <v/>
      </c>
      <c r="I4" s="44"/>
      <c r="J4" s="242" t="s">
        <v>357</v>
      </c>
      <c r="K4" s="243"/>
      <c r="L4" s="244"/>
      <c r="M4" s="122"/>
      <c r="N4" s="45"/>
      <c r="W4"/>
      <c r="X4"/>
      <c r="Y4"/>
      <c r="Z4"/>
      <c r="AA4"/>
      <c r="AB4"/>
      <c r="AC4"/>
      <c r="AD4"/>
      <c r="AE4"/>
      <c r="AF4"/>
      <c r="AG4"/>
      <c r="AH4"/>
    </row>
    <row r="5" spans="1:50" ht="22.9" customHeight="1" thickBot="1" x14ac:dyDescent="0.3">
      <c r="A5" s="43"/>
      <c r="B5" s="46"/>
      <c r="C5" s="47"/>
      <c r="D5" s="48"/>
      <c r="E5" s="49"/>
      <c r="F5" s="50" t="str">
        <f>Изопрайса</f>
        <v/>
      </c>
      <c r="G5" s="51" t="str">
        <f>Изопрайса</f>
        <v/>
      </c>
      <c r="H5" s="52" t="str">
        <f>Изопрайса</f>
        <v/>
      </c>
      <c r="I5" s="44"/>
      <c r="J5" s="81">
        <f ca="1">Min_1</f>
        <v>1</v>
      </c>
      <c r="K5" s="82">
        <f ca="1">Mid_1</f>
        <v>2.5</v>
      </c>
      <c r="L5" s="83">
        <f ca="1">Max_1</f>
        <v>4</v>
      </c>
      <c r="M5" s="76" t="str">
        <f>Приведение</f>
        <v>!!!</v>
      </c>
      <c r="N5" s="45"/>
      <c r="W5"/>
      <c r="X5"/>
      <c r="Y5"/>
      <c r="Z5"/>
      <c r="AA5"/>
      <c r="AB5"/>
      <c r="AC5"/>
      <c r="AD5"/>
      <c r="AE5"/>
      <c r="AF5"/>
      <c r="AG5"/>
      <c r="AH5"/>
    </row>
    <row r="6" spans="1:50" ht="22.9" customHeight="1" thickBot="1" x14ac:dyDescent="0.3">
      <c r="A6" s="43"/>
      <c r="B6" s="53" t="str">
        <f>Матрица_Расчёт</f>
        <v/>
      </c>
      <c r="C6" s="54"/>
      <c r="D6" s="55"/>
      <c r="E6" s="56" t="s">
        <v>103</v>
      </c>
      <c r="F6" s="57" t="str">
        <f>Изопрайса</f>
        <v/>
      </c>
      <c r="G6" s="58" t="str">
        <f>Изопрайса</f>
        <v/>
      </c>
      <c r="H6" s="59" t="str">
        <f>Изопрайса</f>
        <v>Q</v>
      </c>
      <c r="I6" s="44"/>
      <c r="J6" s="77"/>
      <c r="K6" s="78"/>
      <c r="L6" s="79"/>
      <c r="M6" s="80"/>
      <c r="N6" s="45"/>
      <c r="W6"/>
      <c r="X6"/>
      <c r="Y6"/>
      <c r="Z6"/>
      <c r="AA6"/>
      <c r="AB6"/>
      <c r="AC6"/>
      <c r="AD6"/>
      <c r="AE6"/>
      <c r="AF6"/>
      <c r="AG6"/>
      <c r="AH6"/>
    </row>
    <row r="7" spans="1:50" s="64" customFormat="1" ht="22.9" customHeight="1" thickTop="1" thickBot="1" x14ac:dyDescent="0.3">
      <c r="A7" s="99"/>
      <c r="F7" s="60"/>
      <c r="G7" s="61"/>
      <c r="H7" s="61"/>
      <c r="I7" s="60"/>
      <c r="J7" s="60"/>
      <c r="K7" s="62"/>
      <c r="L7" s="60"/>
      <c r="M7" s="60"/>
      <c r="N7" s="63"/>
      <c r="W7"/>
      <c r="X7"/>
      <c r="Y7"/>
      <c r="Z7"/>
      <c r="AA7"/>
      <c r="AB7"/>
      <c r="AC7"/>
      <c r="AD7"/>
      <c r="AE7"/>
      <c r="AF7"/>
      <c r="AG7"/>
      <c r="AH7"/>
    </row>
    <row r="8" spans="1:50" s="64" customFormat="1" ht="22.9" customHeight="1" thickBot="1" x14ac:dyDescent="0.3">
      <c r="A8" s="99"/>
      <c r="B8" s="256" t="s">
        <v>455</v>
      </c>
      <c r="C8" s="256"/>
      <c r="D8" s="256"/>
      <c r="E8" s="100"/>
      <c r="W8"/>
      <c r="X8"/>
      <c r="Y8"/>
      <c r="Z8"/>
      <c r="AA8"/>
      <c r="AB8"/>
      <c r="AC8"/>
      <c r="AD8"/>
      <c r="AE8"/>
      <c r="AF8"/>
      <c r="AG8"/>
      <c r="AH8"/>
    </row>
    <row r="9" spans="1:50" s="64" customFormat="1" ht="22.9" customHeight="1" thickTop="1" x14ac:dyDescent="0.25">
      <c r="A9" s="99"/>
      <c r="B9" s="105" t="s">
        <v>450</v>
      </c>
      <c r="C9" s="106"/>
      <c r="D9" s="107" t="s">
        <v>449</v>
      </c>
      <c r="E9" s="100"/>
      <c r="G9" s="91">
        <v>0</v>
      </c>
      <c r="H9" s="92">
        <v>1</v>
      </c>
      <c r="I9" s="93">
        <v>-1</v>
      </c>
      <c r="W9"/>
      <c r="X9"/>
      <c r="Y9"/>
      <c r="Z9"/>
      <c r="AA9"/>
      <c r="AB9"/>
      <c r="AC9"/>
      <c r="AD9"/>
      <c r="AE9"/>
      <c r="AF9"/>
      <c r="AG9"/>
      <c r="AH9"/>
    </row>
    <row r="10" spans="1:50" s="64" customFormat="1" ht="22.9" customHeight="1" thickBot="1" x14ac:dyDescent="0.3">
      <c r="A10" s="99"/>
      <c r="B10" s="108">
        <v>1</v>
      </c>
      <c r="C10" s="98">
        <f>MAX(Таблица1372257[№_Э])</f>
        <v>2</v>
      </c>
      <c r="D10" s="109">
        <v>4</v>
      </c>
      <c r="E10" s="100"/>
      <c r="G10" s="94">
        <v>0</v>
      </c>
      <c r="H10" s="82">
        <v>1</v>
      </c>
      <c r="I10" s="83">
        <v>0</v>
      </c>
    </row>
    <row r="11" spans="1:50" s="64" customFormat="1" ht="22.9" customHeight="1" thickBot="1" x14ac:dyDescent="0.3">
      <c r="A11" s="99"/>
      <c r="B11" s="110" t="s">
        <v>452</v>
      </c>
      <c r="C11" s="101" t="s">
        <v>441</v>
      </c>
      <c r="D11" s="111" t="s">
        <v>453</v>
      </c>
      <c r="E11" s="100"/>
      <c r="G11" s="95">
        <v>0</v>
      </c>
      <c r="H11" s="96">
        <v>1</v>
      </c>
      <c r="I11" s="97">
        <v>1</v>
      </c>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row>
    <row r="12" spans="1:50" s="64" customFormat="1" ht="22.9" customHeight="1" x14ac:dyDescent="0.25">
      <c r="A12" s="99"/>
      <c r="B12" s="110">
        <f>ROW()-ROW(Таблица1372257[#Headers])</f>
        <v>1</v>
      </c>
      <c r="C12" s="130" t="str">
        <f ca="1">Фантом</f>
        <v/>
      </c>
      <c r="D12" s="111">
        <v>3</v>
      </c>
      <c r="E12" s="100"/>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row>
    <row r="13" spans="1:50" s="64" customFormat="1" ht="22.9" customHeight="1" x14ac:dyDescent="0.25">
      <c r="A13" s="99"/>
      <c r="B13" s="110">
        <f>ROW()-ROW(Таблица1372257[#Headers])</f>
        <v>2</v>
      </c>
      <c r="C13" s="130">
        <f ca="1">Фантом</f>
        <v>2.5</v>
      </c>
      <c r="D13" s="111">
        <v>4</v>
      </c>
      <c r="E13" s="100"/>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row>
    <row r="14" spans="1:50" s="64" customFormat="1" ht="22.9" customHeight="1" thickBot="1" x14ac:dyDescent="0.3">
      <c r="A14" s="99"/>
      <c r="B14" s="112" t="s">
        <v>454</v>
      </c>
      <c r="C14" s="113">
        <f>MAX(Таблица1372257[№_Э])</f>
        <v>2</v>
      </c>
      <c r="D14" s="114">
        <f ca="1">MEDIAN(Таблица1372257[_]:Таблица1372257[О])</f>
        <v>3</v>
      </c>
      <c r="E14" s="100"/>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row>
    <row r="15" spans="1:50" ht="22.9" customHeight="1" thickTop="1" thickBot="1" x14ac:dyDescent="0.3">
      <c r="A15" s="102"/>
      <c r="B15" s="103"/>
      <c r="C15" s="103"/>
      <c r="D15" s="103"/>
      <c r="E15" s="104"/>
      <c r="H15" s="64"/>
      <c r="I15" s="64"/>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row>
    <row r="16" spans="1:50" ht="22.9" customHeight="1" x14ac:dyDescent="0.25">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row>
    <row r="17" spans="10:50" ht="22.9" customHeight="1" x14ac:dyDescent="0.25">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row>
    <row r="18" spans="10:50" ht="22.9" customHeight="1" x14ac:dyDescent="0.25">
      <c r="J18"/>
      <c r="K18"/>
      <c r="L18"/>
      <c r="P18"/>
      <c r="Q18"/>
      <c r="R18"/>
      <c r="S18"/>
      <c r="T18"/>
      <c r="U18"/>
      <c r="V18"/>
      <c r="W18"/>
      <c r="X18"/>
      <c r="Y18"/>
      <c r="Z18"/>
      <c r="AA18"/>
      <c r="AB18"/>
      <c r="AC18"/>
      <c r="AD18"/>
      <c r="AE18"/>
      <c r="AF18"/>
      <c r="AG18"/>
      <c r="AH18"/>
      <c r="AI18"/>
      <c r="AJ18"/>
      <c r="AK18"/>
      <c r="AL18"/>
      <c r="AM18"/>
      <c r="AN18"/>
      <c r="AO18"/>
      <c r="AP18"/>
      <c r="AQ18"/>
      <c r="AR18"/>
      <c r="AS18"/>
      <c r="AT18"/>
      <c r="AU18"/>
      <c r="AV18"/>
      <c r="AW18"/>
      <c r="AX18"/>
    </row>
    <row r="19" spans="10:50" ht="22.9" customHeight="1" x14ac:dyDescent="0.25">
      <c r="J19"/>
      <c r="K19"/>
      <c r="L19"/>
      <c r="P19"/>
      <c r="Q19"/>
      <c r="R19"/>
      <c r="S19"/>
      <c r="T19"/>
      <c r="U19"/>
      <c r="V19"/>
      <c r="W19"/>
      <c r="X19"/>
      <c r="Y19"/>
      <c r="Z19"/>
      <c r="AA19"/>
      <c r="AB19"/>
      <c r="AC19"/>
      <c r="AD19"/>
      <c r="AE19"/>
      <c r="AF19"/>
      <c r="AG19"/>
      <c r="AH19"/>
      <c r="AI19"/>
      <c r="AJ19"/>
      <c r="AK19"/>
      <c r="AL19"/>
      <c r="AM19"/>
      <c r="AN19"/>
      <c r="AO19"/>
      <c r="AP19"/>
      <c r="AQ19"/>
      <c r="AR19"/>
      <c r="AS19"/>
      <c r="AT19"/>
      <c r="AU19"/>
      <c r="AV19"/>
      <c r="AW19"/>
      <c r="AX19"/>
    </row>
    <row r="20" spans="10:50" ht="22.9" customHeight="1" x14ac:dyDescent="0.25">
      <c r="J20"/>
      <c r="K20"/>
      <c r="L20"/>
      <c r="P20"/>
      <c r="Q20"/>
      <c r="R20"/>
      <c r="S20"/>
      <c r="T20"/>
      <c r="U20"/>
      <c r="V20"/>
      <c r="W20"/>
      <c r="X20"/>
      <c r="Y20"/>
      <c r="Z20"/>
      <c r="AA20"/>
      <c r="AB20"/>
      <c r="AC20"/>
      <c r="AD20"/>
      <c r="AE20"/>
      <c r="AF20"/>
      <c r="AG20"/>
      <c r="AH20"/>
      <c r="AI20"/>
      <c r="AJ20"/>
      <c r="AK20"/>
      <c r="AL20"/>
      <c r="AM20"/>
      <c r="AN20"/>
      <c r="AO20"/>
      <c r="AP20"/>
      <c r="AQ20"/>
      <c r="AR20"/>
      <c r="AS20"/>
      <c r="AT20"/>
      <c r="AU20"/>
      <c r="AV20"/>
      <c r="AW20"/>
      <c r="AX20"/>
    </row>
    <row r="21" spans="10:50" ht="22.9" customHeight="1" x14ac:dyDescent="0.25">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row>
    <row r="22" spans="10:50" ht="22.9" customHeight="1" x14ac:dyDescent="0.25">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row>
    <row r="23" spans="10:50" ht="22.9" customHeight="1" x14ac:dyDescent="0.25">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row>
    <row r="24" spans="10:50" ht="22.9" customHeight="1" x14ac:dyDescent="0.25">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row>
    <row r="25" spans="10:50" ht="22.9" customHeight="1" x14ac:dyDescent="0.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row>
    <row r="26" spans="10:50" ht="22.9" customHeight="1" x14ac:dyDescent="0.25">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row>
    <row r="27" spans="10:50" ht="22.9" customHeight="1" x14ac:dyDescent="0.25">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row>
    <row r="28" spans="10:50" ht="22.9" customHeight="1" x14ac:dyDescent="0.25">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row>
    <row r="29" spans="10:50" ht="22.9" customHeight="1" x14ac:dyDescent="0.25">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row>
    <row r="30" spans="10:50" ht="22.9" customHeight="1" x14ac:dyDescent="0.25">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row>
    <row r="31" spans="10:50" ht="22.9" customHeight="1" x14ac:dyDescent="0.25">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row>
    <row r="32" spans="10:50" ht="22.9" customHeight="1" x14ac:dyDescent="0.25">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row>
    <row r="33" spans="8:50" ht="22.9" customHeight="1" x14ac:dyDescent="0.25">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row>
    <row r="35" spans="8:50" ht="22.9" customHeight="1" x14ac:dyDescent="0.25">
      <c r="J35"/>
      <c r="K35"/>
      <c r="L35"/>
      <c r="M35"/>
      <c r="N35"/>
      <c r="O35"/>
      <c r="P35"/>
      <c r="Q35"/>
      <c r="R35"/>
      <c r="S35"/>
    </row>
    <row r="36" spans="8:50" ht="22.9" customHeight="1" x14ac:dyDescent="0.25">
      <c r="H36"/>
      <c r="I36"/>
      <c r="J36"/>
      <c r="K36"/>
      <c r="L36"/>
      <c r="M36"/>
      <c r="N36"/>
      <c r="O36"/>
      <c r="P36"/>
      <c r="Q36"/>
      <c r="R36"/>
      <c r="S36"/>
    </row>
    <row r="37" spans="8:50" ht="22.9" customHeight="1" x14ac:dyDescent="0.25">
      <c r="H37"/>
      <c r="I37"/>
      <c r="J37"/>
      <c r="K37"/>
      <c r="L37"/>
      <c r="M37"/>
      <c r="N37"/>
      <c r="O37"/>
      <c r="P37"/>
      <c r="Q37"/>
      <c r="R37"/>
      <c r="S37"/>
    </row>
    <row r="38" spans="8:50" ht="22.9" customHeight="1" x14ac:dyDescent="0.25">
      <c r="H38"/>
      <c r="I38"/>
      <c r="J38"/>
      <c r="K38"/>
      <c r="L38"/>
      <c r="M38"/>
      <c r="N38"/>
      <c r="O38"/>
      <c r="P38"/>
      <c r="Q38"/>
      <c r="R38"/>
      <c r="S38"/>
    </row>
    <row r="39" spans="8:50" ht="22.9" customHeight="1" x14ac:dyDescent="0.25">
      <c r="H39"/>
      <c r="I39"/>
      <c r="J39"/>
      <c r="K39"/>
      <c r="L39"/>
      <c r="M39"/>
      <c r="N39"/>
      <c r="O39"/>
      <c r="P39"/>
      <c r="Q39"/>
      <c r="R39"/>
      <c r="S39"/>
    </row>
    <row r="40" spans="8:50" ht="22.9" customHeight="1" x14ac:dyDescent="0.25">
      <c r="H40"/>
      <c r="I40"/>
      <c r="J40"/>
      <c r="K40"/>
      <c r="L40"/>
    </row>
  </sheetData>
  <scenarios current="0" sqref="O24">
    <scenario name="1" locked="1" count="1" user="Gureev Self" comment="Автор: Gureev Self , 24.05.2016_x000a_Автор изменений: Gureev Self , 24.05.2016">
      <inputCells r="N21" val="1"/>
    </scenario>
  </scenarios>
  <mergeCells count="7">
    <mergeCell ref="B8:D8"/>
    <mergeCell ref="A1:N1"/>
    <mergeCell ref="B2:H2"/>
    <mergeCell ref="J2:M2"/>
    <mergeCell ref="B3:H3"/>
    <mergeCell ref="J3:M3"/>
    <mergeCell ref="J4:L4"/>
  </mergeCells>
  <conditionalFormatting sqref="C6:D6">
    <cfRule type="expression" dxfId="712" priority="41">
      <formula>D6=""</formula>
    </cfRule>
  </conditionalFormatting>
  <conditionalFormatting sqref="E4:E5">
    <cfRule type="expression" dxfId="711" priority="40">
      <formula>E5=""</formula>
    </cfRule>
  </conditionalFormatting>
  <conditionalFormatting sqref="C4:D5">
    <cfRule type="expression" dxfId="710" priority="39">
      <formula>OR(D4="",C5="")</formula>
    </cfRule>
  </conditionalFormatting>
  <conditionalFormatting sqref="K6">
    <cfRule type="expression" dxfId="709" priority="20">
      <formula>OR(K5=1,K5=4)</formula>
    </cfRule>
    <cfRule type="expression" dxfId="708" priority="21">
      <formula>OR(K5&lt;&gt;1,K5&lt;&gt;4)</formula>
    </cfRule>
  </conditionalFormatting>
  <conditionalFormatting sqref="K5">
    <cfRule type="expression" dxfId="707" priority="4">
      <formula>OR(AND(J5=1,L5=4),AND(J5=4,L5=1))</formula>
    </cfRule>
  </conditionalFormatting>
  <conditionalFormatting sqref="G9:I11">
    <cfRule type="iconSet" priority="3">
      <iconSet iconSet="3Symbols" showValue="0">
        <cfvo type="percent" val="0"/>
        <cfvo type="num" val="0"/>
        <cfvo type="num" val="1"/>
      </iconSet>
    </cfRule>
  </conditionalFormatting>
  <dataValidations count="15">
    <dataValidation type="decimal" allowBlank="1" showInputMessage="1" showErrorMessage="1" sqref="D12" xr:uid="{00000000-0002-0000-0900-000000000000}">
      <formula1>Фантом</formula1>
      <formula2>Фантом</formula2>
    </dataValidation>
    <dataValidation type="list" allowBlank="1" showInputMessage="1" showErrorMessage="1" sqref="G9:I11" xr:uid="{00000000-0002-0000-0900-000001000000}">
      <formula1>"-1,0,1"</formula1>
    </dataValidation>
    <dataValidation type="decimal" allowBlank="1" showInputMessage="1" showErrorMessage="1" sqref="K6" xr:uid="{00000000-0002-0000-0900-000002000000}">
      <formula1>MIN(J6,L6)</formula1>
      <formula2>MAX(J6,L6)</formula2>
    </dataValidation>
    <dataValidation type="decimal" allowBlank="1" showInputMessage="1" showErrorMessage="1" sqref="M6" xr:uid="{00000000-0002-0000-0900-000003000000}">
      <formula1>MIN(J6:L6)</formula1>
      <formula2>MAX(J6:L6)</formula2>
    </dataValidation>
    <dataValidation type="list" allowBlank="1" showInputMessage="1" showErrorMessage="1" sqref="J4:L4" xr:uid="{00000000-0002-0000-0900-000004000000}">
      <formula1>INDIRECT("Тип_шкалы[ТИП ШКАЛЫ]")</formula1>
    </dataValidation>
    <dataValidation type="list" allowBlank="1" showInputMessage="1" showErrorMessage="1" sqref="D4" xr:uid="{00000000-0002-0000-0900-000005000000}">
      <formula1>UPUP</formula1>
    </dataValidation>
    <dataValidation type="list" allowBlank="1" showInputMessage="1" showErrorMessage="1" sqref="E4" xr:uid="{00000000-0002-0000-0900-000006000000}">
      <formula1>COLUMNRIGHT_1</formula1>
    </dataValidation>
    <dataValidation type="list" allowBlank="1" showInputMessage="1" showErrorMessage="1" sqref="C6" xr:uid="{00000000-0002-0000-0900-000007000000}">
      <formula1>ROWDOWN_1</formula1>
    </dataValidation>
    <dataValidation type="decimal" allowBlank="1" showErrorMessage="1" errorTitle="ВЫ НЕ МОЖЕТЕ ВВЕСТИ ЭТО ЧИСЛО!!!" error="Ваше значение должно быть &gt;=1 или &lt;=4!" promptTitle="ВНИМАТЕЛЬНО ВВОДИТЕ ЗНАЧЕНИЯ!" prompt="Ваше значение должно быть &gt;=1 или &lt;=4!" sqref="B4:B5" xr:uid="{00000000-0002-0000-0900-000008000000}">
      <formula1>0.999999999999999</formula1>
      <formula2>4</formula2>
    </dataValidation>
    <dataValidation type="list" allowBlank="1" showInputMessage="1" showErrorMessage="1" sqref="C5" xr:uid="{00000000-0002-0000-0900-000009000000}">
      <formula1>UPLEFT</formula1>
    </dataValidation>
    <dataValidation type="list" allowBlank="1" showInputMessage="1" showErrorMessage="1" sqref="C4" xr:uid="{00000000-0002-0000-0900-00000A000000}">
      <formula1>UPMAIN_2</formula1>
    </dataValidation>
    <dataValidation type="list" allowBlank="1" showInputMessage="1" showErrorMessage="1" sqref="D5" xr:uid="{00000000-0002-0000-0900-00000B000000}">
      <formula1>UPMAIN_1</formula1>
    </dataValidation>
    <dataValidation type="list" allowBlank="1" showInputMessage="1" showErrorMessage="1" sqref="E5" xr:uid="{00000000-0002-0000-0900-00000C000000}">
      <formula1>COLUMNRIGHT</formula1>
    </dataValidation>
    <dataValidation type="list" allowBlank="1" showInputMessage="1" showErrorMessage="1" sqref="E6" xr:uid="{00000000-0002-0000-0900-00000D000000}">
      <formula1>INDIRECT("П_Общий[Общий]")</formula1>
    </dataValidation>
    <dataValidation type="list" allowBlank="1" showInputMessage="1" showErrorMessage="1" sqref="D6" xr:uid="{00000000-0002-0000-0900-00000E000000}">
      <formula1>ROWDOWN</formula1>
    </dataValidation>
  </dataValidations>
  <pageMargins left="0.39370078740157483" right="0.39370078740157483" top="0.39370078740157483" bottom="0.39370078740157483" header="0.31496062992125984" footer="0.31496062992125984"/>
  <pageSetup paperSize="9" scale="60" orientation="landscape" r:id="rId1"/>
  <drawing r:id="rId2"/>
  <tableParts count="1">
    <tablePart r:id="rId3"/>
  </tableParts>
  <extLst>
    <ext xmlns:x14="http://schemas.microsoft.com/office/spreadsheetml/2009/9/main" uri="{05C60535-1F16-4fd2-B633-F4F36F0B64E0}">
      <x14:sparklineGroups xmlns:xm="http://schemas.microsoft.com/office/excel/2006/main">
        <x14:sparklineGroup manualMax="0" manualMin="0" lineWeight="2.25" displayEmptyCellsAs="gap" xr2:uid="{00000000-0003-0000-0900-000016000000}">
          <x14:colorSeries rgb="FF000000"/>
          <x14:colorNegative rgb="FF0070C0"/>
          <x14:colorAxis rgb="FF000000"/>
          <x14:colorMarkers rgb="FF0070C0"/>
          <x14:colorFirst rgb="FF0070C0"/>
          <x14:colorLast rgb="FF0070C0"/>
          <x14:colorHigh rgb="FF0070C0"/>
          <x14:colorLow rgb="FF0070C0"/>
          <x14:sparklines>
            <x14:sparkline>
              <xm:f>'Модель - Формы'!J5:L5</xm:f>
              <xm:sqref>M4</xm:sqref>
            </x14:sparkline>
          </x14:sparklines>
        </x14:sparklineGroup>
      </x14:sparklineGroup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311"/>
  <dimension ref="A1:AW170"/>
  <sheetViews>
    <sheetView topLeftCell="F45" zoomScale="115" zoomScaleNormal="115" workbookViewId="0">
      <selection activeCell="P61" sqref="P61"/>
    </sheetView>
  </sheetViews>
  <sheetFormatPr defaultRowHeight="15" x14ac:dyDescent="0.25"/>
  <cols>
    <col min="1" max="1" width="11.140625" customWidth="1"/>
    <col min="2" max="7" width="9" customWidth="1"/>
    <col min="14" max="14" width="13.140625" customWidth="1"/>
    <col min="15" max="15" width="12.7109375" customWidth="1"/>
    <col min="16" max="16" width="13" customWidth="1"/>
    <col min="17" max="49" width="12.7109375" customWidth="1"/>
  </cols>
  <sheetData>
    <row r="1" spans="1:49" x14ac:dyDescent="0.25">
      <c r="A1" s="9" t="s">
        <v>117</v>
      </c>
      <c r="B1" t="s">
        <v>111</v>
      </c>
      <c r="C1" t="s">
        <v>112</v>
      </c>
      <c r="D1" t="s">
        <v>113</v>
      </c>
      <c r="E1" t="s">
        <v>114</v>
      </c>
      <c r="F1" t="s">
        <v>115</v>
      </c>
      <c r="G1" t="s">
        <v>116</v>
      </c>
      <c r="H1" t="s">
        <v>118</v>
      </c>
      <c r="I1" t="s">
        <v>119</v>
      </c>
      <c r="J1" t="s">
        <v>120</v>
      </c>
      <c r="K1" t="s">
        <v>121</v>
      </c>
      <c r="L1" t="s">
        <v>122</v>
      </c>
      <c r="M1" t="s">
        <v>123</v>
      </c>
      <c r="N1" t="s">
        <v>124</v>
      </c>
      <c r="O1" t="s">
        <v>125</v>
      </c>
      <c r="P1" t="s">
        <v>126</v>
      </c>
      <c r="Q1" t="s">
        <v>127</v>
      </c>
      <c r="R1" t="s">
        <v>128</v>
      </c>
      <c r="S1" t="s">
        <v>129</v>
      </c>
      <c r="T1" t="s">
        <v>130</v>
      </c>
      <c r="U1" t="s">
        <v>131</v>
      </c>
      <c r="V1" t="s">
        <v>132</v>
      </c>
      <c r="W1" t="s">
        <v>133</v>
      </c>
      <c r="X1" t="s">
        <v>134</v>
      </c>
      <c r="Y1" t="s">
        <v>135</v>
      </c>
      <c r="Z1" t="s">
        <v>136</v>
      </c>
      <c r="AA1" t="s">
        <v>137</v>
      </c>
      <c r="AB1" t="s">
        <v>138</v>
      </c>
      <c r="AC1" t="s">
        <v>139</v>
      </c>
      <c r="AD1" t="s">
        <v>140</v>
      </c>
      <c r="AE1" t="s">
        <v>141</v>
      </c>
      <c r="AF1" t="s">
        <v>142</v>
      </c>
      <c r="AG1" t="s">
        <v>143</v>
      </c>
      <c r="AH1" t="s">
        <v>144</v>
      </c>
      <c r="AI1" t="s">
        <v>145</v>
      </c>
      <c r="AJ1" t="s">
        <v>146</v>
      </c>
      <c r="AK1" t="s">
        <v>147</v>
      </c>
      <c r="AL1" t="s">
        <v>148</v>
      </c>
      <c r="AM1" t="s">
        <v>149</v>
      </c>
      <c r="AN1" t="s">
        <v>150</v>
      </c>
      <c r="AO1" t="s">
        <v>151</v>
      </c>
      <c r="AP1" t="s">
        <v>152</v>
      </c>
      <c r="AQ1" t="s">
        <v>153</v>
      </c>
      <c r="AR1" t="s">
        <v>154</v>
      </c>
      <c r="AS1" t="s">
        <v>155</v>
      </c>
      <c r="AT1" t="s">
        <v>156</v>
      </c>
      <c r="AU1" t="s">
        <v>157</v>
      </c>
      <c r="AV1" t="s">
        <v>158</v>
      </c>
      <c r="AW1" t="s">
        <v>159</v>
      </c>
    </row>
    <row r="2" spans="1:49" x14ac:dyDescent="0.25">
      <c r="A2" s="8" t="s">
        <v>103</v>
      </c>
      <c r="B2" s="12" t="s">
        <v>103</v>
      </c>
      <c r="C2" s="12" t="s">
        <v>106</v>
      </c>
      <c r="D2" s="12" t="s">
        <v>103</v>
      </c>
      <c r="E2" s="12" t="s">
        <v>106</v>
      </c>
      <c r="F2" s="12" t="s">
        <v>103</v>
      </c>
      <c r="G2" s="14" t="s">
        <v>106</v>
      </c>
      <c r="H2" s="12" t="s">
        <v>103</v>
      </c>
      <c r="I2" s="12" t="s">
        <v>105</v>
      </c>
      <c r="J2" s="12" t="s">
        <v>105</v>
      </c>
      <c r="K2" s="12" t="s">
        <v>103</v>
      </c>
      <c r="L2" s="12" t="s">
        <v>103</v>
      </c>
      <c r="M2" s="12" t="s">
        <v>105</v>
      </c>
      <c r="N2" t="s">
        <v>103</v>
      </c>
      <c r="O2" t="s">
        <v>106</v>
      </c>
      <c r="P2" t="s">
        <v>103</v>
      </c>
      <c r="Q2" t="s">
        <v>106</v>
      </c>
      <c r="R2" t="s">
        <v>103</v>
      </c>
      <c r="S2" t="s">
        <v>106</v>
      </c>
      <c r="T2" t="s">
        <v>105</v>
      </c>
      <c r="U2" t="s">
        <v>107</v>
      </c>
      <c r="V2" t="s">
        <v>105</v>
      </c>
      <c r="W2" t="s">
        <v>107</v>
      </c>
      <c r="X2" t="s">
        <v>105</v>
      </c>
      <c r="Y2" t="s">
        <v>107</v>
      </c>
      <c r="Z2" t="s">
        <v>105</v>
      </c>
      <c r="AA2" t="s">
        <v>107</v>
      </c>
      <c r="AB2" t="s">
        <v>105</v>
      </c>
      <c r="AC2" t="s">
        <v>107</v>
      </c>
      <c r="AD2" t="s">
        <v>105</v>
      </c>
      <c r="AE2" t="s">
        <v>107</v>
      </c>
      <c r="AF2" t="s">
        <v>103</v>
      </c>
      <c r="AG2" t="s">
        <v>106</v>
      </c>
      <c r="AH2" t="s">
        <v>103</v>
      </c>
      <c r="AI2" t="s">
        <v>106</v>
      </c>
      <c r="AJ2" t="s">
        <v>103</v>
      </c>
      <c r="AK2" t="s">
        <v>106</v>
      </c>
      <c r="AL2" t="s">
        <v>103</v>
      </c>
      <c r="AM2" t="s">
        <v>106</v>
      </c>
      <c r="AN2" t="s">
        <v>103</v>
      </c>
      <c r="AO2" t="s">
        <v>106</v>
      </c>
      <c r="AP2" t="s">
        <v>103</v>
      </c>
      <c r="AQ2" t="s">
        <v>106</v>
      </c>
      <c r="AR2" t="s">
        <v>105</v>
      </c>
      <c r="AS2" t="s">
        <v>107</v>
      </c>
      <c r="AT2" t="s">
        <v>105</v>
      </c>
      <c r="AU2" t="s">
        <v>107</v>
      </c>
      <c r="AV2" t="s">
        <v>105</v>
      </c>
      <c r="AW2" t="s">
        <v>107</v>
      </c>
    </row>
    <row r="3" spans="1:49" x14ac:dyDescent="0.25">
      <c r="A3" s="8" t="s">
        <v>104</v>
      </c>
      <c r="B3" s="12" t="s">
        <v>104</v>
      </c>
      <c r="C3" s="12" t="s">
        <v>107</v>
      </c>
      <c r="D3" s="12" t="s">
        <v>104</v>
      </c>
      <c r="E3" s="12" t="s">
        <v>107</v>
      </c>
      <c r="F3" s="12" t="s">
        <v>104</v>
      </c>
      <c r="G3" s="14" t="s">
        <v>107</v>
      </c>
      <c r="H3" s="12" t="s">
        <v>104</v>
      </c>
      <c r="I3" s="12" t="s">
        <v>107</v>
      </c>
      <c r="J3" s="12" t="s">
        <v>107</v>
      </c>
      <c r="K3" s="12" t="s">
        <v>104</v>
      </c>
      <c r="L3" s="12" t="s">
        <v>104</v>
      </c>
      <c r="M3" s="12" t="s">
        <v>107</v>
      </c>
      <c r="N3" t="s">
        <v>104</v>
      </c>
      <c r="P3" t="s">
        <v>104</v>
      </c>
      <c r="R3" t="s">
        <v>104</v>
      </c>
      <c r="U3" t="s">
        <v>108</v>
      </c>
      <c r="W3" t="s">
        <v>108</v>
      </c>
      <c r="Y3" t="s">
        <v>108</v>
      </c>
      <c r="AA3" t="s">
        <v>108</v>
      </c>
      <c r="AC3" t="s">
        <v>108</v>
      </c>
      <c r="AE3" t="s">
        <v>108</v>
      </c>
      <c r="AF3" t="s">
        <v>104</v>
      </c>
      <c r="AH3" t="s">
        <v>104</v>
      </c>
      <c r="AJ3" t="s">
        <v>104</v>
      </c>
      <c r="AL3" t="s">
        <v>104</v>
      </c>
      <c r="AN3" t="s">
        <v>104</v>
      </c>
      <c r="AP3" t="s">
        <v>104</v>
      </c>
      <c r="AS3" t="s">
        <v>108</v>
      </c>
      <c r="AU3" t="s">
        <v>108</v>
      </c>
      <c r="AW3" t="s">
        <v>108</v>
      </c>
    </row>
    <row r="4" spans="1:49" x14ac:dyDescent="0.25">
      <c r="A4" s="8" t="s">
        <v>105</v>
      </c>
      <c r="B4" s="13" t="s">
        <v>105</v>
      </c>
      <c r="C4" s="13" t="s">
        <v>108</v>
      </c>
      <c r="D4" s="13" t="s">
        <v>105</v>
      </c>
      <c r="E4" s="12" t="s">
        <v>108</v>
      </c>
      <c r="F4" s="12" t="s">
        <v>105</v>
      </c>
      <c r="G4" s="14" t="s">
        <v>108</v>
      </c>
      <c r="H4" s="12" t="s">
        <v>106</v>
      </c>
      <c r="I4" s="12" t="s">
        <v>108</v>
      </c>
      <c r="J4" s="12" t="s">
        <v>108</v>
      </c>
      <c r="K4" s="12" t="s">
        <v>106</v>
      </c>
      <c r="L4" s="12" t="s">
        <v>106</v>
      </c>
      <c r="M4" s="12" t="s">
        <v>108</v>
      </c>
    </row>
    <row r="5" spans="1:49" x14ac:dyDescent="0.25">
      <c r="A5" s="8" t="s">
        <v>106</v>
      </c>
      <c r="B5" s="12"/>
      <c r="C5" s="12"/>
      <c r="H5" s="12"/>
      <c r="I5" s="12"/>
      <c r="J5" s="12"/>
      <c r="K5" s="12"/>
      <c r="L5" s="12"/>
      <c r="M5" s="12"/>
    </row>
    <row r="6" spans="1:49" x14ac:dyDescent="0.25">
      <c r="A6" s="8" t="s">
        <v>107</v>
      </c>
      <c r="B6" s="12"/>
      <c r="C6" s="12"/>
      <c r="H6" s="7"/>
      <c r="I6" s="7"/>
      <c r="J6" s="7"/>
      <c r="K6" s="7"/>
      <c r="L6" s="7"/>
      <c r="M6" s="7"/>
    </row>
    <row r="7" spans="1:49" x14ac:dyDescent="0.25">
      <c r="A7" s="10" t="s">
        <v>108</v>
      </c>
      <c r="B7" s="13"/>
      <c r="C7" s="13"/>
      <c r="H7" s="11"/>
      <c r="I7" s="11"/>
      <c r="J7" s="11"/>
      <c r="K7" s="11"/>
      <c r="L7" s="11"/>
      <c r="M7" s="11"/>
    </row>
    <row r="8" spans="1:49" x14ac:dyDescent="0.25">
      <c r="B8" s="36"/>
      <c r="C8" s="36"/>
      <c r="N8" t="str">
        <f>П_В_F0_F0[[#Headers],[В_F0_F0]]</f>
        <v>В_F0_F0</v>
      </c>
    </row>
    <row r="9" spans="1:49" ht="14.45" customHeight="1" x14ac:dyDescent="0.25">
      <c r="A9" s="9" t="s">
        <v>117</v>
      </c>
      <c r="B9" t="s">
        <v>344</v>
      </c>
      <c r="C9" t="s">
        <v>345</v>
      </c>
      <c r="D9" t="s">
        <v>346</v>
      </c>
      <c r="E9" t="s">
        <v>347</v>
      </c>
      <c r="F9" t="s">
        <v>348</v>
      </c>
      <c r="G9" t="s">
        <v>349</v>
      </c>
      <c r="H9" t="s">
        <v>350</v>
      </c>
      <c r="I9" t="s">
        <v>351</v>
      </c>
      <c r="J9" t="s">
        <v>352</v>
      </c>
      <c r="K9" t="s">
        <v>353</v>
      </c>
      <c r="L9" t="s">
        <v>354</v>
      </c>
      <c r="M9" t="s">
        <v>355</v>
      </c>
      <c r="N9" t="s">
        <v>160</v>
      </c>
      <c r="O9" t="s">
        <v>161</v>
      </c>
      <c r="P9" t="s">
        <v>162</v>
      </c>
      <c r="Q9" t="s">
        <v>163</v>
      </c>
      <c r="R9" t="s">
        <v>164</v>
      </c>
      <c r="S9" t="s">
        <v>165</v>
      </c>
      <c r="T9" t="s">
        <v>166</v>
      </c>
      <c r="U9" t="s">
        <v>167</v>
      </c>
      <c r="V9" t="s">
        <v>168</v>
      </c>
      <c r="W9" t="s">
        <v>169</v>
      </c>
      <c r="X9" t="s">
        <v>170</v>
      </c>
      <c r="Y9" t="s">
        <v>171</v>
      </c>
      <c r="Z9" t="s">
        <v>172</v>
      </c>
      <c r="AA9" t="s">
        <v>173</v>
      </c>
      <c r="AB9" t="s">
        <v>174</v>
      </c>
      <c r="AC9" t="s">
        <v>175</v>
      </c>
      <c r="AD9" t="s">
        <v>176</v>
      </c>
      <c r="AE9" t="s">
        <v>177</v>
      </c>
      <c r="AF9" t="s">
        <v>178</v>
      </c>
      <c r="AG9" t="s">
        <v>179</v>
      </c>
      <c r="AH9" t="s">
        <v>180</v>
      </c>
      <c r="AI9" t="s">
        <v>181</v>
      </c>
      <c r="AJ9" t="s">
        <v>182</v>
      </c>
      <c r="AK9" t="s">
        <v>183</v>
      </c>
      <c r="AL9" t="s">
        <v>184</v>
      </c>
      <c r="AM9" t="s">
        <v>185</v>
      </c>
      <c r="AN9" t="s">
        <v>186</v>
      </c>
      <c r="AO9" t="s">
        <v>187</v>
      </c>
      <c r="AP9" t="s">
        <v>188</v>
      </c>
      <c r="AQ9" t="s">
        <v>189</v>
      </c>
      <c r="AR9" t="s">
        <v>190</v>
      </c>
      <c r="AS9" t="s">
        <v>191</v>
      </c>
      <c r="AT9" t="s">
        <v>192</v>
      </c>
      <c r="AU9" t="s">
        <v>193</v>
      </c>
      <c r="AV9" t="s">
        <v>194</v>
      </c>
      <c r="AW9" t="s">
        <v>195</v>
      </c>
    </row>
    <row r="10" spans="1:49" x14ac:dyDescent="0.25">
      <c r="A10" s="8" t="s">
        <v>103</v>
      </c>
      <c r="B10" s="12" t="s">
        <v>103</v>
      </c>
      <c r="C10" s="12" t="s">
        <v>106</v>
      </c>
      <c r="D10" s="12" t="s">
        <v>103</v>
      </c>
      <c r="E10" s="12" t="s">
        <v>106</v>
      </c>
      <c r="F10" s="12" t="s">
        <v>103</v>
      </c>
      <c r="G10" s="14" t="s">
        <v>106</v>
      </c>
      <c r="H10" s="12" t="s">
        <v>103</v>
      </c>
      <c r="I10" s="12" t="s">
        <v>105</v>
      </c>
      <c r="J10" s="12" t="s">
        <v>105</v>
      </c>
      <c r="K10" s="12" t="s">
        <v>103</v>
      </c>
      <c r="L10" s="12" t="s">
        <v>103</v>
      </c>
      <c r="M10" s="12" t="s">
        <v>105</v>
      </c>
      <c r="N10" t="s">
        <v>104</v>
      </c>
      <c r="O10" t="s">
        <v>106</v>
      </c>
      <c r="P10" t="s">
        <v>104</v>
      </c>
      <c r="Q10" t="s">
        <v>106</v>
      </c>
      <c r="R10" t="s">
        <v>104</v>
      </c>
      <c r="S10" t="s">
        <v>106</v>
      </c>
      <c r="T10" t="s">
        <v>105</v>
      </c>
      <c r="U10" t="s">
        <v>107</v>
      </c>
      <c r="V10" t="s">
        <v>105</v>
      </c>
      <c r="W10" t="s">
        <v>107</v>
      </c>
      <c r="X10" t="s">
        <v>105</v>
      </c>
      <c r="Y10" t="s">
        <v>107</v>
      </c>
      <c r="Z10" t="s">
        <v>105</v>
      </c>
      <c r="AA10" t="s">
        <v>107</v>
      </c>
      <c r="AB10" t="s">
        <v>105</v>
      </c>
      <c r="AC10" t="s">
        <v>107</v>
      </c>
      <c r="AD10" t="s">
        <v>105</v>
      </c>
      <c r="AE10" t="s">
        <v>107</v>
      </c>
      <c r="AF10" t="s">
        <v>104</v>
      </c>
      <c r="AG10" t="s">
        <v>106</v>
      </c>
      <c r="AH10" t="s">
        <v>104</v>
      </c>
      <c r="AI10" t="s">
        <v>106</v>
      </c>
      <c r="AJ10" t="s">
        <v>104</v>
      </c>
      <c r="AK10" t="s">
        <v>106</v>
      </c>
      <c r="AL10" t="s">
        <v>104</v>
      </c>
      <c r="AM10" t="s">
        <v>106</v>
      </c>
      <c r="AN10" t="s">
        <v>104</v>
      </c>
      <c r="AO10" t="s">
        <v>106</v>
      </c>
      <c r="AP10" t="s">
        <v>104</v>
      </c>
      <c r="AQ10" t="s">
        <v>106</v>
      </c>
      <c r="AR10" t="s">
        <v>105</v>
      </c>
      <c r="AS10" t="s">
        <v>107</v>
      </c>
      <c r="AT10" t="s">
        <v>105</v>
      </c>
      <c r="AU10" t="s">
        <v>107</v>
      </c>
      <c r="AV10" t="s">
        <v>105</v>
      </c>
      <c r="AW10" t="s">
        <v>107</v>
      </c>
    </row>
    <row r="11" spans="1:49" x14ac:dyDescent="0.25">
      <c r="A11" s="8" t="s">
        <v>104</v>
      </c>
      <c r="B11" s="12" t="s">
        <v>104</v>
      </c>
      <c r="C11" s="12" t="s">
        <v>107</v>
      </c>
      <c r="D11" s="12" t="s">
        <v>104</v>
      </c>
      <c r="E11" s="12" t="s">
        <v>107</v>
      </c>
      <c r="F11" s="12" t="s">
        <v>104</v>
      </c>
      <c r="G11" s="14" t="s">
        <v>107</v>
      </c>
      <c r="H11" s="12" t="s">
        <v>104</v>
      </c>
      <c r="I11" s="12" t="s">
        <v>107</v>
      </c>
      <c r="J11" s="12" t="s">
        <v>107</v>
      </c>
      <c r="K11" s="12" t="s">
        <v>104</v>
      </c>
      <c r="L11" s="12" t="s">
        <v>104</v>
      </c>
      <c r="M11" s="12" t="s">
        <v>107</v>
      </c>
      <c r="U11" t="s">
        <v>108</v>
      </c>
      <c r="W11" t="s">
        <v>108</v>
      </c>
      <c r="Y11" t="s">
        <v>108</v>
      </c>
      <c r="AA11" t="s">
        <v>108</v>
      </c>
      <c r="AC11" t="s">
        <v>108</v>
      </c>
      <c r="AE11" t="s">
        <v>108</v>
      </c>
      <c r="AS11" t="s">
        <v>108</v>
      </c>
      <c r="AU11" t="s">
        <v>108</v>
      </c>
      <c r="AW11" t="s">
        <v>108</v>
      </c>
    </row>
    <row r="12" spans="1:49" x14ac:dyDescent="0.25">
      <c r="A12" s="8" t="s">
        <v>105</v>
      </c>
      <c r="B12" s="13" t="s">
        <v>105</v>
      </c>
      <c r="C12" s="13"/>
      <c r="D12" s="13" t="s">
        <v>105</v>
      </c>
      <c r="E12" s="12"/>
      <c r="F12" s="12" t="s">
        <v>105</v>
      </c>
      <c r="G12" s="14"/>
      <c r="H12" s="12" t="s">
        <v>106</v>
      </c>
      <c r="I12" s="12"/>
      <c r="J12" s="12"/>
      <c r="K12" s="12" t="s">
        <v>106</v>
      </c>
      <c r="L12" s="12" t="s">
        <v>106</v>
      </c>
      <c r="M12" s="12"/>
    </row>
    <row r="13" spans="1:49" x14ac:dyDescent="0.25">
      <c r="A13" s="8" t="s">
        <v>106</v>
      </c>
      <c r="B13" s="12"/>
      <c r="C13" s="12"/>
      <c r="H13" s="12"/>
      <c r="I13" s="12"/>
      <c r="J13" s="12"/>
      <c r="K13" s="12"/>
      <c r="L13" s="12"/>
      <c r="M13" s="12"/>
    </row>
    <row r="14" spans="1:49" x14ac:dyDescent="0.25">
      <c r="A14" s="8" t="s">
        <v>107</v>
      </c>
      <c r="B14" s="12"/>
      <c r="C14" s="12"/>
      <c r="H14" s="7"/>
      <c r="I14" s="7"/>
      <c r="J14" s="7"/>
      <c r="K14" s="7"/>
      <c r="L14" s="7"/>
      <c r="M14" s="7"/>
    </row>
    <row r="15" spans="1:49" x14ac:dyDescent="0.25">
      <c r="A15" s="10" t="s">
        <v>108</v>
      </c>
      <c r="B15" s="13"/>
      <c r="C15" s="13"/>
      <c r="H15" s="11"/>
      <c r="I15" s="11"/>
      <c r="J15" s="11"/>
      <c r="K15" s="11"/>
      <c r="L15" s="11"/>
      <c r="M15" s="11"/>
    </row>
    <row r="16" spans="1:49" ht="14.45" customHeight="1" x14ac:dyDescent="0.25">
      <c r="A16" s="260" t="s">
        <v>394</v>
      </c>
      <c r="B16" s="260"/>
      <c r="C16" s="260"/>
      <c r="D16" s="260"/>
      <c r="E16" s="260"/>
      <c r="F16" s="260"/>
      <c r="G16" s="260"/>
      <c r="H16" s="260"/>
      <c r="I16" s="260"/>
      <c r="J16" s="260"/>
      <c r="K16" s="260"/>
      <c r="L16" s="260"/>
    </row>
    <row r="17" spans="1:49" x14ac:dyDescent="0.25">
      <c r="A17" s="260"/>
      <c r="B17" s="260"/>
      <c r="C17" s="260"/>
      <c r="D17" s="260"/>
      <c r="E17" s="260"/>
      <c r="F17" s="260"/>
      <c r="G17" s="260"/>
      <c r="H17" s="260"/>
      <c r="I17" s="260"/>
      <c r="J17" s="260"/>
      <c r="K17" s="260"/>
      <c r="L17" s="260"/>
      <c r="N17" t="s">
        <v>196</v>
      </c>
      <c r="O17" t="s">
        <v>197</v>
      </c>
      <c r="P17" t="s">
        <v>198</v>
      </c>
      <c r="Q17" t="s">
        <v>199</v>
      </c>
      <c r="R17" t="s">
        <v>200</v>
      </c>
      <c r="S17" t="s">
        <v>201</v>
      </c>
      <c r="T17" t="s">
        <v>202</v>
      </c>
      <c r="U17" t="s">
        <v>203</v>
      </c>
      <c r="V17" t="s">
        <v>204</v>
      </c>
      <c r="W17" t="s">
        <v>205</v>
      </c>
      <c r="X17" t="s">
        <v>206</v>
      </c>
      <c r="Y17" t="s">
        <v>207</v>
      </c>
      <c r="Z17" t="s">
        <v>208</v>
      </c>
      <c r="AA17" t="s">
        <v>209</v>
      </c>
      <c r="AB17" t="s">
        <v>210</v>
      </c>
      <c r="AC17" t="s">
        <v>211</v>
      </c>
      <c r="AD17" t="s">
        <v>212</v>
      </c>
      <c r="AE17" t="s">
        <v>213</v>
      </c>
      <c r="AF17" t="s">
        <v>214</v>
      </c>
      <c r="AG17" t="s">
        <v>215</v>
      </c>
      <c r="AH17" t="s">
        <v>216</v>
      </c>
      <c r="AI17" t="s">
        <v>217</v>
      </c>
      <c r="AJ17" t="s">
        <v>218</v>
      </c>
      <c r="AK17" t="s">
        <v>219</v>
      </c>
      <c r="AL17" t="s">
        <v>220</v>
      </c>
      <c r="AM17" t="s">
        <v>221</v>
      </c>
      <c r="AN17" t="s">
        <v>222</v>
      </c>
      <c r="AO17" t="s">
        <v>223</v>
      </c>
      <c r="AP17" t="s">
        <v>224</v>
      </c>
      <c r="AQ17" t="s">
        <v>225</v>
      </c>
      <c r="AR17" t="s">
        <v>226</v>
      </c>
      <c r="AS17" t="s">
        <v>227</v>
      </c>
      <c r="AT17" t="s">
        <v>228</v>
      </c>
      <c r="AU17" t="s">
        <v>229</v>
      </c>
      <c r="AV17" t="s">
        <v>230</v>
      </c>
      <c r="AW17" t="s">
        <v>231</v>
      </c>
    </row>
    <row r="18" spans="1:49" x14ac:dyDescent="0.25">
      <c r="A18" s="260"/>
      <c r="B18" s="260"/>
      <c r="C18" s="260"/>
      <c r="D18" s="260"/>
      <c r="E18" s="260"/>
      <c r="F18" s="260"/>
      <c r="G18" s="260"/>
      <c r="H18" s="260"/>
      <c r="I18" s="260"/>
      <c r="J18" s="260"/>
      <c r="K18" s="260"/>
      <c r="L18" s="260"/>
      <c r="N18" t="s">
        <v>103</v>
      </c>
      <c r="O18" t="s">
        <v>106</v>
      </c>
      <c r="P18" t="s">
        <v>103</v>
      </c>
      <c r="Q18" t="s">
        <v>106</v>
      </c>
      <c r="R18" t="s">
        <v>103</v>
      </c>
      <c r="S18" t="s">
        <v>106</v>
      </c>
      <c r="T18" t="s">
        <v>105</v>
      </c>
      <c r="U18" t="s">
        <v>107</v>
      </c>
      <c r="V18" t="s">
        <v>105</v>
      </c>
      <c r="W18" t="s">
        <v>107</v>
      </c>
      <c r="X18" t="s">
        <v>105</v>
      </c>
      <c r="Y18" t="s">
        <v>107</v>
      </c>
      <c r="Z18" t="s">
        <v>105</v>
      </c>
      <c r="AA18" t="s">
        <v>107</v>
      </c>
      <c r="AB18" t="s">
        <v>105</v>
      </c>
      <c r="AC18" t="s">
        <v>107</v>
      </c>
      <c r="AD18" t="s">
        <v>105</v>
      </c>
      <c r="AE18" t="s">
        <v>107</v>
      </c>
      <c r="AF18" t="s">
        <v>103</v>
      </c>
      <c r="AG18" t="s">
        <v>106</v>
      </c>
      <c r="AH18" t="s">
        <v>103</v>
      </c>
      <c r="AI18" t="s">
        <v>106</v>
      </c>
      <c r="AJ18" t="s">
        <v>103</v>
      </c>
      <c r="AK18" t="s">
        <v>106</v>
      </c>
      <c r="AL18" t="s">
        <v>103</v>
      </c>
      <c r="AM18" t="s">
        <v>106</v>
      </c>
      <c r="AN18" t="s">
        <v>103</v>
      </c>
      <c r="AO18" t="s">
        <v>106</v>
      </c>
      <c r="AP18" t="s">
        <v>103</v>
      </c>
      <c r="AQ18" t="s">
        <v>106</v>
      </c>
      <c r="AR18" t="s">
        <v>105</v>
      </c>
      <c r="AS18" t="s">
        <v>107</v>
      </c>
      <c r="AT18" t="s">
        <v>105</v>
      </c>
      <c r="AU18" t="s">
        <v>107</v>
      </c>
      <c r="AV18" t="s">
        <v>105</v>
      </c>
      <c r="AW18" t="s">
        <v>107</v>
      </c>
    </row>
    <row r="19" spans="1:49" x14ac:dyDescent="0.25">
      <c r="A19" s="260"/>
      <c r="B19" s="260"/>
      <c r="C19" s="260"/>
      <c r="D19" s="260"/>
      <c r="E19" s="260"/>
      <c r="F19" s="260"/>
      <c r="G19" s="260"/>
      <c r="H19" s="260"/>
      <c r="I19" s="260"/>
      <c r="J19" s="260"/>
      <c r="K19" s="260"/>
      <c r="L19" s="260"/>
      <c r="N19" t="s">
        <v>104</v>
      </c>
      <c r="P19" t="s">
        <v>104</v>
      </c>
      <c r="R19" t="s">
        <v>104</v>
      </c>
      <c r="AF19" t="s">
        <v>104</v>
      </c>
      <c r="AH19" t="s">
        <v>104</v>
      </c>
      <c r="AJ19" t="s">
        <v>104</v>
      </c>
      <c r="AL19" t="s">
        <v>104</v>
      </c>
      <c r="AN19" t="s">
        <v>104</v>
      </c>
      <c r="AP19" t="s">
        <v>104</v>
      </c>
    </row>
    <row r="20" spans="1:49" x14ac:dyDescent="0.25">
      <c r="A20" s="260"/>
      <c r="B20" s="260"/>
      <c r="C20" s="260"/>
      <c r="D20" s="260"/>
      <c r="E20" s="260"/>
      <c r="F20" s="260"/>
      <c r="G20" s="260"/>
      <c r="H20" s="260"/>
      <c r="I20" s="260"/>
      <c r="J20" s="260"/>
      <c r="K20" s="260"/>
      <c r="L20" s="260"/>
    </row>
    <row r="21" spans="1:49" x14ac:dyDescent="0.25">
      <c r="A21" s="260"/>
      <c r="B21" s="260"/>
      <c r="C21" s="260"/>
      <c r="D21" s="260"/>
      <c r="E21" s="260"/>
      <c r="F21" s="260"/>
      <c r="G21" s="260"/>
      <c r="H21" s="260"/>
      <c r="I21" s="260"/>
      <c r="J21" s="260"/>
      <c r="K21" s="260"/>
      <c r="L21" s="260"/>
    </row>
    <row r="22" spans="1:49" x14ac:dyDescent="0.25">
      <c r="A22" s="260"/>
      <c r="B22" s="260"/>
      <c r="C22" s="260"/>
      <c r="D22" s="260"/>
      <c r="E22" s="260"/>
      <c r="F22" s="260"/>
      <c r="G22" s="260"/>
      <c r="H22" s="260"/>
      <c r="I22" s="260"/>
      <c r="J22" s="260"/>
      <c r="K22" s="260"/>
      <c r="L22" s="260"/>
    </row>
    <row r="23" spans="1:49" x14ac:dyDescent="0.25">
      <c r="A23" s="260"/>
      <c r="B23" s="260"/>
      <c r="C23" s="260"/>
      <c r="D23" s="260"/>
      <c r="E23" s="260"/>
      <c r="F23" s="260"/>
      <c r="G23" s="260"/>
      <c r="H23" s="260"/>
      <c r="I23" s="260"/>
      <c r="J23" s="260"/>
      <c r="K23" s="260"/>
      <c r="L23" s="260"/>
    </row>
    <row r="24" spans="1:49" x14ac:dyDescent="0.25">
      <c r="A24" s="260"/>
      <c r="B24" s="260"/>
      <c r="C24" s="260"/>
      <c r="D24" s="260"/>
      <c r="E24" s="260"/>
      <c r="F24" s="260"/>
      <c r="G24" s="260"/>
      <c r="H24" s="260"/>
      <c r="I24" s="260"/>
      <c r="J24" s="260"/>
      <c r="K24" s="260"/>
      <c r="L24" s="260"/>
    </row>
    <row r="25" spans="1:49" x14ac:dyDescent="0.25">
      <c r="A25" s="260"/>
      <c r="B25" s="260"/>
      <c r="C25" s="260"/>
      <c r="D25" s="260"/>
      <c r="E25" s="260"/>
      <c r="F25" s="260"/>
      <c r="G25" s="260"/>
      <c r="H25" s="260"/>
      <c r="I25" s="260"/>
      <c r="J25" s="260"/>
      <c r="K25" s="260"/>
      <c r="L25" s="260"/>
      <c r="N25" t="s">
        <v>304</v>
      </c>
      <c r="O25" t="s">
        <v>305</v>
      </c>
      <c r="P25" t="s">
        <v>339</v>
      </c>
      <c r="Q25" t="s">
        <v>338</v>
      </c>
      <c r="R25" t="s">
        <v>337</v>
      </c>
      <c r="S25" t="s">
        <v>336</v>
      </c>
      <c r="T25" t="s">
        <v>335</v>
      </c>
      <c r="U25" t="s">
        <v>334</v>
      </c>
      <c r="V25" t="s">
        <v>333</v>
      </c>
      <c r="W25" t="s">
        <v>332</v>
      </c>
      <c r="X25" t="s">
        <v>331</v>
      </c>
      <c r="Y25" t="s">
        <v>330</v>
      </c>
      <c r="Z25" t="s">
        <v>329</v>
      </c>
      <c r="AA25" t="s">
        <v>328</v>
      </c>
      <c r="AB25" t="s">
        <v>327</v>
      </c>
      <c r="AC25" t="s">
        <v>326</v>
      </c>
      <c r="AD25" t="s">
        <v>325</v>
      </c>
      <c r="AE25" t="s">
        <v>324</v>
      </c>
      <c r="AF25" t="s">
        <v>323</v>
      </c>
      <c r="AG25" t="s">
        <v>322</v>
      </c>
      <c r="AH25" t="s">
        <v>321</v>
      </c>
      <c r="AI25" t="s">
        <v>320</v>
      </c>
      <c r="AJ25" t="s">
        <v>319</v>
      </c>
      <c r="AK25" t="s">
        <v>318</v>
      </c>
      <c r="AL25" t="s">
        <v>317</v>
      </c>
      <c r="AM25" t="s">
        <v>316</v>
      </c>
      <c r="AN25" t="s">
        <v>315</v>
      </c>
      <c r="AO25" t="s">
        <v>314</v>
      </c>
      <c r="AP25" t="s">
        <v>313</v>
      </c>
      <c r="AQ25" t="s">
        <v>312</v>
      </c>
      <c r="AR25" t="s">
        <v>311</v>
      </c>
      <c r="AS25" t="s">
        <v>310</v>
      </c>
      <c r="AT25" t="s">
        <v>309</v>
      </c>
      <c r="AU25" t="s">
        <v>308</v>
      </c>
      <c r="AV25" t="s">
        <v>307</v>
      </c>
      <c r="AW25" t="s">
        <v>306</v>
      </c>
    </row>
    <row r="26" spans="1:49" x14ac:dyDescent="0.25">
      <c r="A26" s="260"/>
      <c r="B26" s="260"/>
      <c r="C26" s="260"/>
      <c r="D26" s="260"/>
      <c r="E26" s="260"/>
      <c r="F26" s="260"/>
      <c r="G26" s="260"/>
      <c r="H26" s="260"/>
      <c r="I26" s="260"/>
      <c r="J26" s="260"/>
      <c r="K26" s="260"/>
      <c r="L26" s="260"/>
      <c r="N26" t="s">
        <v>104</v>
      </c>
      <c r="O26" t="s">
        <v>106</v>
      </c>
      <c r="P26" t="s">
        <v>104</v>
      </c>
      <c r="Q26" t="s">
        <v>106</v>
      </c>
      <c r="R26" t="s">
        <v>104</v>
      </c>
      <c r="S26" t="s">
        <v>106</v>
      </c>
      <c r="T26" t="s">
        <v>105</v>
      </c>
      <c r="U26" t="s">
        <v>107</v>
      </c>
      <c r="V26" t="s">
        <v>105</v>
      </c>
      <c r="W26" t="s">
        <v>107</v>
      </c>
      <c r="X26" t="s">
        <v>105</v>
      </c>
      <c r="Y26" t="s">
        <v>107</v>
      </c>
      <c r="Z26" t="s">
        <v>105</v>
      </c>
      <c r="AA26" t="s">
        <v>107</v>
      </c>
      <c r="AB26" t="s">
        <v>105</v>
      </c>
      <c r="AC26" t="s">
        <v>107</v>
      </c>
      <c r="AD26" t="s">
        <v>105</v>
      </c>
      <c r="AE26" t="s">
        <v>107</v>
      </c>
      <c r="AF26" t="s">
        <v>104</v>
      </c>
      <c r="AG26" t="s">
        <v>106</v>
      </c>
      <c r="AH26" t="s">
        <v>104</v>
      </c>
      <c r="AI26" t="s">
        <v>106</v>
      </c>
      <c r="AJ26" t="s">
        <v>104</v>
      </c>
      <c r="AK26" t="s">
        <v>106</v>
      </c>
      <c r="AL26" t="s">
        <v>104</v>
      </c>
      <c r="AM26" t="s">
        <v>106</v>
      </c>
      <c r="AN26" t="s">
        <v>104</v>
      </c>
      <c r="AO26" t="s">
        <v>106</v>
      </c>
      <c r="AP26" t="s">
        <v>104</v>
      </c>
      <c r="AQ26" t="s">
        <v>106</v>
      </c>
      <c r="AR26" t="s">
        <v>105</v>
      </c>
      <c r="AS26" t="s">
        <v>107</v>
      </c>
      <c r="AT26" t="s">
        <v>105</v>
      </c>
      <c r="AU26" t="s">
        <v>107</v>
      </c>
      <c r="AV26" t="s">
        <v>105</v>
      </c>
      <c r="AW26" t="s">
        <v>107</v>
      </c>
    </row>
    <row r="27" spans="1:49" x14ac:dyDescent="0.25">
      <c r="A27" s="260"/>
      <c r="B27" s="260"/>
      <c r="C27" s="260"/>
      <c r="D27" s="260"/>
      <c r="E27" s="260"/>
      <c r="F27" s="260"/>
      <c r="G27" s="260"/>
      <c r="H27" s="260"/>
      <c r="I27" s="260"/>
      <c r="J27" s="260"/>
      <c r="K27" s="260"/>
      <c r="L27" s="260"/>
    </row>
    <row r="28" spans="1:49" x14ac:dyDescent="0.25">
      <c r="A28" s="260"/>
      <c r="B28" s="260"/>
      <c r="C28" s="260"/>
      <c r="D28" s="260"/>
      <c r="E28" s="260"/>
      <c r="F28" s="260"/>
      <c r="G28" s="260"/>
      <c r="H28" s="260"/>
      <c r="I28" s="260"/>
      <c r="J28" s="260"/>
      <c r="K28" s="260"/>
      <c r="L28" s="260"/>
    </row>
    <row r="29" spans="1:49" x14ac:dyDescent="0.25">
      <c r="A29" s="260"/>
      <c r="B29" s="260"/>
      <c r="C29" s="260"/>
      <c r="D29" s="260"/>
      <c r="E29" s="260"/>
      <c r="F29" s="260"/>
      <c r="G29" s="260"/>
      <c r="H29" s="260"/>
      <c r="I29" s="260"/>
      <c r="J29" s="260"/>
      <c r="K29" s="260"/>
      <c r="L29" s="260"/>
    </row>
    <row r="30" spans="1:49" x14ac:dyDescent="0.25">
      <c r="A30" s="260"/>
      <c r="B30" s="260"/>
      <c r="C30" s="260"/>
      <c r="D30" s="260"/>
      <c r="E30" s="260"/>
      <c r="F30" s="260"/>
      <c r="G30" s="260"/>
      <c r="H30" s="260"/>
      <c r="I30" s="260"/>
      <c r="J30" s="260"/>
      <c r="K30" s="260"/>
      <c r="L30" s="260"/>
    </row>
    <row r="31" spans="1:49" x14ac:dyDescent="0.25">
      <c r="A31" s="260"/>
      <c r="B31" s="260"/>
      <c r="C31" s="260"/>
      <c r="D31" s="260"/>
      <c r="E31" s="260"/>
      <c r="F31" s="260"/>
      <c r="G31" s="260"/>
      <c r="H31" s="260"/>
      <c r="I31" s="260"/>
      <c r="J31" s="260"/>
      <c r="K31" s="260"/>
      <c r="L31" s="260"/>
    </row>
    <row r="32" spans="1:49" x14ac:dyDescent="0.25">
      <c r="A32" s="260"/>
      <c r="B32" s="260"/>
      <c r="C32" s="260"/>
      <c r="D32" s="260"/>
      <c r="E32" s="260"/>
      <c r="F32" s="260"/>
      <c r="G32" s="260"/>
      <c r="H32" s="260"/>
      <c r="I32" s="260"/>
      <c r="J32" s="260"/>
      <c r="K32" s="260"/>
      <c r="L32" s="260"/>
    </row>
    <row r="33" spans="1:49" x14ac:dyDescent="0.25">
      <c r="A33" s="260"/>
      <c r="B33" s="260"/>
      <c r="C33" s="260"/>
      <c r="D33" s="260"/>
      <c r="E33" s="260"/>
      <c r="F33" s="260"/>
      <c r="G33" s="260"/>
      <c r="H33" s="260"/>
      <c r="I33" s="260"/>
      <c r="J33" s="260"/>
      <c r="K33" s="260"/>
      <c r="L33" s="260"/>
      <c r="N33" t="s">
        <v>232</v>
      </c>
      <c r="O33" t="s">
        <v>233</v>
      </c>
      <c r="P33" t="s">
        <v>234</v>
      </c>
      <c r="Q33" t="s">
        <v>235</v>
      </c>
      <c r="R33" t="s">
        <v>236</v>
      </c>
      <c r="S33" t="s">
        <v>237</v>
      </c>
      <c r="T33" t="s">
        <v>238</v>
      </c>
      <c r="U33" t="s">
        <v>239</v>
      </c>
      <c r="V33" t="s">
        <v>240</v>
      </c>
      <c r="W33" t="s">
        <v>241</v>
      </c>
      <c r="X33" t="s">
        <v>242</v>
      </c>
      <c r="Y33" t="s">
        <v>243</v>
      </c>
      <c r="Z33" t="s">
        <v>244</v>
      </c>
      <c r="AA33" t="s">
        <v>245</v>
      </c>
      <c r="AB33" t="s">
        <v>246</v>
      </c>
      <c r="AC33" t="s">
        <v>247</v>
      </c>
      <c r="AD33" t="s">
        <v>248</v>
      </c>
      <c r="AE33" t="s">
        <v>249</v>
      </c>
      <c r="AF33" t="s">
        <v>250</v>
      </c>
      <c r="AG33" t="s">
        <v>251</v>
      </c>
      <c r="AH33" t="s">
        <v>252</v>
      </c>
      <c r="AI33" t="s">
        <v>253</v>
      </c>
      <c r="AJ33" t="s">
        <v>254</v>
      </c>
      <c r="AK33" t="s">
        <v>255</v>
      </c>
      <c r="AL33" t="s">
        <v>256</v>
      </c>
      <c r="AM33" t="s">
        <v>257</v>
      </c>
      <c r="AN33" t="s">
        <v>258</v>
      </c>
      <c r="AO33" t="s">
        <v>259</v>
      </c>
      <c r="AP33" t="s">
        <v>260</v>
      </c>
      <c r="AQ33" t="s">
        <v>261</v>
      </c>
      <c r="AR33" t="s">
        <v>262</v>
      </c>
      <c r="AS33" t="s">
        <v>263</v>
      </c>
      <c r="AT33" t="s">
        <v>264</v>
      </c>
      <c r="AU33" t="s">
        <v>265</v>
      </c>
      <c r="AV33" t="s">
        <v>266</v>
      </c>
      <c r="AW33" t="s">
        <v>267</v>
      </c>
    </row>
    <row r="34" spans="1:49" x14ac:dyDescent="0.25">
      <c r="A34" s="260"/>
      <c r="B34" s="260"/>
      <c r="C34" s="260"/>
      <c r="D34" s="260"/>
      <c r="E34" s="260"/>
      <c r="F34" s="260"/>
      <c r="G34" s="260"/>
      <c r="H34" s="260"/>
      <c r="I34" s="260"/>
      <c r="J34" s="260"/>
      <c r="K34" s="260"/>
      <c r="L34" s="260"/>
      <c r="N34" t="s">
        <v>103</v>
      </c>
      <c r="P34" t="s">
        <v>103</v>
      </c>
      <c r="R34" t="s">
        <v>103</v>
      </c>
      <c r="AF34" t="s">
        <v>103</v>
      </c>
      <c r="AH34" t="s">
        <v>103</v>
      </c>
      <c r="AJ34" t="s">
        <v>103</v>
      </c>
      <c r="AL34" t="s">
        <v>103</v>
      </c>
      <c r="AN34" t="s">
        <v>103</v>
      </c>
      <c r="AP34" t="s">
        <v>103</v>
      </c>
    </row>
    <row r="35" spans="1:49" x14ac:dyDescent="0.25">
      <c r="A35" s="260"/>
      <c r="B35" s="260"/>
      <c r="C35" s="260"/>
      <c r="D35" s="260"/>
      <c r="E35" s="260"/>
      <c r="F35" s="260"/>
      <c r="G35" s="260"/>
      <c r="H35" s="260"/>
      <c r="I35" s="260"/>
      <c r="J35" s="260"/>
      <c r="K35" s="260"/>
      <c r="L35" s="260"/>
    </row>
    <row r="36" spans="1:49" x14ac:dyDescent="0.25">
      <c r="A36" s="260"/>
      <c r="B36" s="260"/>
      <c r="C36" s="260"/>
      <c r="D36" s="260"/>
      <c r="E36" s="260"/>
      <c r="F36" s="260"/>
      <c r="G36" s="260"/>
      <c r="H36" s="260"/>
      <c r="I36" s="260"/>
      <c r="J36" s="260"/>
      <c r="K36" s="260"/>
      <c r="L36" s="260"/>
    </row>
    <row r="37" spans="1:49" x14ac:dyDescent="0.25">
      <c r="A37" s="260"/>
      <c r="B37" s="260"/>
      <c r="C37" s="260"/>
      <c r="D37" s="260"/>
      <c r="E37" s="260"/>
      <c r="F37" s="260"/>
      <c r="G37" s="260"/>
      <c r="H37" s="260"/>
      <c r="I37" s="260"/>
      <c r="J37" s="260"/>
      <c r="K37" s="260"/>
      <c r="L37" s="260"/>
    </row>
    <row r="38" spans="1:49" x14ac:dyDescent="0.25">
      <c r="A38" s="260"/>
      <c r="B38" s="260"/>
      <c r="C38" s="260"/>
      <c r="D38" s="260"/>
      <c r="E38" s="260"/>
      <c r="F38" s="260"/>
      <c r="G38" s="260"/>
      <c r="H38" s="260"/>
      <c r="I38" s="260"/>
      <c r="J38" s="260"/>
      <c r="K38" s="260"/>
      <c r="L38" s="260"/>
    </row>
    <row r="39" spans="1:49" x14ac:dyDescent="0.25">
      <c r="A39" s="260"/>
      <c r="B39" s="260"/>
      <c r="C39" s="260"/>
      <c r="D39" s="260"/>
      <c r="E39" s="260"/>
      <c r="F39" s="260"/>
      <c r="G39" s="260"/>
      <c r="H39" s="260"/>
      <c r="I39" s="260"/>
      <c r="J39" s="260"/>
      <c r="K39" s="260"/>
      <c r="L39" s="260"/>
    </row>
    <row r="40" spans="1:49" x14ac:dyDescent="0.25">
      <c r="A40" s="260"/>
      <c r="B40" s="260"/>
      <c r="C40" s="260"/>
      <c r="D40" s="260"/>
      <c r="E40" s="260"/>
      <c r="F40" s="260"/>
      <c r="G40" s="260"/>
      <c r="H40" s="260"/>
      <c r="I40" s="260"/>
      <c r="J40" s="260"/>
      <c r="K40" s="260"/>
      <c r="L40" s="260"/>
    </row>
    <row r="41" spans="1:49" x14ac:dyDescent="0.25">
      <c r="A41" s="260"/>
      <c r="B41" s="260"/>
      <c r="C41" s="260"/>
      <c r="D41" s="260"/>
      <c r="E41" s="260"/>
      <c r="F41" s="260"/>
      <c r="G41" s="260"/>
      <c r="H41" s="260"/>
      <c r="I41" s="260"/>
      <c r="J41" s="260"/>
      <c r="K41" s="260"/>
      <c r="L41" s="260"/>
      <c r="N41" t="s">
        <v>268</v>
      </c>
      <c r="O41" t="s">
        <v>269</v>
      </c>
      <c r="P41" t="s">
        <v>270</v>
      </c>
      <c r="Q41" t="s">
        <v>271</v>
      </c>
      <c r="R41" t="s">
        <v>272</v>
      </c>
      <c r="S41" t="s">
        <v>273</v>
      </c>
      <c r="T41" t="s">
        <v>274</v>
      </c>
      <c r="U41" t="s">
        <v>275</v>
      </c>
      <c r="V41" t="s">
        <v>276</v>
      </c>
      <c r="W41" t="s">
        <v>277</v>
      </c>
      <c r="X41" t="s">
        <v>278</v>
      </c>
      <c r="Y41" t="s">
        <v>279</v>
      </c>
      <c r="Z41" t="s">
        <v>280</v>
      </c>
      <c r="AA41" t="s">
        <v>281</v>
      </c>
      <c r="AB41" t="s">
        <v>282</v>
      </c>
      <c r="AC41" t="s">
        <v>283</v>
      </c>
      <c r="AD41" t="s">
        <v>284</v>
      </c>
      <c r="AE41" t="s">
        <v>285</v>
      </c>
      <c r="AF41" t="s">
        <v>286</v>
      </c>
      <c r="AG41" t="s">
        <v>287</v>
      </c>
      <c r="AH41" t="s">
        <v>288</v>
      </c>
      <c r="AI41" t="s">
        <v>289</v>
      </c>
      <c r="AJ41" t="s">
        <v>290</v>
      </c>
      <c r="AK41" t="s">
        <v>291</v>
      </c>
      <c r="AL41" t="s">
        <v>292</v>
      </c>
      <c r="AM41" t="s">
        <v>293</v>
      </c>
      <c r="AN41" t="s">
        <v>294</v>
      </c>
      <c r="AO41" t="s">
        <v>295</v>
      </c>
      <c r="AP41" t="s">
        <v>296</v>
      </c>
      <c r="AQ41" t="s">
        <v>297</v>
      </c>
      <c r="AR41" t="s">
        <v>298</v>
      </c>
      <c r="AS41" t="s">
        <v>299</v>
      </c>
      <c r="AT41" t="s">
        <v>300</v>
      </c>
      <c r="AU41" t="s">
        <v>301</v>
      </c>
      <c r="AV41" t="s">
        <v>302</v>
      </c>
      <c r="AW41" t="s">
        <v>303</v>
      </c>
    </row>
    <row r="42" spans="1:49" x14ac:dyDescent="0.25">
      <c r="A42" s="260"/>
      <c r="B42" s="260"/>
      <c r="C42" s="260"/>
      <c r="D42" s="260"/>
      <c r="E42" s="260"/>
      <c r="F42" s="260"/>
      <c r="G42" s="260"/>
      <c r="H42" s="260"/>
      <c r="I42" s="260"/>
      <c r="J42" s="260"/>
      <c r="K42" s="260"/>
      <c r="L42" s="260"/>
      <c r="U42" t="s">
        <v>108</v>
      </c>
      <c r="W42" t="s">
        <v>108</v>
      </c>
      <c r="Y42" t="s">
        <v>108</v>
      </c>
      <c r="AA42" t="s">
        <v>108</v>
      </c>
      <c r="AC42" t="s">
        <v>108</v>
      </c>
      <c r="AE42" t="s">
        <v>108</v>
      </c>
      <c r="AS42" t="s">
        <v>108</v>
      </c>
      <c r="AU42" t="s">
        <v>108</v>
      </c>
      <c r="AW42" t="s">
        <v>108</v>
      </c>
    </row>
    <row r="43" spans="1:49" x14ac:dyDescent="0.25">
      <c r="A43" s="260"/>
      <c r="B43" s="260"/>
      <c r="C43" s="260"/>
      <c r="D43" s="260"/>
      <c r="E43" s="260"/>
      <c r="F43" s="260"/>
      <c r="G43" s="260"/>
      <c r="H43" s="260"/>
      <c r="I43" s="260"/>
      <c r="J43" s="260"/>
      <c r="K43" s="260"/>
      <c r="L43" s="260"/>
    </row>
    <row r="44" spans="1:49" x14ac:dyDescent="0.25">
      <c r="A44" s="260"/>
      <c r="B44" s="260"/>
      <c r="C44" s="260"/>
      <c r="D44" s="260"/>
      <c r="E44" s="260"/>
      <c r="F44" s="260"/>
      <c r="G44" s="260"/>
      <c r="H44" s="260"/>
      <c r="I44" s="260"/>
      <c r="J44" s="260"/>
      <c r="K44" s="260"/>
      <c r="L44" s="260"/>
    </row>
    <row r="45" spans="1:49" x14ac:dyDescent="0.25">
      <c r="A45" s="260"/>
      <c r="B45" s="260"/>
      <c r="C45" s="260"/>
      <c r="D45" s="260"/>
      <c r="E45" s="260"/>
      <c r="F45" s="260"/>
      <c r="G45" s="260"/>
      <c r="H45" s="260"/>
      <c r="I45" s="260"/>
      <c r="J45" s="260"/>
      <c r="K45" s="260"/>
      <c r="L45" s="260"/>
    </row>
    <row r="46" spans="1:49" x14ac:dyDescent="0.25">
      <c r="A46" s="260"/>
      <c r="B46" s="260"/>
      <c r="C46" s="260"/>
      <c r="D46" s="260"/>
      <c r="E46" s="260"/>
      <c r="F46" s="260"/>
      <c r="G46" s="260"/>
      <c r="H46" s="260"/>
      <c r="I46" s="260"/>
      <c r="J46" s="260"/>
      <c r="K46" s="260"/>
      <c r="L46" s="260"/>
    </row>
    <row r="47" spans="1:49" x14ac:dyDescent="0.25">
      <c r="A47" s="260"/>
      <c r="B47" s="260"/>
      <c r="C47" s="260"/>
      <c r="D47" s="260"/>
      <c r="E47" s="260"/>
      <c r="F47" s="260"/>
      <c r="G47" s="260"/>
      <c r="H47" s="260"/>
      <c r="I47" s="260"/>
      <c r="J47" s="260"/>
      <c r="K47" s="260"/>
      <c r="L47" s="260"/>
    </row>
    <row r="48" spans="1:49" x14ac:dyDescent="0.25">
      <c r="A48" s="260"/>
      <c r="B48" s="260"/>
      <c r="C48" s="260"/>
      <c r="D48" s="260"/>
      <c r="E48" s="260"/>
      <c r="F48" s="260"/>
      <c r="G48" s="260"/>
      <c r="H48" s="260"/>
      <c r="I48" s="260"/>
      <c r="J48" s="260"/>
      <c r="K48" s="260"/>
      <c r="L48" s="260"/>
    </row>
    <row r="49" spans="1:18" x14ac:dyDescent="0.25">
      <c r="A49" s="260"/>
      <c r="B49" s="260"/>
      <c r="C49" s="260"/>
      <c r="D49" s="260"/>
      <c r="E49" s="260"/>
      <c r="F49" s="260"/>
      <c r="G49" s="260"/>
      <c r="H49" s="260"/>
      <c r="I49" s="260"/>
      <c r="J49" s="260"/>
      <c r="K49" s="260"/>
      <c r="L49" s="260"/>
      <c r="N49" t="s">
        <v>340</v>
      </c>
      <c r="O49" t="s">
        <v>341</v>
      </c>
      <c r="P49" t="s">
        <v>342</v>
      </c>
      <c r="Q49" t="s">
        <v>343</v>
      </c>
    </row>
    <row r="50" spans="1:18" x14ac:dyDescent="0.25">
      <c r="A50" s="260"/>
      <c r="B50" s="260"/>
      <c r="C50" s="260"/>
      <c r="D50" s="260"/>
      <c r="E50" s="260"/>
      <c r="F50" s="260"/>
      <c r="G50" s="260"/>
      <c r="H50" s="260"/>
      <c r="I50" s="260"/>
      <c r="J50" s="260"/>
      <c r="K50" s="260"/>
      <c r="L50" s="260"/>
      <c r="N50" t="s">
        <v>103</v>
      </c>
      <c r="O50">
        <v>0</v>
      </c>
      <c r="P50">
        <v>0</v>
      </c>
      <c r="Q50">
        <v>0</v>
      </c>
    </row>
    <row r="51" spans="1:18" x14ac:dyDescent="0.25">
      <c r="A51" s="260"/>
      <c r="B51" s="260"/>
      <c r="C51" s="260"/>
      <c r="D51" s="260"/>
      <c r="E51" s="260"/>
      <c r="F51" s="260"/>
      <c r="G51" s="260"/>
      <c r="H51" s="260"/>
      <c r="I51" s="260"/>
      <c r="J51" s="260"/>
      <c r="K51" s="260"/>
      <c r="L51" s="260"/>
      <c r="N51" t="s">
        <v>104</v>
      </c>
      <c r="O51">
        <v>0</v>
      </c>
      <c r="P51">
        <v>0</v>
      </c>
      <c r="Q51">
        <v>1</v>
      </c>
    </row>
    <row r="52" spans="1:18" x14ac:dyDescent="0.25">
      <c r="A52" s="260"/>
      <c r="B52" s="260"/>
      <c r="C52" s="260"/>
      <c r="D52" s="260"/>
      <c r="E52" s="260"/>
      <c r="F52" s="260"/>
      <c r="G52" s="260"/>
      <c r="H52" s="260"/>
      <c r="I52" s="260"/>
      <c r="J52" s="260"/>
      <c r="K52" s="260"/>
      <c r="L52" s="260"/>
      <c r="N52" t="s">
        <v>105</v>
      </c>
      <c r="O52">
        <v>0</v>
      </c>
      <c r="P52">
        <v>1</v>
      </c>
      <c r="Q52">
        <v>1</v>
      </c>
    </row>
    <row r="53" spans="1:18" x14ac:dyDescent="0.25">
      <c r="A53" s="260"/>
      <c r="B53" s="260"/>
      <c r="C53" s="260"/>
      <c r="D53" s="260"/>
      <c r="E53" s="260"/>
      <c r="F53" s="260"/>
      <c r="G53" s="260"/>
      <c r="H53" s="260"/>
      <c r="I53" s="260"/>
      <c r="J53" s="260"/>
      <c r="K53" s="260"/>
      <c r="L53" s="260"/>
      <c r="N53" t="s">
        <v>106</v>
      </c>
      <c r="O53">
        <v>1</v>
      </c>
      <c r="P53">
        <v>0</v>
      </c>
      <c r="Q53">
        <v>1</v>
      </c>
    </row>
    <row r="54" spans="1:18" x14ac:dyDescent="0.25">
      <c r="A54" s="260"/>
      <c r="B54" s="260"/>
      <c r="C54" s="260"/>
      <c r="D54" s="260"/>
      <c r="E54" s="260"/>
      <c r="F54" s="260"/>
      <c r="G54" s="260"/>
      <c r="H54" s="260"/>
      <c r="I54" s="260"/>
      <c r="J54" s="260"/>
      <c r="K54" s="260"/>
      <c r="L54" s="260"/>
      <c r="N54" t="s">
        <v>107</v>
      </c>
      <c r="O54">
        <v>1</v>
      </c>
      <c r="P54">
        <v>1</v>
      </c>
      <c r="Q54">
        <v>1</v>
      </c>
    </row>
    <row r="55" spans="1:18" x14ac:dyDescent="0.25">
      <c r="A55" s="260"/>
      <c r="B55" s="260"/>
      <c r="C55" s="260"/>
      <c r="D55" s="260"/>
      <c r="E55" s="260"/>
      <c r="F55" s="260"/>
      <c r="G55" s="260"/>
      <c r="H55" s="260"/>
      <c r="I55" s="260"/>
      <c r="J55" s="260"/>
      <c r="K55" s="260"/>
      <c r="L55" s="260"/>
      <c r="N55" t="s">
        <v>108</v>
      </c>
      <c r="O55">
        <v>1</v>
      </c>
      <c r="P55">
        <v>1</v>
      </c>
      <c r="Q55">
        <v>2</v>
      </c>
    </row>
    <row r="56" spans="1:18" x14ac:dyDescent="0.25">
      <c r="A56" s="260"/>
      <c r="B56" s="260"/>
      <c r="C56" s="260"/>
      <c r="D56" s="260"/>
      <c r="E56" s="260"/>
      <c r="F56" s="260"/>
      <c r="G56" s="260"/>
      <c r="H56" s="260"/>
      <c r="I56" s="260"/>
      <c r="J56" s="260"/>
      <c r="K56" s="260"/>
      <c r="L56" s="260"/>
    </row>
    <row r="57" spans="1:18" x14ac:dyDescent="0.25">
      <c r="A57" s="260"/>
      <c r="B57" s="260"/>
      <c r="C57" s="260"/>
      <c r="D57" s="260"/>
      <c r="E57" s="260"/>
      <c r="F57" s="260"/>
      <c r="G57" s="260"/>
      <c r="H57" s="260"/>
      <c r="I57" s="260"/>
      <c r="J57" s="260"/>
      <c r="K57" s="260"/>
      <c r="L57" s="260"/>
      <c r="N57" t="s">
        <v>356</v>
      </c>
      <c r="P57" t="s">
        <v>393</v>
      </c>
      <c r="R57" t="s">
        <v>572</v>
      </c>
    </row>
    <row r="58" spans="1:18" x14ac:dyDescent="0.25">
      <c r="A58" s="260"/>
      <c r="B58" s="260"/>
      <c r="C58" s="260"/>
      <c r="D58" s="260"/>
      <c r="E58" s="260"/>
      <c r="F58" s="260"/>
      <c r="G58" s="260"/>
      <c r="H58" s="260"/>
      <c r="I58" s="260"/>
      <c r="J58" s="260"/>
      <c r="K58" s="260"/>
      <c r="L58" s="260"/>
      <c r="N58" t="s">
        <v>357</v>
      </c>
      <c r="P58">
        <v>1</v>
      </c>
      <c r="R58" s="2" t="s">
        <v>573</v>
      </c>
    </row>
    <row r="59" spans="1:18" x14ac:dyDescent="0.25">
      <c r="A59" s="260"/>
      <c r="B59" s="260"/>
      <c r="C59" s="260"/>
      <c r="D59" s="260"/>
      <c r="E59" s="260"/>
      <c r="F59" s="260"/>
      <c r="G59" s="260"/>
      <c r="H59" s="260"/>
      <c r="I59" s="260"/>
      <c r="J59" s="260"/>
      <c r="K59" s="260"/>
      <c r="L59" s="260"/>
      <c r="N59" t="s">
        <v>358</v>
      </c>
      <c r="P59">
        <v>0.5</v>
      </c>
      <c r="R59" s="2" t="s">
        <v>574</v>
      </c>
    </row>
    <row r="60" spans="1:18" x14ac:dyDescent="0.25">
      <c r="A60" s="260"/>
      <c r="B60" s="260"/>
      <c r="C60" s="260"/>
      <c r="D60" s="260"/>
      <c r="E60" s="260"/>
      <c r="F60" s="260"/>
      <c r="G60" s="260"/>
      <c r="H60" s="260"/>
      <c r="I60" s="260"/>
      <c r="J60" s="260"/>
      <c r="K60" s="260"/>
      <c r="L60" s="260"/>
      <c r="N60" t="s">
        <v>359</v>
      </c>
      <c r="P60">
        <v>0.25</v>
      </c>
      <c r="R60" s="2" t="s">
        <v>575</v>
      </c>
    </row>
    <row r="61" spans="1:18" x14ac:dyDescent="0.25">
      <c r="A61" s="260"/>
      <c r="B61" s="260"/>
      <c r="C61" s="260"/>
      <c r="D61" s="260"/>
      <c r="E61" s="260"/>
      <c r="F61" s="260"/>
      <c r="G61" s="260"/>
      <c r="H61" s="260"/>
      <c r="I61" s="260"/>
      <c r="J61" s="260"/>
      <c r="K61" s="260"/>
      <c r="L61" s="260"/>
      <c r="N61" t="s">
        <v>360</v>
      </c>
      <c r="P61">
        <v>0.2</v>
      </c>
      <c r="R61" s="2" t="s">
        <v>576</v>
      </c>
    </row>
    <row r="62" spans="1:18" x14ac:dyDescent="0.25">
      <c r="A62" s="260"/>
      <c r="B62" s="260"/>
      <c r="C62" s="260"/>
      <c r="D62" s="260"/>
      <c r="E62" s="260"/>
      <c r="F62" s="260"/>
      <c r="G62" s="260"/>
      <c r="H62" s="260"/>
      <c r="I62" s="260"/>
      <c r="J62" s="260"/>
      <c r="K62" s="260"/>
      <c r="L62" s="260"/>
      <c r="P62">
        <v>0.1</v>
      </c>
      <c r="R62" s="2" t="s">
        <v>577</v>
      </c>
    </row>
    <row r="63" spans="1:18" x14ac:dyDescent="0.25">
      <c r="A63" s="260"/>
      <c r="B63" s="260"/>
      <c r="C63" s="260"/>
      <c r="D63" s="260"/>
      <c r="E63" s="260"/>
      <c r="F63" s="260"/>
      <c r="G63" s="260"/>
      <c r="H63" s="260"/>
      <c r="I63" s="260"/>
      <c r="J63" s="260"/>
      <c r="K63" s="260"/>
      <c r="L63" s="260"/>
      <c r="P63">
        <v>0.05</v>
      </c>
      <c r="R63" s="2" t="s">
        <v>578</v>
      </c>
    </row>
    <row r="64" spans="1:18" x14ac:dyDescent="0.25">
      <c r="A64" s="260"/>
      <c r="B64" s="260"/>
      <c r="C64" s="260"/>
      <c r="D64" s="260"/>
      <c r="E64" s="260"/>
      <c r="F64" s="260"/>
      <c r="G64" s="260"/>
      <c r="H64" s="260"/>
      <c r="I64" s="260"/>
      <c r="J64" s="260"/>
      <c r="K64" s="260"/>
      <c r="L64" s="260"/>
      <c r="P64">
        <v>0.02</v>
      </c>
      <c r="R64" s="2" t="s">
        <v>579</v>
      </c>
    </row>
    <row r="65" spans="1:18" x14ac:dyDescent="0.25">
      <c r="A65" s="260"/>
      <c r="B65" s="260"/>
      <c r="C65" s="260"/>
      <c r="D65" s="260"/>
      <c r="E65" s="260"/>
      <c r="F65" s="260"/>
      <c r="G65" s="260"/>
      <c r="H65" s="260"/>
      <c r="I65" s="260"/>
      <c r="J65" s="260"/>
      <c r="K65" s="260"/>
      <c r="L65" s="260"/>
      <c r="P65">
        <v>0.01</v>
      </c>
      <c r="R65" s="2" t="s">
        <v>580</v>
      </c>
    </row>
    <row r="66" spans="1:18" x14ac:dyDescent="0.25">
      <c r="A66" s="260"/>
      <c r="B66" s="260"/>
      <c r="C66" s="260"/>
      <c r="D66" s="260"/>
      <c r="E66" s="260"/>
      <c r="F66" s="260"/>
      <c r="G66" s="260"/>
      <c r="H66" s="260"/>
      <c r="I66" s="260"/>
      <c r="J66" s="260"/>
      <c r="K66" s="260"/>
      <c r="L66" s="260"/>
      <c r="R66" s="2" t="s">
        <v>581</v>
      </c>
    </row>
    <row r="67" spans="1:18" x14ac:dyDescent="0.25">
      <c r="A67" s="260"/>
      <c r="B67" s="260"/>
      <c r="C67" s="260"/>
      <c r="D67" s="260"/>
      <c r="E67" s="260"/>
      <c r="F67" s="260"/>
      <c r="G67" s="260"/>
      <c r="H67" s="260"/>
      <c r="I67" s="260"/>
      <c r="J67" s="260"/>
      <c r="K67" s="260"/>
      <c r="L67" s="260"/>
    </row>
    <row r="68" spans="1:18" x14ac:dyDescent="0.25">
      <c r="A68" s="260"/>
      <c r="B68" s="260"/>
      <c r="C68" s="260"/>
      <c r="D68" s="260"/>
      <c r="E68" s="260"/>
      <c r="F68" s="260"/>
      <c r="G68" s="260"/>
      <c r="H68" s="260"/>
      <c r="I68" s="260"/>
      <c r="J68" s="260"/>
      <c r="K68" s="260"/>
      <c r="L68" s="260"/>
      <c r="N68" t="s">
        <v>471</v>
      </c>
      <c r="O68" t="s">
        <v>472</v>
      </c>
      <c r="P68" t="s">
        <v>471</v>
      </c>
      <c r="Q68" t="s">
        <v>472</v>
      </c>
    </row>
    <row r="69" spans="1:18" x14ac:dyDescent="0.25">
      <c r="A69" s="260"/>
      <c r="B69" s="260"/>
      <c r="C69" s="260"/>
      <c r="D69" s="260"/>
      <c r="E69" s="260"/>
      <c r="F69" s="260"/>
      <c r="G69" s="260"/>
      <c r="H69" s="260"/>
      <c r="I69" s="260"/>
      <c r="J69" s="260"/>
      <c r="K69" s="260"/>
      <c r="L69" s="260"/>
      <c r="N69" t="s">
        <v>395</v>
      </c>
      <c r="O69" s="125" t="s">
        <v>499</v>
      </c>
      <c r="P69" t="s">
        <v>395</v>
      </c>
      <c r="Q69" s="125" t="s">
        <v>500</v>
      </c>
    </row>
    <row r="70" spans="1:18" x14ac:dyDescent="0.25">
      <c r="A70" s="260"/>
      <c r="B70" s="260"/>
      <c r="C70" s="260"/>
      <c r="D70" s="260"/>
      <c r="E70" s="260"/>
      <c r="F70" s="260"/>
      <c r="G70" s="260"/>
      <c r="H70" s="260"/>
      <c r="I70" s="260"/>
      <c r="J70" s="260"/>
      <c r="K70" s="260"/>
      <c r="L70" s="260"/>
      <c r="N70" t="s">
        <v>396</v>
      </c>
      <c r="O70" s="125"/>
      <c r="P70" t="s">
        <v>411</v>
      </c>
      <c r="Q70" s="125"/>
    </row>
    <row r="71" spans="1:18" x14ac:dyDescent="0.25">
      <c r="A71" s="260"/>
      <c r="B71" s="260"/>
      <c r="C71" s="260"/>
      <c r="D71" s="260"/>
      <c r="E71" s="260"/>
      <c r="F71" s="260"/>
      <c r="G71" s="260"/>
      <c r="H71" s="260"/>
      <c r="I71" s="260"/>
      <c r="J71" s="260"/>
      <c r="K71" s="260"/>
      <c r="L71" s="260"/>
      <c r="N71" t="s">
        <v>397</v>
      </c>
      <c r="O71" s="125" t="s">
        <v>473</v>
      </c>
      <c r="P71" t="s">
        <v>414</v>
      </c>
      <c r="Q71" s="125" t="s">
        <v>501</v>
      </c>
    </row>
    <row r="72" spans="1:18" x14ac:dyDescent="0.25">
      <c r="A72" s="260"/>
      <c r="B72" s="260"/>
      <c r="C72" s="260"/>
      <c r="D72" s="260"/>
      <c r="E72" s="260"/>
      <c r="F72" s="260"/>
      <c r="G72" s="260"/>
      <c r="H72" s="260"/>
      <c r="I72" s="260"/>
      <c r="J72" s="260"/>
      <c r="K72" s="260"/>
      <c r="L72" s="260"/>
      <c r="N72" t="s">
        <v>409</v>
      </c>
      <c r="O72" s="125" t="s">
        <v>463</v>
      </c>
      <c r="P72" t="s">
        <v>412</v>
      </c>
      <c r="Q72" s="125" t="s">
        <v>502</v>
      </c>
    </row>
    <row r="73" spans="1:18" x14ac:dyDescent="0.25">
      <c r="A73" s="260"/>
      <c r="B73" s="260"/>
      <c r="C73" s="260"/>
      <c r="D73" s="260"/>
      <c r="E73" s="260"/>
      <c r="F73" s="260"/>
      <c r="G73" s="260"/>
      <c r="H73" s="260"/>
      <c r="I73" s="260"/>
      <c r="J73" s="260"/>
      <c r="K73" s="260"/>
      <c r="L73" s="260"/>
      <c r="N73" t="s">
        <v>456</v>
      </c>
      <c r="O73" s="125" t="s">
        <v>464</v>
      </c>
      <c r="P73" t="s">
        <v>413</v>
      </c>
      <c r="Q73" s="125" t="s">
        <v>503</v>
      </c>
    </row>
    <row r="74" spans="1:18" x14ac:dyDescent="0.25">
      <c r="A74" s="260"/>
      <c r="B74" s="260"/>
      <c r="C74" s="260"/>
      <c r="D74" s="260"/>
      <c r="E74" s="260"/>
      <c r="F74" s="260"/>
      <c r="G74" s="260"/>
      <c r="H74" s="260"/>
      <c r="I74" s="260"/>
      <c r="J74" s="260"/>
      <c r="K74" s="260"/>
      <c r="L74" s="260"/>
      <c r="N74" t="s">
        <v>457</v>
      </c>
      <c r="O74" s="125" t="s">
        <v>474</v>
      </c>
      <c r="P74" t="s">
        <v>456</v>
      </c>
      <c r="Q74" s="125" t="s">
        <v>464</v>
      </c>
    </row>
    <row r="75" spans="1:18" x14ac:dyDescent="0.25">
      <c r="A75" s="260"/>
      <c r="B75" s="260"/>
      <c r="C75" s="260"/>
      <c r="D75" s="260"/>
      <c r="E75" s="260"/>
      <c r="F75" s="260"/>
      <c r="G75" s="260"/>
      <c r="H75" s="260"/>
      <c r="I75" s="260"/>
      <c r="J75" s="260"/>
      <c r="K75" s="260"/>
      <c r="L75" s="260"/>
      <c r="N75" t="s">
        <v>398</v>
      </c>
      <c r="O75" s="125" t="s">
        <v>465</v>
      </c>
      <c r="P75" t="s">
        <v>457</v>
      </c>
      <c r="Q75" s="125" t="s">
        <v>504</v>
      </c>
    </row>
    <row r="76" spans="1:18" x14ac:dyDescent="0.25">
      <c r="A76" s="260"/>
      <c r="B76" s="260"/>
      <c r="C76" s="260"/>
      <c r="D76" s="260"/>
      <c r="E76" s="260"/>
      <c r="F76" s="260"/>
      <c r="G76" s="260"/>
      <c r="H76" s="260"/>
      <c r="I76" s="260"/>
      <c r="J76" s="260"/>
      <c r="K76" s="260"/>
      <c r="L76" s="260"/>
      <c r="N76" t="s">
        <v>399</v>
      </c>
      <c r="O76" s="125" t="s">
        <v>474</v>
      </c>
      <c r="P76" t="s">
        <v>475</v>
      </c>
      <c r="Q76" s="125" t="s">
        <v>505</v>
      </c>
    </row>
    <row r="77" spans="1:18" x14ac:dyDescent="0.25">
      <c r="A77" s="260"/>
      <c r="B77" s="260"/>
      <c r="C77" s="260"/>
      <c r="D77" s="260"/>
      <c r="E77" s="260"/>
      <c r="F77" s="260"/>
      <c r="G77" s="260"/>
      <c r="H77" s="260"/>
      <c r="I77" s="260"/>
      <c r="J77" s="260"/>
      <c r="K77" s="260"/>
      <c r="L77" s="260"/>
      <c r="N77" t="s">
        <v>400</v>
      </c>
      <c r="O77" s="125" t="s">
        <v>466</v>
      </c>
      <c r="P77" t="s">
        <v>478</v>
      </c>
      <c r="Q77" s="125" t="s">
        <v>504</v>
      </c>
    </row>
    <row r="78" spans="1:18" x14ac:dyDescent="0.25">
      <c r="A78" s="260"/>
      <c r="B78" s="260"/>
      <c r="C78" s="260"/>
      <c r="D78" s="260"/>
      <c r="E78" s="260"/>
      <c r="F78" s="260"/>
      <c r="G78" s="260"/>
      <c r="H78" s="260"/>
      <c r="I78" s="260"/>
      <c r="J78" s="260"/>
      <c r="K78" s="260"/>
      <c r="L78" s="260"/>
      <c r="N78" t="s">
        <v>401</v>
      </c>
      <c r="O78" s="125" t="s">
        <v>474</v>
      </c>
      <c r="P78" t="s">
        <v>519</v>
      </c>
      <c r="Q78" s="125"/>
    </row>
    <row r="79" spans="1:18" x14ac:dyDescent="0.25">
      <c r="A79" s="260"/>
      <c r="B79" s="260"/>
      <c r="C79" s="260"/>
      <c r="D79" s="260"/>
      <c r="E79" s="260"/>
      <c r="F79" s="260"/>
      <c r="G79" s="260"/>
      <c r="H79" s="260"/>
      <c r="I79" s="260"/>
      <c r="J79" s="260"/>
      <c r="K79" s="260"/>
      <c r="L79" s="260"/>
      <c r="N79" t="s">
        <v>402</v>
      </c>
      <c r="O79" s="125" t="s">
        <v>467</v>
      </c>
      <c r="P79" t="s">
        <v>537</v>
      </c>
      <c r="Q79" s="125"/>
    </row>
    <row r="80" spans="1:18" x14ac:dyDescent="0.25">
      <c r="A80" s="260"/>
      <c r="B80" s="260"/>
      <c r="C80" s="260"/>
      <c r="D80" s="260"/>
      <c r="E80" s="260"/>
      <c r="F80" s="260"/>
      <c r="G80" s="260"/>
      <c r="H80" s="260"/>
      <c r="I80" s="260"/>
      <c r="J80" s="260"/>
      <c r="K80" s="260"/>
      <c r="L80" s="260"/>
      <c r="N80" t="s">
        <v>403</v>
      </c>
      <c r="O80" s="125" t="s">
        <v>468</v>
      </c>
      <c r="P80" t="s">
        <v>520</v>
      </c>
      <c r="Q80" s="125"/>
    </row>
    <row r="81" spans="1:17" x14ac:dyDescent="0.25">
      <c r="A81" s="260"/>
      <c r="B81" s="260"/>
      <c r="C81" s="260"/>
      <c r="D81" s="260"/>
      <c r="E81" s="260"/>
      <c r="F81" s="260"/>
      <c r="G81" s="260"/>
      <c r="H81" s="260"/>
      <c r="I81" s="260"/>
      <c r="J81" s="260"/>
      <c r="K81" s="260"/>
      <c r="L81" s="260"/>
      <c r="N81" t="s">
        <v>404</v>
      </c>
      <c r="O81" s="125" t="s">
        <v>474</v>
      </c>
      <c r="P81" t="s">
        <v>476</v>
      </c>
      <c r="Q81" s="125" t="s">
        <v>506</v>
      </c>
    </row>
    <row r="82" spans="1:17" x14ac:dyDescent="0.25">
      <c r="A82" s="260"/>
      <c r="B82" s="260"/>
      <c r="C82" s="260"/>
      <c r="D82" s="260"/>
      <c r="E82" s="260"/>
      <c r="F82" s="260"/>
      <c r="G82" s="260"/>
      <c r="H82" s="260"/>
      <c r="I82" s="260"/>
      <c r="J82" s="260"/>
      <c r="K82" s="260"/>
      <c r="L82" s="260"/>
      <c r="N82" t="s">
        <v>405</v>
      </c>
      <c r="O82" s="125" t="s">
        <v>469</v>
      </c>
      <c r="P82" t="s">
        <v>479</v>
      </c>
      <c r="Q82" s="125" t="s">
        <v>504</v>
      </c>
    </row>
    <row r="83" spans="1:17" x14ac:dyDescent="0.25">
      <c r="A83" s="260"/>
      <c r="B83" s="260"/>
      <c r="C83" s="260"/>
      <c r="D83" s="260"/>
      <c r="E83" s="260"/>
      <c r="F83" s="260"/>
      <c r="G83" s="260"/>
      <c r="H83" s="260"/>
      <c r="I83" s="260"/>
      <c r="J83" s="260"/>
      <c r="K83" s="260"/>
      <c r="L83" s="260"/>
      <c r="N83" t="s">
        <v>406</v>
      </c>
      <c r="O83" s="125" t="s">
        <v>474</v>
      </c>
      <c r="P83" t="s">
        <v>521</v>
      </c>
      <c r="Q83" s="125"/>
    </row>
    <row r="84" spans="1:17" x14ac:dyDescent="0.25">
      <c r="A84" s="260"/>
      <c r="B84" s="260"/>
      <c r="C84" s="260"/>
      <c r="D84" s="260"/>
      <c r="E84" s="260"/>
      <c r="F84" s="260"/>
      <c r="G84" s="260"/>
      <c r="H84" s="260"/>
      <c r="I84" s="260"/>
      <c r="J84" s="260"/>
      <c r="K84" s="260"/>
      <c r="L84" s="260"/>
      <c r="N84" t="s">
        <v>407</v>
      </c>
      <c r="O84" s="125" t="s">
        <v>548</v>
      </c>
      <c r="P84" t="s">
        <v>538</v>
      </c>
      <c r="Q84" s="125"/>
    </row>
    <row r="85" spans="1:17" x14ac:dyDescent="0.25">
      <c r="A85" s="260"/>
      <c r="B85" s="260"/>
      <c r="C85" s="260"/>
      <c r="D85" s="260"/>
      <c r="E85" s="260"/>
      <c r="F85" s="260"/>
      <c r="G85" s="260"/>
      <c r="H85" s="260"/>
      <c r="I85" s="260"/>
      <c r="J85" s="260"/>
      <c r="K85" s="260"/>
      <c r="L85" s="260"/>
      <c r="N85" t="s">
        <v>408</v>
      </c>
      <c r="O85" s="125" t="s">
        <v>549</v>
      </c>
      <c r="P85" t="s">
        <v>522</v>
      </c>
      <c r="Q85" s="125"/>
    </row>
    <row r="86" spans="1:17" x14ac:dyDescent="0.25">
      <c r="A86" s="260"/>
      <c r="B86" s="260"/>
      <c r="C86" s="260"/>
      <c r="D86" s="260"/>
      <c r="E86" s="260"/>
      <c r="F86" s="260"/>
      <c r="G86" s="260"/>
      <c r="H86" s="260"/>
      <c r="I86" s="260"/>
      <c r="J86" s="260"/>
      <c r="K86" s="260"/>
      <c r="L86" s="260"/>
      <c r="N86" t="s">
        <v>410</v>
      </c>
      <c r="O86" s="125" t="s">
        <v>470</v>
      </c>
      <c r="P86" t="s">
        <v>477</v>
      </c>
      <c r="Q86" s="125" t="s">
        <v>507</v>
      </c>
    </row>
    <row r="87" spans="1:17" x14ac:dyDescent="0.25">
      <c r="A87" s="260"/>
      <c r="B87" s="260"/>
      <c r="C87" s="260"/>
      <c r="D87" s="260"/>
      <c r="E87" s="260"/>
      <c r="F87" s="260"/>
      <c r="G87" s="260"/>
      <c r="H87" s="260"/>
      <c r="I87" s="260"/>
      <c r="J87" s="260"/>
      <c r="K87" s="260"/>
      <c r="L87" s="260"/>
      <c r="P87" t="s">
        <v>480</v>
      </c>
      <c r="Q87" s="125" t="s">
        <v>504</v>
      </c>
    </row>
    <row r="88" spans="1:17" x14ac:dyDescent="0.25">
      <c r="A88" s="260"/>
      <c r="B88" s="260"/>
      <c r="C88" s="260"/>
      <c r="D88" s="260"/>
      <c r="E88" s="260"/>
      <c r="F88" s="260"/>
      <c r="G88" s="260"/>
      <c r="H88" s="260"/>
      <c r="I88" s="260"/>
      <c r="J88" s="260"/>
      <c r="K88" s="260"/>
      <c r="L88" s="260"/>
      <c r="P88" t="s">
        <v>523</v>
      </c>
      <c r="Q88" s="125"/>
    </row>
    <row r="89" spans="1:17" x14ac:dyDescent="0.25">
      <c r="A89" s="260"/>
      <c r="B89" s="260"/>
      <c r="C89" s="260"/>
      <c r="D89" s="260"/>
      <c r="E89" s="260"/>
      <c r="F89" s="260"/>
      <c r="G89" s="260"/>
      <c r="H89" s="260"/>
      <c r="I89" s="260"/>
      <c r="J89" s="260"/>
      <c r="K89" s="260"/>
      <c r="L89" s="260"/>
      <c r="P89" t="s">
        <v>539</v>
      </c>
      <c r="Q89" s="125"/>
    </row>
    <row r="90" spans="1:17" x14ac:dyDescent="0.25">
      <c r="A90" s="260"/>
      <c r="B90" s="260"/>
      <c r="C90" s="260"/>
      <c r="D90" s="260"/>
      <c r="E90" s="260"/>
      <c r="F90" s="260"/>
      <c r="G90" s="260"/>
      <c r="H90" s="260"/>
      <c r="I90" s="260"/>
      <c r="J90" s="260"/>
      <c r="K90" s="260"/>
      <c r="L90" s="260"/>
      <c r="P90" t="s">
        <v>524</v>
      </c>
      <c r="Q90" s="125"/>
    </row>
    <row r="91" spans="1:17" x14ac:dyDescent="0.25">
      <c r="A91" s="260"/>
      <c r="B91" s="260"/>
      <c r="C91" s="260"/>
      <c r="D91" s="260"/>
      <c r="E91" s="260"/>
      <c r="F91" s="260"/>
      <c r="G91" s="260"/>
      <c r="H91" s="260"/>
      <c r="I91" s="260"/>
      <c r="J91" s="260"/>
      <c r="K91" s="260"/>
      <c r="L91" s="260"/>
      <c r="P91" t="s">
        <v>481</v>
      </c>
      <c r="Q91" s="125" t="s">
        <v>508</v>
      </c>
    </row>
    <row r="92" spans="1:17" x14ac:dyDescent="0.25">
      <c r="A92" s="260"/>
      <c r="B92" s="260"/>
      <c r="C92" s="260"/>
      <c r="D92" s="260"/>
      <c r="E92" s="260"/>
      <c r="F92" s="260"/>
      <c r="G92" s="260"/>
      <c r="H92" s="260"/>
      <c r="I92" s="260"/>
      <c r="J92" s="260"/>
      <c r="K92" s="260"/>
      <c r="L92" s="260"/>
      <c r="P92" t="s">
        <v>482</v>
      </c>
      <c r="Q92" s="125" t="s">
        <v>504</v>
      </c>
    </row>
    <row r="93" spans="1:17" x14ac:dyDescent="0.25">
      <c r="A93" s="260"/>
      <c r="B93" s="260"/>
      <c r="C93" s="260"/>
      <c r="D93" s="260"/>
      <c r="E93" s="260"/>
      <c r="F93" s="260"/>
      <c r="G93" s="260"/>
      <c r="H93" s="260"/>
      <c r="I93" s="260"/>
      <c r="J93" s="260"/>
      <c r="K93" s="260"/>
      <c r="L93" s="260"/>
      <c r="P93" t="s">
        <v>525</v>
      </c>
      <c r="Q93" s="125"/>
    </row>
    <row r="94" spans="1:17" x14ac:dyDescent="0.25">
      <c r="A94" s="260"/>
      <c r="B94" s="260"/>
      <c r="C94" s="260"/>
      <c r="D94" s="260"/>
      <c r="E94" s="260"/>
      <c r="F94" s="260"/>
      <c r="G94" s="260"/>
      <c r="H94" s="260"/>
      <c r="I94" s="260"/>
      <c r="J94" s="260"/>
      <c r="K94" s="260"/>
      <c r="L94" s="260"/>
      <c r="P94" t="s">
        <v>540</v>
      </c>
      <c r="Q94" s="125"/>
    </row>
    <row r="95" spans="1:17" x14ac:dyDescent="0.25">
      <c r="A95" s="260"/>
      <c r="B95" s="260"/>
      <c r="C95" s="260"/>
      <c r="D95" s="260"/>
      <c r="E95" s="260"/>
      <c r="F95" s="260"/>
      <c r="G95" s="260"/>
      <c r="H95" s="260"/>
      <c r="I95" s="260"/>
      <c r="J95" s="260"/>
      <c r="K95" s="260"/>
      <c r="L95" s="260"/>
      <c r="P95" t="s">
        <v>526</v>
      </c>
      <c r="Q95" s="125"/>
    </row>
    <row r="96" spans="1:17" x14ac:dyDescent="0.25">
      <c r="A96" s="260"/>
      <c r="B96" s="260"/>
      <c r="C96" s="260"/>
      <c r="D96" s="260"/>
      <c r="E96" s="260"/>
      <c r="F96" s="260"/>
      <c r="G96" s="260"/>
      <c r="H96" s="260"/>
      <c r="I96" s="260"/>
      <c r="J96" s="260"/>
      <c r="K96" s="260"/>
      <c r="L96" s="260"/>
      <c r="P96" t="s">
        <v>483</v>
      </c>
      <c r="Q96" s="125" t="s">
        <v>509</v>
      </c>
    </row>
    <row r="97" spans="1:17" x14ac:dyDescent="0.25">
      <c r="A97" s="260"/>
      <c r="B97" s="260"/>
      <c r="C97" s="260"/>
      <c r="D97" s="260"/>
      <c r="E97" s="260"/>
      <c r="F97" s="260"/>
      <c r="G97" s="260"/>
      <c r="H97" s="260"/>
      <c r="I97" s="260"/>
      <c r="J97" s="260"/>
      <c r="K97" s="260"/>
      <c r="L97" s="260"/>
      <c r="P97" t="s">
        <v>484</v>
      </c>
      <c r="Q97" s="125" t="s">
        <v>504</v>
      </c>
    </row>
    <row r="98" spans="1:17" x14ac:dyDescent="0.25">
      <c r="A98" s="260"/>
      <c r="B98" s="260"/>
      <c r="C98" s="260"/>
      <c r="D98" s="260"/>
      <c r="E98" s="260"/>
      <c r="F98" s="260"/>
      <c r="G98" s="260"/>
      <c r="H98" s="260"/>
      <c r="I98" s="260"/>
      <c r="J98" s="260"/>
      <c r="K98" s="260"/>
      <c r="L98" s="260"/>
      <c r="P98" t="s">
        <v>527</v>
      </c>
      <c r="Q98" s="125"/>
    </row>
    <row r="99" spans="1:17" x14ac:dyDescent="0.25">
      <c r="A99" s="260"/>
      <c r="B99" s="260"/>
      <c r="C99" s="260"/>
      <c r="D99" s="260"/>
      <c r="E99" s="260"/>
      <c r="F99" s="260"/>
      <c r="G99" s="260"/>
      <c r="H99" s="260"/>
      <c r="I99" s="260"/>
      <c r="J99" s="260"/>
      <c r="K99" s="260"/>
      <c r="L99" s="260"/>
      <c r="P99" t="s">
        <v>541</v>
      </c>
      <c r="Q99" s="125"/>
    </row>
    <row r="100" spans="1:17" x14ac:dyDescent="0.25">
      <c r="A100" s="260"/>
      <c r="B100" s="260"/>
      <c r="C100" s="260"/>
      <c r="D100" s="260"/>
      <c r="E100" s="260"/>
      <c r="F100" s="260"/>
      <c r="G100" s="260"/>
      <c r="H100" s="260"/>
      <c r="I100" s="260"/>
      <c r="J100" s="260"/>
      <c r="K100" s="260"/>
      <c r="L100" s="260"/>
      <c r="P100" t="s">
        <v>528</v>
      </c>
      <c r="Q100" s="125"/>
    </row>
    <row r="101" spans="1:17" x14ac:dyDescent="0.25">
      <c r="A101" s="260"/>
      <c r="B101" s="260"/>
      <c r="C101" s="260"/>
      <c r="D101" s="260"/>
      <c r="E101" s="260"/>
      <c r="F101" s="260"/>
      <c r="G101" s="260"/>
      <c r="H101" s="260"/>
      <c r="I101" s="260"/>
      <c r="J101" s="260"/>
      <c r="K101" s="260"/>
      <c r="L101" s="260"/>
      <c r="P101" t="s">
        <v>485</v>
      </c>
      <c r="Q101" s="125" t="s">
        <v>510</v>
      </c>
    </row>
    <row r="102" spans="1:17" x14ac:dyDescent="0.25">
      <c r="A102" s="260"/>
      <c r="B102" s="260"/>
      <c r="C102" s="260"/>
      <c r="D102" s="260"/>
      <c r="E102" s="260"/>
      <c r="F102" s="260"/>
      <c r="G102" s="260"/>
      <c r="H102" s="260"/>
      <c r="I102" s="260"/>
      <c r="J102" s="260"/>
      <c r="K102" s="260"/>
      <c r="L102" s="260"/>
      <c r="P102" t="s">
        <v>486</v>
      </c>
      <c r="Q102" s="125" t="s">
        <v>504</v>
      </c>
    </row>
    <row r="103" spans="1:17" x14ac:dyDescent="0.25">
      <c r="A103" s="260"/>
      <c r="B103" s="260"/>
      <c r="C103" s="260"/>
      <c r="D103" s="260"/>
      <c r="E103" s="260"/>
      <c r="F103" s="260"/>
      <c r="G103" s="260"/>
      <c r="H103" s="260"/>
      <c r="I103" s="260"/>
      <c r="J103" s="260"/>
      <c r="K103" s="260"/>
      <c r="L103" s="260"/>
      <c r="P103" t="s">
        <v>529</v>
      </c>
      <c r="Q103" s="125"/>
    </row>
    <row r="104" spans="1:17" x14ac:dyDescent="0.25">
      <c r="A104" s="260"/>
      <c r="B104" s="260"/>
      <c r="C104" s="260"/>
      <c r="D104" s="260"/>
      <c r="E104" s="260"/>
      <c r="F104" s="260"/>
      <c r="G104" s="260"/>
      <c r="H104" s="260"/>
      <c r="I104" s="260"/>
      <c r="J104" s="260"/>
      <c r="K104" s="260"/>
      <c r="L104" s="260"/>
      <c r="P104" t="s">
        <v>542</v>
      </c>
      <c r="Q104" s="125"/>
    </row>
    <row r="105" spans="1:17" x14ac:dyDescent="0.25">
      <c r="A105" s="260"/>
      <c r="B105" s="260"/>
      <c r="C105" s="260"/>
      <c r="D105" s="260"/>
      <c r="E105" s="260"/>
      <c r="F105" s="260"/>
      <c r="G105" s="260"/>
      <c r="H105" s="260"/>
      <c r="I105" s="260"/>
      <c r="J105" s="260"/>
      <c r="K105" s="260"/>
      <c r="L105" s="260"/>
      <c r="P105" t="s">
        <v>530</v>
      </c>
      <c r="Q105" s="125"/>
    </row>
    <row r="106" spans="1:17" x14ac:dyDescent="0.25">
      <c r="A106" s="260"/>
      <c r="B106" s="260"/>
      <c r="C106" s="260"/>
      <c r="D106" s="260"/>
      <c r="E106" s="260"/>
      <c r="F106" s="260"/>
      <c r="G106" s="260"/>
      <c r="H106" s="260"/>
      <c r="I106" s="260"/>
      <c r="J106" s="260"/>
      <c r="K106" s="260"/>
      <c r="L106" s="260"/>
      <c r="P106" t="s">
        <v>487</v>
      </c>
      <c r="Q106" s="125" t="s">
        <v>511</v>
      </c>
    </row>
    <row r="107" spans="1:17" x14ac:dyDescent="0.25">
      <c r="A107" s="260"/>
      <c r="B107" s="260"/>
      <c r="C107" s="260"/>
      <c r="D107" s="260"/>
      <c r="E107" s="260"/>
      <c r="F107" s="260"/>
      <c r="G107" s="260"/>
      <c r="H107" s="260"/>
      <c r="I107" s="260"/>
      <c r="J107" s="260"/>
      <c r="K107" s="260"/>
      <c r="L107" s="260"/>
      <c r="P107" t="s">
        <v>488</v>
      </c>
      <c r="Q107" s="125" t="s">
        <v>504</v>
      </c>
    </row>
    <row r="108" spans="1:17" x14ac:dyDescent="0.25">
      <c r="A108" s="260"/>
      <c r="B108" s="260"/>
      <c r="C108" s="260"/>
      <c r="D108" s="260"/>
      <c r="E108" s="260"/>
      <c r="F108" s="260"/>
      <c r="G108" s="260"/>
      <c r="H108" s="260"/>
      <c r="I108" s="260"/>
      <c r="J108" s="260"/>
      <c r="K108" s="260"/>
      <c r="L108" s="260"/>
      <c r="P108" t="s">
        <v>531</v>
      </c>
      <c r="Q108" s="125"/>
    </row>
    <row r="109" spans="1:17" x14ac:dyDescent="0.25">
      <c r="A109" s="260"/>
      <c r="B109" s="260"/>
      <c r="C109" s="260"/>
      <c r="D109" s="260"/>
      <c r="E109" s="260"/>
      <c r="F109" s="260"/>
      <c r="G109" s="260"/>
      <c r="H109" s="260"/>
      <c r="I109" s="260"/>
      <c r="J109" s="260"/>
      <c r="K109" s="260"/>
      <c r="L109" s="260"/>
      <c r="P109" t="s">
        <v>543</v>
      </c>
      <c r="Q109" s="125"/>
    </row>
    <row r="110" spans="1:17" x14ac:dyDescent="0.25">
      <c r="A110" s="260"/>
      <c r="B110" s="260"/>
      <c r="C110" s="260"/>
      <c r="D110" s="260"/>
      <c r="E110" s="260"/>
      <c r="F110" s="260"/>
      <c r="G110" s="260"/>
      <c r="H110" s="260"/>
      <c r="I110" s="260"/>
      <c r="J110" s="260"/>
      <c r="K110" s="260"/>
      <c r="L110" s="260"/>
      <c r="P110" t="s">
        <v>532</v>
      </c>
      <c r="Q110" s="125"/>
    </row>
    <row r="111" spans="1:17" x14ac:dyDescent="0.25">
      <c r="A111" s="260"/>
      <c r="B111" s="260"/>
      <c r="C111" s="260"/>
      <c r="D111" s="260"/>
      <c r="E111" s="260"/>
      <c r="F111" s="260"/>
      <c r="G111" s="260"/>
      <c r="H111" s="260"/>
      <c r="I111" s="260"/>
      <c r="J111" s="260"/>
      <c r="K111" s="260"/>
      <c r="L111" s="260"/>
      <c r="P111" t="s">
        <v>489</v>
      </c>
      <c r="Q111" s="125" t="s">
        <v>512</v>
      </c>
    </row>
    <row r="112" spans="1:17" x14ac:dyDescent="0.25">
      <c r="A112" s="260"/>
      <c r="B112" s="260"/>
      <c r="C112" s="260"/>
      <c r="D112" s="260"/>
      <c r="E112" s="260"/>
      <c r="F112" s="260"/>
      <c r="G112" s="260"/>
      <c r="H112" s="260"/>
      <c r="I112" s="260"/>
      <c r="J112" s="260"/>
      <c r="K112" s="260"/>
      <c r="L112" s="260"/>
      <c r="P112" t="s">
        <v>490</v>
      </c>
      <c r="Q112" s="125" t="s">
        <v>504</v>
      </c>
    </row>
    <row r="113" spans="1:17" x14ac:dyDescent="0.25">
      <c r="A113" s="260"/>
      <c r="B113" s="260"/>
      <c r="C113" s="260"/>
      <c r="D113" s="260"/>
      <c r="E113" s="260"/>
      <c r="F113" s="260"/>
      <c r="G113" s="260"/>
      <c r="H113" s="260"/>
      <c r="I113" s="260"/>
      <c r="J113" s="260"/>
      <c r="K113" s="260"/>
      <c r="L113" s="260"/>
      <c r="P113" t="s">
        <v>533</v>
      </c>
      <c r="Q113" s="125"/>
    </row>
    <row r="114" spans="1:17" x14ac:dyDescent="0.25">
      <c r="A114" s="260"/>
      <c r="B114" s="260"/>
      <c r="C114" s="260"/>
      <c r="D114" s="260"/>
      <c r="E114" s="260"/>
      <c r="F114" s="260"/>
      <c r="G114" s="260"/>
      <c r="H114" s="260"/>
      <c r="I114" s="260"/>
      <c r="J114" s="260"/>
      <c r="K114" s="260"/>
      <c r="L114" s="260"/>
      <c r="P114" t="s">
        <v>544</v>
      </c>
      <c r="Q114" s="125"/>
    </row>
    <row r="115" spans="1:17" x14ac:dyDescent="0.25">
      <c r="A115" s="260"/>
      <c r="B115" s="260"/>
      <c r="C115" s="260"/>
      <c r="D115" s="260"/>
      <c r="E115" s="260"/>
      <c r="F115" s="260"/>
      <c r="G115" s="260"/>
      <c r="H115" s="260"/>
      <c r="I115" s="260"/>
      <c r="J115" s="260"/>
      <c r="K115" s="260"/>
      <c r="L115" s="260"/>
      <c r="P115" t="s">
        <v>534</v>
      </c>
      <c r="Q115" s="125"/>
    </row>
    <row r="116" spans="1:17" x14ac:dyDescent="0.25">
      <c r="A116" s="260"/>
      <c r="B116" s="260"/>
      <c r="C116" s="260"/>
      <c r="D116" s="260"/>
      <c r="E116" s="260"/>
      <c r="F116" s="260"/>
      <c r="G116" s="260"/>
      <c r="H116" s="260"/>
      <c r="I116" s="260"/>
      <c r="J116" s="260"/>
      <c r="K116" s="260"/>
      <c r="L116" s="260"/>
      <c r="P116" t="s">
        <v>491</v>
      </c>
      <c r="Q116" s="125" t="s">
        <v>513</v>
      </c>
    </row>
    <row r="117" spans="1:17" x14ac:dyDescent="0.25">
      <c r="A117" s="260"/>
      <c r="B117" s="260"/>
      <c r="C117" s="260"/>
      <c r="D117" s="260"/>
      <c r="E117" s="260"/>
      <c r="F117" s="260"/>
      <c r="G117" s="260"/>
      <c r="H117" s="260"/>
      <c r="I117" s="260"/>
      <c r="J117" s="260"/>
      <c r="K117" s="260"/>
      <c r="L117" s="260"/>
      <c r="P117" t="s">
        <v>492</v>
      </c>
      <c r="Q117" s="125" t="s">
        <v>504</v>
      </c>
    </row>
    <row r="118" spans="1:17" x14ac:dyDescent="0.25">
      <c r="A118" s="260"/>
      <c r="B118" s="260"/>
      <c r="C118" s="260"/>
      <c r="D118" s="260"/>
      <c r="E118" s="260"/>
      <c r="F118" s="260"/>
      <c r="G118" s="260"/>
      <c r="H118" s="260"/>
      <c r="I118" s="260"/>
      <c r="J118" s="260"/>
      <c r="K118" s="260"/>
      <c r="L118" s="260"/>
      <c r="P118" t="s">
        <v>535</v>
      </c>
      <c r="Q118" s="125"/>
    </row>
    <row r="119" spans="1:17" x14ac:dyDescent="0.25">
      <c r="A119" s="260"/>
      <c r="B119" s="260"/>
      <c r="C119" s="260"/>
      <c r="D119" s="260"/>
      <c r="E119" s="260"/>
      <c r="F119" s="260"/>
      <c r="G119" s="260"/>
      <c r="H119" s="260"/>
      <c r="I119" s="260"/>
      <c r="J119" s="260"/>
      <c r="K119" s="260"/>
      <c r="L119" s="260"/>
      <c r="P119" t="s">
        <v>545</v>
      </c>
      <c r="Q119" s="125"/>
    </row>
    <row r="120" spans="1:17" x14ac:dyDescent="0.25">
      <c r="A120" s="260"/>
      <c r="B120" s="260"/>
      <c r="C120" s="260"/>
      <c r="D120" s="260"/>
      <c r="E120" s="260"/>
      <c r="F120" s="260"/>
      <c r="G120" s="260"/>
      <c r="H120" s="260"/>
      <c r="I120" s="260"/>
      <c r="J120" s="260"/>
      <c r="K120" s="260"/>
      <c r="L120" s="260"/>
      <c r="P120" t="s">
        <v>536</v>
      </c>
      <c r="Q120" s="125"/>
    </row>
    <row r="121" spans="1:17" x14ac:dyDescent="0.25">
      <c r="A121" s="260"/>
      <c r="B121" s="260"/>
      <c r="C121" s="260"/>
      <c r="D121" s="260"/>
      <c r="E121" s="260"/>
      <c r="F121" s="260"/>
      <c r="G121" s="260"/>
      <c r="H121" s="260"/>
      <c r="I121" s="260"/>
      <c r="J121" s="260"/>
      <c r="K121" s="260"/>
      <c r="L121" s="260"/>
      <c r="P121" t="s">
        <v>546</v>
      </c>
      <c r="Q121" s="125" t="s">
        <v>547</v>
      </c>
    </row>
    <row r="122" spans="1:17" x14ac:dyDescent="0.25">
      <c r="A122" s="260"/>
      <c r="B122" s="260"/>
      <c r="C122" s="260"/>
      <c r="D122" s="260"/>
      <c r="E122" s="260"/>
      <c r="F122" s="260"/>
      <c r="G122" s="260"/>
      <c r="H122" s="260"/>
      <c r="I122" s="260"/>
      <c r="J122" s="260"/>
      <c r="K122" s="260"/>
      <c r="L122" s="260"/>
      <c r="P122" t="s">
        <v>493</v>
      </c>
      <c r="Q122" s="125" t="s">
        <v>514</v>
      </c>
    </row>
    <row r="123" spans="1:17" x14ac:dyDescent="0.25">
      <c r="A123" s="260"/>
      <c r="B123" s="260"/>
      <c r="C123" s="260"/>
      <c r="D123" s="260"/>
      <c r="E123" s="260"/>
      <c r="F123" s="260"/>
      <c r="G123" s="260"/>
      <c r="H123" s="260"/>
      <c r="I123" s="260"/>
      <c r="J123" s="260"/>
      <c r="K123" s="260"/>
      <c r="L123" s="260"/>
      <c r="P123" t="s">
        <v>494</v>
      </c>
      <c r="Q123" s="125" t="s">
        <v>504</v>
      </c>
    </row>
    <row r="124" spans="1:17" x14ac:dyDescent="0.25">
      <c r="A124" s="260"/>
      <c r="B124" s="260"/>
      <c r="C124" s="260"/>
      <c r="D124" s="260"/>
      <c r="E124" s="260"/>
      <c r="F124" s="260"/>
      <c r="G124" s="260"/>
      <c r="H124" s="260"/>
      <c r="I124" s="260"/>
      <c r="J124" s="260"/>
      <c r="K124" s="260"/>
      <c r="L124" s="260"/>
      <c r="P124" t="s">
        <v>495</v>
      </c>
      <c r="Q124" s="125" t="s">
        <v>515</v>
      </c>
    </row>
    <row r="125" spans="1:17" x14ac:dyDescent="0.25">
      <c r="A125" s="260"/>
      <c r="B125" s="260"/>
      <c r="C125" s="260"/>
      <c r="D125" s="260"/>
      <c r="E125" s="260"/>
      <c r="F125" s="260"/>
      <c r="G125" s="260"/>
      <c r="H125" s="260"/>
      <c r="I125" s="260"/>
      <c r="J125" s="260"/>
      <c r="K125" s="260"/>
      <c r="L125" s="260"/>
      <c r="P125" t="s">
        <v>496</v>
      </c>
      <c r="Q125" s="125" t="s">
        <v>516</v>
      </c>
    </row>
    <row r="126" spans="1:17" x14ac:dyDescent="0.25">
      <c r="A126" s="260"/>
      <c r="B126" s="260"/>
      <c r="C126" s="260"/>
      <c r="D126" s="260"/>
      <c r="E126" s="260"/>
      <c r="F126" s="260"/>
      <c r="G126" s="260"/>
      <c r="H126" s="260"/>
      <c r="I126" s="260"/>
      <c r="J126" s="260"/>
      <c r="K126" s="260"/>
      <c r="L126" s="260"/>
      <c r="P126" t="s">
        <v>497</v>
      </c>
      <c r="Q126" s="125" t="s">
        <v>504</v>
      </c>
    </row>
    <row r="127" spans="1:17" x14ac:dyDescent="0.25">
      <c r="A127" s="260"/>
      <c r="B127" s="260"/>
      <c r="C127" s="260"/>
      <c r="D127" s="260"/>
      <c r="E127" s="260"/>
      <c r="F127" s="260"/>
      <c r="G127" s="260"/>
      <c r="H127" s="260"/>
      <c r="I127" s="260"/>
      <c r="J127" s="260"/>
      <c r="K127" s="260"/>
      <c r="L127" s="260"/>
      <c r="P127" t="s">
        <v>498</v>
      </c>
      <c r="Q127" s="125" t="s">
        <v>517</v>
      </c>
    </row>
    <row r="128" spans="1:17" x14ac:dyDescent="0.25">
      <c r="A128" s="260"/>
      <c r="B128" s="260"/>
      <c r="C128" s="260"/>
      <c r="D128" s="260"/>
      <c r="E128" s="260"/>
      <c r="F128" s="260"/>
      <c r="G128" s="260"/>
      <c r="H128" s="260"/>
      <c r="I128" s="260"/>
      <c r="J128" s="260"/>
      <c r="K128" s="260"/>
      <c r="L128" s="260"/>
      <c r="P128" t="s">
        <v>415</v>
      </c>
      <c r="Q128" s="125" t="s">
        <v>518</v>
      </c>
    </row>
    <row r="129" spans="1:17" x14ac:dyDescent="0.25">
      <c r="A129" s="260"/>
      <c r="B129" s="260"/>
      <c r="C129" s="260"/>
      <c r="D129" s="260"/>
      <c r="E129" s="260"/>
      <c r="F129" s="260"/>
      <c r="G129" s="260"/>
      <c r="H129" s="260"/>
      <c r="I129" s="260"/>
      <c r="J129" s="260"/>
      <c r="K129" s="260"/>
      <c r="L129" s="260"/>
      <c r="P129" t="s">
        <v>561</v>
      </c>
      <c r="Q129" s="125"/>
    </row>
    <row r="130" spans="1:17" x14ac:dyDescent="0.25">
      <c r="A130" s="260"/>
      <c r="B130" s="260"/>
      <c r="C130" s="260"/>
      <c r="D130" s="260"/>
      <c r="E130" s="260"/>
      <c r="F130" s="260"/>
      <c r="G130" s="260"/>
      <c r="H130" s="260"/>
      <c r="I130" s="260"/>
      <c r="J130" s="260"/>
      <c r="K130" s="260"/>
      <c r="L130" s="260"/>
      <c r="P130" t="s">
        <v>559</v>
      </c>
      <c r="Q130" s="125" t="s">
        <v>563</v>
      </c>
    </row>
    <row r="131" spans="1:17" x14ac:dyDescent="0.25">
      <c r="A131" s="260"/>
      <c r="B131" s="260"/>
      <c r="C131" s="260"/>
      <c r="D131" s="260"/>
      <c r="E131" s="260"/>
      <c r="F131" s="260"/>
      <c r="G131" s="260"/>
      <c r="H131" s="260"/>
      <c r="I131" s="260"/>
      <c r="J131" s="260"/>
      <c r="K131" s="260"/>
      <c r="L131" s="260"/>
      <c r="P131" t="s">
        <v>560</v>
      </c>
      <c r="Q131" s="125" t="s">
        <v>564</v>
      </c>
    </row>
    <row r="132" spans="1:17" x14ac:dyDescent="0.25">
      <c r="A132" s="260"/>
      <c r="B132" s="260"/>
      <c r="C132" s="260"/>
      <c r="D132" s="260"/>
      <c r="E132" s="260"/>
      <c r="F132" s="260"/>
      <c r="G132" s="260"/>
      <c r="H132" s="260"/>
      <c r="I132" s="260"/>
      <c r="J132" s="260"/>
      <c r="K132" s="260"/>
      <c r="L132" s="260"/>
      <c r="P132" t="s">
        <v>558</v>
      </c>
      <c r="Q132" s="125" t="s">
        <v>565</v>
      </c>
    </row>
    <row r="133" spans="1:17" x14ac:dyDescent="0.25">
      <c r="A133" s="260"/>
      <c r="B133" s="260"/>
      <c r="C133" s="260"/>
      <c r="D133" s="260"/>
      <c r="E133" s="260"/>
      <c r="F133" s="260"/>
      <c r="G133" s="260"/>
      <c r="H133" s="260"/>
      <c r="I133" s="260"/>
      <c r="J133" s="260"/>
      <c r="K133" s="260"/>
      <c r="L133" s="260"/>
      <c r="P133" t="s">
        <v>562</v>
      </c>
      <c r="Q133" s="125" t="s">
        <v>566</v>
      </c>
    </row>
    <row r="134" spans="1:17" x14ac:dyDescent="0.25">
      <c r="A134" s="260"/>
      <c r="B134" s="260"/>
      <c r="C134" s="260"/>
      <c r="D134" s="260"/>
      <c r="E134" s="260"/>
      <c r="F134" s="260"/>
      <c r="G134" s="260"/>
      <c r="H134" s="260"/>
      <c r="I134" s="260"/>
      <c r="J134" s="260"/>
      <c r="K134" s="260"/>
      <c r="L134" s="260"/>
      <c r="P134" t="s">
        <v>557</v>
      </c>
      <c r="Q134" s="125" t="s">
        <v>571</v>
      </c>
    </row>
    <row r="135" spans="1:17" x14ac:dyDescent="0.25">
      <c r="A135" s="260"/>
      <c r="B135" s="260"/>
      <c r="C135" s="260"/>
      <c r="D135" s="260"/>
      <c r="E135" s="260"/>
      <c r="F135" s="260"/>
      <c r="G135" s="260"/>
      <c r="H135" s="260"/>
      <c r="I135" s="260"/>
      <c r="J135" s="260"/>
      <c r="K135" s="260"/>
      <c r="L135" s="260"/>
      <c r="P135" t="s">
        <v>556</v>
      </c>
      <c r="Q135" s="125" t="s">
        <v>567</v>
      </c>
    </row>
    <row r="136" spans="1:17" x14ac:dyDescent="0.25">
      <c r="A136" s="260"/>
      <c r="B136" s="260"/>
      <c r="C136" s="260"/>
      <c r="D136" s="260"/>
      <c r="E136" s="260"/>
      <c r="F136" s="260"/>
      <c r="G136" s="260"/>
      <c r="H136" s="260"/>
      <c r="I136" s="260"/>
      <c r="J136" s="260"/>
      <c r="K136" s="260"/>
      <c r="L136" s="260"/>
    </row>
    <row r="137" spans="1:17" x14ac:dyDescent="0.25">
      <c r="A137" s="260"/>
      <c r="B137" s="260"/>
      <c r="C137" s="260"/>
      <c r="D137" s="260"/>
      <c r="E137" s="260"/>
      <c r="F137" s="260"/>
      <c r="G137" s="260"/>
      <c r="H137" s="260"/>
      <c r="I137" s="260"/>
      <c r="J137" s="260"/>
      <c r="K137" s="260"/>
      <c r="L137" s="260"/>
      <c r="Q137" s="147" t="s">
        <v>568</v>
      </c>
    </row>
    <row r="138" spans="1:17" x14ac:dyDescent="0.25">
      <c r="A138" s="260"/>
      <c r="B138" s="260"/>
      <c r="C138" s="260"/>
      <c r="D138" s="260"/>
      <c r="E138" s="260"/>
      <c r="F138" s="260"/>
      <c r="G138" s="260"/>
      <c r="H138" s="260"/>
      <c r="I138" s="260"/>
      <c r="J138" s="260"/>
      <c r="K138" s="260"/>
      <c r="L138" s="260"/>
    </row>
    <row r="139" spans="1:17" x14ac:dyDescent="0.25">
      <c r="A139" s="260"/>
      <c r="B139" s="260"/>
      <c r="C139" s="260"/>
      <c r="D139" s="260"/>
      <c r="E139" s="260"/>
      <c r="F139" s="260"/>
      <c r="G139" s="260"/>
      <c r="H139" s="260"/>
      <c r="I139" s="260"/>
      <c r="J139" s="260"/>
      <c r="K139" s="260"/>
      <c r="L139" s="260"/>
    </row>
    <row r="140" spans="1:17" x14ac:dyDescent="0.25">
      <c r="A140" s="260"/>
      <c r="B140" s="260"/>
      <c r="C140" s="260"/>
      <c r="D140" s="260"/>
      <c r="E140" s="260"/>
      <c r="F140" s="260"/>
      <c r="G140" s="260"/>
      <c r="H140" s="260"/>
      <c r="I140" s="260"/>
      <c r="J140" s="260"/>
      <c r="K140" s="260"/>
      <c r="L140" s="260"/>
    </row>
    <row r="141" spans="1:17" x14ac:dyDescent="0.25">
      <c r="A141" s="260"/>
      <c r="B141" s="260"/>
      <c r="C141" s="260"/>
      <c r="D141" s="260"/>
      <c r="E141" s="260"/>
      <c r="F141" s="260"/>
      <c r="G141" s="260"/>
      <c r="H141" s="260"/>
      <c r="I141" s="260"/>
      <c r="J141" s="260"/>
      <c r="K141" s="260"/>
      <c r="L141" s="260"/>
    </row>
    <row r="142" spans="1:17" x14ac:dyDescent="0.25">
      <c r="A142" s="260"/>
      <c r="B142" s="260"/>
      <c r="C142" s="260"/>
      <c r="D142" s="260"/>
      <c r="E142" s="260"/>
      <c r="F142" s="260"/>
      <c r="G142" s="260"/>
      <c r="H142" s="260"/>
      <c r="I142" s="260"/>
      <c r="J142" s="260"/>
      <c r="K142" s="260"/>
      <c r="L142" s="260"/>
    </row>
    <row r="143" spans="1:17" x14ac:dyDescent="0.25">
      <c r="A143" s="260"/>
      <c r="B143" s="260"/>
      <c r="C143" s="260"/>
      <c r="D143" s="260"/>
      <c r="E143" s="260"/>
      <c r="F143" s="260"/>
      <c r="G143" s="260"/>
      <c r="H143" s="260"/>
      <c r="I143" s="260"/>
      <c r="J143" s="260"/>
      <c r="K143" s="260"/>
      <c r="L143" s="260"/>
    </row>
    <row r="144" spans="1:17" x14ac:dyDescent="0.25">
      <c r="A144" s="260"/>
      <c r="B144" s="260"/>
      <c r="C144" s="260"/>
      <c r="D144" s="260"/>
      <c r="E144" s="260"/>
      <c r="F144" s="260"/>
      <c r="G144" s="260"/>
      <c r="H144" s="260"/>
      <c r="I144" s="260"/>
      <c r="J144" s="260"/>
      <c r="K144" s="260"/>
      <c r="L144" s="260"/>
    </row>
    <row r="145" spans="1:12" x14ac:dyDescent="0.25">
      <c r="A145" s="260"/>
      <c r="B145" s="260"/>
      <c r="C145" s="260"/>
      <c r="D145" s="260"/>
      <c r="E145" s="260"/>
      <c r="F145" s="260"/>
      <c r="G145" s="260"/>
      <c r="H145" s="260"/>
      <c r="I145" s="260"/>
      <c r="J145" s="260"/>
      <c r="K145" s="260"/>
      <c r="L145" s="260"/>
    </row>
    <row r="146" spans="1:12" x14ac:dyDescent="0.25">
      <c r="A146" s="260"/>
      <c r="B146" s="260"/>
      <c r="C146" s="260"/>
      <c r="D146" s="260"/>
      <c r="E146" s="260"/>
      <c r="F146" s="260"/>
      <c r="G146" s="260"/>
      <c r="H146" s="260"/>
      <c r="I146" s="260"/>
      <c r="J146" s="260"/>
      <c r="K146" s="260"/>
      <c r="L146" s="260"/>
    </row>
    <row r="147" spans="1:12" x14ac:dyDescent="0.25">
      <c r="A147" s="260"/>
      <c r="B147" s="260"/>
      <c r="C147" s="260"/>
      <c r="D147" s="260"/>
      <c r="E147" s="260"/>
      <c r="F147" s="260"/>
      <c r="G147" s="260"/>
      <c r="H147" s="260"/>
      <c r="I147" s="260"/>
      <c r="J147" s="260"/>
      <c r="K147" s="260"/>
      <c r="L147" s="260"/>
    </row>
    <row r="148" spans="1:12" x14ac:dyDescent="0.25">
      <c r="A148" s="260"/>
      <c r="B148" s="260"/>
      <c r="C148" s="260"/>
      <c r="D148" s="260"/>
      <c r="E148" s="260"/>
      <c r="F148" s="260"/>
      <c r="G148" s="260"/>
      <c r="H148" s="260"/>
      <c r="I148" s="260"/>
      <c r="J148" s="260"/>
      <c r="K148" s="260"/>
      <c r="L148" s="260"/>
    </row>
    <row r="149" spans="1:12" x14ac:dyDescent="0.25">
      <c r="A149" s="260"/>
      <c r="B149" s="260"/>
      <c r="C149" s="260"/>
      <c r="D149" s="260"/>
      <c r="E149" s="260"/>
      <c r="F149" s="260"/>
      <c r="G149" s="260"/>
      <c r="H149" s="260"/>
      <c r="I149" s="260"/>
      <c r="J149" s="260"/>
      <c r="K149" s="260"/>
      <c r="L149" s="260"/>
    </row>
    <row r="150" spans="1:12" x14ac:dyDescent="0.25">
      <c r="A150" s="260"/>
      <c r="B150" s="260"/>
      <c r="C150" s="260"/>
      <c r="D150" s="260"/>
      <c r="E150" s="260"/>
      <c r="F150" s="260"/>
      <c r="G150" s="260"/>
      <c r="H150" s="260"/>
      <c r="I150" s="260"/>
      <c r="J150" s="260"/>
      <c r="K150" s="260"/>
      <c r="L150" s="260"/>
    </row>
    <row r="151" spans="1:12" x14ac:dyDescent="0.25">
      <c r="A151" s="260"/>
      <c r="B151" s="260"/>
      <c r="C151" s="260"/>
      <c r="D151" s="260"/>
      <c r="E151" s="260"/>
      <c r="F151" s="260"/>
      <c r="G151" s="260"/>
      <c r="H151" s="260"/>
      <c r="I151" s="260"/>
      <c r="J151" s="260"/>
      <c r="K151" s="260"/>
      <c r="L151" s="260"/>
    </row>
    <row r="152" spans="1:12" x14ac:dyDescent="0.25">
      <c r="A152" s="260"/>
      <c r="B152" s="260"/>
      <c r="C152" s="260"/>
      <c r="D152" s="260"/>
      <c r="E152" s="260"/>
      <c r="F152" s="260"/>
      <c r="G152" s="260"/>
      <c r="H152" s="260"/>
      <c r="I152" s="260"/>
      <c r="J152" s="260"/>
      <c r="K152" s="260"/>
      <c r="L152" s="260"/>
    </row>
    <row r="153" spans="1:12" x14ac:dyDescent="0.25">
      <c r="A153" s="260"/>
      <c r="B153" s="260"/>
      <c r="C153" s="260"/>
      <c r="D153" s="260"/>
      <c r="E153" s="260"/>
      <c r="F153" s="260"/>
      <c r="G153" s="260"/>
      <c r="H153" s="260"/>
      <c r="I153" s="260"/>
      <c r="J153" s="260"/>
      <c r="K153" s="260"/>
      <c r="L153" s="260"/>
    </row>
    <row r="154" spans="1:12" x14ac:dyDescent="0.25">
      <c r="A154" s="260"/>
      <c r="B154" s="260"/>
      <c r="C154" s="260"/>
      <c r="D154" s="260"/>
      <c r="E154" s="260"/>
      <c r="F154" s="260"/>
      <c r="G154" s="260"/>
      <c r="H154" s="260"/>
      <c r="I154" s="260"/>
      <c r="J154" s="260"/>
      <c r="K154" s="260"/>
      <c r="L154" s="260"/>
    </row>
    <row r="155" spans="1:12" x14ac:dyDescent="0.25">
      <c r="A155" s="260"/>
      <c r="B155" s="260"/>
      <c r="C155" s="260"/>
      <c r="D155" s="260"/>
      <c r="E155" s="260"/>
      <c r="F155" s="260"/>
      <c r="G155" s="260"/>
      <c r="H155" s="260"/>
      <c r="I155" s="260"/>
      <c r="J155" s="260"/>
      <c r="K155" s="260"/>
      <c r="L155" s="260"/>
    </row>
    <row r="156" spans="1:12" x14ac:dyDescent="0.25">
      <c r="A156" s="260"/>
      <c r="B156" s="260"/>
      <c r="C156" s="260"/>
      <c r="D156" s="260"/>
      <c r="E156" s="260"/>
      <c r="F156" s="260"/>
      <c r="G156" s="260"/>
      <c r="H156" s="260"/>
      <c r="I156" s="260"/>
      <c r="J156" s="260"/>
      <c r="K156" s="260"/>
      <c r="L156" s="260"/>
    </row>
    <row r="157" spans="1:12" x14ac:dyDescent="0.25">
      <c r="A157" s="260"/>
      <c r="B157" s="260"/>
      <c r="C157" s="260"/>
      <c r="D157" s="260"/>
      <c r="E157" s="260"/>
      <c r="F157" s="260"/>
      <c r="G157" s="260"/>
      <c r="H157" s="260"/>
      <c r="I157" s="260"/>
      <c r="J157" s="260"/>
      <c r="K157" s="260"/>
      <c r="L157" s="260"/>
    </row>
    <row r="158" spans="1:12" x14ac:dyDescent="0.25">
      <c r="A158" s="260"/>
      <c r="B158" s="260"/>
      <c r="C158" s="260"/>
      <c r="D158" s="260"/>
      <c r="E158" s="260"/>
      <c r="F158" s="260"/>
      <c r="G158" s="260"/>
      <c r="H158" s="260"/>
      <c r="I158" s="260"/>
      <c r="J158" s="260"/>
      <c r="K158" s="260"/>
      <c r="L158" s="260"/>
    </row>
    <row r="159" spans="1:12" x14ac:dyDescent="0.25">
      <c r="A159" s="260"/>
      <c r="B159" s="260"/>
      <c r="C159" s="260"/>
      <c r="D159" s="260"/>
      <c r="E159" s="260"/>
      <c r="F159" s="260"/>
      <c r="G159" s="260"/>
      <c r="H159" s="260"/>
      <c r="I159" s="260"/>
      <c r="J159" s="260"/>
      <c r="K159" s="260"/>
      <c r="L159" s="260"/>
    </row>
    <row r="160" spans="1:12" x14ac:dyDescent="0.25">
      <c r="A160" s="260"/>
      <c r="B160" s="260"/>
      <c r="C160" s="260"/>
      <c r="D160" s="260"/>
      <c r="E160" s="260"/>
      <c r="F160" s="260"/>
      <c r="G160" s="260"/>
      <c r="H160" s="260"/>
      <c r="I160" s="260"/>
      <c r="J160" s="260"/>
      <c r="K160" s="260"/>
      <c r="L160" s="260"/>
    </row>
    <row r="161" spans="1:12" x14ac:dyDescent="0.25">
      <c r="A161" s="260"/>
      <c r="B161" s="260"/>
      <c r="C161" s="260"/>
      <c r="D161" s="260"/>
      <c r="E161" s="260"/>
      <c r="F161" s="260"/>
      <c r="G161" s="260"/>
      <c r="H161" s="260"/>
      <c r="I161" s="260"/>
      <c r="J161" s="260"/>
      <c r="K161" s="260"/>
      <c r="L161" s="260"/>
    </row>
    <row r="162" spans="1:12" x14ac:dyDescent="0.25">
      <c r="A162" s="260"/>
      <c r="B162" s="260"/>
      <c r="C162" s="260"/>
      <c r="D162" s="260"/>
      <c r="E162" s="260"/>
      <c r="F162" s="260"/>
      <c r="G162" s="260"/>
      <c r="H162" s="260"/>
      <c r="I162" s="260"/>
      <c r="J162" s="260"/>
      <c r="K162" s="260"/>
      <c r="L162" s="260"/>
    </row>
    <row r="163" spans="1:12" x14ac:dyDescent="0.25">
      <c r="A163" s="260"/>
      <c r="B163" s="260"/>
      <c r="C163" s="260"/>
      <c r="D163" s="260"/>
      <c r="E163" s="260"/>
      <c r="F163" s="260"/>
      <c r="G163" s="260"/>
      <c r="H163" s="260"/>
      <c r="I163" s="260"/>
      <c r="J163" s="260"/>
      <c r="K163" s="260"/>
      <c r="L163" s="260"/>
    </row>
    <row r="164" spans="1:12" x14ac:dyDescent="0.25">
      <c r="A164" s="260"/>
      <c r="B164" s="260"/>
      <c r="C164" s="260"/>
      <c r="D164" s="260"/>
      <c r="E164" s="260"/>
      <c r="F164" s="260"/>
      <c r="G164" s="260"/>
      <c r="H164" s="260"/>
      <c r="I164" s="260"/>
      <c r="J164" s="260"/>
      <c r="K164" s="260"/>
      <c r="L164" s="260"/>
    </row>
    <row r="165" spans="1:12" x14ac:dyDescent="0.25">
      <c r="A165" s="260"/>
      <c r="B165" s="260"/>
      <c r="C165" s="260"/>
      <c r="D165" s="260"/>
      <c r="E165" s="260"/>
      <c r="F165" s="260"/>
      <c r="G165" s="260"/>
      <c r="H165" s="260"/>
      <c r="I165" s="260"/>
      <c r="J165" s="260"/>
      <c r="K165" s="260"/>
      <c r="L165" s="260"/>
    </row>
    <row r="166" spans="1:12" x14ac:dyDescent="0.25">
      <c r="A166" s="260"/>
      <c r="B166" s="260"/>
      <c r="C166" s="260"/>
      <c r="D166" s="260"/>
      <c r="E166" s="260"/>
      <c r="F166" s="260"/>
      <c r="G166" s="260"/>
      <c r="H166" s="260"/>
      <c r="I166" s="260"/>
      <c r="J166" s="260"/>
      <c r="K166" s="260"/>
      <c r="L166" s="260"/>
    </row>
    <row r="167" spans="1:12" x14ac:dyDescent="0.25">
      <c r="A167" s="260"/>
      <c r="B167" s="260"/>
      <c r="C167" s="260"/>
      <c r="D167" s="260"/>
      <c r="E167" s="260"/>
      <c r="F167" s="260"/>
      <c r="G167" s="260"/>
      <c r="H167" s="260"/>
      <c r="I167" s="260"/>
      <c r="J167" s="260"/>
      <c r="K167" s="260"/>
      <c r="L167" s="260"/>
    </row>
    <row r="168" spans="1:12" x14ac:dyDescent="0.25">
      <c r="A168" s="260"/>
      <c r="B168" s="260"/>
      <c r="C168" s="260"/>
      <c r="D168" s="260"/>
      <c r="E168" s="260"/>
      <c r="F168" s="260"/>
      <c r="G168" s="260"/>
      <c r="H168" s="260"/>
      <c r="I168" s="260"/>
      <c r="J168" s="260"/>
      <c r="K168" s="260"/>
      <c r="L168" s="260"/>
    </row>
    <row r="169" spans="1:12" x14ac:dyDescent="0.25">
      <c r="A169" s="260"/>
      <c r="B169" s="260"/>
      <c r="C169" s="260"/>
      <c r="D169" s="260"/>
      <c r="E169" s="260"/>
      <c r="F169" s="260"/>
      <c r="G169" s="260"/>
      <c r="H169" s="260"/>
      <c r="I169" s="260"/>
      <c r="J169" s="260"/>
      <c r="K169" s="260"/>
      <c r="L169" s="260"/>
    </row>
    <row r="170" spans="1:12" x14ac:dyDescent="0.25">
      <c r="A170" s="260"/>
      <c r="B170" s="260"/>
      <c r="C170" s="260"/>
      <c r="D170" s="260"/>
      <c r="E170" s="260"/>
      <c r="F170" s="260"/>
      <c r="G170" s="260"/>
      <c r="H170" s="260"/>
      <c r="I170" s="260"/>
      <c r="J170" s="260"/>
      <c r="K170" s="260"/>
      <c r="L170" s="260"/>
    </row>
  </sheetData>
  <mergeCells count="1">
    <mergeCell ref="A16:L170"/>
  </mergeCells>
  <pageMargins left="0.70866141732283472" right="0.70866141732283472" top="0.74803149606299213" bottom="0.74803149606299213" header="0.31496062992125984" footer="0.31496062992125984"/>
  <pageSetup paperSize="9" orientation="landscape" r:id="rId1"/>
  <tableParts count="248">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 r:id="rId77"/>
    <tablePart r:id="rId78"/>
    <tablePart r:id="rId79"/>
    <tablePart r:id="rId80"/>
    <tablePart r:id="rId81"/>
    <tablePart r:id="rId82"/>
    <tablePart r:id="rId83"/>
    <tablePart r:id="rId84"/>
    <tablePart r:id="rId85"/>
    <tablePart r:id="rId86"/>
    <tablePart r:id="rId87"/>
    <tablePart r:id="rId88"/>
    <tablePart r:id="rId89"/>
    <tablePart r:id="rId90"/>
    <tablePart r:id="rId91"/>
    <tablePart r:id="rId92"/>
    <tablePart r:id="rId93"/>
    <tablePart r:id="rId94"/>
    <tablePart r:id="rId95"/>
    <tablePart r:id="rId96"/>
    <tablePart r:id="rId97"/>
    <tablePart r:id="rId98"/>
    <tablePart r:id="rId99"/>
    <tablePart r:id="rId100"/>
    <tablePart r:id="rId101"/>
    <tablePart r:id="rId102"/>
    <tablePart r:id="rId103"/>
    <tablePart r:id="rId104"/>
    <tablePart r:id="rId105"/>
    <tablePart r:id="rId106"/>
    <tablePart r:id="rId107"/>
    <tablePart r:id="rId108"/>
    <tablePart r:id="rId109"/>
    <tablePart r:id="rId110"/>
    <tablePart r:id="rId111"/>
    <tablePart r:id="rId112"/>
    <tablePart r:id="rId113"/>
    <tablePart r:id="rId114"/>
    <tablePart r:id="rId115"/>
    <tablePart r:id="rId116"/>
    <tablePart r:id="rId117"/>
    <tablePart r:id="rId118"/>
    <tablePart r:id="rId119"/>
    <tablePart r:id="rId120"/>
    <tablePart r:id="rId121"/>
    <tablePart r:id="rId122"/>
    <tablePart r:id="rId123"/>
    <tablePart r:id="rId124"/>
    <tablePart r:id="rId125"/>
    <tablePart r:id="rId126"/>
    <tablePart r:id="rId127"/>
    <tablePart r:id="rId128"/>
    <tablePart r:id="rId129"/>
    <tablePart r:id="rId130"/>
    <tablePart r:id="rId131"/>
    <tablePart r:id="rId132"/>
    <tablePart r:id="rId133"/>
    <tablePart r:id="rId134"/>
    <tablePart r:id="rId135"/>
    <tablePart r:id="rId136"/>
    <tablePart r:id="rId137"/>
    <tablePart r:id="rId138"/>
    <tablePart r:id="rId139"/>
    <tablePart r:id="rId140"/>
    <tablePart r:id="rId141"/>
    <tablePart r:id="rId142"/>
    <tablePart r:id="rId143"/>
    <tablePart r:id="rId144"/>
    <tablePart r:id="rId145"/>
    <tablePart r:id="rId146"/>
    <tablePart r:id="rId147"/>
    <tablePart r:id="rId148"/>
    <tablePart r:id="rId149"/>
    <tablePart r:id="rId150"/>
    <tablePart r:id="rId151"/>
    <tablePart r:id="rId152"/>
    <tablePart r:id="rId153"/>
    <tablePart r:id="rId154"/>
    <tablePart r:id="rId155"/>
    <tablePart r:id="rId156"/>
    <tablePart r:id="rId157"/>
    <tablePart r:id="rId158"/>
    <tablePart r:id="rId159"/>
    <tablePart r:id="rId160"/>
    <tablePart r:id="rId161"/>
    <tablePart r:id="rId162"/>
    <tablePart r:id="rId163"/>
    <tablePart r:id="rId164"/>
    <tablePart r:id="rId165"/>
    <tablePart r:id="rId166"/>
    <tablePart r:id="rId167"/>
    <tablePart r:id="rId168"/>
    <tablePart r:id="rId169"/>
    <tablePart r:id="rId170"/>
    <tablePart r:id="rId171"/>
    <tablePart r:id="rId172"/>
    <tablePart r:id="rId173"/>
    <tablePart r:id="rId174"/>
    <tablePart r:id="rId175"/>
    <tablePart r:id="rId176"/>
    <tablePart r:id="rId177"/>
    <tablePart r:id="rId178"/>
    <tablePart r:id="rId179"/>
    <tablePart r:id="rId180"/>
    <tablePart r:id="rId181"/>
    <tablePart r:id="rId182"/>
    <tablePart r:id="rId183"/>
    <tablePart r:id="rId184"/>
    <tablePart r:id="rId185"/>
    <tablePart r:id="rId186"/>
    <tablePart r:id="rId187"/>
    <tablePart r:id="rId188"/>
    <tablePart r:id="rId189"/>
    <tablePart r:id="rId190"/>
    <tablePart r:id="rId191"/>
    <tablePart r:id="rId192"/>
    <tablePart r:id="rId193"/>
    <tablePart r:id="rId194"/>
    <tablePart r:id="rId195"/>
    <tablePart r:id="rId196"/>
    <tablePart r:id="rId197"/>
    <tablePart r:id="rId198"/>
    <tablePart r:id="rId199"/>
    <tablePart r:id="rId200"/>
    <tablePart r:id="rId201"/>
    <tablePart r:id="rId202"/>
    <tablePart r:id="rId203"/>
    <tablePart r:id="rId204"/>
    <tablePart r:id="rId205"/>
    <tablePart r:id="rId206"/>
    <tablePart r:id="rId207"/>
    <tablePart r:id="rId208"/>
    <tablePart r:id="rId209"/>
    <tablePart r:id="rId210"/>
    <tablePart r:id="rId211"/>
    <tablePart r:id="rId212"/>
    <tablePart r:id="rId213"/>
    <tablePart r:id="rId214"/>
    <tablePart r:id="rId215"/>
    <tablePart r:id="rId216"/>
    <tablePart r:id="rId217"/>
    <tablePart r:id="rId218"/>
    <tablePart r:id="rId219"/>
    <tablePart r:id="rId220"/>
    <tablePart r:id="rId221"/>
    <tablePart r:id="rId222"/>
    <tablePart r:id="rId223"/>
    <tablePart r:id="rId224"/>
    <tablePart r:id="rId225"/>
    <tablePart r:id="rId226"/>
    <tablePart r:id="rId227"/>
    <tablePart r:id="rId228"/>
    <tablePart r:id="rId229"/>
    <tablePart r:id="rId230"/>
    <tablePart r:id="rId231"/>
    <tablePart r:id="rId232"/>
    <tablePart r:id="rId233"/>
    <tablePart r:id="rId234"/>
    <tablePart r:id="rId235"/>
    <tablePart r:id="rId236"/>
    <tablePart r:id="rId237"/>
    <tablePart r:id="rId238"/>
    <tablePart r:id="rId239"/>
    <tablePart r:id="rId240"/>
    <tablePart r:id="rId241"/>
    <tablePart r:id="rId242"/>
    <tablePart r:id="rId243"/>
    <tablePart r:id="rId244"/>
    <tablePart r:id="rId245"/>
    <tablePart r:id="rId246"/>
    <tablePart r:id="rId247"/>
    <tablePart r:id="rId248"/>
    <tablePart r:id="rId249"/>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411"/>
  <dimension ref="B1:O108"/>
  <sheetViews>
    <sheetView topLeftCell="A90" zoomScale="85" zoomScaleNormal="85" workbookViewId="0">
      <selection activeCell="L111" sqref="L111"/>
    </sheetView>
  </sheetViews>
  <sheetFormatPr defaultColWidth="4.7109375" defaultRowHeight="21" customHeight="1" x14ac:dyDescent="0.25"/>
  <cols>
    <col min="1" max="2" width="4.7109375" style="5"/>
    <col min="3" max="3" width="4.7109375" style="15"/>
    <col min="4" max="16384" width="4.7109375" style="5"/>
  </cols>
  <sheetData>
    <row r="1" spans="2:15" s="16" customFormat="1" ht="21" customHeight="1" x14ac:dyDescent="0.25">
      <c r="C1" s="17"/>
    </row>
    <row r="2" spans="2:15" s="16" customFormat="1" ht="21" customHeight="1" x14ac:dyDescent="0.25">
      <c r="B2" s="18"/>
      <c r="C2" s="18">
        <v>0</v>
      </c>
      <c r="E2" s="18">
        <v>0</v>
      </c>
      <c r="F2" s="18">
        <f>C2</f>
        <v>0</v>
      </c>
      <c r="H2" s="18">
        <v>1</v>
      </c>
      <c r="I2" s="18">
        <f>F2</f>
        <v>0</v>
      </c>
      <c r="K2" s="18"/>
      <c r="L2" s="18">
        <f>I2</f>
        <v>0</v>
      </c>
      <c r="N2" s="18"/>
      <c r="O2" s="18">
        <f>L2</f>
        <v>0</v>
      </c>
    </row>
    <row r="3" spans="2:15" s="16" customFormat="1" ht="21" customHeight="1" x14ac:dyDescent="0.25">
      <c r="B3" s="18">
        <v>0</v>
      </c>
      <c r="C3" s="18"/>
      <c r="E3" s="18">
        <f>B3</f>
        <v>0</v>
      </c>
      <c r="F3" s="18"/>
      <c r="H3" s="18">
        <f>E3</f>
        <v>0</v>
      </c>
      <c r="I3" s="18"/>
      <c r="K3" s="18">
        <f>H3</f>
        <v>0</v>
      </c>
      <c r="L3" s="18"/>
      <c r="N3" s="18">
        <f>K3</f>
        <v>0</v>
      </c>
      <c r="O3" s="18"/>
    </row>
    <row r="4" spans="2:15" s="16" customFormat="1" ht="21" customHeight="1" x14ac:dyDescent="0.25">
      <c r="C4" s="17"/>
    </row>
    <row r="5" spans="2:15" s="16" customFormat="1" ht="21" customHeight="1" x14ac:dyDescent="0.25">
      <c r="B5" s="18"/>
      <c r="C5" s="18">
        <f>C2+1</f>
        <v>1</v>
      </c>
      <c r="E5" s="18">
        <v>3</v>
      </c>
      <c r="F5" s="18">
        <f>C5</f>
        <v>1</v>
      </c>
      <c r="H5" s="18"/>
      <c r="I5" s="18">
        <f>F5</f>
        <v>1</v>
      </c>
      <c r="K5" s="18"/>
      <c r="L5" s="18">
        <f>I5</f>
        <v>1</v>
      </c>
      <c r="N5" s="18"/>
      <c r="O5" s="18">
        <f>L5</f>
        <v>1</v>
      </c>
    </row>
    <row r="6" spans="2:15" s="16" customFormat="1" ht="21" customHeight="1" x14ac:dyDescent="0.25">
      <c r="B6" s="18">
        <f>B3</f>
        <v>0</v>
      </c>
      <c r="C6" s="18"/>
      <c r="E6" s="18">
        <f>B6</f>
        <v>0</v>
      </c>
      <c r="F6" s="18"/>
      <c r="H6" s="18">
        <f>E6</f>
        <v>0</v>
      </c>
      <c r="I6" s="18"/>
      <c r="K6" s="18">
        <f>H6</f>
        <v>0</v>
      </c>
      <c r="L6" s="18"/>
      <c r="N6" s="18">
        <f>K6</f>
        <v>0</v>
      </c>
      <c r="O6" s="18"/>
    </row>
    <row r="7" spans="2:15" s="16" customFormat="1" ht="21" customHeight="1" x14ac:dyDescent="0.25">
      <c r="C7" s="17"/>
    </row>
    <row r="8" spans="2:15" s="16" customFormat="1" ht="21" customHeight="1" x14ac:dyDescent="0.25">
      <c r="B8" s="18"/>
      <c r="C8" s="18">
        <f>C5+1</f>
        <v>2</v>
      </c>
      <c r="E8" s="18">
        <v>0</v>
      </c>
      <c r="F8" s="18">
        <f>C8</f>
        <v>2</v>
      </c>
      <c r="H8" s="18">
        <v>1</v>
      </c>
      <c r="I8" s="18">
        <f>F8</f>
        <v>2</v>
      </c>
      <c r="K8" s="18"/>
      <c r="L8" s="18">
        <f>I8</f>
        <v>2</v>
      </c>
      <c r="N8" s="18"/>
      <c r="O8" s="18">
        <f>L8</f>
        <v>2</v>
      </c>
    </row>
    <row r="9" spans="2:15" s="16" customFormat="1" ht="21" customHeight="1" x14ac:dyDescent="0.25">
      <c r="B9" s="18">
        <f>B6</f>
        <v>0</v>
      </c>
      <c r="C9" s="18"/>
      <c r="E9" s="18">
        <f>B9</f>
        <v>0</v>
      </c>
      <c r="F9" s="18"/>
      <c r="H9" s="18">
        <f>E9</f>
        <v>0</v>
      </c>
      <c r="I9" s="18"/>
      <c r="K9" s="18">
        <f>H9</f>
        <v>0</v>
      </c>
      <c r="L9" s="18"/>
      <c r="N9" s="18">
        <f>K9</f>
        <v>0</v>
      </c>
      <c r="O9" s="18"/>
    </row>
    <row r="10" spans="2:15" s="16" customFormat="1" ht="21" customHeight="1" x14ac:dyDescent="0.25">
      <c r="C10" s="17"/>
    </row>
    <row r="11" spans="2:15" s="16" customFormat="1" ht="21" customHeight="1" x14ac:dyDescent="0.25">
      <c r="B11" s="18"/>
      <c r="C11" s="18">
        <f>C8+1</f>
        <v>3</v>
      </c>
      <c r="E11" s="18">
        <v>3</v>
      </c>
      <c r="F11" s="18">
        <f>C11</f>
        <v>3</v>
      </c>
      <c r="H11" s="18"/>
      <c r="I11" s="18">
        <f>F11</f>
        <v>3</v>
      </c>
      <c r="K11" s="18"/>
      <c r="L11" s="18">
        <f>I11</f>
        <v>3</v>
      </c>
      <c r="N11" s="18"/>
      <c r="O11" s="18">
        <f>L11</f>
        <v>3</v>
      </c>
    </row>
    <row r="12" spans="2:15" s="16" customFormat="1" ht="21" customHeight="1" x14ac:dyDescent="0.25">
      <c r="B12" s="18">
        <f>B9</f>
        <v>0</v>
      </c>
      <c r="C12" s="18"/>
      <c r="E12" s="18">
        <f>B12</f>
        <v>0</v>
      </c>
      <c r="F12" s="18"/>
      <c r="H12" s="18">
        <f>E12</f>
        <v>0</v>
      </c>
      <c r="I12" s="18"/>
      <c r="K12" s="18">
        <f>H12</f>
        <v>0</v>
      </c>
      <c r="L12" s="18"/>
      <c r="N12" s="18">
        <f>K12</f>
        <v>0</v>
      </c>
      <c r="O12" s="18"/>
    </row>
    <row r="13" spans="2:15" s="16" customFormat="1" ht="21" customHeight="1" x14ac:dyDescent="0.25">
      <c r="C13" s="17"/>
    </row>
    <row r="14" spans="2:15" s="16" customFormat="1" ht="21" customHeight="1" x14ac:dyDescent="0.25">
      <c r="B14" s="18"/>
      <c r="C14" s="18">
        <f>C11+1</f>
        <v>4</v>
      </c>
      <c r="E14" s="18">
        <v>0</v>
      </c>
      <c r="F14" s="18">
        <f>C14</f>
        <v>4</v>
      </c>
      <c r="H14" s="18">
        <v>1</v>
      </c>
      <c r="I14" s="18">
        <f>F14</f>
        <v>4</v>
      </c>
      <c r="K14" s="18"/>
      <c r="L14" s="18">
        <f>I14</f>
        <v>4</v>
      </c>
      <c r="N14" s="18"/>
      <c r="O14" s="18">
        <f>L14</f>
        <v>4</v>
      </c>
    </row>
    <row r="15" spans="2:15" s="16" customFormat="1" ht="21" customHeight="1" x14ac:dyDescent="0.25">
      <c r="B15" s="18">
        <f>B12</f>
        <v>0</v>
      </c>
      <c r="C15" s="18"/>
      <c r="E15" s="18">
        <f>B15</f>
        <v>0</v>
      </c>
      <c r="F15" s="18"/>
      <c r="H15" s="18">
        <f>E15</f>
        <v>0</v>
      </c>
      <c r="I15" s="18"/>
      <c r="K15" s="18">
        <f>H15</f>
        <v>0</v>
      </c>
      <c r="L15" s="18"/>
      <c r="N15" s="18">
        <f>K15</f>
        <v>0</v>
      </c>
      <c r="O15" s="18"/>
    </row>
    <row r="16" spans="2:15" s="16" customFormat="1" ht="21" customHeight="1" x14ac:dyDescent="0.25">
      <c r="C16" s="17"/>
    </row>
    <row r="17" spans="2:15" s="16" customFormat="1" ht="21" customHeight="1" x14ac:dyDescent="0.25">
      <c r="B17" s="18"/>
      <c r="C17" s="18">
        <f>C14+1</f>
        <v>5</v>
      </c>
      <c r="E17" s="18">
        <v>3</v>
      </c>
      <c r="F17" s="18">
        <f>C17</f>
        <v>5</v>
      </c>
      <c r="H17" s="18"/>
      <c r="I17" s="18">
        <f>F17</f>
        <v>5</v>
      </c>
      <c r="K17" s="18"/>
      <c r="L17" s="18">
        <f>I17</f>
        <v>5</v>
      </c>
      <c r="N17" s="18"/>
      <c r="O17" s="18">
        <f>L17</f>
        <v>5</v>
      </c>
    </row>
    <row r="18" spans="2:15" s="19" customFormat="1" ht="21" customHeight="1" x14ac:dyDescent="0.25">
      <c r="B18" s="18">
        <f>B15</f>
        <v>0</v>
      </c>
      <c r="C18" s="18"/>
      <c r="E18" s="18">
        <f>B18</f>
        <v>0</v>
      </c>
      <c r="F18" s="18"/>
      <c r="H18" s="18">
        <f>E18</f>
        <v>0</v>
      </c>
      <c r="I18" s="18"/>
      <c r="K18" s="18">
        <f>H18</f>
        <v>0</v>
      </c>
      <c r="L18" s="18"/>
      <c r="N18" s="18">
        <f>K18</f>
        <v>0</v>
      </c>
      <c r="O18" s="18"/>
    </row>
    <row r="19" spans="2:15" s="20" customFormat="1" ht="21" customHeight="1" x14ac:dyDescent="0.25">
      <c r="C19" s="21"/>
    </row>
    <row r="20" spans="2:15" s="20" customFormat="1" ht="21" customHeight="1" x14ac:dyDescent="0.25">
      <c r="B20" s="22"/>
      <c r="C20" s="22">
        <v>0</v>
      </c>
      <c r="E20" s="22">
        <v>2</v>
      </c>
      <c r="F20" s="22">
        <f>C20</f>
        <v>0</v>
      </c>
      <c r="H20" s="22"/>
      <c r="I20" s="22">
        <f>F20</f>
        <v>0</v>
      </c>
      <c r="K20" s="22"/>
      <c r="L20" s="22">
        <f>I20</f>
        <v>0</v>
      </c>
      <c r="N20" s="22"/>
      <c r="O20" s="22">
        <f>L20</f>
        <v>0</v>
      </c>
    </row>
    <row r="21" spans="2:15" s="20" customFormat="1" ht="21" customHeight="1" x14ac:dyDescent="0.25">
      <c r="B21" s="22">
        <v>1</v>
      </c>
      <c r="C21" s="22"/>
      <c r="E21" s="22">
        <f>B21</f>
        <v>1</v>
      </c>
      <c r="F21" s="22"/>
      <c r="H21" s="22">
        <f>E21</f>
        <v>1</v>
      </c>
      <c r="I21" s="22"/>
      <c r="K21" s="22">
        <f>H21</f>
        <v>1</v>
      </c>
      <c r="L21" s="22"/>
      <c r="N21" s="22">
        <f>K21</f>
        <v>1</v>
      </c>
      <c r="O21" s="22"/>
    </row>
    <row r="22" spans="2:15" s="20" customFormat="1" ht="21" customHeight="1" x14ac:dyDescent="0.25">
      <c r="C22" s="21"/>
    </row>
    <row r="23" spans="2:15" s="20" customFormat="1" ht="21" customHeight="1" x14ac:dyDescent="0.25">
      <c r="B23" s="22"/>
      <c r="C23" s="22">
        <f>C20+1</f>
        <v>1</v>
      </c>
      <c r="E23" s="22">
        <v>4</v>
      </c>
      <c r="F23" s="22">
        <f>C23</f>
        <v>1</v>
      </c>
      <c r="H23" s="22">
        <v>5</v>
      </c>
      <c r="I23" s="22">
        <f>F23</f>
        <v>1</v>
      </c>
      <c r="K23" s="22"/>
      <c r="L23" s="22">
        <f>I23</f>
        <v>1</v>
      </c>
      <c r="N23" s="22"/>
      <c r="O23" s="22">
        <f>L23</f>
        <v>1</v>
      </c>
    </row>
    <row r="24" spans="2:15" s="20" customFormat="1" ht="21" customHeight="1" x14ac:dyDescent="0.25">
      <c r="B24" s="22">
        <f>B21</f>
        <v>1</v>
      </c>
      <c r="C24" s="22"/>
      <c r="E24" s="22">
        <f>B24</f>
        <v>1</v>
      </c>
      <c r="F24" s="22"/>
      <c r="H24" s="22">
        <f>E24</f>
        <v>1</v>
      </c>
      <c r="I24" s="22"/>
      <c r="K24" s="22">
        <f>H24</f>
        <v>1</v>
      </c>
      <c r="L24" s="22"/>
      <c r="N24" s="22">
        <f>K24</f>
        <v>1</v>
      </c>
      <c r="O24" s="22"/>
    </row>
    <row r="25" spans="2:15" s="20" customFormat="1" ht="21" customHeight="1" x14ac:dyDescent="0.25">
      <c r="C25" s="21"/>
    </row>
    <row r="26" spans="2:15" s="20" customFormat="1" ht="21" customHeight="1" x14ac:dyDescent="0.25">
      <c r="B26" s="22"/>
      <c r="C26" s="22">
        <f>C23+1</f>
        <v>2</v>
      </c>
      <c r="E26" s="22">
        <v>2</v>
      </c>
      <c r="F26" s="22">
        <f>C26</f>
        <v>2</v>
      </c>
      <c r="H26" s="22"/>
      <c r="I26" s="22">
        <f>F26</f>
        <v>2</v>
      </c>
      <c r="K26" s="22"/>
      <c r="L26" s="22">
        <f>I26</f>
        <v>2</v>
      </c>
      <c r="N26" s="22"/>
      <c r="O26" s="22">
        <f>L26</f>
        <v>2</v>
      </c>
    </row>
    <row r="27" spans="2:15" s="20" customFormat="1" ht="21" customHeight="1" x14ac:dyDescent="0.25">
      <c r="B27" s="22">
        <f>B24</f>
        <v>1</v>
      </c>
      <c r="C27" s="22"/>
      <c r="E27" s="22">
        <f>B27</f>
        <v>1</v>
      </c>
      <c r="F27" s="22"/>
      <c r="H27" s="22">
        <f>E27</f>
        <v>1</v>
      </c>
      <c r="I27" s="22"/>
      <c r="K27" s="22">
        <f>H27</f>
        <v>1</v>
      </c>
      <c r="L27" s="22"/>
      <c r="N27" s="22">
        <f>K27</f>
        <v>1</v>
      </c>
      <c r="O27" s="22"/>
    </row>
    <row r="28" spans="2:15" s="20" customFormat="1" ht="21" customHeight="1" x14ac:dyDescent="0.25">
      <c r="C28" s="21"/>
    </row>
    <row r="29" spans="2:15" s="20" customFormat="1" ht="21" customHeight="1" x14ac:dyDescent="0.25">
      <c r="B29" s="22"/>
      <c r="C29" s="22">
        <f>C26+1</f>
        <v>3</v>
      </c>
      <c r="E29" s="22">
        <v>4</v>
      </c>
      <c r="F29" s="22">
        <f>C29</f>
        <v>3</v>
      </c>
      <c r="H29" s="22">
        <v>5</v>
      </c>
      <c r="I29" s="22">
        <f>F29</f>
        <v>3</v>
      </c>
      <c r="K29" s="22"/>
      <c r="L29" s="22">
        <f>I29</f>
        <v>3</v>
      </c>
      <c r="N29" s="22"/>
      <c r="O29" s="22">
        <f>L29</f>
        <v>3</v>
      </c>
    </row>
    <row r="30" spans="2:15" s="20" customFormat="1" ht="21" customHeight="1" x14ac:dyDescent="0.25">
      <c r="B30" s="22">
        <f>B27</f>
        <v>1</v>
      </c>
      <c r="C30" s="22"/>
      <c r="E30" s="22">
        <f>B30</f>
        <v>1</v>
      </c>
      <c r="F30" s="22"/>
      <c r="H30" s="22">
        <f>E30</f>
        <v>1</v>
      </c>
      <c r="I30" s="22"/>
      <c r="K30" s="22">
        <f>H30</f>
        <v>1</v>
      </c>
      <c r="L30" s="22"/>
      <c r="N30" s="22">
        <f>K30</f>
        <v>1</v>
      </c>
      <c r="O30" s="22"/>
    </row>
    <row r="31" spans="2:15" s="20" customFormat="1" ht="21" customHeight="1" x14ac:dyDescent="0.25">
      <c r="C31" s="21"/>
    </row>
    <row r="32" spans="2:15" s="20" customFormat="1" ht="21" customHeight="1" x14ac:dyDescent="0.25">
      <c r="B32" s="22"/>
      <c r="C32" s="22">
        <f>C29+1</f>
        <v>4</v>
      </c>
      <c r="E32" s="22">
        <v>2</v>
      </c>
      <c r="F32" s="22">
        <f>C32</f>
        <v>4</v>
      </c>
      <c r="H32" s="22"/>
      <c r="I32" s="22">
        <f>F32</f>
        <v>4</v>
      </c>
      <c r="K32" s="22"/>
      <c r="L32" s="22">
        <f>I32</f>
        <v>4</v>
      </c>
      <c r="N32" s="22"/>
      <c r="O32" s="22">
        <f>L32</f>
        <v>4</v>
      </c>
    </row>
    <row r="33" spans="2:15" s="20" customFormat="1" ht="21" customHeight="1" x14ac:dyDescent="0.25">
      <c r="B33" s="22">
        <f>B30</f>
        <v>1</v>
      </c>
      <c r="C33" s="22"/>
      <c r="E33" s="22">
        <f>B33</f>
        <v>1</v>
      </c>
      <c r="F33" s="22"/>
      <c r="H33" s="22">
        <f>E33</f>
        <v>1</v>
      </c>
      <c r="I33" s="22"/>
      <c r="K33" s="22">
        <f>H33</f>
        <v>1</v>
      </c>
      <c r="L33" s="22"/>
      <c r="N33" s="22">
        <f>K33</f>
        <v>1</v>
      </c>
      <c r="O33" s="22"/>
    </row>
    <row r="34" spans="2:15" s="20" customFormat="1" ht="21" customHeight="1" x14ac:dyDescent="0.25">
      <c r="C34" s="21"/>
    </row>
    <row r="35" spans="2:15" s="20" customFormat="1" ht="21" customHeight="1" x14ac:dyDescent="0.25">
      <c r="B35" s="22"/>
      <c r="C35" s="22">
        <f>C32+1</f>
        <v>5</v>
      </c>
      <c r="E35" s="22">
        <v>4</v>
      </c>
      <c r="F35" s="22">
        <f>C35</f>
        <v>5</v>
      </c>
      <c r="H35" s="22">
        <v>5</v>
      </c>
      <c r="I35" s="22">
        <f>F35</f>
        <v>5</v>
      </c>
      <c r="K35" s="22"/>
      <c r="L35" s="22">
        <f>I35</f>
        <v>5</v>
      </c>
      <c r="N35" s="22"/>
      <c r="O35" s="22">
        <f>L35</f>
        <v>5</v>
      </c>
    </row>
    <row r="36" spans="2:15" s="23" customFormat="1" ht="21" customHeight="1" x14ac:dyDescent="0.25">
      <c r="B36" s="22">
        <f>B33</f>
        <v>1</v>
      </c>
      <c r="C36" s="22"/>
      <c r="E36" s="22">
        <f>B36</f>
        <v>1</v>
      </c>
      <c r="F36" s="22"/>
      <c r="H36" s="22">
        <f>E36</f>
        <v>1</v>
      </c>
      <c r="I36" s="22"/>
      <c r="K36" s="22">
        <f>H36</f>
        <v>1</v>
      </c>
      <c r="L36" s="22"/>
      <c r="N36" s="22">
        <f>K36</f>
        <v>1</v>
      </c>
      <c r="O36" s="22"/>
    </row>
    <row r="37" spans="2:15" s="24" customFormat="1" ht="21" customHeight="1" x14ac:dyDescent="0.25">
      <c r="C37" s="25"/>
    </row>
    <row r="38" spans="2:15" s="24" customFormat="1" ht="21" customHeight="1" x14ac:dyDescent="0.25">
      <c r="B38" s="26"/>
      <c r="C38" s="26">
        <v>0</v>
      </c>
      <c r="E38" s="26">
        <v>2</v>
      </c>
      <c r="F38" s="26">
        <f>C38</f>
        <v>0</v>
      </c>
      <c r="H38" s="26"/>
      <c r="I38" s="26">
        <f>F38</f>
        <v>0</v>
      </c>
      <c r="K38" s="26"/>
      <c r="L38" s="26">
        <f>I38</f>
        <v>0</v>
      </c>
      <c r="N38" s="26"/>
      <c r="O38" s="26">
        <f>L38</f>
        <v>0</v>
      </c>
    </row>
    <row r="39" spans="2:15" s="24" customFormat="1" ht="21" customHeight="1" x14ac:dyDescent="0.25">
      <c r="B39" s="26">
        <f>B36+1</f>
        <v>2</v>
      </c>
      <c r="C39" s="26"/>
      <c r="E39" s="26">
        <f>B39</f>
        <v>2</v>
      </c>
      <c r="F39" s="26"/>
      <c r="H39" s="26">
        <f>E39</f>
        <v>2</v>
      </c>
      <c r="I39" s="26"/>
      <c r="K39" s="26">
        <f>H39</f>
        <v>2</v>
      </c>
      <c r="L39" s="26"/>
      <c r="N39" s="26">
        <f>K39</f>
        <v>2</v>
      </c>
      <c r="O39" s="26"/>
    </row>
    <row r="40" spans="2:15" s="24" customFormat="1" ht="21" customHeight="1" x14ac:dyDescent="0.25">
      <c r="C40" s="25"/>
    </row>
    <row r="41" spans="2:15" s="24" customFormat="1" ht="21" customHeight="1" x14ac:dyDescent="0.25">
      <c r="B41" s="26"/>
      <c r="C41" s="26">
        <f>C38+1</f>
        <v>1</v>
      </c>
      <c r="E41" s="26">
        <v>4</v>
      </c>
      <c r="F41" s="26">
        <f>C41</f>
        <v>1</v>
      </c>
      <c r="H41" s="26">
        <v>5</v>
      </c>
      <c r="I41" s="26">
        <f>F41</f>
        <v>1</v>
      </c>
      <c r="K41" s="26"/>
      <c r="L41" s="26">
        <f>I41</f>
        <v>1</v>
      </c>
      <c r="N41" s="26"/>
      <c r="O41" s="26">
        <f>L41</f>
        <v>1</v>
      </c>
    </row>
    <row r="42" spans="2:15" s="24" customFormat="1" ht="21" customHeight="1" x14ac:dyDescent="0.25">
      <c r="B42" s="26">
        <f>B39</f>
        <v>2</v>
      </c>
      <c r="C42" s="26"/>
      <c r="E42" s="26">
        <f>B42</f>
        <v>2</v>
      </c>
      <c r="F42" s="26"/>
      <c r="H42" s="26">
        <f>E42</f>
        <v>2</v>
      </c>
      <c r="I42" s="26"/>
      <c r="K42" s="26">
        <f>H42</f>
        <v>2</v>
      </c>
      <c r="L42" s="26"/>
      <c r="N42" s="26">
        <f>K42</f>
        <v>2</v>
      </c>
      <c r="O42" s="26"/>
    </row>
    <row r="43" spans="2:15" s="24" customFormat="1" ht="21" customHeight="1" x14ac:dyDescent="0.25">
      <c r="C43" s="25"/>
    </row>
    <row r="44" spans="2:15" s="24" customFormat="1" ht="21" customHeight="1" x14ac:dyDescent="0.25">
      <c r="B44" s="26"/>
      <c r="C44" s="26">
        <f>C41+1</f>
        <v>2</v>
      </c>
      <c r="E44" s="26">
        <v>2</v>
      </c>
      <c r="F44" s="26">
        <f>C44</f>
        <v>2</v>
      </c>
      <c r="H44" s="26"/>
      <c r="I44" s="26">
        <f>F44</f>
        <v>2</v>
      </c>
      <c r="K44" s="26"/>
      <c r="L44" s="26">
        <f>I44</f>
        <v>2</v>
      </c>
      <c r="N44" s="26"/>
      <c r="O44" s="26">
        <f>L44</f>
        <v>2</v>
      </c>
    </row>
    <row r="45" spans="2:15" s="24" customFormat="1" ht="21" customHeight="1" x14ac:dyDescent="0.25">
      <c r="B45" s="26">
        <f>B42</f>
        <v>2</v>
      </c>
      <c r="C45" s="26"/>
      <c r="E45" s="26">
        <f>B45</f>
        <v>2</v>
      </c>
      <c r="F45" s="26"/>
      <c r="H45" s="26">
        <f>E45</f>
        <v>2</v>
      </c>
      <c r="I45" s="26"/>
      <c r="K45" s="26">
        <f>H45</f>
        <v>2</v>
      </c>
      <c r="L45" s="26"/>
      <c r="N45" s="26">
        <f>K45</f>
        <v>2</v>
      </c>
      <c r="O45" s="26"/>
    </row>
    <row r="46" spans="2:15" s="24" customFormat="1" ht="21" customHeight="1" x14ac:dyDescent="0.25">
      <c r="C46" s="25"/>
    </row>
    <row r="47" spans="2:15" s="24" customFormat="1" ht="21" customHeight="1" x14ac:dyDescent="0.25">
      <c r="B47" s="26"/>
      <c r="C47" s="26">
        <f>C44+1</f>
        <v>3</v>
      </c>
      <c r="E47" s="26">
        <v>4</v>
      </c>
      <c r="F47" s="26">
        <f>C47</f>
        <v>3</v>
      </c>
      <c r="H47" s="26">
        <v>5</v>
      </c>
      <c r="I47" s="26">
        <f>F47</f>
        <v>3</v>
      </c>
      <c r="K47" s="26"/>
      <c r="L47" s="26">
        <f>I47</f>
        <v>3</v>
      </c>
      <c r="N47" s="26"/>
      <c r="O47" s="26">
        <f>L47</f>
        <v>3</v>
      </c>
    </row>
    <row r="48" spans="2:15" s="24" customFormat="1" ht="21" customHeight="1" x14ac:dyDescent="0.25">
      <c r="B48" s="26">
        <f>B45</f>
        <v>2</v>
      </c>
      <c r="C48" s="26"/>
      <c r="E48" s="26">
        <f>B48</f>
        <v>2</v>
      </c>
      <c r="F48" s="26"/>
      <c r="H48" s="26">
        <f>E48</f>
        <v>2</v>
      </c>
      <c r="I48" s="26"/>
      <c r="K48" s="26">
        <f>H48</f>
        <v>2</v>
      </c>
      <c r="L48" s="26"/>
      <c r="N48" s="26">
        <f>K48</f>
        <v>2</v>
      </c>
      <c r="O48" s="26"/>
    </row>
    <row r="49" spans="2:15" s="24" customFormat="1" ht="21" customHeight="1" x14ac:dyDescent="0.25">
      <c r="C49" s="25"/>
    </row>
    <row r="50" spans="2:15" s="24" customFormat="1" ht="21" customHeight="1" x14ac:dyDescent="0.25">
      <c r="B50" s="26"/>
      <c r="C50" s="26">
        <f>C47+1</f>
        <v>4</v>
      </c>
      <c r="E50" s="26">
        <v>2</v>
      </c>
      <c r="F50" s="26">
        <f>C50</f>
        <v>4</v>
      </c>
      <c r="H50" s="26"/>
      <c r="I50" s="26">
        <f>F50</f>
        <v>4</v>
      </c>
      <c r="K50" s="26"/>
      <c r="L50" s="26">
        <f>I50</f>
        <v>4</v>
      </c>
      <c r="N50" s="26"/>
      <c r="O50" s="26">
        <f>L50</f>
        <v>4</v>
      </c>
    </row>
    <row r="51" spans="2:15" s="24" customFormat="1" ht="21" customHeight="1" x14ac:dyDescent="0.25">
      <c r="B51" s="26">
        <f>B48</f>
        <v>2</v>
      </c>
      <c r="C51" s="26"/>
      <c r="E51" s="26">
        <f>B51</f>
        <v>2</v>
      </c>
      <c r="F51" s="26"/>
      <c r="H51" s="26">
        <f>E51</f>
        <v>2</v>
      </c>
      <c r="I51" s="26"/>
      <c r="K51" s="26">
        <f>H51</f>
        <v>2</v>
      </c>
      <c r="L51" s="26"/>
      <c r="N51" s="26">
        <f>K51</f>
        <v>2</v>
      </c>
      <c r="O51" s="26"/>
    </row>
    <row r="52" spans="2:15" s="24" customFormat="1" ht="21" customHeight="1" x14ac:dyDescent="0.25">
      <c r="C52" s="25"/>
    </row>
    <row r="53" spans="2:15" s="24" customFormat="1" ht="21" customHeight="1" x14ac:dyDescent="0.25">
      <c r="B53" s="26"/>
      <c r="C53" s="26">
        <f>C50+1</f>
        <v>5</v>
      </c>
      <c r="E53" s="26">
        <v>4</v>
      </c>
      <c r="F53" s="26">
        <f>C53</f>
        <v>5</v>
      </c>
      <c r="H53" s="26">
        <v>5</v>
      </c>
      <c r="I53" s="26">
        <f>F53</f>
        <v>5</v>
      </c>
      <c r="K53" s="26"/>
      <c r="L53" s="26">
        <f>I53</f>
        <v>5</v>
      </c>
      <c r="N53" s="26"/>
      <c r="O53" s="26">
        <f>L53</f>
        <v>5</v>
      </c>
    </row>
    <row r="54" spans="2:15" s="27" customFormat="1" ht="21" customHeight="1" x14ac:dyDescent="0.25">
      <c r="B54" s="26">
        <f>B51</f>
        <v>2</v>
      </c>
      <c r="C54" s="26"/>
      <c r="E54" s="26">
        <f>B54</f>
        <v>2</v>
      </c>
      <c r="F54" s="26"/>
      <c r="H54" s="26">
        <f>E54</f>
        <v>2</v>
      </c>
      <c r="I54" s="26"/>
      <c r="K54" s="26">
        <f>H54</f>
        <v>2</v>
      </c>
      <c r="L54" s="26"/>
      <c r="N54" s="26">
        <f>K54</f>
        <v>2</v>
      </c>
      <c r="O54" s="26"/>
    </row>
    <row r="55" spans="2:15" s="28" customFormat="1" ht="21" customHeight="1" x14ac:dyDescent="0.25">
      <c r="C55" s="29"/>
    </row>
    <row r="56" spans="2:15" s="28" customFormat="1" ht="21" customHeight="1" x14ac:dyDescent="0.25">
      <c r="B56" s="30"/>
      <c r="C56" s="30">
        <v>0</v>
      </c>
      <c r="E56" s="30">
        <v>0</v>
      </c>
      <c r="F56" s="30">
        <f>C56</f>
        <v>0</v>
      </c>
      <c r="H56" s="30">
        <v>1</v>
      </c>
      <c r="I56" s="30">
        <f>F56</f>
        <v>0</v>
      </c>
      <c r="K56" s="30"/>
      <c r="L56" s="30">
        <f>I56</f>
        <v>0</v>
      </c>
      <c r="N56" s="30"/>
      <c r="O56" s="30">
        <f>L56</f>
        <v>0</v>
      </c>
    </row>
    <row r="57" spans="2:15" s="28" customFormat="1" ht="21" customHeight="1" x14ac:dyDescent="0.25">
      <c r="B57" s="30">
        <v>3</v>
      </c>
      <c r="C57" s="30"/>
      <c r="E57" s="30">
        <f>B57</f>
        <v>3</v>
      </c>
      <c r="F57" s="30"/>
      <c r="H57" s="30">
        <f>E57</f>
        <v>3</v>
      </c>
      <c r="I57" s="30"/>
      <c r="K57" s="30">
        <f>H57</f>
        <v>3</v>
      </c>
      <c r="L57" s="30"/>
      <c r="N57" s="30">
        <f>K57</f>
        <v>3</v>
      </c>
      <c r="O57" s="30"/>
    </row>
    <row r="58" spans="2:15" s="28" customFormat="1" ht="21" customHeight="1" x14ac:dyDescent="0.25">
      <c r="C58" s="29"/>
    </row>
    <row r="59" spans="2:15" s="28" customFormat="1" ht="21" customHeight="1" x14ac:dyDescent="0.25">
      <c r="B59" s="30"/>
      <c r="C59" s="30">
        <f>C56+1</f>
        <v>1</v>
      </c>
      <c r="E59" s="30">
        <v>3</v>
      </c>
      <c r="F59" s="30">
        <f>C59</f>
        <v>1</v>
      </c>
      <c r="H59" s="30"/>
      <c r="I59" s="30">
        <f>F59</f>
        <v>1</v>
      </c>
      <c r="K59" s="30"/>
      <c r="L59" s="30">
        <f>I59</f>
        <v>1</v>
      </c>
      <c r="N59" s="30"/>
      <c r="O59" s="30">
        <f>L59</f>
        <v>1</v>
      </c>
    </row>
    <row r="60" spans="2:15" s="28" customFormat="1" ht="21" customHeight="1" x14ac:dyDescent="0.25">
      <c r="B60" s="30">
        <f>B57</f>
        <v>3</v>
      </c>
      <c r="C60" s="30"/>
      <c r="E60" s="30">
        <f>B60</f>
        <v>3</v>
      </c>
      <c r="F60" s="30"/>
      <c r="H60" s="30">
        <f>E60</f>
        <v>3</v>
      </c>
      <c r="I60" s="30"/>
      <c r="K60" s="30">
        <f>H60</f>
        <v>3</v>
      </c>
      <c r="L60" s="30"/>
      <c r="N60" s="30">
        <f>K60</f>
        <v>3</v>
      </c>
      <c r="O60" s="30"/>
    </row>
    <row r="61" spans="2:15" s="28" customFormat="1" ht="21" customHeight="1" x14ac:dyDescent="0.25">
      <c r="C61" s="29"/>
    </row>
    <row r="62" spans="2:15" s="28" customFormat="1" ht="21" customHeight="1" x14ac:dyDescent="0.25">
      <c r="B62" s="30"/>
      <c r="C62" s="30">
        <f>C59+1</f>
        <v>2</v>
      </c>
      <c r="E62" s="30">
        <v>0</v>
      </c>
      <c r="F62" s="30">
        <f>C62</f>
        <v>2</v>
      </c>
      <c r="H62" s="30">
        <v>1</v>
      </c>
      <c r="I62" s="30">
        <f>F62</f>
        <v>2</v>
      </c>
      <c r="K62" s="30"/>
      <c r="L62" s="30">
        <f>I62</f>
        <v>2</v>
      </c>
      <c r="N62" s="30"/>
      <c r="O62" s="30">
        <f>L62</f>
        <v>2</v>
      </c>
    </row>
    <row r="63" spans="2:15" s="28" customFormat="1" ht="21" customHeight="1" x14ac:dyDescent="0.25">
      <c r="B63" s="30">
        <f>B60</f>
        <v>3</v>
      </c>
      <c r="C63" s="30"/>
      <c r="E63" s="30">
        <f>B63</f>
        <v>3</v>
      </c>
      <c r="F63" s="30"/>
      <c r="H63" s="30">
        <f>E63</f>
        <v>3</v>
      </c>
      <c r="I63" s="30"/>
      <c r="K63" s="30">
        <f>H63</f>
        <v>3</v>
      </c>
      <c r="L63" s="30"/>
      <c r="N63" s="30">
        <f>K63</f>
        <v>3</v>
      </c>
      <c r="O63" s="30"/>
    </row>
    <row r="64" spans="2:15" s="28" customFormat="1" ht="21" customHeight="1" x14ac:dyDescent="0.25">
      <c r="C64" s="29"/>
    </row>
    <row r="65" spans="2:15" s="28" customFormat="1" ht="21" customHeight="1" x14ac:dyDescent="0.25">
      <c r="B65" s="30"/>
      <c r="C65" s="30">
        <f>C62+1</f>
        <v>3</v>
      </c>
      <c r="E65" s="30">
        <v>3</v>
      </c>
      <c r="F65" s="30">
        <f>C65</f>
        <v>3</v>
      </c>
      <c r="H65" s="30"/>
      <c r="I65" s="30">
        <f>F65</f>
        <v>3</v>
      </c>
      <c r="K65" s="30"/>
      <c r="L65" s="30">
        <f>I65</f>
        <v>3</v>
      </c>
      <c r="N65" s="30"/>
      <c r="O65" s="30">
        <f>L65</f>
        <v>3</v>
      </c>
    </row>
    <row r="66" spans="2:15" s="28" customFormat="1" ht="21" customHeight="1" x14ac:dyDescent="0.25">
      <c r="B66" s="30">
        <f>B63</f>
        <v>3</v>
      </c>
      <c r="C66" s="30"/>
      <c r="E66" s="30">
        <f>B66</f>
        <v>3</v>
      </c>
      <c r="F66" s="30"/>
      <c r="H66" s="30">
        <f>E66</f>
        <v>3</v>
      </c>
      <c r="I66" s="30"/>
      <c r="K66" s="30">
        <f>H66</f>
        <v>3</v>
      </c>
      <c r="L66" s="30"/>
      <c r="N66" s="30">
        <f>K66</f>
        <v>3</v>
      </c>
      <c r="O66" s="30"/>
    </row>
    <row r="67" spans="2:15" s="28" customFormat="1" ht="21" customHeight="1" x14ac:dyDescent="0.25">
      <c r="C67" s="29"/>
    </row>
    <row r="68" spans="2:15" s="28" customFormat="1" ht="21" customHeight="1" x14ac:dyDescent="0.25">
      <c r="B68" s="30"/>
      <c r="C68" s="30">
        <f>C65+1</f>
        <v>4</v>
      </c>
      <c r="E68" s="30">
        <v>0</v>
      </c>
      <c r="F68" s="30">
        <f>C68</f>
        <v>4</v>
      </c>
      <c r="H68" s="30">
        <v>1</v>
      </c>
      <c r="I68" s="30">
        <f>F68</f>
        <v>4</v>
      </c>
      <c r="K68" s="30"/>
      <c r="L68" s="30">
        <f>I68</f>
        <v>4</v>
      </c>
      <c r="N68" s="30"/>
      <c r="O68" s="30">
        <f>L68</f>
        <v>4</v>
      </c>
    </row>
    <row r="69" spans="2:15" s="28" customFormat="1" ht="21" customHeight="1" x14ac:dyDescent="0.25">
      <c r="B69" s="30">
        <f>B66</f>
        <v>3</v>
      </c>
      <c r="C69" s="30"/>
      <c r="E69" s="30">
        <f>B69</f>
        <v>3</v>
      </c>
      <c r="F69" s="30"/>
      <c r="H69" s="30">
        <f>E69</f>
        <v>3</v>
      </c>
      <c r="I69" s="30"/>
      <c r="K69" s="30">
        <f>H69</f>
        <v>3</v>
      </c>
      <c r="L69" s="30"/>
      <c r="N69" s="30">
        <f>K69</f>
        <v>3</v>
      </c>
      <c r="O69" s="30"/>
    </row>
    <row r="70" spans="2:15" s="28" customFormat="1" ht="21" customHeight="1" x14ac:dyDescent="0.25">
      <c r="C70" s="29"/>
    </row>
    <row r="71" spans="2:15" s="28" customFormat="1" ht="21" customHeight="1" x14ac:dyDescent="0.25">
      <c r="B71" s="30"/>
      <c r="C71" s="30">
        <f>C68+1</f>
        <v>5</v>
      </c>
      <c r="E71" s="30">
        <v>3</v>
      </c>
      <c r="F71" s="30">
        <f>C71</f>
        <v>5</v>
      </c>
      <c r="H71" s="30"/>
      <c r="I71" s="30">
        <f>F71</f>
        <v>5</v>
      </c>
      <c r="K71" s="30"/>
      <c r="L71" s="30">
        <f>I71</f>
        <v>5</v>
      </c>
      <c r="N71" s="30"/>
      <c r="O71" s="30">
        <f>L71</f>
        <v>5</v>
      </c>
    </row>
    <row r="72" spans="2:15" s="31" customFormat="1" ht="21" customHeight="1" x14ac:dyDescent="0.25">
      <c r="B72" s="30">
        <f>B69</f>
        <v>3</v>
      </c>
      <c r="C72" s="30"/>
      <c r="E72" s="30">
        <f>B72</f>
        <v>3</v>
      </c>
      <c r="F72" s="30"/>
      <c r="H72" s="30">
        <f>E72</f>
        <v>3</v>
      </c>
      <c r="I72" s="30"/>
      <c r="K72" s="30">
        <f>H72</f>
        <v>3</v>
      </c>
      <c r="L72" s="30"/>
      <c r="N72" s="30">
        <f>K72</f>
        <v>3</v>
      </c>
      <c r="O72" s="30"/>
    </row>
    <row r="73" spans="2:15" s="32" customFormat="1" ht="21" customHeight="1" x14ac:dyDescent="0.25">
      <c r="C73" s="33"/>
    </row>
    <row r="74" spans="2:15" s="32" customFormat="1" ht="21" customHeight="1" x14ac:dyDescent="0.25">
      <c r="B74" s="34"/>
      <c r="C74" s="34">
        <v>0</v>
      </c>
      <c r="E74" s="34">
        <v>0</v>
      </c>
      <c r="F74" s="34">
        <f>C74</f>
        <v>0</v>
      </c>
      <c r="H74" s="34">
        <v>1</v>
      </c>
      <c r="I74" s="34">
        <f>F74</f>
        <v>0</v>
      </c>
      <c r="K74" s="34"/>
      <c r="L74" s="34">
        <f>I74</f>
        <v>0</v>
      </c>
      <c r="N74" s="34"/>
      <c r="O74" s="34">
        <f>L74</f>
        <v>0</v>
      </c>
    </row>
    <row r="75" spans="2:15" s="32" customFormat="1" ht="21" customHeight="1" x14ac:dyDescent="0.25">
      <c r="B75" s="34">
        <v>4</v>
      </c>
      <c r="C75" s="34"/>
      <c r="E75" s="34">
        <f>B75</f>
        <v>4</v>
      </c>
      <c r="F75" s="34"/>
      <c r="H75" s="34">
        <f>E75</f>
        <v>4</v>
      </c>
      <c r="I75" s="34"/>
      <c r="K75" s="34">
        <f>H75</f>
        <v>4</v>
      </c>
      <c r="L75" s="34"/>
      <c r="N75" s="34">
        <f>K75</f>
        <v>4</v>
      </c>
      <c r="O75" s="34"/>
    </row>
    <row r="76" spans="2:15" s="32" customFormat="1" ht="21" customHeight="1" x14ac:dyDescent="0.25">
      <c r="C76" s="33"/>
    </row>
    <row r="77" spans="2:15" s="32" customFormat="1" ht="21" customHeight="1" x14ac:dyDescent="0.25">
      <c r="B77" s="34"/>
      <c r="C77" s="34">
        <f>C74+1</f>
        <v>1</v>
      </c>
      <c r="E77" s="34">
        <v>3</v>
      </c>
      <c r="F77" s="34">
        <f>C77</f>
        <v>1</v>
      </c>
      <c r="H77" s="34"/>
      <c r="I77" s="34">
        <f>F77</f>
        <v>1</v>
      </c>
      <c r="K77" s="34"/>
      <c r="L77" s="34">
        <f>I77</f>
        <v>1</v>
      </c>
      <c r="N77" s="34"/>
      <c r="O77" s="34">
        <f>L77</f>
        <v>1</v>
      </c>
    </row>
    <row r="78" spans="2:15" s="32" customFormat="1" ht="21" customHeight="1" x14ac:dyDescent="0.25">
      <c r="B78" s="34">
        <f>B75</f>
        <v>4</v>
      </c>
      <c r="C78" s="34"/>
      <c r="E78" s="34">
        <f>B78</f>
        <v>4</v>
      </c>
      <c r="F78" s="34"/>
      <c r="H78" s="34">
        <f>E78</f>
        <v>4</v>
      </c>
      <c r="I78" s="34"/>
      <c r="K78" s="34">
        <f>H78</f>
        <v>4</v>
      </c>
      <c r="L78" s="34"/>
      <c r="N78" s="34">
        <f>K78</f>
        <v>4</v>
      </c>
      <c r="O78" s="34"/>
    </row>
    <row r="79" spans="2:15" s="32" customFormat="1" ht="21" customHeight="1" x14ac:dyDescent="0.25">
      <c r="C79" s="33"/>
    </row>
    <row r="80" spans="2:15" s="32" customFormat="1" ht="21" customHeight="1" x14ac:dyDescent="0.25">
      <c r="B80" s="34"/>
      <c r="C80" s="34">
        <f>C77+1</f>
        <v>2</v>
      </c>
      <c r="E80" s="34">
        <v>0</v>
      </c>
      <c r="F80" s="34">
        <f>C80</f>
        <v>2</v>
      </c>
      <c r="H80" s="34">
        <v>1</v>
      </c>
      <c r="I80" s="34">
        <f>F80</f>
        <v>2</v>
      </c>
      <c r="K80" s="34"/>
      <c r="L80" s="34">
        <f>I80</f>
        <v>2</v>
      </c>
      <c r="N80" s="34"/>
      <c r="O80" s="34">
        <f>L80</f>
        <v>2</v>
      </c>
    </row>
    <row r="81" spans="2:15" s="32" customFormat="1" ht="21" customHeight="1" x14ac:dyDescent="0.25">
      <c r="B81" s="34">
        <f>B78</f>
        <v>4</v>
      </c>
      <c r="C81" s="34"/>
      <c r="E81" s="34">
        <f>B81</f>
        <v>4</v>
      </c>
      <c r="F81" s="34"/>
      <c r="H81" s="34">
        <f>E81</f>
        <v>4</v>
      </c>
      <c r="I81" s="34"/>
      <c r="K81" s="34">
        <f>H81</f>
        <v>4</v>
      </c>
      <c r="L81" s="34"/>
      <c r="N81" s="34">
        <f>K81</f>
        <v>4</v>
      </c>
      <c r="O81" s="34"/>
    </row>
    <row r="82" spans="2:15" s="32" customFormat="1" ht="21" customHeight="1" x14ac:dyDescent="0.25">
      <c r="C82" s="33"/>
    </row>
    <row r="83" spans="2:15" s="32" customFormat="1" ht="21" customHeight="1" x14ac:dyDescent="0.25">
      <c r="B83" s="34"/>
      <c r="C83" s="34">
        <f>C80+1</f>
        <v>3</v>
      </c>
      <c r="E83" s="34">
        <v>3</v>
      </c>
      <c r="F83" s="34">
        <f>C83</f>
        <v>3</v>
      </c>
      <c r="H83" s="34"/>
      <c r="I83" s="34">
        <f>F83</f>
        <v>3</v>
      </c>
      <c r="K83" s="34"/>
      <c r="L83" s="34">
        <f>I83</f>
        <v>3</v>
      </c>
      <c r="N83" s="34"/>
      <c r="O83" s="34">
        <f>L83</f>
        <v>3</v>
      </c>
    </row>
    <row r="84" spans="2:15" s="32" customFormat="1" ht="21" customHeight="1" x14ac:dyDescent="0.25">
      <c r="B84" s="34">
        <f>B81</f>
        <v>4</v>
      </c>
      <c r="C84" s="34"/>
      <c r="E84" s="34">
        <f>B84</f>
        <v>4</v>
      </c>
      <c r="F84" s="34"/>
      <c r="H84" s="34">
        <f>E84</f>
        <v>4</v>
      </c>
      <c r="I84" s="34"/>
      <c r="K84" s="34">
        <f>H84</f>
        <v>4</v>
      </c>
      <c r="L84" s="34"/>
      <c r="N84" s="34">
        <f>K84</f>
        <v>4</v>
      </c>
      <c r="O84" s="34"/>
    </row>
    <row r="85" spans="2:15" s="32" customFormat="1" ht="21" customHeight="1" x14ac:dyDescent="0.25">
      <c r="C85" s="33"/>
    </row>
    <row r="86" spans="2:15" s="32" customFormat="1" ht="21" customHeight="1" x14ac:dyDescent="0.25">
      <c r="B86" s="34"/>
      <c r="C86" s="34">
        <f>C83+1</f>
        <v>4</v>
      </c>
      <c r="E86" s="34">
        <v>0</v>
      </c>
      <c r="F86" s="34">
        <f>C86</f>
        <v>4</v>
      </c>
      <c r="H86" s="34">
        <v>1</v>
      </c>
      <c r="I86" s="34">
        <f>F86</f>
        <v>4</v>
      </c>
      <c r="K86" s="34"/>
      <c r="L86" s="34">
        <f>I86</f>
        <v>4</v>
      </c>
      <c r="N86" s="34"/>
      <c r="O86" s="34">
        <f>L86</f>
        <v>4</v>
      </c>
    </row>
    <row r="87" spans="2:15" s="32" customFormat="1" ht="21" customHeight="1" x14ac:dyDescent="0.25">
      <c r="B87" s="34">
        <f>B84</f>
        <v>4</v>
      </c>
      <c r="C87" s="34"/>
      <c r="E87" s="34">
        <f>B87</f>
        <v>4</v>
      </c>
      <c r="F87" s="34"/>
      <c r="H87" s="34">
        <f>E87</f>
        <v>4</v>
      </c>
      <c r="I87" s="34"/>
      <c r="K87" s="34">
        <f>H87</f>
        <v>4</v>
      </c>
      <c r="L87" s="34"/>
      <c r="N87" s="34">
        <f>K87</f>
        <v>4</v>
      </c>
      <c r="O87" s="34"/>
    </row>
    <row r="88" spans="2:15" s="32" customFormat="1" ht="21" customHeight="1" x14ac:dyDescent="0.25">
      <c r="C88" s="33"/>
    </row>
    <row r="89" spans="2:15" s="32" customFormat="1" ht="21" customHeight="1" x14ac:dyDescent="0.25">
      <c r="B89" s="34"/>
      <c r="C89" s="34">
        <f>C86+1</f>
        <v>5</v>
      </c>
      <c r="E89" s="34">
        <v>3</v>
      </c>
      <c r="F89" s="34">
        <f>C89</f>
        <v>5</v>
      </c>
      <c r="H89" s="34"/>
      <c r="I89" s="34">
        <f>F89</f>
        <v>5</v>
      </c>
      <c r="K89" s="34"/>
      <c r="L89" s="34">
        <f>I89</f>
        <v>5</v>
      </c>
      <c r="N89" s="34"/>
      <c r="O89" s="34">
        <f>L89</f>
        <v>5</v>
      </c>
    </row>
    <row r="90" spans="2:15" s="35" customFormat="1" ht="21" customHeight="1" x14ac:dyDescent="0.25">
      <c r="B90" s="34">
        <f>B87</f>
        <v>4</v>
      </c>
      <c r="C90" s="34"/>
      <c r="E90" s="34">
        <f>B90</f>
        <v>4</v>
      </c>
      <c r="F90" s="34"/>
      <c r="H90" s="34">
        <f>E90</f>
        <v>4</v>
      </c>
      <c r="I90" s="34"/>
      <c r="K90" s="34">
        <f>H90</f>
        <v>4</v>
      </c>
      <c r="L90" s="34"/>
      <c r="N90" s="34">
        <f>K90</f>
        <v>4</v>
      </c>
      <c r="O90" s="34"/>
    </row>
    <row r="92" spans="2:15" ht="21" customHeight="1" x14ac:dyDescent="0.25">
      <c r="B92" s="6"/>
      <c r="C92" s="6">
        <v>0</v>
      </c>
      <c r="E92" s="6">
        <v>2</v>
      </c>
      <c r="F92" s="6">
        <f>C92</f>
        <v>0</v>
      </c>
      <c r="H92" s="6"/>
      <c r="I92" s="6">
        <f>F92</f>
        <v>0</v>
      </c>
      <c r="K92" s="6"/>
      <c r="L92" s="6">
        <f>I92</f>
        <v>0</v>
      </c>
      <c r="N92" s="6"/>
      <c r="O92" s="6">
        <f>L92</f>
        <v>0</v>
      </c>
    </row>
    <row r="93" spans="2:15" ht="21" customHeight="1" x14ac:dyDescent="0.25">
      <c r="B93" s="6">
        <v>5</v>
      </c>
      <c r="C93" s="6"/>
      <c r="E93" s="6">
        <f>B93</f>
        <v>5</v>
      </c>
      <c r="F93" s="6"/>
      <c r="H93" s="6">
        <f>E93</f>
        <v>5</v>
      </c>
      <c r="I93" s="6"/>
      <c r="K93" s="6">
        <f>H93</f>
        <v>5</v>
      </c>
      <c r="L93" s="6"/>
      <c r="N93" s="6">
        <f>K93</f>
        <v>5</v>
      </c>
      <c r="O93" s="6"/>
    </row>
    <row r="95" spans="2:15" ht="21" customHeight="1" x14ac:dyDescent="0.25">
      <c r="B95" s="6"/>
      <c r="C95" s="6">
        <f>C92+1</f>
        <v>1</v>
      </c>
      <c r="E95" s="6">
        <v>4</v>
      </c>
      <c r="F95" s="6">
        <f>C95</f>
        <v>1</v>
      </c>
      <c r="H95" s="6">
        <v>5</v>
      </c>
      <c r="I95" s="6">
        <f>F95</f>
        <v>1</v>
      </c>
      <c r="K95" s="6"/>
      <c r="L95" s="6">
        <f>I95</f>
        <v>1</v>
      </c>
      <c r="N95" s="6"/>
      <c r="O95" s="6">
        <f>L95</f>
        <v>1</v>
      </c>
    </row>
    <row r="96" spans="2:15" ht="21" customHeight="1" x14ac:dyDescent="0.25">
      <c r="B96" s="6">
        <f>B93</f>
        <v>5</v>
      </c>
      <c r="C96" s="6"/>
      <c r="E96" s="6">
        <f>B96</f>
        <v>5</v>
      </c>
      <c r="F96" s="6"/>
      <c r="H96" s="6">
        <f>E96</f>
        <v>5</v>
      </c>
      <c r="I96" s="6"/>
      <c r="K96" s="6">
        <f>H96</f>
        <v>5</v>
      </c>
      <c r="L96" s="6"/>
      <c r="N96" s="6">
        <f>K96</f>
        <v>5</v>
      </c>
      <c r="O96" s="6"/>
    </row>
    <row r="98" spans="2:15" ht="21" customHeight="1" x14ac:dyDescent="0.25">
      <c r="B98" s="6"/>
      <c r="C98" s="6">
        <f>C95+1</f>
        <v>2</v>
      </c>
      <c r="E98" s="6">
        <v>2</v>
      </c>
      <c r="F98" s="6">
        <f>C98</f>
        <v>2</v>
      </c>
      <c r="H98" s="6"/>
      <c r="I98" s="6">
        <f>F98</f>
        <v>2</v>
      </c>
      <c r="K98" s="6"/>
      <c r="L98" s="6">
        <f>I98</f>
        <v>2</v>
      </c>
      <c r="N98" s="6"/>
      <c r="O98" s="6">
        <f>L98</f>
        <v>2</v>
      </c>
    </row>
    <row r="99" spans="2:15" ht="21" customHeight="1" x14ac:dyDescent="0.25">
      <c r="B99" s="6">
        <f>B96</f>
        <v>5</v>
      </c>
      <c r="C99" s="6"/>
      <c r="E99" s="6">
        <f>B99</f>
        <v>5</v>
      </c>
      <c r="F99" s="6"/>
      <c r="H99" s="6">
        <f>E99</f>
        <v>5</v>
      </c>
      <c r="I99" s="6"/>
      <c r="K99" s="6">
        <f>H99</f>
        <v>5</v>
      </c>
      <c r="L99" s="6"/>
      <c r="N99" s="6">
        <f>K99</f>
        <v>5</v>
      </c>
      <c r="O99" s="6"/>
    </row>
    <row r="101" spans="2:15" ht="21" customHeight="1" x14ac:dyDescent="0.25">
      <c r="B101" s="6"/>
      <c r="C101" s="6">
        <f>C98+1</f>
        <v>3</v>
      </c>
      <c r="E101" s="6">
        <v>4</v>
      </c>
      <c r="F101" s="6">
        <f>C101</f>
        <v>3</v>
      </c>
      <c r="H101" s="6">
        <v>5</v>
      </c>
      <c r="I101" s="6">
        <f>F101</f>
        <v>3</v>
      </c>
      <c r="K101" s="6"/>
      <c r="L101" s="6">
        <f>I101</f>
        <v>3</v>
      </c>
      <c r="N101" s="6"/>
      <c r="O101" s="6">
        <f>L101</f>
        <v>3</v>
      </c>
    </row>
    <row r="102" spans="2:15" ht="21" customHeight="1" x14ac:dyDescent="0.25">
      <c r="B102" s="6">
        <f>B99</f>
        <v>5</v>
      </c>
      <c r="C102" s="6"/>
      <c r="E102" s="6">
        <f>B102</f>
        <v>5</v>
      </c>
      <c r="F102" s="6"/>
      <c r="H102" s="6">
        <f>E102</f>
        <v>5</v>
      </c>
      <c r="I102" s="6"/>
      <c r="K102" s="6">
        <f>H102</f>
        <v>5</v>
      </c>
      <c r="L102" s="6"/>
      <c r="N102" s="6">
        <f>K102</f>
        <v>5</v>
      </c>
      <c r="O102" s="6"/>
    </row>
    <row r="104" spans="2:15" ht="21" customHeight="1" x14ac:dyDescent="0.25">
      <c r="B104" s="6"/>
      <c r="C104" s="6">
        <f>C101+1</f>
        <v>4</v>
      </c>
      <c r="E104" s="6">
        <v>2</v>
      </c>
      <c r="F104" s="6">
        <f>C104</f>
        <v>4</v>
      </c>
      <c r="H104" s="6"/>
      <c r="I104" s="6">
        <f>F104</f>
        <v>4</v>
      </c>
      <c r="K104" s="6"/>
      <c r="L104" s="6">
        <f>I104</f>
        <v>4</v>
      </c>
      <c r="N104" s="6"/>
      <c r="O104" s="6">
        <f>L104</f>
        <v>4</v>
      </c>
    </row>
    <row r="105" spans="2:15" ht="21" customHeight="1" x14ac:dyDescent="0.25">
      <c r="B105" s="6">
        <f>B102</f>
        <v>5</v>
      </c>
      <c r="C105" s="6"/>
      <c r="E105" s="6">
        <f>B105</f>
        <v>5</v>
      </c>
      <c r="F105" s="6"/>
      <c r="H105" s="6">
        <f>E105</f>
        <v>5</v>
      </c>
      <c r="I105" s="6"/>
      <c r="K105" s="6">
        <f>H105</f>
        <v>5</v>
      </c>
      <c r="L105" s="6"/>
      <c r="N105" s="6">
        <f>K105</f>
        <v>5</v>
      </c>
      <c r="O105" s="6"/>
    </row>
    <row r="107" spans="2:15" ht="21" customHeight="1" x14ac:dyDescent="0.25">
      <c r="B107" s="6"/>
      <c r="C107" s="6">
        <f>C104+1</f>
        <v>5</v>
      </c>
      <c r="E107" s="6">
        <v>4</v>
      </c>
      <c r="F107" s="6">
        <f>C107</f>
        <v>5</v>
      </c>
      <c r="H107" s="6">
        <v>5</v>
      </c>
      <c r="I107" s="6">
        <f>F107</f>
        <v>5</v>
      </c>
      <c r="K107" s="6"/>
      <c r="L107" s="6">
        <f>I107</f>
        <v>5</v>
      </c>
      <c r="N107" s="6"/>
      <c r="O107" s="6">
        <f>L107</f>
        <v>5</v>
      </c>
    </row>
    <row r="108" spans="2:15" ht="21" customHeight="1" x14ac:dyDescent="0.25">
      <c r="B108" s="6">
        <f>B105</f>
        <v>5</v>
      </c>
      <c r="C108" s="6"/>
      <c r="E108" s="6">
        <f>B108</f>
        <v>5</v>
      </c>
      <c r="F108" s="6"/>
      <c r="H108" s="6">
        <f>E108</f>
        <v>5</v>
      </c>
      <c r="I108" s="6"/>
      <c r="K108" s="6">
        <f>H108</f>
        <v>5</v>
      </c>
      <c r="L108" s="6"/>
      <c r="N108" s="6">
        <f>K108</f>
        <v>5</v>
      </c>
      <c r="O108" s="6"/>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Лист511"/>
  <dimension ref="A1:CZ105"/>
  <sheetViews>
    <sheetView zoomScale="70" zoomScaleNormal="70" zoomScaleSheetLayoutView="20" workbookViewId="0">
      <pane xSplit="1" ySplit="2" topLeftCell="BN52" activePane="bottomRight" state="frozen"/>
      <selection pane="topRight" activeCell="B1" sqref="B1"/>
      <selection pane="bottomLeft" activeCell="A3" sqref="A3"/>
      <selection pane="bottomRight" activeCell="DM154" sqref="DM154"/>
    </sheetView>
  </sheetViews>
  <sheetFormatPr defaultColWidth="4.7109375" defaultRowHeight="21" customHeight="1" x14ac:dyDescent="0.25"/>
  <cols>
    <col min="2" max="2" width="6" bestFit="1" customWidth="1"/>
    <col min="104" max="104" width="4.7109375" style="126" customWidth="1"/>
  </cols>
  <sheetData>
    <row r="1" spans="1:104" ht="21" customHeight="1" x14ac:dyDescent="0.25">
      <c r="A1" s="261" t="s">
        <v>109</v>
      </c>
      <c r="B1" s="261"/>
      <c r="C1" s="261"/>
    </row>
    <row r="2" spans="1:104" ht="21" customHeight="1" x14ac:dyDescent="0.25">
      <c r="A2" s="127" t="s">
        <v>99</v>
      </c>
      <c r="B2" s="127" t="s">
        <v>100</v>
      </c>
      <c r="C2" s="127" t="s">
        <v>0</v>
      </c>
      <c r="D2" s="127" t="s">
        <v>1</v>
      </c>
      <c r="E2" s="127" t="s">
        <v>2</v>
      </c>
      <c r="F2" s="127" t="s">
        <v>3</v>
      </c>
      <c r="G2" s="127" t="s">
        <v>4</v>
      </c>
      <c r="H2" s="127" t="s">
        <v>5</v>
      </c>
      <c r="I2" s="127" t="s">
        <v>6</v>
      </c>
      <c r="J2" s="127" t="s">
        <v>7</v>
      </c>
      <c r="K2" s="127" t="s">
        <v>8</v>
      </c>
      <c r="L2" s="127" t="s">
        <v>9</v>
      </c>
      <c r="M2" s="127" t="s">
        <v>10</v>
      </c>
      <c r="N2" s="127" t="s">
        <v>11</v>
      </c>
      <c r="O2" s="127" t="s">
        <v>12</v>
      </c>
      <c r="P2" s="127" t="s">
        <v>13</v>
      </c>
      <c r="Q2" s="127" t="s">
        <v>14</v>
      </c>
      <c r="R2" s="127" t="s">
        <v>15</v>
      </c>
      <c r="S2" s="127" t="s">
        <v>16</v>
      </c>
      <c r="T2" s="127" t="s">
        <v>17</v>
      </c>
      <c r="U2" s="127" t="s">
        <v>18</v>
      </c>
      <c r="V2" s="127" t="s">
        <v>19</v>
      </c>
      <c r="W2" s="127" t="s">
        <v>20</v>
      </c>
      <c r="X2" s="127" t="s">
        <v>21</v>
      </c>
      <c r="Y2" s="127" t="s">
        <v>22</v>
      </c>
      <c r="Z2" s="127" t="s">
        <v>23</v>
      </c>
      <c r="AA2" s="127" t="s">
        <v>24</v>
      </c>
      <c r="AB2" s="127" t="s">
        <v>25</v>
      </c>
      <c r="AC2" s="127" t="s">
        <v>26</v>
      </c>
      <c r="AD2" s="127" t="s">
        <v>27</v>
      </c>
      <c r="AE2" s="127" t="s">
        <v>28</v>
      </c>
      <c r="AF2" s="127" t="s">
        <v>29</v>
      </c>
      <c r="AG2" s="127" t="s">
        <v>30</v>
      </c>
      <c r="AH2" s="127" t="s">
        <v>31</v>
      </c>
      <c r="AI2" s="127" t="s">
        <v>32</v>
      </c>
      <c r="AJ2" s="127" t="s">
        <v>33</v>
      </c>
      <c r="AK2" s="127" t="s">
        <v>34</v>
      </c>
      <c r="AL2" s="127" t="s">
        <v>35</v>
      </c>
      <c r="AM2" s="127" t="s">
        <v>36</v>
      </c>
      <c r="AN2" s="127" t="s">
        <v>37</v>
      </c>
      <c r="AO2" s="127" t="s">
        <v>38</v>
      </c>
      <c r="AP2" s="127" t="s">
        <v>39</v>
      </c>
      <c r="AQ2" s="127" t="s">
        <v>40</v>
      </c>
      <c r="AR2" s="127" t="s">
        <v>41</v>
      </c>
      <c r="AS2" s="127" t="s">
        <v>42</v>
      </c>
      <c r="AT2" s="127" t="s">
        <v>43</v>
      </c>
      <c r="AU2" s="127" t="s">
        <v>44</v>
      </c>
      <c r="AV2" s="127" t="s">
        <v>45</v>
      </c>
      <c r="AW2" s="127" t="s">
        <v>46</v>
      </c>
      <c r="AX2" s="127" t="s">
        <v>47</v>
      </c>
      <c r="AY2" s="127" t="s">
        <v>48</v>
      </c>
      <c r="AZ2" s="127" t="s">
        <v>49</v>
      </c>
      <c r="BA2" s="127" t="s">
        <v>50</v>
      </c>
      <c r="BB2" s="127" t="s">
        <v>51</v>
      </c>
      <c r="BC2" s="127" t="s">
        <v>52</v>
      </c>
      <c r="BD2" s="127" t="s">
        <v>53</v>
      </c>
      <c r="BE2" s="127" t="s">
        <v>54</v>
      </c>
      <c r="BF2" s="127" t="s">
        <v>55</v>
      </c>
      <c r="BG2" s="127" t="s">
        <v>56</v>
      </c>
      <c r="BH2" s="127" t="s">
        <v>57</v>
      </c>
      <c r="BI2" s="127" t="s">
        <v>58</v>
      </c>
      <c r="BJ2" s="127" t="s">
        <v>59</v>
      </c>
      <c r="BK2" s="127" t="s">
        <v>60</v>
      </c>
      <c r="BL2" s="127" t="s">
        <v>61</v>
      </c>
      <c r="BM2" s="127" t="s">
        <v>62</v>
      </c>
      <c r="BN2" s="127" t="s">
        <v>63</v>
      </c>
      <c r="BO2" s="127" t="s">
        <v>64</v>
      </c>
      <c r="BP2" s="127" t="s">
        <v>65</v>
      </c>
      <c r="BQ2" s="127" t="s">
        <v>66</v>
      </c>
      <c r="BR2" s="127" t="s">
        <v>67</v>
      </c>
      <c r="BS2" s="127" t="s">
        <v>68</v>
      </c>
      <c r="BT2" s="127" t="s">
        <v>69</v>
      </c>
      <c r="BU2" s="127" t="s">
        <v>70</v>
      </c>
      <c r="BV2" s="127" t="s">
        <v>71</v>
      </c>
      <c r="BW2" s="127" t="s">
        <v>72</v>
      </c>
      <c r="BX2" s="127" t="s">
        <v>73</v>
      </c>
      <c r="BY2" s="127" t="s">
        <v>74</v>
      </c>
      <c r="BZ2" s="127" t="s">
        <v>75</v>
      </c>
      <c r="CA2" s="127" t="s">
        <v>76</v>
      </c>
      <c r="CB2" s="127" t="s">
        <v>77</v>
      </c>
      <c r="CC2" s="127" t="s">
        <v>78</v>
      </c>
      <c r="CD2" s="127" t="s">
        <v>79</v>
      </c>
      <c r="CE2" s="127" t="s">
        <v>80</v>
      </c>
      <c r="CF2" s="127" t="s">
        <v>81</v>
      </c>
      <c r="CG2" s="127" t="s">
        <v>82</v>
      </c>
      <c r="CH2" s="127" t="s">
        <v>83</v>
      </c>
      <c r="CI2" s="127" t="s">
        <v>84</v>
      </c>
      <c r="CJ2" s="127" t="s">
        <v>85</v>
      </c>
      <c r="CK2" s="127" t="s">
        <v>86</v>
      </c>
      <c r="CL2" s="127" t="s">
        <v>87</v>
      </c>
      <c r="CM2" s="127" t="s">
        <v>88</v>
      </c>
      <c r="CN2" s="127" t="s">
        <v>89</v>
      </c>
      <c r="CO2" s="127" t="s">
        <v>90</v>
      </c>
      <c r="CP2" s="127" t="s">
        <v>91</v>
      </c>
      <c r="CQ2" s="127" t="s">
        <v>92</v>
      </c>
      <c r="CR2" s="127" t="s">
        <v>93</v>
      </c>
      <c r="CS2" s="127" t="s">
        <v>94</v>
      </c>
      <c r="CT2" s="127" t="s">
        <v>95</v>
      </c>
      <c r="CU2" s="127" t="s">
        <v>96</v>
      </c>
      <c r="CV2" s="127" t="s">
        <v>97</v>
      </c>
      <c r="CW2" s="127" t="s">
        <v>98</v>
      </c>
      <c r="CX2" s="127" t="s">
        <v>101</v>
      </c>
    </row>
    <row r="3" spans="1:104" ht="21" customHeight="1" x14ac:dyDescent="0.25">
      <c r="A3" s="127">
        <v>1</v>
      </c>
      <c r="B3" s="128">
        <v>1</v>
      </c>
      <c r="C3" s="128">
        <v>1</v>
      </c>
      <c r="D3" s="128">
        <v>1</v>
      </c>
      <c r="E3" s="128">
        <v>1</v>
      </c>
      <c r="F3" s="128">
        <v>1</v>
      </c>
      <c r="G3" s="128">
        <v>1</v>
      </c>
      <c r="H3" s="128">
        <v>1</v>
      </c>
      <c r="I3" s="128">
        <v>1</v>
      </c>
      <c r="J3" s="128">
        <v>1</v>
      </c>
      <c r="K3" s="128">
        <v>1</v>
      </c>
      <c r="L3" s="128">
        <v>1</v>
      </c>
      <c r="M3" s="128">
        <v>1</v>
      </c>
      <c r="N3" s="128">
        <v>1</v>
      </c>
      <c r="O3" s="128">
        <v>1</v>
      </c>
      <c r="P3" s="128">
        <v>1</v>
      </c>
      <c r="Q3" s="128">
        <v>1</v>
      </c>
      <c r="R3" s="128">
        <v>1</v>
      </c>
      <c r="S3" s="128">
        <v>1</v>
      </c>
      <c r="T3" s="128">
        <v>1</v>
      </c>
      <c r="U3" s="128">
        <v>1</v>
      </c>
      <c r="V3" s="128">
        <v>1</v>
      </c>
      <c r="W3" s="128">
        <v>1</v>
      </c>
      <c r="X3" s="128">
        <v>1</v>
      </c>
      <c r="Y3" s="128">
        <v>1</v>
      </c>
      <c r="Z3" s="128">
        <v>1</v>
      </c>
      <c r="AA3" s="128">
        <v>1</v>
      </c>
      <c r="AB3" s="128">
        <v>1</v>
      </c>
      <c r="AC3" s="128">
        <v>1</v>
      </c>
      <c r="AD3" s="128">
        <v>1</v>
      </c>
      <c r="AE3" s="128">
        <v>1</v>
      </c>
      <c r="AF3" s="128">
        <v>1</v>
      </c>
      <c r="AG3" s="128">
        <v>1</v>
      </c>
      <c r="AH3" s="128">
        <v>1</v>
      </c>
      <c r="AI3" s="128">
        <v>1</v>
      </c>
      <c r="AJ3" s="128">
        <v>1</v>
      </c>
      <c r="AK3" s="128">
        <v>1</v>
      </c>
      <c r="AL3" s="128">
        <v>1</v>
      </c>
      <c r="AM3" s="128">
        <v>1</v>
      </c>
      <c r="AN3" s="128">
        <v>1</v>
      </c>
      <c r="AO3" s="128">
        <v>1</v>
      </c>
      <c r="AP3" s="128">
        <v>1</v>
      </c>
      <c r="AQ3" s="128">
        <v>1</v>
      </c>
      <c r="AR3" s="128">
        <v>1</v>
      </c>
      <c r="AS3" s="128">
        <v>1</v>
      </c>
      <c r="AT3" s="128">
        <v>1</v>
      </c>
      <c r="AU3" s="128">
        <v>1</v>
      </c>
      <c r="AV3" s="128">
        <v>1</v>
      </c>
      <c r="AW3" s="128">
        <v>1</v>
      </c>
      <c r="AX3" s="128">
        <v>1</v>
      </c>
      <c r="AY3" s="128">
        <v>1</v>
      </c>
      <c r="AZ3" s="128">
        <v>1</v>
      </c>
      <c r="BA3" s="128">
        <v>1</v>
      </c>
      <c r="BB3" s="128">
        <v>1</v>
      </c>
      <c r="BC3" s="128">
        <v>1</v>
      </c>
      <c r="BD3" s="128">
        <v>1</v>
      </c>
      <c r="BE3" s="128">
        <v>1</v>
      </c>
      <c r="BF3" s="128">
        <v>1</v>
      </c>
      <c r="BG3" s="128">
        <v>1</v>
      </c>
      <c r="BH3" s="128">
        <v>1</v>
      </c>
      <c r="BI3" s="128">
        <v>1</v>
      </c>
      <c r="BJ3" s="128">
        <v>1</v>
      </c>
      <c r="BK3" s="128">
        <v>1</v>
      </c>
      <c r="BL3" s="128">
        <v>1</v>
      </c>
      <c r="BM3" s="128">
        <v>1</v>
      </c>
      <c r="BN3" s="128">
        <v>1</v>
      </c>
      <c r="BO3" s="128">
        <v>1</v>
      </c>
      <c r="BP3" s="128">
        <v>1</v>
      </c>
      <c r="BQ3" s="128">
        <v>1</v>
      </c>
      <c r="BR3" s="128">
        <v>1</v>
      </c>
      <c r="BS3" s="128">
        <v>1</v>
      </c>
      <c r="BT3" s="128">
        <v>1</v>
      </c>
      <c r="BU3" s="128">
        <v>1</v>
      </c>
      <c r="BV3" s="128">
        <v>1</v>
      </c>
      <c r="BW3" s="128">
        <v>1</v>
      </c>
      <c r="BX3" s="128">
        <v>1</v>
      </c>
      <c r="BY3" s="128">
        <v>1</v>
      </c>
      <c r="BZ3" s="128">
        <v>1</v>
      </c>
      <c r="CA3" s="128">
        <v>1</v>
      </c>
      <c r="CB3" s="128">
        <v>1</v>
      </c>
      <c r="CC3" s="128">
        <v>1</v>
      </c>
      <c r="CD3" s="128">
        <v>1</v>
      </c>
      <c r="CE3" s="128">
        <v>1</v>
      </c>
      <c r="CF3" s="128">
        <v>1</v>
      </c>
      <c r="CG3" s="128">
        <v>1</v>
      </c>
      <c r="CH3" s="128">
        <v>1</v>
      </c>
      <c r="CI3" s="128">
        <v>1</v>
      </c>
      <c r="CJ3" s="128">
        <v>1</v>
      </c>
      <c r="CK3" s="128">
        <v>1</v>
      </c>
      <c r="CL3" s="128">
        <v>1</v>
      </c>
      <c r="CM3" s="128">
        <v>1</v>
      </c>
      <c r="CN3" s="128">
        <v>1</v>
      </c>
      <c r="CO3" s="128">
        <v>1</v>
      </c>
      <c r="CP3" s="128">
        <v>1</v>
      </c>
      <c r="CQ3" s="128">
        <v>1</v>
      </c>
      <c r="CR3" s="128">
        <v>1</v>
      </c>
      <c r="CS3" s="128">
        <v>1</v>
      </c>
      <c r="CT3" s="128">
        <v>1</v>
      </c>
      <c r="CU3" s="128">
        <v>1</v>
      </c>
      <c r="CV3" s="128">
        <v>1</v>
      </c>
      <c r="CW3" s="128">
        <v>1</v>
      </c>
      <c r="CX3" s="128">
        <v>1</v>
      </c>
      <c r="CZ3" s="126">
        <f>SUMIF(MatrixF0[[1]:[2]],MatrixF0[[#This Row],[Столбец1]])/MatrixF0[[#This Row],[Столбец1]]</f>
        <v>10201</v>
      </c>
    </row>
    <row r="4" spans="1:104" ht="21" customHeight="1" x14ac:dyDescent="0.25">
      <c r="A4" s="127">
        <v>1.01</v>
      </c>
      <c r="B4" s="128">
        <v>1</v>
      </c>
      <c r="C4" s="128">
        <v>1</v>
      </c>
      <c r="D4" s="128">
        <v>1</v>
      </c>
      <c r="E4" s="128">
        <v>1</v>
      </c>
      <c r="F4" s="128">
        <v>1</v>
      </c>
      <c r="G4" s="128">
        <v>1</v>
      </c>
      <c r="H4" s="128">
        <v>1</v>
      </c>
      <c r="I4" s="128">
        <v>1</v>
      </c>
      <c r="J4" s="128">
        <v>1</v>
      </c>
      <c r="K4" s="128">
        <v>1</v>
      </c>
      <c r="L4" s="128">
        <v>1</v>
      </c>
      <c r="M4" s="128">
        <v>1</v>
      </c>
      <c r="N4" s="128">
        <v>1</v>
      </c>
      <c r="O4" s="128">
        <v>1</v>
      </c>
      <c r="P4" s="128">
        <v>1</v>
      </c>
      <c r="Q4" s="128">
        <v>1</v>
      </c>
      <c r="R4" s="128">
        <v>1</v>
      </c>
      <c r="S4" s="128">
        <v>1</v>
      </c>
      <c r="T4" s="128">
        <v>1</v>
      </c>
      <c r="U4" s="128">
        <v>1</v>
      </c>
      <c r="V4" s="128">
        <v>1</v>
      </c>
      <c r="W4" s="128">
        <v>1</v>
      </c>
      <c r="X4" s="128">
        <v>1</v>
      </c>
      <c r="Y4" s="128">
        <v>1</v>
      </c>
      <c r="Z4" s="128">
        <v>1</v>
      </c>
      <c r="AA4" s="128">
        <v>1</v>
      </c>
      <c r="AB4" s="128">
        <v>1</v>
      </c>
      <c r="AC4" s="128">
        <v>1</v>
      </c>
      <c r="AD4" s="128">
        <v>1</v>
      </c>
      <c r="AE4" s="128">
        <v>1</v>
      </c>
      <c r="AF4" s="128">
        <v>1</v>
      </c>
      <c r="AG4" s="128">
        <v>1</v>
      </c>
      <c r="AH4" s="128">
        <v>1</v>
      </c>
      <c r="AI4" s="128">
        <v>1</v>
      </c>
      <c r="AJ4" s="128">
        <v>1</v>
      </c>
      <c r="AK4" s="128">
        <v>1</v>
      </c>
      <c r="AL4" s="128">
        <v>1</v>
      </c>
      <c r="AM4" s="128">
        <v>1</v>
      </c>
      <c r="AN4" s="128">
        <v>1</v>
      </c>
      <c r="AO4" s="128">
        <v>1</v>
      </c>
      <c r="AP4" s="128">
        <v>1</v>
      </c>
      <c r="AQ4" s="128">
        <v>1</v>
      </c>
      <c r="AR4" s="128">
        <v>1</v>
      </c>
      <c r="AS4" s="128">
        <v>1</v>
      </c>
      <c r="AT4" s="128">
        <v>1</v>
      </c>
      <c r="AU4" s="128">
        <v>1</v>
      </c>
      <c r="AV4" s="128">
        <v>1</v>
      </c>
      <c r="AW4" s="128">
        <v>1</v>
      </c>
      <c r="AX4" s="128">
        <v>1</v>
      </c>
      <c r="AY4" s="128">
        <v>1</v>
      </c>
      <c r="AZ4" s="128">
        <v>1</v>
      </c>
      <c r="BA4" s="128">
        <v>1</v>
      </c>
      <c r="BB4" s="128">
        <v>1</v>
      </c>
      <c r="BC4" s="128">
        <v>1</v>
      </c>
      <c r="BD4" s="128">
        <v>1</v>
      </c>
      <c r="BE4" s="128">
        <v>1</v>
      </c>
      <c r="BF4" s="128">
        <v>1</v>
      </c>
      <c r="BG4" s="128">
        <v>1</v>
      </c>
      <c r="BH4" s="128">
        <v>1</v>
      </c>
      <c r="BI4" s="128">
        <v>1</v>
      </c>
      <c r="BJ4" s="128">
        <v>1</v>
      </c>
      <c r="BK4" s="128">
        <v>1</v>
      </c>
      <c r="BL4" s="128">
        <v>1</v>
      </c>
      <c r="BM4" s="128">
        <v>1</v>
      </c>
      <c r="BN4" s="128">
        <v>1</v>
      </c>
      <c r="BO4" s="128">
        <v>1</v>
      </c>
      <c r="BP4" s="128">
        <v>1</v>
      </c>
      <c r="BQ4" s="128">
        <v>1</v>
      </c>
      <c r="BR4" s="128">
        <v>1</v>
      </c>
      <c r="BS4" s="128">
        <v>1</v>
      </c>
      <c r="BT4" s="128">
        <v>1</v>
      </c>
      <c r="BU4" s="128">
        <v>1</v>
      </c>
      <c r="BV4" s="128">
        <v>1</v>
      </c>
      <c r="BW4" s="128">
        <v>1</v>
      </c>
      <c r="BX4" s="128">
        <v>1</v>
      </c>
      <c r="BY4" s="128">
        <v>1</v>
      </c>
      <c r="BZ4" s="128">
        <v>1</v>
      </c>
      <c r="CA4" s="128">
        <v>1</v>
      </c>
      <c r="CB4" s="128">
        <v>1</v>
      </c>
      <c r="CC4" s="128">
        <v>1</v>
      </c>
      <c r="CD4" s="128">
        <v>1</v>
      </c>
      <c r="CE4" s="128">
        <v>1</v>
      </c>
      <c r="CF4" s="128">
        <v>1</v>
      </c>
      <c r="CG4" s="128">
        <v>1</v>
      </c>
      <c r="CH4" s="128">
        <v>1</v>
      </c>
      <c r="CI4" s="128">
        <v>1</v>
      </c>
      <c r="CJ4" s="128">
        <v>1</v>
      </c>
      <c r="CK4" s="128">
        <v>1</v>
      </c>
      <c r="CL4" s="128">
        <v>1</v>
      </c>
      <c r="CM4" s="128">
        <v>1</v>
      </c>
      <c r="CN4" s="128">
        <v>1</v>
      </c>
      <c r="CO4" s="128">
        <v>1</v>
      </c>
      <c r="CP4" s="128">
        <v>1</v>
      </c>
      <c r="CQ4" s="128">
        <v>1</v>
      </c>
      <c r="CR4" s="128">
        <v>1</v>
      </c>
      <c r="CS4" s="128">
        <v>1</v>
      </c>
      <c r="CT4" s="128">
        <v>1</v>
      </c>
      <c r="CU4" s="128">
        <v>1</v>
      </c>
      <c r="CV4" s="128">
        <v>1</v>
      </c>
      <c r="CW4" s="128">
        <v>1</v>
      </c>
      <c r="CX4" s="128">
        <v>1</v>
      </c>
      <c r="CZ4" s="126">
        <f>SUMIF(MatrixF0[[1]:[2]],MatrixF0[[#This Row],[Столбец1]])/MatrixF0[[#This Row],[Столбец1]]</f>
        <v>0</v>
      </c>
    </row>
    <row r="5" spans="1:104" ht="21" customHeight="1" x14ac:dyDescent="0.25">
      <c r="A5" s="127">
        <v>1.02</v>
      </c>
      <c r="B5" s="128">
        <v>1</v>
      </c>
      <c r="C5" s="128">
        <v>1</v>
      </c>
      <c r="D5" s="128">
        <v>1</v>
      </c>
      <c r="E5" s="128">
        <v>1</v>
      </c>
      <c r="F5" s="128">
        <v>1</v>
      </c>
      <c r="G5" s="128">
        <v>1</v>
      </c>
      <c r="H5" s="128">
        <v>1</v>
      </c>
      <c r="I5" s="128">
        <v>1</v>
      </c>
      <c r="J5" s="128">
        <v>1</v>
      </c>
      <c r="K5" s="128">
        <v>1</v>
      </c>
      <c r="L5" s="128">
        <v>1</v>
      </c>
      <c r="M5" s="128">
        <v>1</v>
      </c>
      <c r="N5" s="128">
        <v>1</v>
      </c>
      <c r="O5" s="128">
        <v>1</v>
      </c>
      <c r="P5" s="128">
        <v>1</v>
      </c>
      <c r="Q5" s="128">
        <v>1</v>
      </c>
      <c r="R5" s="128">
        <v>1</v>
      </c>
      <c r="S5" s="128">
        <v>1</v>
      </c>
      <c r="T5" s="128">
        <v>1</v>
      </c>
      <c r="U5" s="128">
        <v>1</v>
      </c>
      <c r="V5" s="128">
        <v>1</v>
      </c>
      <c r="W5" s="128">
        <v>1</v>
      </c>
      <c r="X5" s="128">
        <v>1</v>
      </c>
      <c r="Y5" s="128">
        <v>1</v>
      </c>
      <c r="Z5" s="128">
        <v>1</v>
      </c>
      <c r="AA5" s="128">
        <v>1</v>
      </c>
      <c r="AB5" s="128">
        <v>1</v>
      </c>
      <c r="AC5" s="128">
        <v>1</v>
      </c>
      <c r="AD5" s="128">
        <v>1</v>
      </c>
      <c r="AE5" s="128">
        <v>1</v>
      </c>
      <c r="AF5" s="128">
        <v>1</v>
      </c>
      <c r="AG5" s="128">
        <v>1</v>
      </c>
      <c r="AH5" s="128">
        <v>1</v>
      </c>
      <c r="AI5" s="128">
        <v>1</v>
      </c>
      <c r="AJ5" s="128">
        <v>1</v>
      </c>
      <c r="AK5" s="128">
        <v>1</v>
      </c>
      <c r="AL5" s="128">
        <v>1</v>
      </c>
      <c r="AM5" s="128">
        <v>1</v>
      </c>
      <c r="AN5" s="128">
        <v>1</v>
      </c>
      <c r="AO5" s="128">
        <v>1</v>
      </c>
      <c r="AP5" s="128">
        <v>1</v>
      </c>
      <c r="AQ5" s="128">
        <v>1</v>
      </c>
      <c r="AR5" s="128">
        <v>1</v>
      </c>
      <c r="AS5" s="128">
        <v>1</v>
      </c>
      <c r="AT5" s="128">
        <v>1</v>
      </c>
      <c r="AU5" s="128">
        <v>1</v>
      </c>
      <c r="AV5" s="128">
        <v>1</v>
      </c>
      <c r="AW5" s="128">
        <v>1</v>
      </c>
      <c r="AX5" s="128">
        <v>1</v>
      </c>
      <c r="AY5" s="128">
        <v>1</v>
      </c>
      <c r="AZ5" s="128">
        <v>1</v>
      </c>
      <c r="BA5" s="128">
        <v>1</v>
      </c>
      <c r="BB5" s="128">
        <v>1</v>
      </c>
      <c r="BC5" s="128">
        <v>1</v>
      </c>
      <c r="BD5" s="128">
        <v>1</v>
      </c>
      <c r="BE5" s="128">
        <v>1</v>
      </c>
      <c r="BF5" s="128">
        <v>1</v>
      </c>
      <c r="BG5" s="128">
        <v>1</v>
      </c>
      <c r="BH5" s="128">
        <v>1</v>
      </c>
      <c r="BI5" s="128">
        <v>1</v>
      </c>
      <c r="BJ5" s="128">
        <v>1</v>
      </c>
      <c r="BK5" s="128">
        <v>1</v>
      </c>
      <c r="BL5" s="128">
        <v>1</v>
      </c>
      <c r="BM5" s="128">
        <v>1</v>
      </c>
      <c r="BN5" s="128">
        <v>1</v>
      </c>
      <c r="BO5" s="128">
        <v>1</v>
      </c>
      <c r="BP5" s="128">
        <v>1</v>
      </c>
      <c r="BQ5" s="128">
        <v>1</v>
      </c>
      <c r="BR5" s="128">
        <v>1</v>
      </c>
      <c r="BS5" s="128">
        <v>1</v>
      </c>
      <c r="BT5" s="128">
        <v>1</v>
      </c>
      <c r="BU5" s="128">
        <v>1</v>
      </c>
      <c r="BV5" s="128">
        <v>1</v>
      </c>
      <c r="BW5" s="128">
        <v>1</v>
      </c>
      <c r="BX5" s="128">
        <v>1</v>
      </c>
      <c r="BY5" s="128">
        <v>1</v>
      </c>
      <c r="BZ5" s="128">
        <v>1</v>
      </c>
      <c r="CA5" s="128">
        <v>1</v>
      </c>
      <c r="CB5" s="128">
        <v>1</v>
      </c>
      <c r="CC5" s="128">
        <v>1</v>
      </c>
      <c r="CD5" s="128">
        <v>1</v>
      </c>
      <c r="CE5" s="128">
        <v>1</v>
      </c>
      <c r="CF5" s="128">
        <v>1</v>
      </c>
      <c r="CG5" s="128">
        <v>1</v>
      </c>
      <c r="CH5" s="128">
        <v>1</v>
      </c>
      <c r="CI5" s="128">
        <v>1</v>
      </c>
      <c r="CJ5" s="128">
        <v>1</v>
      </c>
      <c r="CK5" s="128">
        <v>1</v>
      </c>
      <c r="CL5" s="128">
        <v>1</v>
      </c>
      <c r="CM5" s="128">
        <v>1</v>
      </c>
      <c r="CN5" s="128">
        <v>1</v>
      </c>
      <c r="CO5" s="128">
        <v>1</v>
      </c>
      <c r="CP5" s="128">
        <v>1</v>
      </c>
      <c r="CQ5" s="128">
        <v>1</v>
      </c>
      <c r="CR5" s="128">
        <v>1</v>
      </c>
      <c r="CS5" s="128">
        <v>1</v>
      </c>
      <c r="CT5" s="128">
        <v>1</v>
      </c>
      <c r="CU5" s="128">
        <v>1</v>
      </c>
      <c r="CV5" s="128">
        <v>1</v>
      </c>
      <c r="CW5" s="128">
        <v>1</v>
      </c>
      <c r="CX5" s="128">
        <v>1</v>
      </c>
      <c r="CZ5" s="126">
        <f>SUMIF(MatrixF0[[1]:[2]],MatrixF0[[#This Row],[Столбец1]])/MatrixF0[[#This Row],[Столбец1]]</f>
        <v>0</v>
      </c>
    </row>
    <row r="6" spans="1:104" ht="21" customHeight="1" x14ac:dyDescent="0.25">
      <c r="A6" s="127">
        <v>1.03</v>
      </c>
      <c r="B6" s="128">
        <v>1</v>
      </c>
      <c r="C6" s="128">
        <v>1</v>
      </c>
      <c r="D6" s="128">
        <v>1</v>
      </c>
      <c r="E6" s="128">
        <v>1</v>
      </c>
      <c r="F6" s="128">
        <v>1</v>
      </c>
      <c r="G6" s="128">
        <v>1</v>
      </c>
      <c r="H6" s="128">
        <v>1</v>
      </c>
      <c r="I6" s="128">
        <v>1</v>
      </c>
      <c r="J6" s="128">
        <v>1</v>
      </c>
      <c r="K6" s="128">
        <v>1</v>
      </c>
      <c r="L6" s="128">
        <v>1</v>
      </c>
      <c r="M6" s="128">
        <v>1</v>
      </c>
      <c r="N6" s="128">
        <v>1</v>
      </c>
      <c r="O6" s="128">
        <v>1</v>
      </c>
      <c r="P6" s="128">
        <v>1</v>
      </c>
      <c r="Q6" s="128">
        <v>1</v>
      </c>
      <c r="R6" s="128">
        <v>1</v>
      </c>
      <c r="S6" s="128">
        <v>1</v>
      </c>
      <c r="T6" s="128">
        <v>1</v>
      </c>
      <c r="U6" s="128">
        <v>1</v>
      </c>
      <c r="V6" s="128">
        <v>1</v>
      </c>
      <c r="W6" s="128">
        <v>1</v>
      </c>
      <c r="X6" s="128">
        <v>1</v>
      </c>
      <c r="Y6" s="128">
        <v>1</v>
      </c>
      <c r="Z6" s="128">
        <v>1</v>
      </c>
      <c r="AA6" s="128">
        <v>1</v>
      </c>
      <c r="AB6" s="128">
        <v>1</v>
      </c>
      <c r="AC6" s="128">
        <v>1</v>
      </c>
      <c r="AD6" s="128">
        <v>1</v>
      </c>
      <c r="AE6" s="128">
        <v>1</v>
      </c>
      <c r="AF6" s="128">
        <v>1</v>
      </c>
      <c r="AG6" s="128">
        <v>1</v>
      </c>
      <c r="AH6" s="128">
        <v>1</v>
      </c>
      <c r="AI6" s="128">
        <v>1</v>
      </c>
      <c r="AJ6" s="128">
        <v>1</v>
      </c>
      <c r="AK6" s="128">
        <v>1</v>
      </c>
      <c r="AL6" s="128">
        <v>1</v>
      </c>
      <c r="AM6" s="128">
        <v>1</v>
      </c>
      <c r="AN6" s="128">
        <v>1</v>
      </c>
      <c r="AO6" s="128">
        <v>1</v>
      </c>
      <c r="AP6" s="128">
        <v>1</v>
      </c>
      <c r="AQ6" s="128">
        <v>1</v>
      </c>
      <c r="AR6" s="128">
        <v>1</v>
      </c>
      <c r="AS6" s="128">
        <v>1</v>
      </c>
      <c r="AT6" s="128">
        <v>1</v>
      </c>
      <c r="AU6" s="128">
        <v>1</v>
      </c>
      <c r="AV6" s="128">
        <v>1</v>
      </c>
      <c r="AW6" s="128">
        <v>1</v>
      </c>
      <c r="AX6" s="128">
        <v>1</v>
      </c>
      <c r="AY6" s="128">
        <v>1</v>
      </c>
      <c r="AZ6" s="128">
        <v>1</v>
      </c>
      <c r="BA6" s="128">
        <v>1</v>
      </c>
      <c r="BB6" s="128">
        <v>1</v>
      </c>
      <c r="BC6" s="128">
        <v>1</v>
      </c>
      <c r="BD6" s="128">
        <v>1</v>
      </c>
      <c r="BE6" s="128">
        <v>1</v>
      </c>
      <c r="BF6" s="128">
        <v>1</v>
      </c>
      <c r="BG6" s="128">
        <v>1</v>
      </c>
      <c r="BH6" s="128">
        <v>1</v>
      </c>
      <c r="BI6" s="128">
        <v>1</v>
      </c>
      <c r="BJ6" s="128">
        <v>1</v>
      </c>
      <c r="BK6" s="128">
        <v>1</v>
      </c>
      <c r="BL6" s="128">
        <v>1</v>
      </c>
      <c r="BM6" s="128">
        <v>1</v>
      </c>
      <c r="BN6" s="128">
        <v>1</v>
      </c>
      <c r="BO6" s="128">
        <v>1</v>
      </c>
      <c r="BP6" s="128">
        <v>1</v>
      </c>
      <c r="BQ6" s="128">
        <v>1</v>
      </c>
      <c r="BR6" s="128">
        <v>1</v>
      </c>
      <c r="BS6" s="128">
        <v>1</v>
      </c>
      <c r="BT6" s="128">
        <v>1</v>
      </c>
      <c r="BU6" s="128">
        <v>1</v>
      </c>
      <c r="BV6" s="128">
        <v>1</v>
      </c>
      <c r="BW6" s="128">
        <v>1</v>
      </c>
      <c r="BX6" s="128">
        <v>1</v>
      </c>
      <c r="BY6" s="128">
        <v>1</v>
      </c>
      <c r="BZ6" s="128">
        <v>1</v>
      </c>
      <c r="CA6" s="128">
        <v>1</v>
      </c>
      <c r="CB6" s="128">
        <v>1</v>
      </c>
      <c r="CC6" s="128">
        <v>1</v>
      </c>
      <c r="CD6" s="128">
        <v>1</v>
      </c>
      <c r="CE6" s="128">
        <v>1</v>
      </c>
      <c r="CF6" s="128">
        <v>1</v>
      </c>
      <c r="CG6" s="128">
        <v>1</v>
      </c>
      <c r="CH6" s="128">
        <v>1</v>
      </c>
      <c r="CI6" s="128">
        <v>1</v>
      </c>
      <c r="CJ6" s="128">
        <v>1</v>
      </c>
      <c r="CK6" s="128">
        <v>1</v>
      </c>
      <c r="CL6" s="128">
        <v>1</v>
      </c>
      <c r="CM6" s="128">
        <v>1</v>
      </c>
      <c r="CN6" s="128">
        <v>1</v>
      </c>
      <c r="CO6" s="128">
        <v>1</v>
      </c>
      <c r="CP6" s="128">
        <v>1</v>
      </c>
      <c r="CQ6" s="128">
        <v>1</v>
      </c>
      <c r="CR6" s="128">
        <v>1</v>
      </c>
      <c r="CS6" s="128">
        <v>1</v>
      </c>
      <c r="CT6" s="128">
        <v>1</v>
      </c>
      <c r="CU6" s="128">
        <v>1</v>
      </c>
      <c r="CV6" s="128">
        <v>1</v>
      </c>
      <c r="CW6" s="128">
        <v>1</v>
      </c>
      <c r="CX6" s="128">
        <v>1</v>
      </c>
      <c r="CZ6" s="126">
        <f>SUMIF(MatrixF0[[1]:[2]],MatrixF0[[#This Row],[Столбец1]])/MatrixF0[[#This Row],[Столбец1]]</f>
        <v>0</v>
      </c>
    </row>
    <row r="7" spans="1:104" ht="21" customHeight="1" x14ac:dyDescent="0.25">
      <c r="A7" s="127">
        <v>1.04</v>
      </c>
      <c r="B7" s="128">
        <v>1</v>
      </c>
      <c r="C7" s="128">
        <v>1</v>
      </c>
      <c r="D7" s="128">
        <v>1</v>
      </c>
      <c r="E7" s="128">
        <v>1</v>
      </c>
      <c r="F7" s="128">
        <v>1</v>
      </c>
      <c r="G7" s="128">
        <v>1</v>
      </c>
      <c r="H7" s="128">
        <v>1</v>
      </c>
      <c r="I7" s="128">
        <v>1</v>
      </c>
      <c r="J7" s="128">
        <v>1</v>
      </c>
      <c r="K7" s="128">
        <v>1</v>
      </c>
      <c r="L7" s="128">
        <v>1</v>
      </c>
      <c r="M7" s="128">
        <v>1</v>
      </c>
      <c r="N7" s="128">
        <v>1</v>
      </c>
      <c r="O7" s="128">
        <v>1</v>
      </c>
      <c r="P7" s="128">
        <v>1</v>
      </c>
      <c r="Q7" s="128">
        <v>1</v>
      </c>
      <c r="R7" s="128">
        <v>1</v>
      </c>
      <c r="S7" s="128">
        <v>1</v>
      </c>
      <c r="T7" s="128">
        <v>1</v>
      </c>
      <c r="U7" s="128">
        <v>1</v>
      </c>
      <c r="V7" s="128">
        <v>1</v>
      </c>
      <c r="W7" s="128">
        <v>1</v>
      </c>
      <c r="X7" s="128">
        <v>1</v>
      </c>
      <c r="Y7" s="128">
        <v>1</v>
      </c>
      <c r="Z7" s="128">
        <v>1</v>
      </c>
      <c r="AA7" s="128">
        <v>1</v>
      </c>
      <c r="AB7" s="128">
        <v>1</v>
      </c>
      <c r="AC7" s="128">
        <v>1</v>
      </c>
      <c r="AD7" s="128">
        <v>1</v>
      </c>
      <c r="AE7" s="128">
        <v>1</v>
      </c>
      <c r="AF7" s="128">
        <v>1</v>
      </c>
      <c r="AG7" s="128">
        <v>1</v>
      </c>
      <c r="AH7" s="128">
        <v>1</v>
      </c>
      <c r="AI7" s="128">
        <v>1</v>
      </c>
      <c r="AJ7" s="128">
        <v>1</v>
      </c>
      <c r="AK7" s="128">
        <v>1</v>
      </c>
      <c r="AL7" s="128">
        <v>1</v>
      </c>
      <c r="AM7" s="128">
        <v>1</v>
      </c>
      <c r="AN7" s="128">
        <v>1</v>
      </c>
      <c r="AO7" s="128">
        <v>1</v>
      </c>
      <c r="AP7" s="128">
        <v>1</v>
      </c>
      <c r="AQ7" s="128">
        <v>1</v>
      </c>
      <c r="AR7" s="128">
        <v>1</v>
      </c>
      <c r="AS7" s="128">
        <v>1</v>
      </c>
      <c r="AT7" s="128">
        <v>1</v>
      </c>
      <c r="AU7" s="128">
        <v>1</v>
      </c>
      <c r="AV7" s="128">
        <v>1</v>
      </c>
      <c r="AW7" s="128">
        <v>1</v>
      </c>
      <c r="AX7" s="128">
        <v>1</v>
      </c>
      <c r="AY7" s="128">
        <v>1</v>
      </c>
      <c r="AZ7" s="128">
        <v>1</v>
      </c>
      <c r="BA7" s="128">
        <v>1</v>
      </c>
      <c r="BB7" s="128">
        <v>1</v>
      </c>
      <c r="BC7" s="128">
        <v>1</v>
      </c>
      <c r="BD7" s="128">
        <v>1</v>
      </c>
      <c r="BE7" s="128">
        <v>1</v>
      </c>
      <c r="BF7" s="128">
        <v>1</v>
      </c>
      <c r="BG7" s="128">
        <v>1</v>
      </c>
      <c r="BH7" s="128">
        <v>1</v>
      </c>
      <c r="BI7" s="128">
        <v>1</v>
      </c>
      <c r="BJ7" s="128">
        <v>1</v>
      </c>
      <c r="BK7" s="128">
        <v>1</v>
      </c>
      <c r="BL7" s="128">
        <v>1</v>
      </c>
      <c r="BM7" s="128">
        <v>1</v>
      </c>
      <c r="BN7" s="128">
        <v>1</v>
      </c>
      <c r="BO7" s="128">
        <v>1</v>
      </c>
      <c r="BP7" s="128">
        <v>1</v>
      </c>
      <c r="BQ7" s="128">
        <v>1</v>
      </c>
      <c r="BR7" s="128">
        <v>1</v>
      </c>
      <c r="BS7" s="128">
        <v>1</v>
      </c>
      <c r="BT7" s="128">
        <v>1</v>
      </c>
      <c r="BU7" s="128">
        <v>1</v>
      </c>
      <c r="BV7" s="128">
        <v>1</v>
      </c>
      <c r="BW7" s="128">
        <v>1</v>
      </c>
      <c r="BX7" s="128">
        <v>1</v>
      </c>
      <c r="BY7" s="128">
        <v>1</v>
      </c>
      <c r="BZ7" s="128">
        <v>1</v>
      </c>
      <c r="CA7" s="128">
        <v>1</v>
      </c>
      <c r="CB7" s="128">
        <v>1</v>
      </c>
      <c r="CC7" s="128">
        <v>1</v>
      </c>
      <c r="CD7" s="128">
        <v>1</v>
      </c>
      <c r="CE7" s="128">
        <v>1</v>
      </c>
      <c r="CF7" s="128">
        <v>1</v>
      </c>
      <c r="CG7" s="128">
        <v>1</v>
      </c>
      <c r="CH7" s="128">
        <v>1</v>
      </c>
      <c r="CI7" s="128">
        <v>1</v>
      </c>
      <c r="CJ7" s="128">
        <v>1</v>
      </c>
      <c r="CK7" s="128">
        <v>1</v>
      </c>
      <c r="CL7" s="128">
        <v>1</v>
      </c>
      <c r="CM7" s="128">
        <v>1</v>
      </c>
      <c r="CN7" s="128">
        <v>1</v>
      </c>
      <c r="CO7" s="128">
        <v>1</v>
      </c>
      <c r="CP7" s="128">
        <v>1</v>
      </c>
      <c r="CQ7" s="128">
        <v>1</v>
      </c>
      <c r="CR7" s="128">
        <v>1</v>
      </c>
      <c r="CS7" s="128">
        <v>1</v>
      </c>
      <c r="CT7" s="128">
        <v>1</v>
      </c>
      <c r="CU7" s="128">
        <v>1</v>
      </c>
      <c r="CV7" s="128">
        <v>1</v>
      </c>
      <c r="CW7" s="128">
        <v>1</v>
      </c>
      <c r="CX7" s="128">
        <v>1</v>
      </c>
      <c r="CZ7" s="126">
        <f>SUMIF(MatrixF0[[1]:[2]],MatrixF0[[#This Row],[Столбец1]])/MatrixF0[[#This Row],[Столбец1]]</f>
        <v>0</v>
      </c>
    </row>
    <row r="8" spans="1:104" ht="21" customHeight="1" x14ac:dyDescent="0.25">
      <c r="A8" s="127">
        <v>1.05</v>
      </c>
      <c r="B8" s="128">
        <v>1</v>
      </c>
      <c r="C8" s="128">
        <v>1</v>
      </c>
      <c r="D8" s="128">
        <v>1</v>
      </c>
      <c r="E8" s="128">
        <v>1</v>
      </c>
      <c r="F8" s="128">
        <v>1</v>
      </c>
      <c r="G8" s="128">
        <v>1</v>
      </c>
      <c r="H8" s="128">
        <v>1</v>
      </c>
      <c r="I8" s="128">
        <v>1</v>
      </c>
      <c r="J8" s="128">
        <v>1</v>
      </c>
      <c r="K8" s="128">
        <v>1</v>
      </c>
      <c r="L8" s="128">
        <v>1</v>
      </c>
      <c r="M8" s="128">
        <v>1</v>
      </c>
      <c r="N8" s="128">
        <v>1</v>
      </c>
      <c r="O8" s="128">
        <v>1</v>
      </c>
      <c r="P8" s="128">
        <v>1</v>
      </c>
      <c r="Q8" s="128">
        <v>1</v>
      </c>
      <c r="R8" s="128">
        <v>1</v>
      </c>
      <c r="S8" s="128">
        <v>1</v>
      </c>
      <c r="T8" s="128">
        <v>1</v>
      </c>
      <c r="U8" s="128">
        <v>1</v>
      </c>
      <c r="V8" s="128">
        <v>1</v>
      </c>
      <c r="W8" s="128">
        <v>1</v>
      </c>
      <c r="X8" s="128">
        <v>1</v>
      </c>
      <c r="Y8" s="128">
        <v>1</v>
      </c>
      <c r="Z8" s="128">
        <v>1</v>
      </c>
      <c r="AA8" s="128">
        <v>1</v>
      </c>
      <c r="AB8" s="128">
        <v>1</v>
      </c>
      <c r="AC8" s="128">
        <v>1</v>
      </c>
      <c r="AD8" s="128">
        <v>1</v>
      </c>
      <c r="AE8" s="128">
        <v>1</v>
      </c>
      <c r="AF8" s="128">
        <v>1</v>
      </c>
      <c r="AG8" s="128">
        <v>1</v>
      </c>
      <c r="AH8" s="128">
        <v>1</v>
      </c>
      <c r="AI8" s="128">
        <v>1</v>
      </c>
      <c r="AJ8" s="128">
        <v>1</v>
      </c>
      <c r="AK8" s="128">
        <v>1</v>
      </c>
      <c r="AL8" s="128">
        <v>1</v>
      </c>
      <c r="AM8" s="128">
        <v>1</v>
      </c>
      <c r="AN8" s="128">
        <v>1</v>
      </c>
      <c r="AO8" s="128">
        <v>1</v>
      </c>
      <c r="AP8" s="128">
        <v>1</v>
      </c>
      <c r="AQ8" s="128">
        <v>1</v>
      </c>
      <c r="AR8" s="128">
        <v>1</v>
      </c>
      <c r="AS8" s="128">
        <v>1</v>
      </c>
      <c r="AT8" s="128">
        <v>1</v>
      </c>
      <c r="AU8" s="128">
        <v>1</v>
      </c>
      <c r="AV8" s="128">
        <v>1</v>
      </c>
      <c r="AW8" s="128">
        <v>1</v>
      </c>
      <c r="AX8" s="128">
        <v>1</v>
      </c>
      <c r="AY8" s="128">
        <v>1</v>
      </c>
      <c r="AZ8" s="128">
        <v>1</v>
      </c>
      <c r="BA8" s="128">
        <v>1</v>
      </c>
      <c r="BB8" s="128">
        <v>1</v>
      </c>
      <c r="BC8" s="128">
        <v>1</v>
      </c>
      <c r="BD8" s="128">
        <v>1</v>
      </c>
      <c r="BE8" s="128">
        <v>1</v>
      </c>
      <c r="BF8" s="128">
        <v>1</v>
      </c>
      <c r="BG8" s="128">
        <v>1</v>
      </c>
      <c r="BH8" s="128">
        <v>1</v>
      </c>
      <c r="BI8" s="128">
        <v>1</v>
      </c>
      <c r="BJ8" s="128">
        <v>1</v>
      </c>
      <c r="BK8" s="128">
        <v>1</v>
      </c>
      <c r="BL8" s="128">
        <v>1</v>
      </c>
      <c r="BM8" s="128">
        <v>1</v>
      </c>
      <c r="BN8" s="128">
        <v>1</v>
      </c>
      <c r="BO8" s="128">
        <v>1</v>
      </c>
      <c r="BP8" s="128">
        <v>1</v>
      </c>
      <c r="BQ8" s="128">
        <v>1</v>
      </c>
      <c r="BR8" s="128">
        <v>1</v>
      </c>
      <c r="BS8" s="128">
        <v>1</v>
      </c>
      <c r="BT8" s="128">
        <v>1</v>
      </c>
      <c r="BU8" s="128">
        <v>1</v>
      </c>
      <c r="BV8" s="128">
        <v>1</v>
      </c>
      <c r="BW8" s="128">
        <v>1</v>
      </c>
      <c r="BX8" s="128">
        <v>1</v>
      </c>
      <c r="BY8" s="128">
        <v>1</v>
      </c>
      <c r="BZ8" s="128">
        <v>1</v>
      </c>
      <c r="CA8" s="128">
        <v>1</v>
      </c>
      <c r="CB8" s="128">
        <v>1</v>
      </c>
      <c r="CC8" s="128">
        <v>1</v>
      </c>
      <c r="CD8" s="128">
        <v>1</v>
      </c>
      <c r="CE8" s="128">
        <v>1</v>
      </c>
      <c r="CF8" s="128">
        <v>1</v>
      </c>
      <c r="CG8" s="128">
        <v>1</v>
      </c>
      <c r="CH8" s="128">
        <v>1</v>
      </c>
      <c r="CI8" s="128">
        <v>1</v>
      </c>
      <c r="CJ8" s="128">
        <v>1</v>
      </c>
      <c r="CK8" s="128">
        <v>1</v>
      </c>
      <c r="CL8" s="128">
        <v>1</v>
      </c>
      <c r="CM8" s="128">
        <v>1</v>
      </c>
      <c r="CN8" s="128">
        <v>1</v>
      </c>
      <c r="CO8" s="128">
        <v>1</v>
      </c>
      <c r="CP8" s="128">
        <v>1</v>
      </c>
      <c r="CQ8" s="128">
        <v>1</v>
      </c>
      <c r="CR8" s="128">
        <v>1</v>
      </c>
      <c r="CS8" s="128">
        <v>1</v>
      </c>
      <c r="CT8" s="128">
        <v>1</v>
      </c>
      <c r="CU8" s="128">
        <v>1</v>
      </c>
      <c r="CV8" s="128">
        <v>1</v>
      </c>
      <c r="CW8" s="128">
        <v>1</v>
      </c>
      <c r="CX8" s="128">
        <v>1</v>
      </c>
      <c r="CZ8" s="126">
        <f>SUMIF(MatrixF0[[1]:[2]],MatrixF0[[#This Row],[Столбец1]])/MatrixF0[[#This Row],[Столбец1]]</f>
        <v>0</v>
      </c>
    </row>
    <row r="9" spans="1:104" ht="21" customHeight="1" x14ac:dyDescent="0.25">
      <c r="A9" s="127">
        <v>1.06</v>
      </c>
      <c r="B9" s="128">
        <v>1</v>
      </c>
      <c r="C9" s="128">
        <v>1</v>
      </c>
      <c r="D9" s="128">
        <v>1</v>
      </c>
      <c r="E9" s="128">
        <v>1</v>
      </c>
      <c r="F9" s="128">
        <v>1</v>
      </c>
      <c r="G9" s="128">
        <v>1</v>
      </c>
      <c r="H9" s="128">
        <v>1</v>
      </c>
      <c r="I9" s="128">
        <v>1</v>
      </c>
      <c r="J9" s="128">
        <v>1</v>
      </c>
      <c r="K9" s="128">
        <v>1</v>
      </c>
      <c r="L9" s="128">
        <v>1</v>
      </c>
      <c r="M9" s="128">
        <v>1</v>
      </c>
      <c r="N9" s="128">
        <v>1</v>
      </c>
      <c r="O9" s="128">
        <v>1</v>
      </c>
      <c r="P9" s="128">
        <v>1</v>
      </c>
      <c r="Q9" s="128">
        <v>1</v>
      </c>
      <c r="R9" s="128">
        <v>1</v>
      </c>
      <c r="S9" s="128">
        <v>1</v>
      </c>
      <c r="T9" s="128">
        <v>1</v>
      </c>
      <c r="U9" s="128">
        <v>1</v>
      </c>
      <c r="V9" s="128">
        <v>1</v>
      </c>
      <c r="W9" s="128">
        <v>1</v>
      </c>
      <c r="X9" s="128">
        <v>1</v>
      </c>
      <c r="Y9" s="128">
        <v>1</v>
      </c>
      <c r="Z9" s="128">
        <v>1</v>
      </c>
      <c r="AA9" s="128">
        <v>1</v>
      </c>
      <c r="AB9" s="128">
        <v>1</v>
      </c>
      <c r="AC9" s="128">
        <v>1</v>
      </c>
      <c r="AD9" s="128">
        <v>1</v>
      </c>
      <c r="AE9" s="128">
        <v>1</v>
      </c>
      <c r="AF9" s="128">
        <v>1</v>
      </c>
      <c r="AG9" s="128">
        <v>1</v>
      </c>
      <c r="AH9" s="128">
        <v>1</v>
      </c>
      <c r="AI9" s="128">
        <v>1</v>
      </c>
      <c r="AJ9" s="128">
        <v>1</v>
      </c>
      <c r="AK9" s="128">
        <v>1</v>
      </c>
      <c r="AL9" s="128">
        <v>1</v>
      </c>
      <c r="AM9" s="128">
        <v>1</v>
      </c>
      <c r="AN9" s="128">
        <v>1</v>
      </c>
      <c r="AO9" s="128">
        <v>1</v>
      </c>
      <c r="AP9" s="128">
        <v>1</v>
      </c>
      <c r="AQ9" s="128">
        <v>1</v>
      </c>
      <c r="AR9" s="128">
        <v>1</v>
      </c>
      <c r="AS9" s="128">
        <v>1</v>
      </c>
      <c r="AT9" s="128">
        <v>1</v>
      </c>
      <c r="AU9" s="128">
        <v>1</v>
      </c>
      <c r="AV9" s="128">
        <v>1</v>
      </c>
      <c r="AW9" s="128">
        <v>1</v>
      </c>
      <c r="AX9" s="128">
        <v>1</v>
      </c>
      <c r="AY9" s="128">
        <v>1</v>
      </c>
      <c r="AZ9" s="128">
        <v>1</v>
      </c>
      <c r="BA9" s="128">
        <v>1</v>
      </c>
      <c r="BB9" s="128">
        <v>1</v>
      </c>
      <c r="BC9" s="128">
        <v>1</v>
      </c>
      <c r="BD9" s="128">
        <v>1</v>
      </c>
      <c r="BE9" s="128">
        <v>1</v>
      </c>
      <c r="BF9" s="128">
        <v>1</v>
      </c>
      <c r="BG9" s="128">
        <v>1</v>
      </c>
      <c r="BH9" s="128">
        <v>1</v>
      </c>
      <c r="BI9" s="128">
        <v>1</v>
      </c>
      <c r="BJ9" s="128">
        <v>1</v>
      </c>
      <c r="BK9" s="128">
        <v>1</v>
      </c>
      <c r="BL9" s="128">
        <v>1</v>
      </c>
      <c r="BM9" s="128">
        <v>1</v>
      </c>
      <c r="BN9" s="128">
        <v>1</v>
      </c>
      <c r="BO9" s="128">
        <v>1</v>
      </c>
      <c r="BP9" s="128">
        <v>1</v>
      </c>
      <c r="BQ9" s="128">
        <v>1</v>
      </c>
      <c r="BR9" s="128">
        <v>1</v>
      </c>
      <c r="BS9" s="128">
        <v>1</v>
      </c>
      <c r="BT9" s="128">
        <v>1</v>
      </c>
      <c r="BU9" s="128">
        <v>1</v>
      </c>
      <c r="BV9" s="128">
        <v>1</v>
      </c>
      <c r="BW9" s="128">
        <v>1</v>
      </c>
      <c r="BX9" s="128">
        <v>1</v>
      </c>
      <c r="BY9" s="128">
        <v>1</v>
      </c>
      <c r="BZ9" s="128">
        <v>1</v>
      </c>
      <c r="CA9" s="128">
        <v>1</v>
      </c>
      <c r="CB9" s="128">
        <v>1</v>
      </c>
      <c r="CC9" s="128">
        <v>1</v>
      </c>
      <c r="CD9" s="128">
        <v>1</v>
      </c>
      <c r="CE9" s="128">
        <v>1</v>
      </c>
      <c r="CF9" s="128">
        <v>1</v>
      </c>
      <c r="CG9" s="128">
        <v>1</v>
      </c>
      <c r="CH9" s="128">
        <v>1</v>
      </c>
      <c r="CI9" s="128">
        <v>1</v>
      </c>
      <c r="CJ9" s="128">
        <v>1</v>
      </c>
      <c r="CK9" s="128">
        <v>1</v>
      </c>
      <c r="CL9" s="128">
        <v>1</v>
      </c>
      <c r="CM9" s="128">
        <v>1</v>
      </c>
      <c r="CN9" s="128">
        <v>1</v>
      </c>
      <c r="CO9" s="128">
        <v>1</v>
      </c>
      <c r="CP9" s="128">
        <v>1</v>
      </c>
      <c r="CQ9" s="128">
        <v>1</v>
      </c>
      <c r="CR9" s="128">
        <v>1</v>
      </c>
      <c r="CS9" s="128">
        <v>1</v>
      </c>
      <c r="CT9" s="128">
        <v>1</v>
      </c>
      <c r="CU9" s="128">
        <v>1</v>
      </c>
      <c r="CV9" s="128">
        <v>1</v>
      </c>
      <c r="CW9" s="128">
        <v>1</v>
      </c>
      <c r="CX9" s="128">
        <v>1</v>
      </c>
      <c r="CZ9" s="126">
        <f>SUMIF(MatrixF0[[1]:[2]],MatrixF0[[#This Row],[Столбец1]])/MatrixF0[[#This Row],[Столбец1]]</f>
        <v>0</v>
      </c>
    </row>
    <row r="10" spans="1:104" ht="21" customHeight="1" x14ac:dyDescent="0.25">
      <c r="A10" s="127">
        <v>1.07</v>
      </c>
      <c r="B10" s="128">
        <v>1</v>
      </c>
      <c r="C10" s="128">
        <v>1</v>
      </c>
      <c r="D10" s="128">
        <v>1</v>
      </c>
      <c r="E10" s="128">
        <v>1</v>
      </c>
      <c r="F10" s="128">
        <v>1</v>
      </c>
      <c r="G10" s="128">
        <v>1</v>
      </c>
      <c r="H10" s="128">
        <v>1</v>
      </c>
      <c r="I10" s="128">
        <v>1</v>
      </c>
      <c r="J10" s="128">
        <v>1</v>
      </c>
      <c r="K10" s="128">
        <v>1</v>
      </c>
      <c r="L10" s="128">
        <v>1</v>
      </c>
      <c r="M10" s="128">
        <v>1</v>
      </c>
      <c r="N10" s="128">
        <v>1</v>
      </c>
      <c r="O10" s="128">
        <v>1</v>
      </c>
      <c r="P10" s="128">
        <v>1</v>
      </c>
      <c r="Q10" s="128">
        <v>1</v>
      </c>
      <c r="R10" s="128">
        <v>1</v>
      </c>
      <c r="S10" s="128">
        <v>1</v>
      </c>
      <c r="T10" s="128">
        <v>1</v>
      </c>
      <c r="U10" s="128">
        <v>1</v>
      </c>
      <c r="V10" s="128">
        <v>1</v>
      </c>
      <c r="W10" s="128">
        <v>1</v>
      </c>
      <c r="X10" s="128">
        <v>1</v>
      </c>
      <c r="Y10" s="128">
        <v>1</v>
      </c>
      <c r="Z10" s="128">
        <v>1</v>
      </c>
      <c r="AA10" s="128">
        <v>1</v>
      </c>
      <c r="AB10" s="128">
        <v>1</v>
      </c>
      <c r="AC10" s="128">
        <v>1</v>
      </c>
      <c r="AD10" s="128">
        <v>1</v>
      </c>
      <c r="AE10" s="128">
        <v>1</v>
      </c>
      <c r="AF10" s="128">
        <v>1</v>
      </c>
      <c r="AG10" s="128">
        <v>1</v>
      </c>
      <c r="AH10" s="128">
        <v>1</v>
      </c>
      <c r="AI10" s="128">
        <v>1</v>
      </c>
      <c r="AJ10" s="128">
        <v>1</v>
      </c>
      <c r="AK10" s="128">
        <v>1</v>
      </c>
      <c r="AL10" s="128">
        <v>1</v>
      </c>
      <c r="AM10" s="128">
        <v>1</v>
      </c>
      <c r="AN10" s="128">
        <v>1</v>
      </c>
      <c r="AO10" s="128">
        <v>1</v>
      </c>
      <c r="AP10" s="128">
        <v>1</v>
      </c>
      <c r="AQ10" s="128">
        <v>1</v>
      </c>
      <c r="AR10" s="128">
        <v>1</v>
      </c>
      <c r="AS10" s="128">
        <v>1</v>
      </c>
      <c r="AT10" s="128">
        <v>1</v>
      </c>
      <c r="AU10" s="128">
        <v>1</v>
      </c>
      <c r="AV10" s="128">
        <v>1</v>
      </c>
      <c r="AW10" s="128">
        <v>1</v>
      </c>
      <c r="AX10" s="128">
        <v>1</v>
      </c>
      <c r="AY10" s="128">
        <v>1</v>
      </c>
      <c r="AZ10" s="128">
        <v>1</v>
      </c>
      <c r="BA10" s="128">
        <v>1</v>
      </c>
      <c r="BB10" s="128">
        <v>1</v>
      </c>
      <c r="BC10" s="128">
        <v>1</v>
      </c>
      <c r="BD10" s="128">
        <v>1</v>
      </c>
      <c r="BE10" s="128">
        <v>1</v>
      </c>
      <c r="BF10" s="128">
        <v>1</v>
      </c>
      <c r="BG10" s="128">
        <v>1</v>
      </c>
      <c r="BH10" s="128">
        <v>1</v>
      </c>
      <c r="BI10" s="128">
        <v>1</v>
      </c>
      <c r="BJ10" s="128">
        <v>1</v>
      </c>
      <c r="BK10" s="128">
        <v>1</v>
      </c>
      <c r="BL10" s="128">
        <v>1</v>
      </c>
      <c r="BM10" s="128">
        <v>1</v>
      </c>
      <c r="BN10" s="128">
        <v>1</v>
      </c>
      <c r="BO10" s="128">
        <v>1</v>
      </c>
      <c r="BP10" s="128">
        <v>1</v>
      </c>
      <c r="BQ10" s="128">
        <v>1</v>
      </c>
      <c r="BR10" s="128">
        <v>1</v>
      </c>
      <c r="BS10" s="128">
        <v>1</v>
      </c>
      <c r="BT10" s="128">
        <v>1</v>
      </c>
      <c r="BU10" s="128">
        <v>1</v>
      </c>
      <c r="BV10" s="128">
        <v>1</v>
      </c>
      <c r="BW10" s="128">
        <v>1</v>
      </c>
      <c r="BX10" s="128">
        <v>1</v>
      </c>
      <c r="BY10" s="128">
        <v>1</v>
      </c>
      <c r="BZ10" s="128">
        <v>1</v>
      </c>
      <c r="CA10" s="128">
        <v>1</v>
      </c>
      <c r="CB10" s="128">
        <v>1</v>
      </c>
      <c r="CC10" s="128">
        <v>1</v>
      </c>
      <c r="CD10" s="128">
        <v>1</v>
      </c>
      <c r="CE10" s="128">
        <v>1</v>
      </c>
      <c r="CF10" s="128">
        <v>1</v>
      </c>
      <c r="CG10" s="128">
        <v>1</v>
      </c>
      <c r="CH10" s="128">
        <v>1</v>
      </c>
      <c r="CI10" s="128">
        <v>1</v>
      </c>
      <c r="CJ10" s="128">
        <v>1</v>
      </c>
      <c r="CK10" s="128">
        <v>1</v>
      </c>
      <c r="CL10" s="128">
        <v>1</v>
      </c>
      <c r="CM10" s="128">
        <v>1</v>
      </c>
      <c r="CN10" s="128">
        <v>1</v>
      </c>
      <c r="CO10" s="128">
        <v>1</v>
      </c>
      <c r="CP10" s="128">
        <v>1</v>
      </c>
      <c r="CQ10" s="128">
        <v>1</v>
      </c>
      <c r="CR10" s="128">
        <v>1</v>
      </c>
      <c r="CS10" s="128">
        <v>1</v>
      </c>
      <c r="CT10" s="128">
        <v>1</v>
      </c>
      <c r="CU10" s="128">
        <v>1</v>
      </c>
      <c r="CV10" s="128">
        <v>1</v>
      </c>
      <c r="CW10" s="128">
        <v>1</v>
      </c>
      <c r="CX10" s="128">
        <v>1</v>
      </c>
      <c r="CZ10" s="126">
        <f>SUMIF(MatrixF0[[1]:[2]],MatrixF0[[#This Row],[Столбец1]])/MatrixF0[[#This Row],[Столбец1]]</f>
        <v>0</v>
      </c>
    </row>
    <row r="11" spans="1:104" ht="21" customHeight="1" x14ac:dyDescent="0.25">
      <c r="A11" s="127">
        <v>1.08</v>
      </c>
      <c r="B11" s="128">
        <v>1</v>
      </c>
      <c r="C11" s="128">
        <v>1</v>
      </c>
      <c r="D11" s="128">
        <v>1</v>
      </c>
      <c r="E11" s="128">
        <v>1</v>
      </c>
      <c r="F11" s="128">
        <v>1</v>
      </c>
      <c r="G11" s="128">
        <v>1</v>
      </c>
      <c r="H11" s="128">
        <v>1</v>
      </c>
      <c r="I11" s="128">
        <v>1</v>
      </c>
      <c r="J11" s="128">
        <v>1</v>
      </c>
      <c r="K11" s="128">
        <v>1</v>
      </c>
      <c r="L11" s="128">
        <v>1</v>
      </c>
      <c r="M11" s="128">
        <v>1</v>
      </c>
      <c r="N11" s="128">
        <v>1</v>
      </c>
      <c r="O11" s="128">
        <v>1</v>
      </c>
      <c r="P11" s="128">
        <v>1</v>
      </c>
      <c r="Q11" s="128">
        <v>1</v>
      </c>
      <c r="R11" s="128">
        <v>1</v>
      </c>
      <c r="S11" s="128">
        <v>1</v>
      </c>
      <c r="T11" s="128">
        <v>1</v>
      </c>
      <c r="U11" s="128">
        <v>1</v>
      </c>
      <c r="V11" s="128">
        <v>1</v>
      </c>
      <c r="W11" s="128">
        <v>1</v>
      </c>
      <c r="X11" s="128">
        <v>1</v>
      </c>
      <c r="Y11" s="128">
        <v>1</v>
      </c>
      <c r="Z11" s="128">
        <v>1</v>
      </c>
      <c r="AA11" s="128">
        <v>1</v>
      </c>
      <c r="AB11" s="128">
        <v>1</v>
      </c>
      <c r="AC11" s="128">
        <v>1</v>
      </c>
      <c r="AD11" s="128">
        <v>1</v>
      </c>
      <c r="AE11" s="128">
        <v>1</v>
      </c>
      <c r="AF11" s="128">
        <v>1</v>
      </c>
      <c r="AG11" s="128">
        <v>1</v>
      </c>
      <c r="AH11" s="128">
        <v>1</v>
      </c>
      <c r="AI11" s="128">
        <v>1</v>
      </c>
      <c r="AJ11" s="128">
        <v>1</v>
      </c>
      <c r="AK11" s="128">
        <v>1</v>
      </c>
      <c r="AL11" s="128">
        <v>1</v>
      </c>
      <c r="AM11" s="128">
        <v>1</v>
      </c>
      <c r="AN11" s="128">
        <v>1</v>
      </c>
      <c r="AO11" s="128">
        <v>1</v>
      </c>
      <c r="AP11" s="128">
        <v>1</v>
      </c>
      <c r="AQ11" s="128">
        <v>1</v>
      </c>
      <c r="AR11" s="128">
        <v>1</v>
      </c>
      <c r="AS11" s="128">
        <v>1</v>
      </c>
      <c r="AT11" s="128">
        <v>1</v>
      </c>
      <c r="AU11" s="128">
        <v>1</v>
      </c>
      <c r="AV11" s="128">
        <v>1</v>
      </c>
      <c r="AW11" s="128">
        <v>1</v>
      </c>
      <c r="AX11" s="128">
        <v>1</v>
      </c>
      <c r="AY11" s="128">
        <v>1</v>
      </c>
      <c r="AZ11" s="128">
        <v>1</v>
      </c>
      <c r="BA11" s="128">
        <v>1</v>
      </c>
      <c r="BB11" s="128">
        <v>1</v>
      </c>
      <c r="BC11" s="128">
        <v>1</v>
      </c>
      <c r="BD11" s="128">
        <v>1</v>
      </c>
      <c r="BE11" s="128">
        <v>1</v>
      </c>
      <c r="BF11" s="128">
        <v>1</v>
      </c>
      <c r="BG11" s="128">
        <v>1</v>
      </c>
      <c r="BH11" s="128">
        <v>1</v>
      </c>
      <c r="BI11" s="128">
        <v>1</v>
      </c>
      <c r="BJ11" s="128">
        <v>1</v>
      </c>
      <c r="BK11" s="128">
        <v>1</v>
      </c>
      <c r="BL11" s="128">
        <v>1</v>
      </c>
      <c r="BM11" s="128">
        <v>1</v>
      </c>
      <c r="BN11" s="128">
        <v>1</v>
      </c>
      <c r="BO11" s="128">
        <v>1</v>
      </c>
      <c r="BP11" s="128">
        <v>1</v>
      </c>
      <c r="BQ11" s="128">
        <v>1</v>
      </c>
      <c r="BR11" s="128">
        <v>1</v>
      </c>
      <c r="BS11" s="128">
        <v>1</v>
      </c>
      <c r="BT11" s="128">
        <v>1</v>
      </c>
      <c r="BU11" s="128">
        <v>1</v>
      </c>
      <c r="BV11" s="128">
        <v>1</v>
      </c>
      <c r="BW11" s="128">
        <v>1</v>
      </c>
      <c r="BX11" s="128">
        <v>1</v>
      </c>
      <c r="BY11" s="128">
        <v>1</v>
      </c>
      <c r="BZ11" s="128">
        <v>1</v>
      </c>
      <c r="CA11" s="128">
        <v>1</v>
      </c>
      <c r="CB11" s="128">
        <v>1</v>
      </c>
      <c r="CC11" s="128">
        <v>1</v>
      </c>
      <c r="CD11" s="128">
        <v>1</v>
      </c>
      <c r="CE11" s="128">
        <v>1</v>
      </c>
      <c r="CF11" s="128">
        <v>1</v>
      </c>
      <c r="CG11" s="128">
        <v>1</v>
      </c>
      <c r="CH11" s="128">
        <v>1</v>
      </c>
      <c r="CI11" s="128">
        <v>1</v>
      </c>
      <c r="CJ11" s="128">
        <v>1</v>
      </c>
      <c r="CK11" s="128">
        <v>1</v>
      </c>
      <c r="CL11" s="128">
        <v>1</v>
      </c>
      <c r="CM11" s="128">
        <v>1</v>
      </c>
      <c r="CN11" s="128">
        <v>1</v>
      </c>
      <c r="CO11" s="128">
        <v>1</v>
      </c>
      <c r="CP11" s="128">
        <v>1</v>
      </c>
      <c r="CQ11" s="128">
        <v>1</v>
      </c>
      <c r="CR11" s="128">
        <v>1</v>
      </c>
      <c r="CS11" s="128">
        <v>1</v>
      </c>
      <c r="CT11" s="128">
        <v>1</v>
      </c>
      <c r="CU11" s="128">
        <v>1</v>
      </c>
      <c r="CV11" s="128">
        <v>1</v>
      </c>
      <c r="CW11" s="128">
        <v>1</v>
      </c>
      <c r="CX11" s="128">
        <v>1</v>
      </c>
      <c r="CZ11" s="126">
        <f>SUMIF(MatrixF0[[1]:[2]],MatrixF0[[#This Row],[Столбец1]])/MatrixF0[[#This Row],[Столбец1]]</f>
        <v>0</v>
      </c>
    </row>
    <row r="12" spans="1:104" ht="21" customHeight="1" x14ac:dyDescent="0.25">
      <c r="A12" s="127">
        <v>1.0900000000000001</v>
      </c>
      <c r="B12" s="128">
        <v>1</v>
      </c>
      <c r="C12" s="128">
        <v>1</v>
      </c>
      <c r="D12" s="128">
        <v>1</v>
      </c>
      <c r="E12" s="128">
        <v>1</v>
      </c>
      <c r="F12" s="128">
        <v>1</v>
      </c>
      <c r="G12" s="128">
        <v>1</v>
      </c>
      <c r="H12" s="128">
        <v>1</v>
      </c>
      <c r="I12" s="128">
        <v>1</v>
      </c>
      <c r="J12" s="128">
        <v>1</v>
      </c>
      <c r="K12" s="128">
        <v>1</v>
      </c>
      <c r="L12" s="128">
        <v>1</v>
      </c>
      <c r="M12" s="128">
        <v>1</v>
      </c>
      <c r="N12" s="128">
        <v>1</v>
      </c>
      <c r="O12" s="128">
        <v>1</v>
      </c>
      <c r="P12" s="128">
        <v>1</v>
      </c>
      <c r="Q12" s="128">
        <v>1</v>
      </c>
      <c r="R12" s="128">
        <v>1</v>
      </c>
      <c r="S12" s="128">
        <v>1</v>
      </c>
      <c r="T12" s="128">
        <v>1</v>
      </c>
      <c r="U12" s="128">
        <v>1</v>
      </c>
      <c r="V12" s="128">
        <v>1</v>
      </c>
      <c r="W12" s="128">
        <v>1</v>
      </c>
      <c r="X12" s="128">
        <v>1</v>
      </c>
      <c r="Y12" s="128">
        <v>1</v>
      </c>
      <c r="Z12" s="128">
        <v>1</v>
      </c>
      <c r="AA12" s="128">
        <v>1</v>
      </c>
      <c r="AB12" s="128">
        <v>1</v>
      </c>
      <c r="AC12" s="128">
        <v>1</v>
      </c>
      <c r="AD12" s="128">
        <v>1</v>
      </c>
      <c r="AE12" s="128">
        <v>1</v>
      </c>
      <c r="AF12" s="128">
        <v>1</v>
      </c>
      <c r="AG12" s="128">
        <v>1</v>
      </c>
      <c r="AH12" s="128">
        <v>1</v>
      </c>
      <c r="AI12" s="128">
        <v>1</v>
      </c>
      <c r="AJ12" s="128">
        <v>1</v>
      </c>
      <c r="AK12" s="128">
        <v>1</v>
      </c>
      <c r="AL12" s="128">
        <v>1</v>
      </c>
      <c r="AM12" s="128">
        <v>1</v>
      </c>
      <c r="AN12" s="128">
        <v>1</v>
      </c>
      <c r="AO12" s="128">
        <v>1</v>
      </c>
      <c r="AP12" s="128">
        <v>1</v>
      </c>
      <c r="AQ12" s="128">
        <v>1</v>
      </c>
      <c r="AR12" s="128">
        <v>1</v>
      </c>
      <c r="AS12" s="128">
        <v>1</v>
      </c>
      <c r="AT12" s="128">
        <v>1</v>
      </c>
      <c r="AU12" s="128">
        <v>1</v>
      </c>
      <c r="AV12" s="128">
        <v>1</v>
      </c>
      <c r="AW12" s="128">
        <v>1</v>
      </c>
      <c r="AX12" s="128">
        <v>1</v>
      </c>
      <c r="AY12" s="128">
        <v>1</v>
      </c>
      <c r="AZ12" s="128">
        <v>1</v>
      </c>
      <c r="BA12" s="128">
        <v>1</v>
      </c>
      <c r="BB12" s="128">
        <v>1</v>
      </c>
      <c r="BC12" s="128">
        <v>1</v>
      </c>
      <c r="BD12" s="128">
        <v>1</v>
      </c>
      <c r="BE12" s="128">
        <v>1</v>
      </c>
      <c r="BF12" s="128">
        <v>1</v>
      </c>
      <c r="BG12" s="128">
        <v>1</v>
      </c>
      <c r="BH12" s="128">
        <v>1</v>
      </c>
      <c r="BI12" s="128">
        <v>1</v>
      </c>
      <c r="BJ12" s="128">
        <v>1</v>
      </c>
      <c r="BK12" s="128">
        <v>1</v>
      </c>
      <c r="BL12" s="128">
        <v>1</v>
      </c>
      <c r="BM12" s="128">
        <v>1</v>
      </c>
      <c r="BN12" s="128">
        <v>1</v>
      </c>
      <c r="BO12" s="128">
        <v>1</v>
      </c>
      <c r="BP12" s="128">
        <v>1</v>
      </c>
      <c r="BQ12" s="128">
        <v>1</v>
      </c>
      <c r="BR12" s="128">
        <v>1</v>
      </c>
      <c r="BS12" s="128">
        <v>1</v>
      </c>
      <c r="BT12" s="128">
        <v>1</v>
      </c>
      <c r="BU12" s="128">
        <v>1</v>
      </c>
      <c r="BV12" s="128">
        <v>1</v>
      </c>
      <c r="BW12" s="128">
        <v>1</v>
      </c>
      <c r="BX12" s="128">
        <v>1</v>
      </c>
      <c r="BY12" s="128">
        <v>1</v>
      </c>
      <c r="BZ12" s="128">
        <v>1</v>
      </c>
      <c r="CA12" s="128">
        <v>1</v>
      </c>
      <c r="CB12" s="128">
        <v>1</v>
      </c>
      <c r="CC12" s="128">
        <v>1</v>
      </c>
      <c r="CD12" s="128">
        <v>1</v>
      </c>
      <c r="CE12" s="128">
        <v>1</v>
      </c>
      <c r="CF12" s="128">
        <v>1</v>
      </c>
      <c r="CG12" s="128">
        <v>1</v>
      </c>
      <c r="CH12" s="128">
        <v>1</v>
      </c>
      <c r="CI12" s="128">
        <v>1</v>
      </c>
      <c r="CJ12" s="128">
        <v>1</v>
      </c>
      <c r="CK12" s="128">
        <v>1</v>
      </c>
      <c r="CL12" s="128">
        <v>1</v>
      </c>
      <c r="CM12" s="128">
        <v>1</v>
      </c>
      <c r="CN12" s="128">
        <v>1</v>
      </c>
      <c r="CO12" s="128">
        <v>1</v>
      </c>
      <c r="CP12" s="128">
        <v>1</v>
      </c>
      <c r="CQ12" s="128">
        <v>1</v>
      </c>
      <c r="CR12" s="128">
        <v>1</v>
      </c>
      <c r="CS12" s="128">
        <v>1</v>
      </c>
      <c r="CT12" s="128">
        <v>1</v>
      </c>
      <c r="CU12" s="128">
        <v>1</v>
      </c>
      <c r="CV12" s="128">
        <v>1</v>
      </c>
      <c r="CW12" s="128">
        <v>1</v>
      </c>
      <c r="CX12" s="128">
        <v>1</v>
      </c>
      <c r="CZ12" s="126">
        <f>SUMIF(MatrixF0[[1]:[2]],MatrixF0[[#This Row],[Столбец1]])/MatrixF0[[#This Row],[Столбец1]]</f>
        <v>0</v>
      </c>
    </row>
    <row r="13" spans="1:104" ht="21" customHeight="1" x14ac:dyDescent="0.25">
      <c r="A13" s="127">
        <v>1.1000000000000001</v>
      </c>
      <c r="B13" s="128">
        <v>1</v>
      </c>
      <c r="C13" s="128">
        <v>1</v>
      </c>
      <c r="D13" s="128">
        <v>1</v>
      </c>
      <c r="E13" s="128">
        <v>1</v>
      </c>
      <c r="F13" s="128">
        <v>1</v>
      </c>
      <c r="G13" s="128">
        <v>1</v>
      </c>
      <c r="H13" s="128">
        <v>1</v>
      </c>
      <c r="I13" s="128">
        <v>1</v>
      </c>
      <c r="J13" s="128">
        <v>1</v>
      </c>
      <c r="K13" s="128">
        <v>1</v>
      </c>
      <c r="L13" s="128">
        <v>1</v>
      </c>
      <c r="M13" s="128">
        <v>1</v>
      </c>
      <c r="N13" s="128">
        <v>1</v>
      </c>
      <c r="O13" s="128">
        <v>1</v>
      </c>
      <c r="P13" s="128">
        <v>1</v>
      </c>
      <c r="Q13" s="128">
        <v>1</v>
      </c>
      <c r="R13" s="128">
        <v>1</v>
      </c>
      <c r="S13" s="128">
        <v>1</v>
      </c>
      <c r="T13" s="128">
        <v>1</v>
      </c>
      <c r="U13" s="128">
        <v>1</v>
      </c>
      <c r="V13" s="128">
        <v>1</v>
      </c>
      <c r="W13" s="128">
        <v>1</v>
      </c>
      <c r="X13" s="128">
        <v>1</v>
      </c>
      <c r="Y13" s="128">
        <v>1</v>
      </c>
      <c r="Z13" s="128">
        <v>1</v>
      </c>
      <c r="AA13" s="128">
        <v>1</v>
      </c>
      <c r="AB13" s="128">
        <v>1</v>
      </c>
      <c r="AC13" s="128">
        <v>1</v>
      </c>
      <c r="AD13" s="128">
        <v>1</v>
      </c>
      <c r="AE13" s="128">
        <v>1</v>
      </c>
      <c r="AF13" s="128">
        <v>1</v>
      </c>
      <c r="AG13" s="128">
        <v>1</v>
      </c>
      <c r="AH13" s="128">
        <v>1</v>
      </c>
      <c r="AI13" s="128">
        <v>1</v>
      </c>
      <c r="AJ13" s="128">
        <v>1</v>
      </c>
      <c r="AK13" s="128">
        <v>1</v>
      </c>
      <c r="AL13" s="128">
        <v>1</v>
      </c>
      <c r="AM13" s="128">
        <v>1</v>
      </c>
      <c r="AN13" s="128">
        <v>1</v>
      </c>
      <c r="AO13" s="128">
        <v>1</v>
      </c>
      <c r="AP13" s="128">
        <v>1</v>
      </c>
      <c r="AQ13" s="128">
        <v>1</v>
      </c>
      <c r="AR13" s="128">
        <v>1</v>
      </c>
      <c r="AS13" s="128">
        <v>1</v>
      </c>
      <c r="AT13" s="128">
        <v>1</v>
      </c>
      <c r="AU13" s="128">
        <v>1</v>
      </c>
      <c r="AV13" s="128">
        <v>1</v>
      </c>
      <c r="AW13" s="128">
        <v>1</v>
      </c>
      <c r="AX13" s="128">
        <v>1</v>
      </c>
      <c r="AY13" s="128">
        <v>1</v>
      </c>
      <c r="AZ13" s="128">
        <v>1</v>
      </c>
      <c r="BA13" s="128">
        <v>1</v>
      </c>
      <c r="BB13" s="128">
        <v>1</v>
      </c>
      <c r="BC13" s="128">
        <v>1</v>
      </c>
      <c r="BD13" s="128">
        <v>1</v>
      </c>
      <c r="BE13" s="128">
        <v>1</v>
      </c>
      <c r="BF13" s="128">
        <v>1</v>
      </c>
      <c r="BG13" s="128">
        <v>1</v>
      </c>
      <c r="BH13" s="128">
        <v>1</v>
      </c>
      <c r="BI13" s="128">
        <v>1</v>
      </c>
      <c r="BJ13" s="128">
        <v>1</v>
      </c>
      <c r="BK13" s="128">
        <v>1</v>
      </c>
      <c r="BL13" s="128">
        <v>1</v>
      </c>
      <c r="BM13" s="128">
        <v>1</v>
      </c>
      <c r="BN13" s="128">
        <v>1</v>
      </c>
      <c r="BO13" s="128">
        <v>1</v>
      </c>
      <c r="BP13" s="128">
        <v>1</v>
      </c>
      <c r="BQ13" s="128">
        <v>1</v>
      </c>
      <c r="BR13" s="128">
        <v>1</v>
      </c>
      <c r="BS13" s="128">
        <v>1</v>
      </c>
      <c r="BT13" s="128">
        <v>1</v>
      </c>
      <c r="BU13" s="128">
        <v>1</v>
      </c>
      <c r="BV13" s="128">
        <v>1</v>
      </c>
      <c r="BW13" s="128">
        <v>1</v>
      </c>
      <c r="BX13" s="128">
        <v>1</v>
      </c>
      <c r="BY13" s="128">
        <v>1</v>
      </c>
      <c r="BZ13" s="128">
        <v>1</v>
      </c>
      <c r="CA13" s="128">
        <v>1</v>
      </c>
      <c r="CB13" s="128">
        <v>1</v>
      </c>
      <c r="CC13" s="128">
        <v>1</v>
      </c>
      <c r="CD13" s="128">
        <v>1</v>
      </c>
      <c r="CE13" s="128">
        <v>1</v>
      </c>
      <c r="CF13" s="128">
        <v>1</v>
      </c>
      <c r="CG13" s="128">
        <v>1</v>
      </c>
      <c r="CH13" s="128">
        <v>1</v>
      </c>
      <c r="CI13" s="128">
        <v>1</v>
      </c>
      <c r="CJ13" s="128">
        <v>1</v>
      </c>
      <c r="CK13" s="128">
        <v>1</v>
      </c>
      <c r="CL13" s="128">
        <v>1</v>
      </c>
      <c r="CM13" s="128">
        <v>1</v>
      </c>
      <c r="CN13" s="128">
        <v>1</v>
      </c>
      <c r="CO13" s="128">
        <v>1</v>
      </c>
      <c r="CP13" s="128">
        <v>1</v>
      </c>
      <c r="CQ13" s="128">
        <v>1</v>
      </c>
      <c r="CR13" s="128">
        <v>1</v>
      </c>
      <c r="CS13" s="128">
        <v>1</v>
      </c>
      <c r="CT13" s="128">
        <v>1</v>
      </c>
      <c r="CU13" s="128">
        <v>1</v>
      </c>
      <c r="CV13" s="128">
        <v>1</v>
      </c>
      <c r="CW13" s="128">
        <v>1</v>
      </c>
      <c r="CX13" s="128">
        <v>1</v>
      </c>
      <c r="CZ13" s="126">
        <f>SUMIF(MatrixF0[[1]:[2]],MatrixF0[[#This Row],[Столбец1]])/MatrixF0[[#This Row],[Столбец1]]</f>
        <v>0</v>
      </c>
    </row>
    <row r="14" spans="1:104" ht="21" customHeight="1" x14ac:dyDescent="0.25">
      <c r="A14" s="127">
        <v>1.1100000000000001</v>
      </c>
      <c r="B14" s="128">
        <v>1</v>
      </c>
      <c r="C14" s="128">
        <v>1</v>
      </c>
      <c r="D14" s="128">
        <v>1</v>
      </c>
      <c r="E14" s="128">
        <v>1</v>
      </c>
      <c r="F14" s="128">
        <v>1</v>
      </c>
      <c r="G14" s="128">
        <v>1</v>
      </c>
      <c r="H14" s="128">
        <v>1</v>
      </c>
      <c r="I14" s="128">
        <v>1</v>
      </c>
      <c r="J14" s="128">
        <v>1</v>
      </c>
      <c r="K14" s="128">
        <v>1</v>
      </c>
      <c r="L14" s="128">
        <v>1</v>
      </c>
      <c r="M14" s="128">
        <v>1</v>
      </c>
      <c r="N14" s="128">
        <v>1</v>
      </c>
      <c r="O14" s="128">
        <v>1</v>
      </c>
      <c r="P14" s="128">
        <v>1</v>
      </c>
      <c r="Q14" s="128">
        <v>1</v>
      </c>
      <c r="R14" s="128">
        <v>1</v>
      </c>
      <c r="S14" s="128">
        <v>1</v>
      </c>
      <c r="T14" s="128">
        <v>1</v>
      </c>
      <c r="U14" s="128">
        <v>1</v>
      </c>
      <c r="V14" s="128">
        <v>1</v>
      </c>
      <c r="W14" s="128">
        <v>1</v>
      </c>
      <c r="X14" s="128">
        <v>1</v>
      </c>
      <c r="Y14" s="128">
        <v>1</v>
      </c>
      <c r="Z14" s="128">
        <v>1</v>
      </c>
      <c r="AA14" s="128">
        <v>1</v>
      </c>
      <c r="AB14" s="128">
        <v>1</v>
      </c>
      <c r="AC14" s="128">
        <v>1</v>
      </c>
      <c r="AD14" s="128">
        <v>1</v>
      </c>
      <c r="AE14" s="128">
        <v>1</v>
      </c>
      <c r="AF14" s="128">
        <v>1</v>
      </c>
      <c r="AG14" s="128">
        <v>1</v>
      </c>
      <c r="AH14" s="128">
        <v>1</v>
      </c>
      <c r="AI14" s="128">
        <v>1</v>
      </c>
      <c r="AJ14" s="128">
        <v>1</v>
      </c>
      <c r="AK14" s="128">
        <v>1</v>
      </c>
      <c r="AL14" s="128">
        <v>1</v>
      </c>
      <c r="AM14" s="128">
        <v>1</v>
      </c>
      <c r="AN14" s="128">
        <v>1</v>
      </c>
      <c r="AO14" s="128">
        <v>1</v>
      </c>
      <c r="AP14" s="128">
        <v>1</v>
      </c>
      <c r="AQ14" s="128">
        <v>1</v>
      </c>
      <c r="AR14" s="128">
        <v>1</v>
      </c>
      <c r="AS14" s="128">
        <v>1</v>
      </c>
      <c r="AT14" s="128">
        <v>1</v>
      </c>
      <c r="AU14" s="128">
        <v>1</v>
      </c>
      <c r="AV14" s="128">
        <v>1</v>
      </c>
      <c r="AW14" s="128">
        <v>1</v>
      </c>
      <c r="AX14" s="128">
        <v>1</v>
      </c>
      <c r="AY14" s="128">
        <v>1</v>
      </c>
      <c r="AZ14" s="128">
        <v>1</v>
      </c>
      <c r="BA14" s="128">
        <v>1</v>
      </c>
      <c r="BB14" s="128">
        <v>1</v>
      </c>
      <c r="BC14" s="128">
        <v>1</v>
      </c>
      <c r="BD14" s="128">
        <v>1</v>
      </c>
      <c r="BE14" s="128">
        <v>1</v>
      </c>
      <c r="BF14" s="128">
        <v>1</v>
      </c>
      <c r="BG14" s="128">
        <v>1</v>
      </c>
      <c r="BH14" s="128">
        <v>1</v>
      </c>
      <c r="BI14" s="128">
        <v>1</v>
      </c>
      <c r="BJ14" s="128">
        <v>1</v>
      </c>
      <c r="BK14" s="128">
        <v>1</v>
      </c>
      <c r="BL14" s="128">
        <v>1</v>
      </c>
      <c r="BM14" s="128">
        <v>1</v>
      </c>
      <c r="BN14" s="128">
        <v>1</v>
      </c>
      <c r="BO14" s="128">
        <v>1</v>
      </c>
      <c r="BP14" s="128">
        <v>1</v>
      </c>
      <c r="BQ14" s="128">
        <v>1</v>
      </c>
      <c r="BR14" s="128">
        <v>1</v>
      </c>
      <c r="BS14" s="128">
        <v>1</v>
      </c>
      <c r="BT14" s="128">
        <v>1</v>
      </c>
      <c r="BU14" s="128">
        <v>1</v>
      </c>
      <c r="BV14" s="128">
        <v>1</v>
      </c>
      <c r="BW14" s="128">
        <v>1</v>
      </c>
      <c r="BX14" s="128">
        <v>1</v>
      </c>
      <c r="BY14" s="128">
        <v>1</v>
      </c>
      <c r="BZ14" s="128">
        <v>1</v>
      </c>
      <c r="CA14" s="128">
        <v>1</v>
      </c>
      <c r="CB14" s="128">
        <v>1</v>
      </c>
      <c r="CC14" s="128">
        <v>1</v>
      </c>
      <c r="CD14" s="128">
        <v>1</v>
      </c>
      <c r="CE14" s="128">
        <v>1</v>
      </c>
      <c r="CF14" s="128">
        <v>1</v>
      </c>
      <c r="CG14" s="128">
        <v>1</v>
      </c>
      <c r="CH14" s="128">
        <v>1</v>
      </c>
      <c r="CI14" s="128">
        <v>1</v>
      </c>
      <c r="CJ14" s="128">
        <v>1</v>
      </c>
      <c r="CK14" s="128">
        <v>1</v>
      </c>
      <c r="CL14" s="128">
        <v>1</v>
      </c>
      <c r="CM14" s="128">
        <v>1</v>
      </c>
      <c r="CN14" s="128">
        <v>1</v>
      </c>
      <c r="CO14" s="128">
        <v>1</v>
      </c>
      <c r="CP14" s="128">
        <v>1</v>
      </c>
      <c r="CQ14" s="128">
        <v>1</v>
      </c>
      <c r="CR14" s="128">
        <v>1</v>
      </c>
      <c r="CS14" s="128">
        <v>1</v>
      </c>
      <c r="CT14" s="128">
        <v>1</v>
      </c>
      <c r="CU14" s="128">
        <v>1</v>
      </c>
      <c r="CV14" s="128">
        <v>1</v>
      </c>
      <c r="CW14" s="128">
        <v>1</v>
      </c>
      <c r="CX14" s="128">
        <v>1</v>
      </c>
      <c r="CZ14" s="126">
        <f>SUMIF(MatrixF0[[1]:[2]],MatrixF0[[#This Row],[Столбец1]])/MatrixF0[[#This Row],[Столбец1]]</f>
        <v>0</v>
      </c>
    </row>
    <row r="15" spans="1:104" ht="21" customHeight="1" x14ac:dyDescent="0.25">
      <c r="A15" s="127">
        <v>1.1200000000000001</v>
      </c>
      <c r="B15" s="128">
        <v>1</v>
      </c>
      <c r="C15" s="128">
        <v>1</v>
      </c>
      <c r="D15" s="128">
        <v>1</v>
      </c>
      <c r="E15" s="128">
        <v>1</v>
      </c>
      <c r="F15" s="128">
        <v>1</v>
      </c>
      <c r="G15" s="128">
        <v>1</v>
      </c>
      <c r="H15" s="128">
        <v>1</v>
      </c>
      <c r="I15" s="128">
        <v>1</v>
      </c>
      <c r="J15" s="128">
        <v>1</v>
      </c>
      <c r="K15" s="128">
        <v>1</v>
      </c>
      <c r="L15" s="128">
        <v>1</v>
      </c>
      <c r="M15" s="128">
        <v>1</v>
      </c>
      <c r="N15" s="128">
        <v>1</v>
      </c>
      <c r="O15" s="128">
        <v>1</v>
      </c>
      <c r="P15" s="128">
        <v>1</v>
      </c>
      <c r="Q15" s="128">
        <v>1</v>
      </c>
      <c r="R15" s="128">
        <v>1</v>
      </c>
      <c r="S15" s="128">
        <v>1</v>
      </c>
      <c r="T15" s="128">
        <v>1</v>
      </c>
      <c r="U15" s="128">
        <v>1</v>
      </c>
      <c r="V15" s="128">
        <v>1</v>
      </c>
      <c r="W15" s="128">
        <v>1</v>
      </c>
      <c r="X15" s="128">
        <v>1</v>
      </c>
      <c r="Y15" s="128">
        <v>1</v>
      </c>
      <c r="Z15" s="128">
        <v>1</v>
      </c>
      <c r="AA15" s="128">
        <v>1</v>
      </c>
      <c r="AB15" s="128">
        <v>1</v>
      </c>
      <c r="AC15" s="128">
        <v>1</v>
      </c>
      <c r="AD15" s="128">
        <v>1</v>
      </c>
      <c r="AE15" s="128">
        <v>1</v>
      </c>
      <c r="AF15" s="128">
        <v>1</v>
      </c>
      <c r="AG15" s="128">
        <v>1</v>
      </c>
      <c r="AH15" s="128">
        <v>1</v>
      </c>
      <c r="AI15" s="128">
        <v>1</v>
      </c>
      <c r="AJ15" s="128">
        <v>1</v>
      </c>
      <c r="AK15" s="128">
        <v>1</v>
      </c>
      <c r="AL15" s="128">
        <v>1</v>
      </c>
      <c r="AM15" s="128">
        <v>1</v>
      </c>
      <c r="AN15" s="128">
        <v>1</v>
      </c>
      <c r="AO15" s="128">
        <v>1</v>
      </c>
      <c r="AP15" s="128">
        <v>1</v>
      </c>
      <c r="AQ15" s="128">
        <v>1</v>
      </c>
      <c r="AR15" s="128">
        <v>1</v>
      </c>
      <c r="AS15" s="128">
        <v>1</v>
      </c>
      <c r="AT15" s="128">
        <v>1</v>
      </c>
      <c r="AU15" s="128">
        <v>1</v>
      </c>
      <c r="AV15" s="128">
        <v>1</v>
      </c>
      <c r="AW15" s="128">
        <v>1</v>
      </c>
      <c r="AX15" s="128">
        <v>1</v>
      </c>
      <c r="AY15" s="128">
        <v>1</v>
      </c>
      <c r="AZ15" s="128">
        <v>1</v>
      </c>
      <c r="BA15" s="128">
        <v>1</v>
      </c>
      <c r="BB15" s="128">
        <v>1</v>
      </c>
      <c r="BC15" s="128">
        <v>1</v>
      </c>
      <c r="BD15" s="128">
        <v>1</v>
      </c>
      <c r="BE15" s="128">
        <v>1</v>
      </c>
      <c r="BF15" s="128">
        <v>1</v>
      </c>
      <c r="BG15" s="128">
        <v>1</v>
      </c>
      <c r="BH15" s="128">
        <v>1</v>
      </c>
      <c r="BI15" s="128">
        <v>1</v>
      </c>
      <c r="BJ15" s="128">
        <v>1</v>
      </c>
      <c r="BK15" s="128">
        <v>1</v>
      </c>
      <c r="BL15" s="128">
        <v>1</v>
      </c>
      <c r="BM15" s="128">
        <v>1</v>
      </c>
      <c r="BN15" s="128">
        <v>1</v>
      </c>
      <c r="BO15" s="128">
        <v>1</v>
      </c>
      <c r="BP15" s="128">
        <v>1</v>
      </c>
      <c r="BQ15" s="128">
        <v>1</v>
      </c>
      <c r="BR15" s="128">
        <v>1</v>
      </c>
      <c r="BS15" s="128">
        <v>1</v>
      </c>
      <c r="BT15" s="128">
        <v>1</v>
      </c>
      <c r="BU15" s="128">
        <v>1</v>
      </c>
      <c r="BV15" s="128">
        <v>1</v>
      </c>
      <c r="BW15" s="128">
        <v>1</v>
      </c>
      <c r="BX15" s="128">
        <v>1</v>
      </c>
      <c r="BY15" s="128">
        <v>1</v>
      </c>
      <c r="BZ15" s="128">
        <v>1</v>
      </c>
      <c r="CA15" s="128">
        <v>1</v>
      </c>
      <c r="CB15" s="128">
        <v>1</v>
      </c>
      <c r="CC15" s="128">
        <v>1</v>
      </c>
      <c r="CD15" s="128">
        <v>1</v>
      </c>
      <c r="CE15" s="128">
        <v>1</v>
      </c>
      <c r="CF15" s="128">
        <v>1</v>
      </c>
      <c r="CG15" s="128">
        <v>1</v>
      </c>
      <c r="CH15" s="128">
        <v>1</v>
      </c>
      <c r="CI15" s="128">
        <v>1</v>
      </c>
      <c r="CJ15" s="128">
        <v>1</v>
      </c>
      <c r="CK15" s="128">
        <v>1</v>
      </c>
      <c r="CL15" s="128">
        <v>1</v>
      </c>
      <c r="CM15" s="128">
        <v>1</v>
      </c>
      <c r="CN15" s="128">
        <v>1</v>
      </c>
      <c r="CO15" s="128">
        <v>1</v>
      </c>
      <c r="CP15" s="128">
        <v>1</v>
      </c>
      <c r="CQ15" s="128">
        <v>1</v>
      </c>
      <c r="CR15" s="128">
        <v>1</v>
      </c>
      <c r="CS15" s="128">
        <v>1</v>
      </c>
      <c r="CT15" s="128">
        <v>1</v>
      </c>
      <c r="CU15" s="128">
        <v>1</v>
      </c>
      <c r="CV15" s="128">
        <v>1</v>
      </c>
      <c r="CW15" s="128">
        <v>1</v>
      </c>
      <c r="CX15" s="128">
        <v>1</v>
      </c>
      <c r="CZ15" s="126">
        <f>SUMIF(MatrixF0[[1]:[2]],MatrixF0[[#This Row],[Столбец1]])/MatrixF0[[#This Row],[Столбец1]]</f>
        <v>0</v>
      </c>
    </row>
    <row r="16" spans="1:104" ht="21" customHeight="1" x14ac:dyDescent="0.25">
      <c r="A16" s="127">
        <v>1.1299999999999999</v>
      </c>
      <c r="B16" s="128">
        <v>1</v>
      </c>
      <c r="C16" s="128">
        <v>1</v>
      </c>
      <c r="D16" s="128">
        <v>1</v>
      </c>
      <c r="E16" s="128">
        <v>1</v>
      </c>
      <c r="F16" s="128">
        <v>1</v>
      </c>
      <c r="G16" s="128">
        <v>1</v>
      </c>
      <c r="H16" s="128">
        <v>1</v>
      </c>
      <c r="I16" s="128">
        <v>1</v>
      </c>
      <c r="J16" s="128">
        <v>1</v>
      </c>
      <c r="K16" s="128">
        <v>1</v>
      </c>
      <c r="L16" s="128">
        <v>1</v>
      </c>
      <c r="M16" s="128">
        <v>1</v>
      </c>
      <c r="N16" s="128">
        <v>1</v>
      </c>
      <c r="O16" s="128">
        <v>1</v>
      </c>
      <c r="P16" s="128">
        <v>1</v>
      </c>
      <c r="Q16" s="128">
        <v>1</v>
      </c>
      <c r="R16" s="128">
        <v>1</v>
      </c>
      <c r="S16" s="128">
        <v>1</v>
      </c>
      <c r="T16" s="128">
        <v>1</v>
      </c>
      <c r="U16" s="128">
        <v>1</v>
      </c>
      <c r="V16" s="128">
        <v>1</v>
      </c>
      <c r="W16" s="128">
        <v>1</v>
      </c>
      <c r="X16" s="128">
        <v>1</v>
      </c>
      <c r="Y16" s="128">
        <v>1</v>
      </c>
      <c r="Z16" s="128">
        <v>1</v>
      </c>
      <c r="AA16" s="128">
        <v>1</v>
      </c>
      <c r="AB16" s="128">
        <v>1</v>
      </c>
      <c r="AC16" s="128">
        <v>1</v>
      </c>
      <c r="AD16" s="128">
        <v>1</v>
      </c>
      <c r="AE16" s="128">
        <v>1</v>
      </c>
      <c r="AF16" s="128">
        <v>1</v>
      </c>
      <c r="AG16" s="128">
        <v>1</v>
      </c>
      <c r="AH16" s="128">
        <v>1</v>
      </c>
      <c r="AI16" s="128">
        <v>1</v>
      </c>
      <c r="AJ16" s="128">
        <v>1</v>
      </c>
      <c r="AK16" s="128">
        <v>1</v>
      </c>
      <c r="AL16" s="128">
        <v>1</v>
      </c>
      <c r="AM16" s="128">
        <v>1</v>
      </c>
      <c r="AN16" s="128">
        <v>1</v>
      </c>
      <c r="AO16" s="128">
        <v>1</v>
      </c>
      <c r="AP16" s="128">
        <v>1</v>
      </c>
      <c r="AQ16" s="128">
        <v>1</v>
      </c>
      <c r="AR16" s="128">
        <v>1</v>
      </c>
      <c r="AS16" s="128">
        <v>1</v>
      </c>
      <c r="AT16" s="128">
        <v>1</v>
      </c>
      <c r="AU16" s="128">
        <v>1</v>
      </c>
      <c r="AV16" s="128">
        <v>1</v>
      </c>
      <c r="AW16" s="128">
        <v>1</v>
      </c>
      <c r="AX16" s="128">
        <v>1</v>
      </c>
      <c r="AY16" s="128">
        <v>1</v>
      </c>
      <c r="AZ16" s="128">
        <v>1</v>
      </c>
      <c r="BA16" s="128">
        <v>1</v>
      </c>
      <c r="BB16" s="128">
        <v>1</v>
      </c>
      <c r="BC16" s="128">
        <v>1</v>
      </c>
      <c r="BD16" s="128">
        <v>1</v>
      </c>
      <c r="BE16" s="128">
        <v>1</v>
      </c>
      <c r="BF16" s="128">
        <v>1</v>
      </c>
      <c r="BG16" s="128">
        <v>1</v>
      </c>
      <c r="BH16" s="128">
        <v>1</v>
      </c>
      <c r="BI16" s="128">
        <v>1</v>
      </c>
      <c r="BJ16" s="128">
        <v>1</v>
      </c>
      <c r="BK16" s="128">
        <v>1</v>
      </c>
      <c r="BL16" s="128">
        <v>1</v>
      </c>
      <c r="BM16" s="128">
        <v>1</v>
      </c>
      <c r="BN16" s="128">
        <v>1</v>
      </c>
      <c r="BO16" s="128">
        <v>1</v>
      </c>
      <c r="BP16" s="128">
        <v>1</v>
      </c>
      <c r="BQ16" s="128">
        <v>1</v>
      </c>
      <c r="BR16" s="128">
        <v>1</v>
      </c>
      <c r="BS16" s="128">
        <v>1</v>
      </c>
      <c r="BT16" s="128">
        <v>1</v>
      </c>
      <c r="BU16" s="128">
        <v>1</v>
      </c>
      <c r="BV16" s="128">
        <v>1</v>
      </c>
      <c r="BW16" s="128">
        <v>1</v>
      </c>
      <c r="BX16" s="128">
        <v>1</v>
      </c>
      <c r="BY16" s="128">
        <v>1</v>
      </c>
      <c r="BZ16" s="128">
        <v>1</v>
      </c>
      <c r="CA16" s="128">
        <v>1</v>
      </c>
      <c r="CB16" s="128">
        <v>1</v>
      </c>
      <c r="CC16" s="128">
        <v>1</v>
      </c>
      <c r="CD16" s="128">
        <v>1</v>
      </c>
      <c r="CE16" s="128">
        <v>1</v>
      </c>
      <c r="CF16" s="128">
        <v>1</v>
      </c>
      <c r="CG16" s="128">
        <v>1</v>
      </c>
      <c r="CH16" s="128">
        <v>1</v>
      </c>
      <c r="CI16" s="128">
        <v>1</v>
      </c>
      <c r="CJ16" s="128">
        <v>1</v>
      </c>
      <c r="CK16" s="128">
        <v>1</v>
      </c>
      <c r="CL16" s="128">
        <v>1</v>
      </c>
      <c r="CM16" s="128">
        <v>1</v>
      </c>
      <c r="CN16" s="128">
        <v>1</v>
      </c>
      <c r="CO16" s="128">
        <v>1</v>
      </c>
      <c r="CP16" s="128">
        <v>1</v>
      </c>
      <c r="CQ16" s="128">
        <v>1</v>
      </c>
      <c r="CR16" s="128">
        <v>1</v>
      </c>
      <c r="CS16" s="128">
        <v>1</v>
      </c>
      <c r="CT16" s="128">
        <v>1</v>
      </c>
      <c r="CU16" s="128">
        <v>1</v>
      </c>
      <c r="CV16" s="128">
        <v>1</v>
      </c>
      <c r="CW16" s="128">
        <v>1</v>
      </c>
      <c r="CX16" s="128">
        <v>1</v>
      </c>
      <c r="CZ16" s="126">
        <f>SUMIF(MatrixF0[[1]:[2]],MatrixF0[[#This Row],[Столбец1]])/MatrixF0[[#This Row],[Столбец1]]</f>
        <v>0</v>
      </c>
    </row>
    <row r="17" spans="1:104" ht="21" customHeight="1" x14ac:dyDescent="0.25">
      <c r="A17" s="127">
        <v>1.1399999999999999</v>
      </c>
      <c r="B17" s="128">
        <v>1</v>
      </c>
      <c r="C17" s="128">
        <v>1</v>
      </c>
      <c r="D17" s="128">
        <v>1</v>
      </c>
      <c r="E17" s="128">
        <v>1</v>
      </c>
      <c r="F17" s="128">
        <v>1</v>
      </c>
      <c r="G17" s="128">
        <v>1</v>
      </c>
      <c r="H17" s="128">
        <v>1</v>
      </c>
      <c r="I17" s="128">
        <v>1</v>
      </c>
      <c r="J17" s="128">
        <v>1</v>
      </c>
      <c r="K17" s="128">
        <v>1</v>
      </c>
      <c r="L17" s="128">
        <v>1</v>
      </c>
      <c r="M17" s="128">
        <v>1</v>
      </c>
      <c r="N17" s="128">
        <v>1</v>
      </c>
      <c r="O17" s="128">
        <v>1</v>
      </c>
      <c r="P17" s="128">
        <v>1</v>
      </c>
      <c r="Q17" s="128">
        <v>1</v>
      </c>
      <c r="R17" s="128">
        <v>1</v>
      </c>
      <c r="S17" s="128">
        <v>1</v>
      </c>
      <c r="T17" s="128">
        <v>1</v>
      </c>
      <c r="U17" s="128">
        <v>1</v>
      </c>
      <c r="V17" s="128">
        <v>1</v>
      </c>
      <c r="W17" s="128">
        <v>1</v>
      </c>
      <c r="X17" s="128">
        <v>1</v>
      </c>
      <c r="Y17" s="128">
        <v>1</v>
      </c>
      <c r="Z17" s="128">
        <v>1</v>
      </c>
      <c r="AA17" s="128">
        <v>1</v>
      </c>
      <c r="AB17" s="128">
        <v>1</v>
      </c>
      <c r="AC17" s="128">
        <v>1</v>
      </c>
      <c r="AD17" s="128">
        <v>1</v>
      </c>
      <c r="AE17" s="128">
        <v>1</v>
      </c>
      <c r="AF17" s="128">
        <v>1</v>
      </c>
      <c r="AG17" s="128">
        <v>1</v>
      </c>
      <c r="AH17" s="128">
        <v>1</v>
      </c>
      <c r="AI17" s="128">
        <v>1</v>
      </c>
      <c r="AJ17" s="128">
        <v>1</v>
      </c>
      <c r="AK17" s="128">
        <v>1</v>
      </c>
      <c r="AL17" s="128">
        <v>1</v>
      </c>
      <c r="AM17" s="128">
        <v>1</v>
      </c>
      <c r="AN17" s="128">
        <v>1</v>
      </c>
      <c r="AO17" s="128">
        <v>1</v>
      </c>
      <c r="AP17" s="128">
        <v>1</v>
      </c>
      <c r="AQ17" s="128">
        <v>1</v>
      </c>
      <c r="AR17" s="128">
        <v>1</v>
      </c>
      <c r="AS17" s="128">
        <v>1</v>
      </c>
      <c r="AT17" s="128">
        <v>1</v>
      </c>
      <c r="AU17" s="128">
        <v>1</v>
      </c>
      <c r="AV17" s="128">
        <v>1</v>
      </c>
      <c r="AW17" s="128">
        <v>1</v>
      </c>
      <c r="AX17" s="128">
        <v>1</v>
      </c>
      <c r="AY17" s="128">
        <v>1</v>
      </c>
      <c r="AZ17" s="128">
        <v>1</v>
      </c>
      <c r="BA17" s="128">
        <v>1</v>
      </c>
      <c r="BB17" s="128">
        <v>1</v>
      </c>
      <c r="BC17" s="128">
        <v>1</v>
      </c>
      <c r="BD17" s="128">
        <v>1</v>
      </c>
      <c r="BE17" s="128">
        <v>1</v>
      </c>
      <c r="BF17" s="128">
        <v>1</v>
      </c>
      <c r="BG17" s="128">
        <v>1</v>
      </c>
      <c r="BH17" s="128">
        <v>1</v>
      </c>
      <c r="BI17" s="128">
        <v>1</v>
      </c>
      <c r="BJ17" s="128">
        <v>1</v>
      </c>
      <c r="BK17" s="128">
        <v>1</v>
      </c>
      <c r="BL17" s="128">
        <v>1</v>
      </c>
      <c r="BM17" s="128">
        <v>1</v>
      </c>
      <c r="BN17" s="128">
        <v>1</v>
      </c>
      <c r="BO17" s="128">
        <v>1</v>
      </c>
      <c r="BP17" s="128">
        <v>1</v>
      </c>
      <c r="BQ17" s="128">
        <v>1</v>
      </c>
      <c r="BR17" s="128">
        <v>1</v>
      </c>
      <c r="BS17" s="128">
        <v>1</v>
      </c>
      <c r="BT17" s="128">
        <v>1</v>
      </c>
      <c r="BU17" s="128">
        <v>1</v>
      </c>
      <c r="BV17" s="128">
        <v>1</v>
      </c>
      <c r="BW17" s="128">
        <v>1</v>
      </c>
      <c r="BX17" s="128">
        <v>1</v>
      </c>
      <c r="BY17" s="128">
        <v>1</v>
      </c>
      <c r="BZ17" s="128">
        <v>1</v>
      </c>
      <c r="CA17" s="128">
        <v>1</v>
      </c>
      <c r="CB17" s="128">
        <v>1</v>
      </c>
      <c r="CC17" s="128">
        <v>1</v>
      </c>
      <c r="CD17" s="128">
        <v>1</v>
      </c>
      <c r="CE17" s="128">
        <v>1</v>
      </c>
      <c r="CF17" s="128">
        <v>1</v>
      </c>
      <c r="CG17" s="128">
        <v>1</v>
      </c>
      <c r="CH17" s="128">
        <v>1</v>
      </c>
      <c r="CI17" s="128">
        <v>1</v>
      </c>
      <c r="CJ17" s="128">
        <v>1</v>
      </c>
      <c r="CK17" s="128">
        <v>1</v>
      </c>
      <c r="CL17" s="128">
        <v>1</v>
      </c>
      <c r="CM17" s="128">
        <v>1</v>
      </c>
      <c r="CN17" s="128">
        <v>1</v>
      </c>
      <c r="CO17" s="128">
        <v>1</v>
      </c>
      <c r="CP17" s="128">
        <v>1</v>
      </c>
      <c r="CQ17" s="128">
        <v>1</v>
      </c>
      <c r="CR17" s="128">
        <v>1</v>
      </c>
      <c r="CS17" s="128">
        <v>1</v>
      </c>
      <c r="CT17" s="128">
        <v>1</v>
      </c>
      <c r="CU17" s="128">
        <v>1</v>
      </c>
      <c r="CV17" s="128">
        <v>1</v>
      </c>
      <c r="CW17" s="128">
        <v>1</v>
      </c>
      <c r="CX17" s="128">
        <v>1</v>
      </c>
      <c r="CZ17" s="126">
        <f>SUMIF(MatrixF0[[1]:[2]],MatrixF0[[#This Row],[Столбец1]])/MatrixF0[[#This Row],[Столбец1]]</f>
        <v>0</v>
      </c>
    </row>
    <row r="18" spans="1:104" ht="21" customHeight="1" x14ac:dyDescent="0.25">
      <c r="A18" s="127">
        <v>1.1499999999999999</v>
      </c>
      <c r="B18" s="128">
        <v>1</v>
      </c>
      <c r="C18" s="128">
        <v>1</v>
      </c>
      <c r="D18" s="128">
        <v>1</v>
      </c>
      <c r="E18" s="128">
        <v>1</v>
      </c>
      <c r="F18" s="128">
        <v>1</v>
      </c>
      <c r="G18" s="128">
        <v>1</v>
      </c>
      <c r="H18" s="128">
        <v>1</v>
      </c>
      <c r="I18" s="128">
        <v>1</v>
      </c>
      <c r="J18" s="128">
        <v>1</v>
      </c>
      <c r="K18" s="128">
        <v>1</v>
      </c>
      <c r="L18" s="128">
        <v>1</v>
      </c>
      <c r="M18" s="128">
        <v>1</v>
      </c>
      <c r="N18" s="128">
        <v>1</v>
      </c>
      <c r="O18" s="128">
        <v>1</v>
      </c>
      <c r="P18" s="128">
        <v>1</v>
      </c>
      <c r="Q18" s="128">
        <v>1</v>
      </c>
      <c r="R18" s="128">
        <v>1</v>
      </c>
      <c r="S18" s="128">
        <v>1</v>
      </c>
      <c r="T18" s="128">
        <v>1</v>
      </c>
      <c r="U18" s="128">
        <v>1</v>
      </c>
      <c r="V18" s="128">
        <v>1</v>
      </c>
      <c r="W18" s="128">
        <v>1</v>
      </c>
      <c r="X18" s="128">
        <v>1</v>
      </c>
      <c r="Y18" s="128">
        <v>1</v>
      </c>
      <c r="Z18" s="128">
        <v>1</v>
      </c>
      <c r="AA18" s="128">
        <v>1</v>
      </c>
      <c r="AB18" s="128">
        <v>1</v>
      </c>
      <c r="AC18" s="128">
        <v>1</v>
      </c>
      <c r="AD18" s="128">
        <v>1</v>
      </c>
      <c r="AE18" s="128">
        <v>1</v>
      </c>
      <c r="AF18" s="128">
        <v>1</v>
      </c>
      <c r="AG18" s="128">
        <v>1</v>
      </c>
      <c r="AH18" s="128">
        <v>1</v>
      </c>
      <c r="AI18" s="128">
        <v>1</v>
      </c>
      <c r="AJ18" s="128">
        <v>1</v>
      </c>
      <c r="AK18" s="128">
        <v>1</v>
      </c>
      <c r="AL18" s="128">
        <v>1</v>
      </c>
      <c r="AM18" s="128">
        <v>1</v>
      </c>
      <c r="AN18" s="128">
        <v>1</v>
      </c>
      <c r="AO18" s="128">
        <v>1</v>
      </c>
      <c r="AP18" s="128">
        <v>1</v>
      </c>
      <c r="AQ18" s="128">
        <v>1</v>
      </c>
      <c r="AR18" s="128">
        <v>1</v>
      </c>
      <c r="AS18" s="128">
        <v>1</v>
      </c>
      <c r="AT18" s="128">
        <v>1</v>
      </c>
      <c r="AU18" s="128">
        <v>1</v>
      </c>
      <c r="AV18" s="128">
        <v>1</v>
      </c>
      <c r="AW18" s="128">
        <v>1</v>
      </c>
      <c r="AX18" s="128">
        <v>1</v>
      </c>
      <c r="AY18" s="128">
        <v>1</v>
      </c>
      <c r="AZ18" s="128">
        <v>1</v>
      </c>
      <c r="BA18" s="128">
        <v>1</v>
      </c>
      <c r="BB18" s="128">
        <v>1</v>
      </c>
      <c r="BC18" s="128">
        <v>1</v>
      </c>
      <c r="BD18" s="128">
        <v>1</v>
      </c>
      <c r="BE18" s="128">
        <v>1</v>
      </c>
      <c r="BF18" s="128">
        <v>1</v>
      </c>
      <c r="BG18" s="128">
        <v>1</v>
      </c>
      <c r="BH18" s="128">
        <v>1</v>
      </c>
      <c r="BI18" s="128">
        <v>1</v>
      </c>
      <c r="BJ18" s="128">
        <v>1</v>
      </c>
      <c r="BK18" s="128">
        <v>1</v>
      </c>
      <c r="BL18" s="128">
        <v>1</v>
      </c>
      <c r="BM18" s="128">
        <v>1</v>
      </c>
      <c r="BN18" s="128">
        <v>1</v>
      </c>
      <c r="BO18" s="128">
        <v>1</v>
      </c>
      <c r="BP18" s="128">
        <v>1</v>
      </c>
      <c r="BQ18" s="128">
        <v>1</v>
      </c>
      <c r="BR18" s="128">
        <v>1</v>
      </c>
      <c r="BS18" s="128">
        <v>1</v>
      </c>
      <c r="BT18" s="128">
        <v>1</v>
      </c>
      <c r="BU18" s="128">
        <v>1</v>
      </c>
      <c r="BV18" s="128">
        <v>1</v>
      </c>
      <c r="BW18" s="128">
        <v>1</v>
      </c>
      <c r="BX18" s="128">
        <v>1</v>
      </c>
      <c r="BY18" s="128">
        <v>1</v>
      </c>
      <c r="BZ18" s="128">
        <v>1</v>
      </c>
      <c r="CA18" s="128">
        <v>1</v>
      </c>
      <c r="CB18" s="128">
        <v>1</v>
      </c>
      <c r="CC18" s="128">
        <v>1</v>
      </c>
      <c r="CD18" s="128">
        <v>1</v>
      </c>
      <c r="CE18" s="128">
        <v>1</v>
      </c>
      <c r="CF18" s="128">
        <v>1</v>
      </c>
      <c r="CG18" s="128">
        <v>1</v>
      </c>
      <c r="CH18" s="128">
        <v>1</v>
      </c>
      <c r="CI18" s="128">
        <v>1</v>
      </c>
      <c r="CJ18" s="128">
        <v>1</v>
      </c>
      <c r="CK18" s="128">
        <v>1</v>
      </c>
      <c r="CL18" s="128">
        <v>1</v>
      </c>
      <c r="CM18" s="128">
        <v>1</v>
      </c>
      <c r="CN18" s="128">
        <v>1</v>
      </c>
      <c r="CO18" s="128">
        <v>1</v>
      </c>
      <c r="CP18" s="128">
        <v>1</v>
      </c>
      <c r="CQ18" s="128">
        <v>1</v>
      </c>
      <c r="CR18" s="128">
        <v>1</v>
      </c>
      <c r="CS18" s="128">
        <v>1</v>
      </c>
      <c r="CT18" s="128">
        <v>1</v>
      </c>
      <c r="CU18" s="128">
        <v>1</v>
      </c>
      <c r="CV18" s="128">
        <v>1</v>
      </c>
      <c r="CW18" s="128">
        <v>1</v>
      </c>
      <c r="CX18" s="128">
        <v>1</v>
      </c>
      <c r="CZ18" s="126">
        <f>SUMIF(MatrixF0[[1]:[2]],MatrixF0[[#This Row],[Столбец1]])/MatrixF0[[#This Row],[Столбец1]]</f>
        <v>0</v>
      </c>
    </row>
    <row r="19" spans="1:104" ht="21" customHeight="1" x14ac:dyDescent="0.25">
      <c r="A19" s="127">
        <v>1.1599999999999999</v>
      </c>
      <c r="B19" s="128">
        <v>1</v>
      </c>
      <c r="C19" s="128">
        <v>1</v>
      </c>
      <c r="D19" s="128">
        <v>1</v>
      </c>
      <c r="E19" s="128">
        <v>1</v>
      </c>
      <c r="F19" s="128">
        <v>1</v>
      </c>
      <c r="G19" s="128">
        <v>1</v>
      </c>
      <c r="H19" s="128">
        <v>1</v>
      </c>
      <c r="I19" s="128">
        <v>1</v>
      </c>
      <c r="J19" s="128">
        <v>1</v>
      </c>
      <c r="K19" s="128">
        <v>1</v>
      </c>
      <c r="L19" s="128">
        <v>1</v>
      </c>
      <c r="M19" s="128">
        <v>1</v>
      </c>
      <c r="N19" s="128">
        <v>1</v>
      </c>
      <c r="O19" s="128">
        <v>1</v>
      </c>
      <c r="P19" s="128">
        <v>1</v>
      </c>
      <c r="Q19" s="128">
        <v>1</v>
      </c>
      <c r="R19" s="128">
        <v>1</v>
      </c>
      <c r="S19" s="128">
        <v>1</v>
      </c>
      <c r="T19" s="128">
        <v>1</v>
      </c>
      <c r="U19" s="128">
        <v>1</v>
      </c>
      <c r="V19" s="128">
        <v>1</v>
      </c>
      <c r="W19" s="128">
        <v>1</v>
      </c>
      <c r="X19" s="128">
        <v>1</v>
      </c>
      <c r="Y19" s="128">
        <v>1</v>
      </c>
      <c r="Z19" s="128">
        <v>1</v>
      </c>
      <c r="AA19" s="128">
        <v>1</v>
      </c>
      <c r="AB19" s="128">
        <v>1</v>
      </c>
      <c r="AC19" s="128">
        <v>1</v>
      </c>
      <c r="AD19" s="128">
        <v>1</v>
      </c>
      <c r="AE19" s="128">
        <v>1</v>
      </c>
      <c r="AF19" s="128">
        <v>1</v>
      </c>
      <c r="AG19" s="128">
        <v>1</v>
      </c>
      <c r="AH19" s="128">
        <v>1</v>
      </c>
      <c r="AI19" s="128">
        <v>1</v>
      </c>
      <c r="AJ19" s="128">
        <v>1</v>
      </c>
      <c r="AK19" s="128">
        <v>1</v>
      </c>
      <c r="AL19" s="128">
        <v>1</v>
      </c>
      <c r="AM19" s="128">
        <v>1</v>
      </c>
      <c r="AN19" s="128">
        <v>1</v>
      </c>
      <c r="AO19" s="128">
        <v>1</v>
      </c>
      <c r="AP19" s="128">
        <v>1</v>
      </c>
      <c r="AQ19" s="128">
        <v>1</v>
      </c>
      <c r="AR19" s="128">
        <v>1</v>
      </c>
      <c r="AS19" s="128">
        <v>1</v>
      </c>
      <c r="AT19" s="128">
        <v>1</v>
      </c>
      <c r="AU19" s="128">
        <v>1</v>
      </c>
      <c r="AV19" s="128">
        <v>1</v>
      </c>
      <c r="AW19" s="128">
        <v>1</v>
      </c>
      <c r="AX19" s="128">
        <v>1</v>
      </c>
      <c r="AY19" s="128">
        <v>1</v>
      </c>
      <c r="AZ19" s="128">
        <v>1</v>
      </c>
      <c r="BA19" s="128">
        <v>1</v>
      </c>
      <c r="BB19" s="128">
        <v>1</v>
      </c>
      <c r="BC19" s="128">
        <v>1</v>
      </c>
      <c r="BD19" s="128">
        <v>1</v>
      </c>
      <c r="BE19" s="128">
        <v>1</v>
      </c>
      <c r="BF19" s="128">
        <v>1</v>
      </c>
      <c r="BG19" s="128">
        <v>1</v>
      </c>
      <c r="BH19" s="128">
        <v>1</v>
      </c>
      <c r="BI19" s="128">
        <v>1</v>
      </c>
      <c r="BJ19" s="128">
        <v>1</v>
      </c>
      <c r="BK19" s="128">
        <v>1</v>
      </c>
      <c r="BL19" s="128">
        <v>1</v>
      </c>
      <c r="BM19" s="128">
        <v>1</v>
      </c>
      <c r="BN19" s="128">
        <v>1</v>
      </c>
      <c r="BO19" s="128">
        <v>1</v>
      </c>
      <c r="BP19" s="128">
        <v>1</v>
      </c>
      <c r="BQ19" s="128">
        <v>1</v>
      </c>
      <c r="BR19" s="128">
        <v>1</v>
      </c>
      <c r="BS19" s="128">
        <v>1</v>
      </c>
      <c r="BT19" s="128">
        <v>1</v>
      </c>
      <c r="BU19" s="128">
        <v>1</v>
      </c>
      <c r="BV19" s="128">
        <v>1</v>
      </c>
      <c r="BW19" s="128">
        <v>1</v>
      </c>
      <c r="BX19" s="128">
        <v>1</v>
      </c>
      <c r="BY19" s="128">
        <v>1</v>
      </c>
      <c r="BZ19" s="128">
        <v>1</v>
      </c>
      <c r="CA19" s="128">
        <v>1</v>
      </c>
      <c r="CB19" s="128">
        <v>1</v>
      </c>
      <c r="CC19" s="128">
        <v>1</v>
      </c>
      <c r="CD19" s="128">
        <v>1</v>
      </c>
      <c r="CE19" s="128">
        <v>1</v>
      </c>
      <c r="CF19" s="128">
        <v>1</v>
      </c>
      <c r="CG19" s="128">
        <v>1</v>
      </c>
      <c r="CH19" s="128">
        <v>1</v>
      </c>
      <c r="CI19" s="128">
        <v>1</v>
      </c>
      <c r="CJ19" s="128">
        <v>1</v>
      </c>
      <c r="CK19" s="128">
        <v>1</v>
      </c>
      <c r="CL19" s="128">
        <v>1</v>
      </c>
      <c r="CM19" s="128">
        <v>1</v>
      </c>
      <c r="CN19" s="128">
        <v>1</v>
      </c>
      <c r="CO19" s="128">
        <v>1</v>
      </c>
      <c r="CP19" s="128">
        <v>1</v>
      </c>
      <c r="CQ19" s="128">
        <v>1</v>
      </c>
      <c r="CR19" s="128">
        <v>1</v>
      </c>
      <c r="CS19" s="128">
        <v>1</v>
      </c>
      <c r="CT19" s="128">
        <v>1</v>
      </c>
      <c r="CU19" s="128">
        <v>1</v>
      </c>
      <c r="CV19" s="128">
        <v>1</v>
      </c>
      <c r="CW19" s="128">
        <v>1</v>
      </c>
      <c r="CX19" s="128">
        <v>1</v>
      </c>
      <c r="CZ19" s="126">
        <f>SUMIF(MatrixF0[[1]:[2]],MatrixF0[[#This Row],[Столбец1]])/MatrixF0[[#This Row],[Столбец1]]</f>
        <v>0</v>
      </c>
    </row>
    <row r="20" spans="1:104" ht="21" customHeight="1" x14ac:dyDescent="0.25">
      <c r="A20" s="127">
        <v>1.17</v>
      </c>
      <c r="B20" s="128">
        <v>1</v>
      </c>
      <c r="C20" s="128">
        <v>1</v>
      </c>
      <c r="D20" s="128">
        <v>1</v>
      </c>
      <c r="E20" s="128">
        <v>1</v>
      </c>
      <c r="F20" s="128">
        <v>1</v>
      </c>
      <c r="G20" s="128">
        <v>1</v>
      </c>
      <c r="H20" s="128">
        <v>1</v>
      </c>
      <c r="I20" s="128">
        <v>1</v>
      </c>
      <c r="J20" s="128">
        <v>1</v>
      </c>
      <c r="K20" s="128">
        <v>1</v>
      </c>
      <c r="L20" s="128">
        <v>1</v>
      </c>
      <c r="M20" s="128">
        <v>1</v>
      </c>
      <c r="N20" s="128">
        <v>1</v>
      </c>
      <c r="O20" s="128">
        <v>1</v>
      </c>
      <c r="P20" s="128">
        <v>1</v>
      </c>
      <c r="Q20" s="128">
        <v>1</v>
      </c>
      <c r="R20" s="128">
        <v>1</v>
      </c>
      <c r="S20" s="128">
        <v>1</v>
      </c>
      <c r="T20" s="128">
        <v>1</v>
      </c>
      <c r="U20" s="128">
        <v>1</v>
      </c>
      <c r="V20" s="128">
        <v>1</v>
      </c>
      <c r="W20" s="128">
        <v>1</v>
      </c>
      <c r="X20" s="128">
        <v>1</v>
      </c>
      <c r="Y20" s="128">
        <v>1</v>
      </c>
      <c r="Z20" s="128">
        <v>1</v>
      </c>
      <c r="AA20" s="128">
        <v>1</v>
      </c>
      <c r="AB20" s="128">
        <v>1</v>
      </c>
      <c r="AC20" s="128">
        <v>1</v>
      </c>
      <c r="AD20" s="128">
        <v>1</v>
      </c>
      <c r="AE20" s="128">
        <v>1</v>
      </c>
      <c r="AF20" s="128">
        <v>1</v>
      </c>
      <c r="AG20" s="128">
        <v>1</v>
      </c>
      <c r="AH20" s="128">
        <v>1</v>
      </c>
      <c r="AI20" s="128">
        <v>1</v>
      </c>
      <c r="AJ20" s="128">
        <v>1</v>
      </c>
      <c r="AK20" s="128">
        <v>1</v>
      </c>
      <c r="AL20" s="128">
        <v>1</v>
      </c>
      <c r="AM20" s="128">
        <v>1</v>
      </c>
      <c r="AN20" s="128">
        <v>1</v>
      </c>
      <c r="AO20" s="128">
        <v>1</v>
      </c>
      <c r="AP20" s="128">
        <v>1</v>
      </c>
      <c r="AQ20" s="128">
        <v>1</v>
      </c>
      <c r="AR20" s="128">
        <v>1</v>
      </c>
      <c r="AS20" s="128">
        <v>1</v>
      </c>
      <c r="AT20" s="128">
        <v>1</v>
      </c>
      <c r="AU20" s="128">
        <v>1</v>
      </c>
      <c r="AV20" s="128">
        <v>1</v>
      </c>
      <c r="AW20" s="128">
        <v>1</v>
      </c>
      <c r="AX20" s="128">
        <v>1</v>
      </c>
      <c r="AY20" s="128">
        <v>1</v>
      </c>
      <c r="AZ20" s="128">
        <v>1</v>
      </c>
      <c r="BA20" s="128">
        <v>1</v>
      </c>
      <c r="BB20" s="128">
        <v>1</v>
      </c>
      <c r="BC20" s="128">
        <v>1</v>
      </c>
      <c r="BD20" s="128">
        <v>1</v>
      </c>
      <c r="BE20" s="128">
        <v>1</v>
      </c>
      <c r="BF20" s="128">
        <v>1</v>
      </c>
      <c r="BG20" s="128">
        <v>1</v>
      </c>
      <c r="BH20" s="128">
        <v>1</v>
      </c>
      <c r="BI20" s="128">
        <v>1</v>
      </c>
      <c r="BJ20" s="128">
        <v>1</v>
      </c>
      <c r="BK20" s="128">
        <v>1</v>
      </c>
      <c r="BL20" s="128">
        <v>1</v>
      </c>
      <c r="BM20" s="128">
        <v>1</v>
      </c>
      <c r="BN20" s="128">
        <v>1</v>
      </c>
      <c r="BO20" s="128">
        <v>1</v>
      </c>
      <c r="BP20" s="128">
        <v>1</v>
      </c>
      <c r="BQ20" s="128">
        <v>1</v>
      </c>
      <c r="BR20" s="128">
        <v>1</v>
      </c>
      <c r="BS20" s="128">
        <v>1</v>
      </c>
      <c r="BT20" s="128">
        <v>1</v>
      </c>
      <c r="BU20" s="128">
        <v>1</v>
      </c>
      <c r="BV20" s="128">
        <v>1</v>
      </c>
      <c r="BW20" s="128">
        <v>1</v>
      </c>
      <c r="BX20" s="128">
        <v>1</v>
      </c>
      <c r="BY20" s="128">
        <v>1</v>
      </c>
      <c r="BZ20" s="128">
        <v>1</v>
      </c>
      <c r="CA20" s="128">
        <v>1</v>
      </c>
      <c r="CB20" s="128">
        <v>1</v>
      </c>
      <c r="CC20" s="128">
        <v>1</v>
      </c>
      <c r="CD20" s="128">
        <v>1</v>
      </c>
      <c r="CE20" s="128">
        <v>1</v>
      </c>
      <c r="CF20" s="128">
        <v>1</v>
      </c>
      <c r="CG20" s="128">
        <v>1</v>
      </c>
      <c r="CH20" s="128">
        <v>1</v>
      </c>
      <c r="CI20" s="128">
        <v>1</v>
      </c>
      <c r="CJ20" s="128">
        <v>1</v>
      </c>
      <c r="CK20" s="128">
        <v>1</v>
      </c>
      <c r="CL20" s="128">
        <v>1</v>
      </c>
      <c r="CM20" s="128">
        <v>1</v>
      </c>
      <c r="CN20" s="128">
        <v>1</v>
      </c>
      <c r="CO20" s="128">
        <v>1</v>
      </c>
      <c r="CP20" s="128">
        <v>1</v>
      </c>
      <c r="CQ20" s="128">
        <v>1</v>
      </c>
      <c r="CR20" s="128">
        <v>1</v>
      </c>
      <c r="CS20" s="128">
        <v>1</v>
      </c>
      <c r="CT20" s="128">
        <v>1</v>
      </c>
      <c r="CU20" s="128">
        <v>1</v>
      </c>
      <c r="CV20" s="128">
        <v>1</v>
      </c>
      <c r="CW20" s="128">
        <v>1</v>
      </c>
      <c r="CX20" s="128">
        <v>1</v>
      </c>
      <c r="CZ20" s="126">
        <f>SUMIF(MatrixF0[[1]:[2]],MatrixF0[[#This Row],[Столбец1]])/MatrixF0[[#This Row],[Столбец1]]</f>
        <v>0</v>
      </c>
    </row>
    <row r="21" spans="1:104" ht="21" customHeight="1" x14ac:dyDescent="0.25">
      <c r="A21" s="127">
        <v>1.18</v>
      </c>
      <c r="B21" s="128">
        <v>1</v>
      </c>
      <c r="C21" s="128">
        <v>1</v>
      </c>
      <c r="D21" s="128">
        <v>1</v>
      </c>
      <c r="E21" s="128">
        <v>1</v>
      </c>
      <c r="F21" s="128">
        <v>1</v>
      </c>
      <c r="G21" s="128">
        <v>1</v>
      </c>
      <c r="H21" s="128">
        <v>1</v>
      </c>
      <c r="I21" s="128">
        <v>1</v>
      </c>
      <c r="J21" s="128">
        <v>1</v>
      </c>
      <c r="K21" s="128">
        <v>1</v>
      </c>
      <c r="L21" s="128">
        <v>1</v>
      </c>
      <c r="M21" s="128">
        <v>1</v>
      </c>
      <c r="N21" s="128">
        <v>1</v>
      </c>
      <c r="O21" s="128">
        <v>1</v>
      </c>
      <c r="P21" s="128">
        <v>1</v>
      </c>
      <c r="Q21" s="128">
        <v>1</v>
      </c>
      <c r="R21" s="128">
        <v>1</v>
      </c>
      <c r="S21" s="128">
        <v>1</v>
      </c>
      <c r="T21" s="128">
        <v>1</v>
      </c>
      <c r="U21" s="128">
        <v>1</v>
      </c>
      <c r="V21" s="128">
        <v>1</v>
      </c>
      <c r="W21" s="128">
        <v>1</v>
      </c>
      <c r="X21" s="128">
        <v>1</v>
      </c>
      <c r="Y21" s="128">
        <v>1</v>
      </c>
      <c r="Z21" s="128">
        <v>1</v>
      </c>
      <c r="AA21" s="128">
        <v>1</v>
      </c>
      <c r="AB21" s="128">
        <v>1</v>
      </c>
      <c r="AC21" s="128">
        <v>1</v>
      </c>
      <c r="AD21" s="128">
        <v>1</v>
      </c>
      <c r="AE21" s="128">
        <v>1</v>
      </c>
      <c r="AF21" s="128">
        <v>1</v>
      </c>
      <c r="AG21" s="128">
        <v>1</v>
      </c>
      <c r="AH21" s="128">
        <v>1</v>
      </c>
      <c r="AI21" s="128">
        <v>1</v>
      </c>
      <c r="AJ21" s="128">
        <v>1</v>
      </c>
      <c r="AK21" s="128">
        <v>1</v>
      </c>
      <c r="AL21" s="128">
        <v>1</v>
      </c>
      <c r="AM21" s="128">
        <v>1</v>
      </c>
      <c r="AN21" s="128">
        <v>1</v>
      </c>
      <c r="AO21" s="128">
        <v>1</v>
      </c>
      <c r="AP21" s="128">
        <v>1</v>
      </c>
      <c r="AQ21" s="128">
        <v>1</v>
      </c>
      <c r="AR21" s="128">
        <v>1</v>
      </c>
      <c r="AS21" s="128">
        <v>1</v>
      </c>
      <c r="AT21" s="128">
        <v>1</v>
      </c>
      <c r="AU21" s="128">
        <v>1</v>
      </c>
      <c r="AV21" s="128">
        <v>1</v>
      </c>
      <c r="AW21" s="128">
        <v>1</v>
      </c>
      <c r="AX21" s="128">
        <v>1</v>
      </c>
      <c r="AY21" s="128">
        <v>1</v>
      </c>
      <c r="AZ21" s="128">
        <v>1</v>
      </c>
      <c r="BA21" s="128">
        <v>1</v>
      </c>
      <c r="BB21" s="128">
        <v>1</v>
      </c>
      <c r="BC21" s="128">
        <v>1</v>
      </c>
      <c r="BD21" s="128">
        <v>1</v>
      </c>
      <c r="BE21" s="128">
        <v>1</v>
      </c>
      <c r="BF21" s="128">
        <v>1</v>
      </c>
      <c r="BG21" s="128">
        <v>1</v>
      </c>
      <c r="BH21" s="128">
        <v>1</v>
      </c>
      <c r="BI21" s="128">
        <v>1</v>
      </c>
      <c r="BJ21" s="128">
        <v>1</v>
      </c>
      <c r="BK21" s="128">
        <v>1</v>
      </c>
      <c r="BL21" s="128">
        <v>1</v>
      </c>
      <c r="BM21" s="128">
        <v>1</v>
      </c>
      <c r="BN21" s="128">
        <v>1</v>
      </c>
      <c r="BO21" s="128">
        <v>1</v>
      </c>
      <c r="BP21" s="128">
        <v>1</v>
      </c>
      <c r="BQ21" s="128">
        <v>1</v>
      </c>
      <c r="BR21" s="128">
        <v>1</v>
      </c>
      <c r="BS21" s="128">
        <v>1</v>
      </c>
      <c r="BT21" s="128">
        <v>1</v>
      </c>
      <c r="BU21" s="128">
        <v>1</v>
      </c>
      <c r="BV21" s="128">
        <v>1</v>
      </c>
      <c r="BW21" s="128">
        <v>1</v>
      </c>
      <c r="BX21" s="128">
        <v>1</v>
      </c>
      <c r="BY21" s="128">
        <v>1</v>
      </c>
      <c r="BZ21" s="128">
        <v>1</v>
      </c>
      <c r="CA21" s="128">
        <v>1</v>
      </c>
      <c r="CB21" s="128">
        <v>1</v>
      </c>
      <c r="CC21" s="128">
        <v>1</v>
      </c>
      <c r="CD21" s="128">
        <v>1</v>
      </c>
      <c r="CE21" s="128">
        <v>1</v>
      </c>
      <c r="CF21" s="128">
        <v>1</v>
      </c>
      <c r="CG21" s="128">
        <v>1</v>
      </c>
      <c r="CH21" s="128">
        <v>1</v>
      </c>
      <c r="CI21" s="128">
        <v>1</v>
      </c>
      <c r="CJ21" s="128">
        <v>1</v>
      </c>
      <c r="CK21" s="128">
        <v>1</v>
      </c>
      <c r="CL21" s="128">
        <v>1</v>
      </c>
      <c r="CM21" s="128">
        <v>1</v>
      </c>
      <c r="CN21" s="128">
        <v>1</v>
      </c>
      <c r="CO21" s="128">
        <v>1</v>
      </c>
      <c r="CP21" s="128">
        <v>1</v>
      </c>
      <c r="CQ21" s="128">
        <v>1</v>
      </c>
      <c r="CR21" s="128">
        <v>1</v>
      </c>
      <c r="CS21" s="128">
        <v>1</v>
      </c>
      <c r="CT21" s="128">
        <v>1</v>
      </c>
      <c r="CU21" s="128">
        <v>1</v>
      </c>
      <c r="CV21" s="128">
        <v>1</v>
      </c>
      <c r="CW21" s="128">
        <v>1</v>
      </c>
      <c r="CX21" s="128">
        <v>1</v>
      </c>
      <c r="CZ21" s="126">
        <f>SUMIF(MatrixF0[[1]:[2]],MatrixF0[[#This Row],[Столбец1]])/MatrixF0[[#This Row],[Столбец1]]</f>
        <v>0</v>
      </c>
    </row>
    <row r="22" spans="1:104" ht="21" customHeight="1" x14ac:dyDescent="0.25">
      <c r="A22" s="127">
        <v>1.19</v>
      </c>
      <c r="B22" s="128">
        <v>1</v>
      </c>
      <c r="C22" s="128">
        <v>1</v>
      </c>
      <c r="D22" s="128">
        <v>1</v>
      </c>
      <c r="E22" s="128">
        <v>1</v>
      </c>
      <c r="F22" s="128">
        <v>1</v>
      </c>
      <c r="G22" s="128">
        <v>1</v>
      </c>
      <c r="H22" s="128">
        <v>1</v>
      </c>
      <c r="I22" s="128">
        <v>1</v>
      </c>
      <c r="J22" s="128">
        <v>1</v>
      </c>
      <c r="K22" s="128">
        <v>1</v>
      </c>
      <c r="L22" s="128">
        <v>1</v>
      </c>
      <c r="M22" s="128">
        <v>1</v>
      </c>
      <c r="N22" s="128">
        <v>1</v>
      </c>
      <c r="O22" s="128">
        <v>1</v>
      </c>
      <c r="P22" s="128">
        <v>1</v>
      </c>
      <c r="Q22" s="128">
        <v>1</v>
      </c>
      <c r="R22" s="128">
        <v>1</v>
      </c>
      <c r="S22" s="128">
        <v>1</v>
      </c>
      <c r="T22" s="128">
        <v>1</v>
      </c>
      <c r="U22" s="128">
        <v>1</v>
      </c>
      <c r="V22" s="128">
        <v>1</v>
      </c>
      <c r="W22" s="128">
        <v>1</v>
      </c>
      <c r="X22" s="128">
        <v>1</v>
      </c>
      <c r="Y22" s="128">
        <v>1</v>
      </c>
      <c r="Z22" s="128">
        <v>1</v>
      </c>
      <c r="AA22" s="128">
        <v>1</v>
      </c>
      <c r="AB22" s="128">
        <v>1</v>
      </c>
      <c r="AC22" s="128">
        <v>1</v>
      </c>
      <c r="AD22" s="128">
        <v>1</v>
      </c>
      <c r="AE22" s="128">
        <v>1</v>
      </c>
      <c r="AF22" s="128">
        <v>1</v>
      </c>
      <c r="AG22" s="128">
        <v>1</v>
      </c>
      <c r="AH22" s="128">
        <v>1</v>
      </c>
      <c r="AI22" s="128">
        <v>1</v>
      </c>
      <c r="AJ22" s="128">
        <v>1</v>
      </c>
      <c r="AK22" s="128">
        <v>1</v>
      </c>
      <c r="AL22" s="128">
        <v>1</v>
      </c>
      <c r="AM22" s="128">
        <v>1</v>
      </c>
      <c r="AN22" s="128">
        <v>1</v>
      </c>
      <c r="AO22" s="128">
        <v>1</v>
      </c>
      <c r="AP22" s="128">
        <v>1</v>
      </c>
      <c r="AQ22" s="128">
        <v>1</v>
      </c>
      <c r="AR22" s="128">
        <v>1</v>
      </c>
      <c r="AS22" s="128">
        <v>1</v>
      </c>
      <c r="AT22" s="128">
        <v>1</v>
      </c>
      <c r="AU22" s="128">
        <v>1</v>
      </c>
      <c r="AV22" s="128">
        <v>1</v>
      </c>
      <c r="AW22" s="128">
        <v>1</v>
      </c>
      <c r="AX22" s="128">
        <v>1</v>
      </c>
      <c r="AY22" s="128">
        <v>1</v>
      </c>
      <c r="AZ22" s="128">
        <v>1</v>
      </c>
      <c r="BA22" s="128">
        <v>1</v>
      </c>
      <c r="BB22" s="128">
        <v>1</v>
      </c>
      <c r="BC22" s="128">
        <v>1</v>
      </c>
      <c r="BD22" s="128">
        <v>1</v>
      </c>
      <c r="BE22" s="128">
        <v>1</v>
      </c>
      <c r="BF22" s="128">
        <v>1</v>
      </c>
      <c r="BG22" s="128">
        <v>1</v>
      </c>
      <c r="BH22" s="128">
        <v>1</v>
      </c>
      <c r="BI22" s="128">
        <v>1</v>
      </c>
      <c r="BJ22" s="128">
        <v>1</v>
      </c>
      <c r="BK22" s="128">
        <v>1</v>
      </c>
      <c r="BL22" s="128">
        <v>1</v>
      </c>
      <c r="BM22" s="128">
        <v>1</v>
      </c>
      <c r="BN22" s="128">
        <v>1</v>
      </c>
      <c r="BO22" s="128">
        <v>1</v>
      </c>
      <c r="BP22" s="128">
        <v>1</v>
      </c>
      <c r="BQ22" s="128">
        <v>1</v>
      </c>
      <c r="BR22" s="128">
        <v>1</v>
      </c>
      <c r="BS22" s="128">
        <v>1</v>
      </c>
      <c r="BT22" s="128">
        <v>1</v>
      </c>
      <c r="BU22" s="128">
        <v>1</v>
      </c>
      <c r="BV22" s="128">
        <v>1</v>
      </c>
      <c r="BW22" s="128">
        <v>1</v>
      </c>
      <c r="BX22" s="128">
        <v>1</v>
      </c>
      <c r="BY22" s="128">
        <v>1</v>
      </c>
      <c r="BZ22" s="128">
        <v>1</v>
      </c>
      <c r="CA22" s="128">
        <v>1</v>
      </c>
      <c r="CB22" s="128">
        <v>1</v>
      </c>
      <c r="CC22" s="128">
        <v>1</v>
      </c>
      <c r="CD22" s="128">
        <v>1</v>
      </c>
      <c r="CE22" s="128">
        <v>1</v>
      </c>
      <c r="CF22" s="128">
        <v>1</v>
      </c>
      <c r="CG22" s="128">
        <v>1</v>
      </c>
      <c r="CH22" s="128">
        <v>1</v>
      </c>
      <c r="CI22" s="128">
        <v>1</v>
      </c>
      <c r="CJ22" s="128">
        <v>1</v>
      </c>
      <c r="CK22" s="128">
        <v>1</v>
      </c>
      <c r="CL22" s="128">
        <v>1</v>
      </c>
      <c r="CM22" s="128">
        <v>1</v>
      </c>
      <c r="CN22" s="128">
        <v>1</v>
      </c>
      <c r="CO22" s="128">
        <v>1</v>
      </c>
      <c r="CP22" s="128">
        <v>1</v>
      </c>
      <c r="CQ22" s="128">
        <v>1</v>
      </c>
      <c r="CR22" s="128">
        <v>1</v>
      </c>
      <c r="CS22" s="128">
        <v>1</v>
      </c>
      <c r="CT22" s="128">
        <v>1</v>
      </c>
      <c r="CU22" s="128">
        <v>1</v>
      </c>
      <c r="CV22" s="128">
        <v>1</v>
      </c>
      <c r="CW22" s="128">
        <v>1</v>
      </c>
      <c r="CX22" s="128">
        <v>1</v>
      </c>
      <c r="CZ22" s="126">
        <f>SUMIF(MatrixF0[[1]:[2]],MatrixF0[[#This Row],[Столбец1]])/MatrixF0[[#This Row],[Столбец1]]</f>
        <v>0</v>
      </c>
    </row>
    <row r="23" spans="1:104" ht="21" customHeight="1" x14ac:dyDescent="0.25">
      <c r="A23" s="127">
        <v>1.2</v>
      </c>
      <c r="B23" s="128">
        <v>1</v>
      </c>
      <c r="C23" s="128">
        <v>1</v>
      </c>
      <c r="D23" s="128">
        <v>1</v>
      </c>
      <c r="E23" s="128">
        <v>1</v>
      </c>
      <c r="F23" s="128">
        <v>1</v>
      </c>
      <c r="G23" s="128">
        <v>1</v>
      </c>
      <c r="H23" s="128">
        <v>1</v>
      </c>
      <c r="I23" s="128">
        <v>1</v>
      </c>
      <c r="J23" s="128">
        <v>1</v>
      </c>
      <c r="K23" s="128">
        <v>1</v>
      </c>
      <c r="L23" s="128">
        <v>1</v>
      </c>
      <c r="M23" s="128">
        <v>1</v>
      </c>
      <c r="N23" s="128">
        <v>1</v>
      </c>
      <c r="O23" s="128">
        <v>1</v>
      </c>
      <c r="P23" s="128">
        <v>1</v>
      </c>
      <c r="Q23" s="128">
        <v>1</v>
      </c>
      <c r="R23" s="128">
        <v>1</v>
      </c>
      <c r="S23" s="128">
        <v>1</v>
      </c>
      <c r="T23" s="128">
        <v>1</v>
      </c>
      <c r="U23" s="128">
        <v>1</v>
      </c>
      <c r="V23" s="128">
        <v>1</v>
      </c>
      <c r="W23" s="128">
        <v>1</v>
      </c>
      <c r="X23" s="128">
        <v>1</v>
      </c>
      <c r="Y23" s="128">
        <v>1</v>
      </c>
      <c r="Z23" s="128">
        <v>1</v>
      </c>
      <c r="AA23" s="128">
        <v>1</v>
      </c>
      <c r="AB23" s="128">
        <v>1</v>
      </c>
      <c r="AC23" s="128">
        <v>1</v>
      </c>
      <c r="AD23" s="128">
        <v>1</v>
      </c>
      <c r="AE23" s="128">
        <v>1</v>
      </c>
      <c r="AF23" s="128">
        <v>1</v>
      </c>
      <c r="AG23" s="128">
        <v>1</v>
      </c>
      <c r="AH23" s="128">
        <v>1</v>
      </c>
      <c r="AI23" s="128">
        <v>1</v>
      </c>
      <c r="AJ23" s="128">
        <v>1</v>
      </c>
      <c r="AK23" s="128">
        <v>1</v>
      </c>
      <c r="AL23" s="128">
        <v>1</v>
      </c>
      <c r="AM23" s="128">
        <v>1</v>
      </c>
      <c r="AN23" s="128">
        <v>1</v>
      </c>
      <c r="AO23" s="128">
        <v>1</v>
      </c>
      <c r="AP23" s="128">
        <v>1</v>
      </c>
      <c r="AQ23" s="128">
        <v>1</v>
      </c>
      <c r="AR23" s="128">
        <v>1</v>
      </c>
      <c r="AS23" s="128">
        <v>1</v>
      </c>
      <c r="AT23" s="128">
        <v>1</v>
      </c>
      <c r="AU23" s="128">
        <v>1</v>
      </c>
      <c r="AV23" s="128">
        <v>1</v>
      </c>
      <c r="AW23" s="128">
        <v>1</v>
      </c>
      <c r="AX23" s="128">
        <v>1</v>
      </c>
      <c r="AY23" s="128">
        <v>1</v>
      </c>
      <c r="AZ23" s="128">
        <v>1</v>
      </c>
      <c r="BA23" s="128">
        <v>1</v>
      </c>
      <c r="BB23" s="128">
        <v>1</v>
      </c>
      <c r="BC23" s="128">
        <v>1</v>
      </c>
      <c r="BD23" s="128">
        <v>1</v>
      </c>
      <c r="BE23" s="128">
        <v>1</v>
      </c>
      <c r="BF23" s="128">
        <v>1</v>
      </c>
      <c r="BG23" s="128">
        <v>1</v>
      </c>
      <c r="BH23" s="128">
        <v>1</v>
      </c>
      <c r="BI23" s="128">
        <v>1</v>
      </c>
      <c r="BJ23" s="128">
        <v>1</v>
      </c>
      <c r="BK23" s="128">
        <v>1</v>
      </c>
      <c r="BL23" s="128">
        <v>1</v>
      </c>
      <c r="BM23" s="128">
        <v>1</v>
      </c>
      <c r="BN23" s="128">
        <v>1</v>
      </c>
      <c r="BO23" s="128">
        <v>1</v>
      </c>
      <c r="BP23" s="128">
        <v>1</v>
      </c>
      <c r="BQ23" s="128">
        <v>1</v>
      </c>
      <c r="BR23" s="128">
        <v>1</v>
      </c>
      <c r="BS23" s="128">
        <v>1</v>
      </c>
      <c r="BT23" s="128">
        <v>1</v>
      </c>
      <c r="BU23" s="128">
        <v>1</v>
      </c>
      <c r="BV23" s="128">
        <v>1</v>
      </c>
      <c r="BW23" s="128">
        <v>1</v>
      </c>
      <c r="BX23" s="128">
        <v>1</v>
      </c>
      <c r="BY23" s="128">
        <v>1</v>
      </c>
      <c r="BZ23" s="128">
        <v>1</v>
      </c>
      <c r="CA23" s="128">
        <v>1</v>
      </c>
      <c r="CB23" s="128">
        <v>1</v>
      </c>
      <c r="CC23" s="128">
        <v>1</v>
      </c>
      <c r="CD23" s="128">
        <v>1</v>
      </c>
      <c r="CE23" s="128">
        <v>1</v>
      </c>
      <c r="CF23" s="128">
        <v>1</v>
      </c>
      <c r="CG23" s="128">
        <v>1</v>
      </c>
      <c r="CH23" s="128">
        <v>1</v>
      </c>
      <c r="CI23" s="128">
        <v>1</v>
      </c>
      <c r="CJ23" s="128">
        <v>1</v>
      </c>
      <c r="CK23" s="128">
        <v>1</v>
      </c>
      <c r="CL23" s="128">
        <v>1</v>
      </c>
      <c r="CM23" s="128">
        <v>1</v>
      </c>
      <c r="CN23" s="128">
        <v>1</v>
      </c>
      <c r="CO23" s="128">
        <v>1</v>
      </c>
      <c r="CP23" s="128">
        <v>1</v>
      </c>
      <c r="CQ23" s="128">
        <v>1</v>
      </c>
      <c r="CR23" s="128">
        <v>1</v>
      </c>
      <c r="CS23" s="128">
        <v>1</v>
      </c>
      <c r="CT23" s="128">
        <v>1</v>
      </c>
      <c r="CU23" s="128">
        <v>1</v>
      </c>
      <c r="CV23" s="128">
        <v>1</v>
      </c>
      <c r="CW23" s="128">
        <v>1</v>
      </c>
      <c r="CX23" s="128">
        <v>1</v>
      </c>
      <c r="CZ23" s="126">
        <f>SUMIF(MatrixF0[[1]:[2]],MatrixF0[[#This Row],[Столбец1]])/MatrixF0[[#This Row],[Столбец1]]</f>
        <v>0</v>
      </c>
    </row>
    <row r="24" spans="1:104" ht="21" customHeight="1" x14ac:dyDescent="0.25">
      <c r="A24" s="127">
        <v>1.21</v>
      </c>
      <c r="B24" s="128">
        <v>1</v>
      </c>
      <c r="C24" s="128">
        <v>1</v>
      </c>
      <c r="D24" s="128">
        <v>1</v>
      </c>
      <c r="E24" s="128">
        <v>1</v>
      </c>
      <c r="F24" s="128">
        <v>1</v>
      </c>
      <c r="G24" s="128">
        <v>1</v>
      </c>
      <c r="H24" s="128">
        <v>1</v>
      </c>
      <c r="I24" s="128">
        <v>1</v>
      </c>
      <c r="J24" s="128">
        <v>1</v>
      </c>
      <c r="K24" s="128">
        <v>1</v>
      </c>
      <c r="L24" s="128">
        <v>1</v>
      </c>
      <c r="M24" s="128">
        <v>1</v>
      </c>
      <c r="N24" s="128">
        <v>1</v>
      </c>
      <c r="O24" s="128">
        <v>1</v>
      </c>
      <c r="P24" s="128">
        <v>1</v>
      </c>
      <c r="Q24" s="128">
        <v>1</v>
      </c>
      <c r="R24" s="128">
        <v>1</v>
      </c>
      <c r="S24" s="128">
        <v>1</v>
      </c>
      <c r="T24" s="128">
        <v>1</v>
      </c>
      <c r="U24" s="128">
        <v>1</v>
      </c>
      <c r="V24" s="128">
        <v>1</v>
      </c>
      <c r="W24" s="128">
        <v>1</v>
      </c>
      <c r="X24" s="128">
        <v>1</v>
      </c>
      <c r="Y24" s="128">
        <v>1</v>
      </c>
      <c r="Z24" s="128">
        <v>1</v>
      </c>
      <c r="AA24" s="128">
        <v>1</v>
      </c>
      <c r="AB24" s="128">
        <v>1</v>
      </c>
      <c r="AC24" s="128">
        <v>1</v>
      </c>
      <c r="AD24" s="128">
        <v>1</v>
      </c>
      <c r="AE24" s="128">
        <v>1</v>
      </c>
      <c r="AF24" s="128">
        <v>1</v>
      </c>
      <c r="AG24" s="128">
        <v>1</v>
      </c>
      <c r="AH24" s="128">
        <v>1</v>
      </c>
      <c r="AI24" s="128">
        <v>1</v>
      </c>
      <c r="AJ24" s="128">
        <v>1</v>
      </c>
      <c r="AK24" s="128">
        <v>1</v>
      </c>
      <c r="AL24" s="128">
        <v>1</v>
      </c>
      <c r="AM24" s="128">
        <v>1</v>
      </c>
      <c r="AN24" s="128">
        <v>1</v>
      </c>
      <c r="AO24" s="128">
        <v>1</v>
      </c>
      <c r="AP24" s="128">
        <v>1</v>
      </c>
      <c r="AQ24" s="128">
        <v>1</v>
      </c>
      <c r="AR24" s="128">
        <v>1</v>
      </c>
      <c r="AS24" s="128">
        <v>1</v>
      </c>
      <c r="AT24" s="128">
        <v>1</v>
      </c>
      <c r="AU24" s="128">
        <v>1</v>
      </c>
      <c r="AV24" s="128">
        <v>1</v>
      </c>
      <c r="AW24" s="128">
        <v>1</v>
      </c>
      <c r="AX24" s="128">
        <v>1</v>
      </c>
      <c r="AY24" s="128">
        <v>1</v>
      </c>
      <c r="AZ24" s="128">
        <v>1</v>
      </c>
      <c r="BA24" s="128">
        <v>1</v>
      </c>
      <c r="BB24" s="128">
        <v>1</v>
      </c>
      <c r="BC24" s="128">
        <v>1</v>
      </c>
      <c r="BD24" s="128">
        <v>1</v>
      </c>
      <c r="BE24" s="128">
        <v>1</v>
      </c>
      <c r="BF24" s="128">
        <v>1</v>
      </c>
      <c r="BG24" s="128">
        <v>1</v>
      </c>
      <c r="BH24" s="128">
        <v>1</v>
      </c>
      <c r="BI24" s="128">
        <v>1</v>
      </c>
      <c r="BJ24" s="128">
        <v>1</v>
      </c>
      <c r="BK24" s="128">
        <v>1</v>
      </c>
      <c r="BL24" s="128">
        <v>1</v>
      </c>
      <c r="BM24" s="128">
        <v>1</v>
      </c>
      <c r="BN24" s="128">
        <v>1</v>
      </c>
      <c r="BO24" s="128">
        <v>1</v>
      </c>
      <c r="BP24" s="128">
        <v>1</v>
      </c>
      <c r="BQ24" s="128">
        <v>1</v>
      </c>
      <c r="BR24" s="128">
        <v>1</v>
      </c>
      <c r="BS24" s="128">
        <v>1</v>
      </c>
      <c r="BT24" s="128">
        <v>1</v>
      </c>
      <c r="BU24" s="128">
        <v>1</v>
      </c>
      <c r="BV24" s="128">
        <v>1</v>
      </c>
      <c r="BW24" s="128">
        <v>1</v>
      </c>
      <c r="BX24" s="128">
        <v>1</v>
      </c>
      <c r="BY24" s="128">
        <v>1</v>
      </c>
      <c r="BZ24" s="128">
        <v>1</v>
      </c>
      <c r="CA24" s="128">
        <v>1</v>
      </c>
      <c r="CB24" s="128">
        <v>1</v>
      </c>
      <c r="CC24" s="128">
        <v>1</v>
      </c>
      <c r="CD24" s="128">
        <v>1</v>
      </c>
      <c r="CE24" s="128">
        <v>1</v>
      </c>
      <c r="CF24" s="128">
        <v>1</v>
      </c>
      <c r="CG24" s="128">
        <v>1</v>
      </c>
      <c r="CH24" s="128">
        <v>1</v>
      </c>
      <c r="CI24" s="128">
        <v>1</v>
      </c>
      <c r="CJ24" s="128">
        <v>1</v>
      </c>
      <c r="CK24" s="128">
        <v>1</v>
      </c>
      <c r="CL24" s="128">
        <v>1</v>
      </c>
      <c r="CM24" s="128">
        <v>1</v>
      </c>
      <c r="CN24" s="128">
        <v>1</v>
      </c>
      <c r="CO24" s="128">
        <v>1</v>
      </c>
      <c r="CP24" s="128">
        <v>1</v>
      </c>
      <c r="CQ24" s="128">
        <v>1</v>
      </c>
      <c r="CR24" s="128">
        <v>1</v>
      </c>
      <c r="CS24" s="128">
        <v>1</v>
      </c>
      <c r="CT24" s="128">
        <v>1</v>
      </c>
      <c r="CU24" s="128">
        <v>1</v>
      </c>
      <c r="CV24" s="128">
        <v>1</v>
      </c>
      <c r="CW24" s="128">
        <v>1</v>
      </c>
      <c r="CX24" s="128">
        <v>1</v>
      </c>
      <c r="CZ24" s="126">
        <f>SUMIF(MatrixF0[[1]:[2]],MatrixF0[[#This Row],[Столбец1]])/MatrixF0[[#This Row],[Столбец1]]</f>
        <v>0</v>
      </c>
    </row>
    <row r="25" spans="1:104" ht="21" customHeight="1" x14ac:dyDescent="0.25">
      <c r="A25" s="127">
        <v>1.22</v>
      </c>
      <c r="B25" s="128">
        <v>1</v>
      </c>
      <c r="C25" s="128">
        <v>1</v>
      </c>
      <c r="D25" s="128">
        <v>1</v>
      </c>
      <c r="E25" s="128">
        <v>1</v>
      </c>
      <c r="F25" s="128">
        <v>1</v>
      </c>
      <c r="G25" s="128">
        <v>1</v>
      </c>
      <c r="H25" s="128">
        <v>1</v>
      </c>
      <c r="I25" s="128">
        <v>1</v>
      </c>
      <c r="J25" s="128">
        <v>1</v>
      </c>
      <c r="K25" s="128">
        <v>1</v>
      </c>
      <c r="L25" s="128">
        <v>1</v>
      </c>
      <c r="M25" s="128">
        <v>1</v>
      </c>
      <c r="N25" s="128">
        <v>1</v>
      </c>
      <c r="O25" s="128">
        <v>1</v>
      </c>
      <c r="P25" s="128">
        <v>1</v>
      </c>
      <c r="Q25" s="128">
        <v>1</v>
      </c>
      <c r="R25" s="128">
        <v>1</v>
      </c>
      <c r="S25" s="128">
        <v>1</v>
      </c>
      <c r="T25" s="128">
        <v>1</v>
      </c>
      <c r="U25" s="128">
        <v>1</v>
      </c>
      <c r="V25" s="128">
        <v>1</v>
      </c>
      <c r="W25" s="128">
        <v>1</v>
      </c>
      <c r="X25" s="128">
        <v>1</v>
      </c>
      <c r="Y25" s="128">
        <v>1</v>
      </c>
      <c r="Z25" s="128">
        <v>1</v>
      </c>
      <c r="AA25" s="128">
        <v>1</v>
      </c>
      <c r="AB25" s="128">
        <v>1</v>
      </c>
      <c r="AC25" s="128">
        <v>1</v>
      </c>
      <c r="AD25" s="128">
        <v>1</v>
      </c>
      <c r="AE25" s="128">
        <v>1</v>
      </c>
      <c r="AF25" s="128">
        <v>1</v>
      </c>
      <c r="AG25" s="128">
        <v>1</v>
      </c>
      <c r="AH25" s="128">
        <v>1</v>
      </c>
      <c r="AI25" s="128">
        <v>1</v>
      </c>
      <c r="AJ25" s="128">
        <v>1</v>
      </c>
      <c r="AK25" s="128">
        <v>1</v>
      </c>
      <c r="AL25" s="128">
        <v>1</v>
      </c>
      <c r="AM25" s="128">
        <v>1</v>
      </c>
      <c r="AN25" s="128">
        <v>1</v>
      </c>
      <c r="AO25" s="128">
        <v>1</v>
      </c>
      <c r="AP25" s="128">
        <v>1</v>
      </c>
      <c r="AQ25" s="128">
        <v>1</v>
      </c>
      <c r="AR25" s="128">
        <v>1</v>
      </c>
      <c r="AS25" s="128">
        <v>1</v>
      </c>
      <c r="AT25" s="128">
        <v>1</v>
      </c>
      <c r="AU25" s="128">
        <v>1</v>
      </c>
      <c r="AV25" s="128">
        <v>1</v>
      </c>
      <c r="AW25" s="128">
        <v>1</v>
      </c>
      <c r="AX25" s="128">
        <v>1</v>
      </c>
      <c r="AY25" s="128">
        <v>1</v>
      </c>
      <c r="AZ25" s="128">
        <v>1</v>
      </c>
      <c r="BA25" s="128">
        <v>1</v>
      </c>
      <c r="BB25" s="128">
        <v>1</v>
      </c>
      <c r="BC25" s="128">
        <v>1</v>
      </c>
      <c r="BD25" s="128">
        <v>1</v>
      </c>
      <c r="BE25" s="128">
        <v>1</v>
      </c>
      <c r="BF25" s="128">
        <v>1</v>
      </c>
      <c r="BG25" s="128">
        <v>1</v>
      </c>
      <c r="BH25" s="128">
        <v>1</v>
      </c>
      <c r="BI25" s="128">
        <v>1</v>
      </c>
      <c r="BJ25" s="128">
        <v>1</v>
      </c>
      <c r="BK25" s="128">
        <v>1</v>
      </c>
      <c r="BL25" s="128">
        <v>1</v>
      </c>
      <c r="BM25" s="128">
        <v>1</v>
      </c>
      <c r="BN25" s="128">
        <v>1</v>
      </c>
      <c r="BO25" s="128">
        <v>1</v>
      </c>
      <c r="BP25" s="128">
        <v>1</v>
      </c>
      <c r="BQ25" s="128">
        <v>1</v>
      </c>
      <c r="BR25" s="128">
        <v>1</v>
      </c>
      <c r="BS25" s="128">
        <v>1</v>
      </c>
      <c r="BT25" s="128">
        <v>1</v>
      </c>
      <c r="BU25" s="128">
        <v>1</v>
      </c>
      <c r="BV25" s="128">
        <v>1</v>
      </c>
      <c r="BW25" s="128">
        <v>1</v>
      </c>
      <c r="BX25" s="128">
        <v>1</v>
      </c>
      <c r="BY25" s="128">
        <v>1</v>
      </c>
      <c r="BZ25" s="128">
        <v>1</v>
      </c>
      <c r="CA25" s="128">
        <v>1</v>
      </c>
      <c r="CB25" s="128">
        <v>1</v>
      </c>
      <c r="CC25" s="128">
        <v>1</v>
      </c>
      <c r="CD25" s="128">
        <v>1</v>
      </c>
      <c r="CE25" s="128">
        <v>1</v>
      </c>
      <c r="CF25" s="128">
        <v>1</v>
      </c>
      <c r="CG25" s="128">
        <v>1</v>
      </c>
      <c r="CH25" s="128">
        <v>1</v>
      </c>
      <c r="CI25" s="128">
        <v>1</v>
      </c>
      <c r="CJ25" s="128">
        <v>1</v>
      </c>
      <c r="CK25" s="128">
        <v>1</v>
      </c>
      <c r="CL25" s="128">
        <v>1</v>
      </c>
      <c r="CM25" s="128">
        <v>1</v>
      </c>
      <c r="CN25" s="128">
        <v>1</v>
      </c>
      <c r="CO25" s="128">
        <v>1</v>
      </c>
      <c r="CP25" s="128">
        <v>1</v>
      </c>
      <c r="CQ25" s="128">
        <v>1</v>
      </c>
      <c r="CR25" s="128">
        <v>1</v>
      </c>
      <c r="CS25" s="128">
        <v>1</v>
      </c>
      <c r="CT25" s="128">
        <v>1</v>
      </c>
      <c r="CU25" s="128">
        <v>1</v>
      </c>
      <c r="CV25" s="128">
        <v>1</v>
      </c>
      <c r="CW25" s="128">
        <v>1</v>
      </c>
      <c r="CX25" s="128">
        <v>1</v>
      </c>
      <c r="CZ25" s="126">
        <f>SUMIF(MatrixF0[[1]:[2]],MatrixF0[[#This Row],[Столбец1]])/MatrixF0[[#This Row],[Столбец1]]</f>
        <v>0</v>
      </c>
    </row>
    <row r="26" spans="1:104" ht="21" customHeight="1" x14ac:dyDescent="0.25">
      <c r="A26" s="127">
        <v>1.23</v>
      </c>
      <c r="B26" s="128">
        <v>1</v>
      </c>
      <c r="C26" s="128">
        <v>1</v>
      </c>
      <c r="D26" s="128">
        <v>1</v>
      </c>
      <c r="E26" s="128">
        <v>1</v>
      </c>
      <c r="F26" s="128">
        <v>1</v>
      </c>
      <c r="G26" s="128">
        <v>1</v>
      </c>
      <c r="H26" s="128">
        <v>1</v>
      </c>
      <c r="I26" s="128">
        <v>1</v>
      </c>
      <c r="J26" s="128">
        <v>1</v>
      </c>
      <c r="K26" s="128">
        <v>1</v>
      </c>
      <c r="L26" s="128">
        <v>1</v>
      </c>
      <c r="M26" s="128">
        <v>1</v>
      </c>
      <c r="N26" s="128">
        <v>1</v>
      </c>
      <c r="O26" s="128">
        <v>1</v>
      </c>
      <c r="P26" s="128">
        <v>1</v>
      </c>
      <c r="Q26" s="128">
        <v>1</v>
      </c>
      <c r="R26" s="128">
        <v>1</v>
      </c>
      <c r="S26" s="128">
        <v>1</v>
      </c>
      <c r="T26" s="128">
        <v>1</v>
      </c>
      <c r="U26" s="128">
        <v>1</v>
      </c>
      <c r="V26" s="128">
        <v>1</v>
      </c>
      <c r="W26" s="128">
        <v>1</v>
      </c>
      <c r="X26" s="128">
        <v>1</v>
      </c>
      <c r="Y26" s="128">
        <v>1</v>
      </c>
      <c r="Z26" s="128">
        <v>1</v>
      </c>
      <c r="AA26" s="128">
        <v>1</v>
      </c>
      <c r="AB26" s="128">
        <v>1</v>
      </c>
      <c r="AC26" s="128">
        <v>1</v>
      </c>
      <c r="AD26" s="128">
        <v>1</v>
      </c>
      <c r="AE26" s="128">
        <v>1</v>
      </c>
      <c r="AF26" s="128">
        <v>1</v>
      </c>
      <c r="AG26" s="128">
        <v>1</v>
      </c>
      <c r="AH26" s="128">
        <v>1</v>
      </c>
      <c r="AI26" s="128">
        <v>1</v>
      </c>
      <c r="AJ26" s="128">
        <v>1</v>
      </c>
      <c r="AK26" s="128">
        <v>1</v>
      </c>
      <c r="AL26" s="128">
        <v>1</v>
      </c>
      <c r="AM26" s="128">
        <v>1</v>
      </c>
      <c r="AN26" s="128">
        <v>1</v>
      </c>
      <c r="AO26" s="128">
        <v>1</v>
      </c>
      <c r="AP26" s="128">
        <v>1</v>
      </c>
      <c r="AQ26" s="128">
        <v>1</v>
      </c>
      <c r="AR26" s="128">
        <v>1</v>
      </c>
      <c r="AS26" s="128">
        <v>1</v>
      </c>
      <c r="AT26" s="128">
        <v>1</v>
      </c>
      <c r="AU26" s="128">
        <v>1</v>
      </c>
      <c r="AV26" s="128">
        <v>1</v>
      </c>
      <c r="AW26" s="128">
        <v>1</v>
      </c>
      <c r="AX26" s="128">
        <v>1</v>
      </c>
      <c r="AY26" s="128">
        <v>1</v>
      </c>
      <c r="AZ26" s="128">
        <v>1</v>
      </c>
      <c r="BA26" s="128">
        <v>1</v>
      </c>
      <c r="BB26" s="128">
        <v>1</v>
      </c>
      <c r="BC26" s="128">
        <v>1</v>
      </c>
      <c r="BD26" s="128">
        <v>1</v>
      </c>
      <c r="BE26" s="128">
        <v>1</v>
      </c>
      <c r="BF26" s="128">
        <v>1</v>
      </c>
      <c r="BG26" s="128">
        <v>1</v>
      </c>
      <c r="BH26" s="128">
        <v>1</v>
      </c>
      <c r="BI26" s="128">
        <v>1</v>
      </c>
      <c r="BJ26" s="128">
        <v>1</v>
      </c>
      <c r="BK26" s="128">
        <v>1</v>
      </c>
      <c r="BL26" s="128">
        <v>1</v>
      </c>
      <c r="BM26" s="128">
        <v>1</v>
      </c>
      <c r="BN26" s="128">
        <v>1</v>
      </c>
      <c r="BO26" s="128">
        <v>1</v>
      </c>
      <c r="BP26" s="128">
        <v>1</v>
      </c>
      <c r="BQ26" s="128">
        <v>1</v>
      </c>
      <c r="BR26" s="128">
        <v>1</v>
      </c>
      <c r="BS26" s="128">
        <v>1</v>
      </c>
      <c r="BT26" s="128">
        <v>1</v>
      </c>
      <c r="BU26" s="128">
        <v>1</v>
      </c>
      <c r="BV26" s="128">
        <v>1</v>
      </c>
      <c r="BW26" s="128">
        <v>1</v>
      </c>
      <c r="BX26" s="128">
        <v>1</v>
      </c>
      <c r="BY26" s="128">
        <v>1</v>
      </c>
      <c r="BZ26" s="128">
        <v>1</v>
      </c>
      <c r="CA26" s="128">
        <v>1</v>
      </c>
      <c r="CB26" s="128">
        <v>1</v>
      </c>
      <c r="CC26" s="128">
        <v>1</v>
      </c>
      <c r="CD26" s="128">
        <v>1</v>
      </c>
      <c r="CE26" s="128">
        <v>1</v>
      </c>
      <c r="CF26" s="128">
        <v>1</v>
      </c>
      <c r="CG26" s="128">
        <v>1</v>
      </c>
      <c r="CH26" s="128">
        <v>1</v>
      </c>
      <c r="CI26" s="128">
        <v>1</v>
      </c>
      <c r="CJ26" s="128">
        <v>1</v>
      </c>
      <c r="CK26" s="128">
        <v>1</v>
      </c>
      <c r="CL26" s="128">
        <v>1</v>
      </c>
      <c r="CM26" s="128">
        <v>1</v>
      </c>
      <c r="CN26" s="128">
        <v>1</v>
      </c>
      <c r="CO26" s="128">
        <v>1</v>
      </c>
      <c r="CP26" s="128">
        <v>1</v>
      </c>
      <c r="CQ26" s="128">
        <v>1</v>
      </c>
      <c r="CR26" s="128">
        <v>1</v>
      </c>
      <c r="CS26" s="128">
        <v>1</v>
      </c>
      <c r="CT26" s="128">
        <v>1</v>
      </c>
      <c r="CU26" s="128">
        <v>1</v>
      </c>
      <c r="CV26" s="128">
        <v>1</v>
      </c>
      <c r="CW26" s="128">
        <v>1</v>
      </c>
      <c r="CX26" s="128">
        <v>1</v>
      </c>
      <c r="CZ26" s="126">
        <f>SUMIF(MatrixF0[[1]:[2]],MatrixF0[[#This Row],[Столбец1]])/MatrixF0[[#This Row],[Столбец1]]</f>
        <v>0</v>
      </c>
    </row>
    <row r="27" spans="1:104" ht="21" customHeight="1" x14ac:dyDescent="0.25">
      <c r="A27" s="127">
        <v>1.24</v>
      </c>
      <c r="B27" s="128">
        <v>1</v>
      </c>
      <c r="C27" s="128">
        <v>1</v>
      </c>
      <c r="D27" s="128">
        <v>1</v>
      </c>
      <c r="E27" s="128">
        <v>1</v>
      </c>
      <c r="F27" s="128">
        <v>1</v>
      </c>
      <c r="G27" s="128">
        <v>1</v>
      </c>
      <c r="H27" s="128">
        <v>1</v>
      </c>
      <c r="I27" s="128">
        <v>1</v>
      </c>
      <c r="J27" s="128">
        <v>1</v>
      </c>
      <c r="K27" s="128">
        <v>1</v>
      </c>
      <c r="L27" s="128">
        <v>1</v>
      </c>
      <c r="M27" s="128">
        <v>1</v>
      </c>
      <c r="N27" s="128">
        <v>1</v>
      </c>
      <c r="O27" s="128">
        <v>1</v>
      </c>
      <c r="P27" s="128">
        <v>1</v>
      </c>
      <c r="Q27" s="128">
        <v>1</v>
      </c>
      <c r="R27" s="128">
        <v>1</v>
      </c>
      <c r="S27" s="128">
        <v>1</v>
      </c>
      <c r="T27" s="128">
        <v>1</v>
      </c>
      <c r="U27" s="128">
        <v>1</v>
      </c>
      <c r="V27" s="128">
        <v>1</v>
      </c>
      <c r="W27" s="128">
        <v>1</v>
      </c>
      <c r="X27" s="128">
        <v>1</v>
      </c>
      <c r="Y27" s="128">
        <v>1</v>
      </c>
      <c r="Z27" s="128">
        <v>1</v>
      </c>
      <c r="AA27" s="128">
        <v>1</v>
      </c>
      <c r="AB27" s="128">
        <v>1</v>
      </c>
      <c r="AC27" s="128">
        <v>1</v>
      </c>
      <c r="AD27" s="128">
        <v>1</v>
      </c>
      <c r="AE27" s="128">
        <v>1</v>
      </c>
      <c r="AF27" s="128">
        <v>1</v>
      </c>
      <c r="AG27" s="128">
        <v>1</v>
      </c>
      <c r="AH27" s="128">
        <v>1</v>
      </c>
      <c r="AI27" s="128">
        <v>1</v>
      </c>
      <c r="AJ27" s="128">
        <v>1</v>
      </c>
      <c r="AK27" s="128">
        <v>1</v>
      </c>
      <c r="AL27" s="128">
        <v>1</v>
      </c>
      <c r="AM27" s="128">
        <v>1</v>
      </c>
      <c r="AN27" s="128">
        <v>1</v>
      </c>
      <c r="AO27" s="128">
        <v>1</v>
      </c>
      <c r="AP27" s="128">
        <v>1</v>
      </c>
      <c r="AQ27" s="128">
        <v>1</v>
      </c>
      <c r="AR27" s="128">
        <v>1</v>
      </c>
      <c r="AS27" s="128">
        <v>1</v>
      </c>
      <c r="AT27" s="128">
        <v>1</v>
      </c>
      <c r="AU27" s="128">
        <v>1</v>
      </c>
      <c r="AV27" s="128">
        <v>1</v>
      </c>
      <c r="AW27" s="128">
        <v>1</v>
      </c>
      <c r="AX27" s="128">
        <v>1</v>
      </c>
      <c r="AY27" s="128">
        <v>1</v>
      </c>
      <c r="AZ27" s="128">
        <v>1</v>
      </c>
      <c r="BA27" s="128">
        <v>1</v>
      </c>
      <c r="BB27" s="128">
        <v>1</v>
      </c>
      <c r="BC27" s="128">
        <v>1</v>
      </c>
      <c r="BD27" s="128">
        <v>1</v>
      </c>
      <c r="BE27" s="128">
        <v>1</v>
      </c>
      <c r="BF27" s="128">
        <v>1</v>
      </c>
      <c r="BG27" s="128">
        <v>1</v>
      </c>
      <c r="BH27" s="128">
        <v>1</v>
      </c>
      <c r="BI27" s="128">
        <v>1</v>
      </c>
      <c r="BJ27" s="128">
        <v>1</v>
      </c>
      <c r="BK27" s="128">
        <v>1</v>
      </c>
      <c r="BL27" s="128">
        <v>1</v>
      </c>
      <c r="BM27" s="128">
        <v>1</v>
      </c>
      <c r="BN27" s="128">
        <v>1</v>
      </c>
      <c r="BO27" s="128">
        <v>1</v>
      </c>
      <c r="BP27" s="128">
        <v>1</v>
      </c>
      <c r="BQ27" s="128">
        <v>1</v>
      </c>
      <c r="BR27" s="128">
        <v>1</v>
      </c>
      <c r="BS27" s="128">
        <v>1</v>
      </c>
      <c r="BT27" s="128">
        <v>1</v>
      </c>
      <c r="BU27" s="128">
        <v>1</v>
      </c>
      <c r="BV27" s="128">
        <v>1</v>
      </c>
      <c r="BW27" s="128">
        <v>1</v>
      </c>
      <c r="BX27" s="128">
        <v>1</v>
      </c>
      <c r="BY27" s="128">
        <v>1</v>
      </c>
      <c r="BZ27" s="128">
        <v>1</v>
      </c>
      <c r="CA27" s="128">
        <v>1</v>
      </c>
      <c r="CB27" s="128">
        <v>1</v>
      </c>
      <c r="CC27" s="128">
        <v>1</v>
      </c>
      <c r="CD27" s="128">
        <v>1</v>
      </c>
      <c r="CE27" s="128">
        <v>1</v>
      </c>
      <c r="CF27" s="128">
        <v>1</v>
      </c>
      <c r="CG27" s="128">
        <v>1</v>
      </c>
      <c r="CH27" s="128">
        <v>1</v>
      </c>
      <c r="CI27" s="128">
        <v>1</v>
      </c>
      <c r="CJ27" s="128">
        <v>1</v>
      </c>
      <c r="CK27" s="128">
        <v>1</v>
      </c>
      <c r="CL27" s="128">
        <v>1</v>
      </c>
      <c r="CM27" s="128">
        <v>1</v>
      </c>
      <c r="CN27" s="128">
        <v>1</v>
      </c>
      <c r="CO27" s="128">
        <v>1</v>
      </c>
      <c r="CP27" s="128">
        <v>1</v>
      </c>
      <c r="CQ27" s="128">
        <v>1</v>
      </c>
      <c r="CR27" s="128">
        <v>1</v>
      </c>
      <c r="CS27" s="128">
        <v>1</v>
      </c>
      <c r="CT27" s="128">
        <v>1</v>
      </c>
      <c r="CU27" s="128">
        <v>1</v>
      </c>
      <c r="CV27" s="128">
        <v>1</v>
      </c>
      <c r="CW27" s="128">
        <v>1</v>
      </c>
      <c r="CX27" s="128">
        <v>1</v>
      </c>
      <c r="CZ27" s="126">
        <f>SUMIF(MatrixF0[[1]:[2]],MatrixF0[[#This Row],[Столбец1]])/MatrixF0[[#This Row],[Столбец1]]</f>
        <v>0</v>
      </c>
    </row>
    <row r="28" spans="1:104" ht="21" customHeight="1" x14ac:dyDescent="0.25">
      <c r="A28" s="127">
        <v>1.25</v>
      </c>
      <c r="B28" s="128">
        <v>1</v>
      </c>
      <c r="C28" s="128">
        <v>1</v>
      </c>
      <c r="D28" s="128">
        <v>1</v>
      </c>
      <c r="E28" s="128">
        <v>1</v>
      </c>
      <c r="F28" s="128">
        <v>1</v>
      </c>
      <c r="G28" s="128">
        <v>1</v>
      </c>
      <c r="H28" s="128">
        <v>1</v>
      </c>
      <c r="I28" s="128">
        <v>1</v>
      </c>
      <c r="J28" s="128">
        <v>1</v>
      </c>
      <c r="K28" s="128">
        <v>1</v>
      </c>
      <c r="L28" s="128">
        <v>1</v>
      </c>
      <c r="M28" s="128">
        <v>1</v>
      </c>
      <c r="N28" s="128">
        <v>1</v>
      </c>
      <c r="O28" s="128">
        <v>1</v>
      </c>
      <c r="P28" s="128">
        <v>1</v>
      </c>
      <c r="Q28" s="128">
        <v>1</v>
      </c>
      <c r="R28" s="128">
        <v>1</v>
      </c>
      <c r="S28" s="128">
        <v>1</v>
      </c>
      <c r="T28" s="128">
        <v>1</v>
      </c>
      <c r="U28" s="128">
        <v>1</v>
      </c>
      <c r="V28" s="128">
        <v>1</v>
      </c>
      <c r="W28" s="128">
        <v>1</v>
      </c>
      <c r="X28" s="128">
        <v>1</v>
      </c>
      <c r="Y28" s="128">
        <v>1</v>
      </c>
      <c r="Z28" s="128">
        <v>1</v>
      </c>
      <c r="AA28" s="128">
        <v>1</v>
      </c>
      <c r="AB28" s="128">
        <v>1</v>
      </c>
      <c r="AC28" s="128">
        <v>1</v>
      </c>
      <c r="AD28" s="128">
        <v>1</v>
      </c>
      <c r="AE28" s="128">
        <v>1</v>
      </c>
      <c r="AF28" s="128">
        <v>1</v>
      </c>
      <c r="AG28" s="128">
        <v>1</v>
      </c>
      <c r="AH28" s="128">
        <v>1</v>
      </c>
      <c r="AI28" s="128">
        <v>1</v>
      </c>
      <c r="AJ28" s="128">
        <v>1</v>
      </c>
      <c r="AK28" s="128">
        <v>1</v>
      </c>
      <c r="AL28" s="128">
        <v>1</v>
      </c>
      <c r="AM28" s="128">
        <v>1</v>
      </c>
      <c r="AN28" s="128">
        <v>1</v>
      </c>
      <c r="AO28" s="128">
        <v>1</v>
      </c>
      <c r="AP28" s="128">
        <v>1</v>
      </c>
      <c r="AQ28" s="128">
        <v>1</v>
      </c>
      <c r="AR28" s="128">
        <v>1</v>
      </c>
      <c r="AS28" s="128">
        <v>1</v>
      </c>
      <c r="AT28" s="128">
        <v>1</v>
      </c>
      <c r="AU28" s="128">
        <v>1</v>
      </c>
      <c r="AV28" s="128">
        <v>1</v>
      </c>
      <c r="AW28" s="128">
        <v>1</v>
      </c>
      <c r="AX28" s="128">
        <v>1</v>
      </c>
      <c r="AY28" s="128">
        <v>1</v>
      </c>
      <c r="AZ28" s="128">
        <v>1</v>
      </c>
      <c r="BA28" s="128">
        <v>1</v>
      </c>
      <c r="BB28" s="128">
        <v>1</v>
      </c>
      <c r="BC28" s="128">
        <v>1</v>
      </c>
      <c r="BD28" s="128">
        <v>1</v>
      </c>
      <c r="BE28" s="128">
        <v>1</v>
      </c>
      <c r="BF28" s="128">
        <v>1</v>
      </c>
      <c r="BG28" s="128">
        <v>1</v>
      </c>
      <c r="BH28" s="128">
        <v>1</v>
      </c>
      <c r="BI28" s="128">
        <v>1</v>
      </c>
      <c r="BJ28" s="128">
        <v>1</v>
      </c>
      <c r="BK28" s="128">
        <v>1</v>
      </c>
      <c r="BL28" s="128">
        <v>1</v>
      </c>
      <c r="BM28" s="128">
        <v>1</v>
      </c>
      <c r="BN28" s="128">
        <v>1</v>
      </c>
      <c r="BO28" s="128">
        <v>1</v>
      </c>
      <c r="BP28" s="128">
        <v>1</v>
      </c>
      <c r="BQ28" s="128">
        <v>1</v>
      </c>
      <c r="BR28" s="128">
        <v>1</v>
      </c>
      <c r="BS28" s="128">
        <v>1</v>
      </c>
      <c r="BT28" s="128">
        <v>1</v>
      </c>
      <c r="BU28" s="128">
        <v>1</v>
      </c>
      <c r="BV28" s="128">
        <v>1</v>
      </c>
      <c r="BW28" s="128">
        <v>1</v>
      </c>
      <c r="BX28" s="128">
        <v>1</v>
      </c>
      <c r="BY28" s="128">
        <v>1</v>
      </c>
      <c r="BZ28" s="128">
        <v>1</v>
      </c>
      <c r="CA28" s="128">
        <v>1</v>
      </c>
      <c r="CB28" s="128">
        <v>1</v>
      </c>
      <c r="CC28" s="128">
        <v>1</v>
      </c>
      <c r="CD28" s="128">
        <v>1</v>
      </c>
      <c r="CE28" s="128">
        <v>1</v>
      </c>
      <c r="CF28" s="128">
        <v>1</v>
      </c>
      <c r="CG28" s="128">
        <v>1</v>
      </c>
      <c r="CH28" s="128">
        <v>1</v>
      </c>
      <c r="CI28" s="128">
        <v>1</v>
      </c>
      <c r="CJ28" s="128">
        <v>1</v>
      </c>
      <c r="CK28" s="128">
        <v>1</v>
      </c>
      <c r="CL28" s="128">
        <v>1</v>
      </c>
      <c r="CM28" s="128">
        <v>1</v>
      </c>
      <c r="CN28" s="128">
        <v>1</v>
      </c>
      <c r="CO28" s="128">
        <v>1</v>
      </c>
      <c r="CP28" s="128">
        <v>1</v>
      </c>
      <c r="CQ28" s="128">
        <v>1</v>
      </c>
      <c r="CR28" s="128">
        <v>1</v>
      </c>
      <c r="CS28" s="128">
        <v>1</v>
      </c>
      <c r="CT28" s="128">
        <v>1</v>
      </c>
      <c r="CU28" s="128">
        <v>1</v>
      </c>
      <c r="CV28" s="128">
        <v>1</v>
      </c>
      <c r="CW28" s="128">
        <v>1</v>
      </c>
      <c r="CX28" s="128">
        <v>1</v>
      </c>
      <c r="CZ28" s="126">
        <f>SUMIF(MatrixF0[[1]:[2]],MatrixF0[[#This Row],[Столбец1]])/MatrixF0[[#This Row],[Столбец1]]</f>
        <v>0</v>
      </c>
    </row>
    <row r="29" spans="1:104" ht="21" customHeight="1" x14ac:dyDescent="0.25">
      <c r="A29" s="127">
        <v>1.26</v>
      </c>
      <c r="B29" s="128">
        <v>1</v>
      </c>
      <c r="C29" s="128">
        <v>1</v>
      </c>
      <c r="D29" s="128">
        <v>1</v>
      </c>
      <c r="E29" s="128">
        <v>1</v>
      </c>
      <c r="F29" s="128">
        <v>1</v>
      </c>
      <c r="G29" s="128">
        <v>1</v>
      </c>
      <c r="H29" s="128">
        <v>1</v>
      </c>
      <c r="I29" s="128">
        <v>1</v>
      </c>
      <c r="J29" s="128">
        <v>1</v>
      </c>
      <c r="K29" s="128">
        <v>1</v>
      </c>
      <c r="L29" s="128">
        <v>1</v>
      </c>
      <c r="M29" s="128">
        <v>1</v>
      </c>
      <c r="N29" s="128">
        <v>1</v>
      </c>
      <c r="O29" s="128">
        <v>1</v>
      </c>
      <c r="P29" s="128">
        <v>1</v>
      </c>
      <c r="Q29" s="128">
        <v>1</v>
      </c>
      <c r="R29" s="128">
        <v>1</v>
      </c>
      <c r="S29" s="128">
        <v>1</v>
      </c>
      <c r="T29" s="128">
        <v>1</v>
      </c>
      <c r="U29" s="128">
        <v>1</v>
      </c>
      <c r="V29" s="128">
        <v>1</v>
      </c>
      <c r="W29" s="128">
        <v>1</v>
      </c>
      <c r="X29" s="128">
        <v>1</v>
      </c>
      <c r="Y29" s="128">
        <v>1</v>
      </c>
      <c r="Z29" s="128">
        <v>1</v>
      </c>
      <c r="AA29" s="128">
        <v>1</v>
      </c>
      <c r="AB29" s="128">
        <v>1</v>
      </c>
      <c r="AC29" s="128">
        <v>1</v>
      </c>
      <c r="AD29" s="128">
        <v>1</v>
      </c>
      <c r="AE29" s="128">
        <v>1</v>
      </c>
      <c r="AF29" s="128">
        <v>1</v>
      </c>
      <c r="AG29" s="128">
        <v>1</v>
      </c>
      <c r="AH29" s="128">
        <v>1</v>
      </c>
      <c r="AI29" s="128">
        <v>1</v>
      </c>
      <c r="AJ29" s="128">
        <v>1</v>
      </c>
      <c r="AK29" s="128">
        <v>1</v>
      </c>
      <c r="AL29" s="128">
        <v>1</v>
      </c>
      <c r="AM29" s="128">
        <v>1</v>
      </c>
      <c r="AN29" s="128">
        <v>1</v>
      </c>
      <c r="AO29" s="128">
        <v>1</v>
      </c>
      <c r="AP29" s="128">
        <v>1</v>
      </c>
      <c r="AQ29" s="128">
        <v>1</v>
      </c>
      <c r="AR29" s="128">
        <v>1</v>
      </c>
      <c r="AS29" s="128">
        <v>1</v>
      </c>
      <c r="AT29" s="128">
        <v>1</v>
      </c>
      <c r="AU29" s="128">
        <v>1</v>
      </c>
      <c r="AV29" s="128">
        <v>1</v>
      </c>
      <c r="AW29" s="128">
        <v>1</v>
      </c>
      <c r="AX29" s="128">
        <v>1</v>
      </c>
      <c r="AY29" s="128">
        <v>1</v>
      </c>
      <c r="AZ29" s="128">
        <v>1</v>
      </c>
      <c r="BA29" s="128">
        <v>1</v>
      </c>
      <c r="BB29" s="128">
        <v>1</v>
      </c>
      <c r="BC29" s="128">
        <v>1</v>
      </c>
      <c r="BD29" s="128">
        <v>1</v>
      </c>
      <c r="BE29" s="128">
        <v>1</v>
      </c>
      <c r="BF29" s="128">
        <v>1</v>
      </c>
      <c r="BG29" s="128">
        <v>1</v>
      </c>
      <c r="BH29" s="128">
        <v>1</v>
      </c>
      <c r="BI29" s="128">
        <v>1</v>
      </c>
      <c r="BJ29" s="128">
        <v>1</v>
      </c>
      <c r="BK29" s="128">
        <v>1</v>
      </c>
      <c r="BL29" s="128">
        <v>1</v>
      </c>
      <c r="BM29" s="128">
        <v>1</v>
      </c>
      <c r="BN29" s="128">
        <v>1</v>
      </c>
      <c r="BO29" s="128">
        <v>1</v>
      </c>
      <c r="BP29" s="128">
        <v>1</v>
      </c>
      <c r="BQ29" s="128">
        <v>1</v>
      </c>
      <c r="BR29" s="128">
        <v>1</v>
      </c>
      <c r="BS29" s="128">
        <v>1</v>
      </c>
      <c r="BT29" s="128">
        <v>1</v>
      </c>
      <c r="BU29" s="128">
        <v>1</v>
      </c>
      <c r="BV29" s="128">
        <v>1</v>
      </c>
      <c r="BW29" s="128">
        <v>1</v>
      </c>
      <c r="BX29" s="128">
        <v>1</v>
      </c>
      <c r="BY29" s="128">
        <v>1</v>
      </c>
      <c r="BZ29" s="128">
        <v>1</v>
      </c>
      <c r="CA29" s="128">
        <v>1</v>
      </c>
      <c r="CB29" s="128">
        <v>1</v>
      </c>
      <c r="CC29" s="128">
        <v>1</v>
      </c>
      <c r="CD29" s="128">
        <v>1</v>
      </c>
      <c r="CE29" s="128">
        <v>1</v>
      </c>
      <c r="CF29" s="128">
        <v>1</v>
      </c>
      <c r="CG29" s="128">
        <v>1</v>
      </c>
      <c r="CH29" s="128">
        <v>1</v>
      </c>
      <c r="CI29" s="128">
        <v>1</v>
      </c>
      <c r="CJ29" s="128">
        <v>1</v>
      </c>
      <c r="CK29" s="128">
        <v>1</v>
      </c>
      <c r="CL29" s="128">
        <v>1</v>
      </c>
      <c r="CM29" s="128">
        <v>1</v>
      </c>
      <c r="CN29" s="128">
        <v>1</v>
      </c>
      <c r="CO29" s="128">
        <v>1</v>
      </c>
      <c r="CP29" s="128">
        <v>1</v>
      </c>
      <c r="CQ29" s="128">
        <v>1</v>
      </c>
      <c r="CR29" s="128">
        <v>1</v>
      </c>
      <c r="CS29" s="128">
        <v>1</v>
      </c>
      <c r="CT29" s="128">
        <v>1</v>
      </c>
      <c r="CU29" s="128">
        <v>1</v>
      </c>
      <c r="CV29" s="128">
        <v>1</v>
      </c>
      <c r="CW29" s="128">
        <v>1</v>
      </c>
      <c r="CX29" s="128">
        <v>1</v>
      </c>
      <c r="CZ29" s="126">
        <f>SUMIF(MatrixF0[[1]:[2]],MatrixF0[[#This Row],[Столбец1]])/MatrixF0[[#This Row],[Столбец1]]</f>
        <v>0</v>
      </c>
    </row>
    <row r="30" spans="1:104" ht="21" customHeight="1" x14ac:dyDescent="0.25">
      <c r="A30" s="127">
        <v>1.27</v>
      </c>
      <c r="B30" s="128">
        <v>1</v>
      </c>
      <c r="C30" s="128">
        <v>1</v>
      </c>
      <c r="D30" s="128">
        <v>1</v>
      </c>
      <c r="E30" s="128">
        <v>1</v>
      </c>
      <c r="F30" s="128">
        <v>1</v>
      </c>
      <c r="G30" s="128">
        <v>1</v>
      </c>
      <c r="H30" s="128">
        <v>1</v>
      </c>
      <c r="I30" s="128">
        <v>1</v>
      </c>
      <c r="J30" s="128">
        <v>1</v>
      </c>
      <c r="K30" s="128">
        <v>1</v>
      </c>
      <c r="L30" s="128">
        <v>1</v>
      </c>
      <c r="M30" s="128">
        <v>1</v>
      </c>
      <c r="N30" s="128">
        <v>1</v>
      </c>
      <c r="O30" s="128">
        <v>1</v>
      </c>
      <c r="P30" s="128">
        <v>1</v>
      </c>
      <c r="Q30" s="128">
        <v>1</v>
      </c>
      <c r="R30" s="128">
        <v>1</v>
      </c>
      <c r="S30" s="128">
        <v>1</v>
      </c>
      <c r="T30" s="128">
        <v>1</v>
      </c>
      <c r="U30" s="128">
        <v>1</v>
      </c>
      <c r="V30" s="128">
        <v>1</v>
      </c>
      <c r="W30" s="128">
        <v>1</v>
      </c>
      <c r="X30" s="128">
        <v>1</v>
      </c>
      <c r="Y30" s="128">
        <v>1</v>
      </c>
      <c r="Z30" s="128">
        <v>1</v>
      </c>
      <c r="AA30" s="128">
        <v>1</v>
      </c>
      <c r="AB30" s="128">
        <v>1</v>
      </c>
      <c r="AC30" s="128">
        <v>1</v>
      </c>
      <c r="AD30" s="128">
        <v>1</v>
      </c>
      <c r="AE30" s="128">
        <v>1</v>
      </c>
      <c r="AF30" s="128">
        <v>1</v>
      </c>
      <c r="AG30" s="128">
        <v>1</v>
      </c>
      <c r="AH30" s="128">
        <v>1</v>
      </c>
      <c r="AI30" s="128">
        <v>1</v>
      </c>
      <c r="AJ30" s="128">
        <v>1</v>
      </c>
      <c r="AK30" s="128">
        <v>1</v>
      </c>
      <c r="AL30" s="128">
        <v>1</v>
      </c>
      <c r="AM30" s="128">
        <v>1</v>
      </c>
      <c r="AN30" s="128">
        <v>1</v>
      </c>
      <c r="AO30" s="128">
        <v>1</v>
      </c>
      <c r="AP30" s="128">
        <v>1</v>
      </c>
      <c r="AQ30" s="128">
        <v>1</v>
      </c>
      <c r="AR30" s="128">
        <v>1</v>
      </c>
      <c r="AS30" s="128">
        <v>1</v>
      </c>
      <c r="AT30" s="128">
        <v>1</v>
      </c>
      <c r="AU30" s="128">
        <v>1</v>
      </c>
      <c r="AV30" s="128">
        <v>1</v>
      </c>
      <c r="AW30" s="128">
        <v>1</v>
      </c>
      <c r="AX30" s="128">
        <v>1</v>
      </c>
      <c r="AY30" s="128">
        <v>1</v>
      </c>
      <c r="AZ30" s="128">
        <v>1</v>
      </c>
      <c r="BA30" s="128">
        <v>1</v>
      </c>
      <c r="BB30" s="128">
        <v>1</v>
      </c>
      <c r="BC30" s="128">
        <v>1</v>
      </c>
      <c r="BD30" s="128">
        <v>1</v>
      </c>
      <c r="BE30" s="128">
        <v>1</v>
      </c>
      <c r="BF30" s="128">
        <v>1</v>
      </c>
      <c r="BG30" s="128">
        <v>1</v>
      </c>
      <c r="BH30" s="128">
        <v>1</v>
      </c>
      <c r="BI30" s="128">
        <v>1</v>
      </c>
      <c r="BJ30" s="128">
        <v>1</v>
      </c>
      <c r="BK30" s="128">
        <v>1</v>
      </c>
      <c r="BL30" s="128">
        <v>1</v>
      </c>
      <c r="BM30" s="128">
        <v>1</v>
      </c>
      <c r="BN30" s="128">
        <v>1</v>
      </c>
      <c r="BO30" s="128">
        <v>1</v>
      </c>
      <c r="BP30" s="128">
        <v>1</v>
      </c>
      <c r="BQ30" s="128">
        <v>1</v>
      </c>
      <c r="BR30" s="128">
        <v>1</v>
      </c>
      <c r="BS30" s="128">
        <v>1</v>
      </c>
      <c r="BT30" s="128">
        <v>1</v>
      </c>
      <c r="BU30" s="128">
        <v>1</v>
      </c>
      <c r="BV30" s="128">
        <v>1</v>
      </c>
      <c r="BW30" s="128">
        <v>1</v>
      </c>
      <c r="BX30" s="128">
        <v>1</v>
      </c>
      <c r="BY30" s="128">
        <v>1</v>
      </c>
      <c r="BZ30" s="128">
        <v>1</v>
      </c>
      <c r="CA30" s="128">
        <v>1</v>
      </c>
      <c r="CB30" s="128">
        <v>1</v>
      </c>
      <c r="CC30" s="128">
        <v>1</v>
      </c>
      <c r="CD30" s="128">
        <v>1</v>
      </c>
      <c r="CE30" s="128">
        <v>1</v>
      </c>
      <c r="CF30" s="128">
        <v>1</v>
      </c>
      <c r="CG30" s="128">
        <v>1</v>
      </c>
      <c r="CH30" s="128">
        <v>1</v>
      </c>
      <c r="CI30" s="128">
        <v>1</v>
      </c>
      <c r="CJ30" s="128">
        <v>1</v>
      </c>
      <c r="CK30" s="128">
        <v>1</v>
      </c>
      <c r="CL30" s="128">
        <v>1</v>
      </c>
      <c r="CM30" s="128">
        <v>1</v>
      </c>
      <c r="CN30" s="128">
        <v>1</v>
      </c>
      <c r="CO30" s="128">
        <v>1</v>
      </c>
      <c r="CP30" s="128">
        <v>1</v>
      </c>
      <c r="CQ30" s="128">
        <v>1</v>
      </c>
      <c r="CR30" s="128">
        <v>1</v>
      </c>
      <c r="CS30" s="128">
        <v>1</v>
      </c>
      <c r="CT30" s="128">
        <v>1</v>
      </c>
      <c r="CU30" s="128">
        <v>1</v>
      </c>
      <c r="CV30" s="128">
        <v>1</v>
      </c>
      <c r="CW30" s="128">
        <v>1</v>
      </c>
      <c r="CX30" s="128">
        <v>1</v>
      </c>
      <c r="CZ30" s="126">
        <f>SUMIF(MatrixF0[[1]:[2]],MatrixF0[[#This Row],[Столбец1]])/MatrixF0[[#This Row],[Столбец1]]</f>
        <v>0</v>
      </c>
    </row>
    <row r="31" spans="1:104" ht="21" customHeight="1" x14ac:dyDescent="0.25">
      <c r="A31" s="127">
        <v>1.28</v>
      </c>
      <c r="B31" s="128">
        <v>1</v>
      </c>
      <c r="C31" s="128">
        <v>1</v>
      </c>
      <c r="D31" s="128">
        <v>1</v>
      </c>
      <c r="E31" s="128">
        <v>1</v>
      </c>
      <c r="F31" s="128">
        <v>1</v>
      </c>
      <c r="G31" s="128">
        <v>1</v>
      </c>
      <c r="H31" s="128">
        <v>1</v>
      </c>
      <c r="I31" s="128">
        <v>1</v>
      </c>
      <c r="J31" s="128">
        <v>1</v>
      </c>
      <c r="K31" s="128">
        <v>1</v>
      </c>
      <c r="L31" s="128">
        <v>1</v>
      </c>
      <c r="M31" s="128">
        <v>1</v>
      </c>
      <c r="N31" s="128">
        <v>1</v>
      </c>
      <c r="O31" s="128">
        <v>1</v>
      </c>
      <c r="P31" s="128">
        <v>1</v>
      </c>
      <c r="Q31" s="128">
        <v>1</v>
      </c>
      <c r="R31" s="128">
        <v>1</v>
      </c>
      <c r="S31" s="128">
        <v>1</v>
      </c>
      <c r="T31" s="128">
        <v>1</v>
      </c>
      <c r="U31" s="128">
        <v>1</v>
      </c>
      <c r="V31" s="128">
        <v>1</v>
      </c>
      <c r="W31" s="128">
        <v>1</v>
      </c>
      <c r="X31" s="128">
        <v>1</v>
      </c>
      <c r="Y31" s="128">
        <v>1</v>
      </c>
      <c r="Z31" s="128">
        <v>1</v>
      </c>
      <c r="AA31" s="128">
        <v>1</v>
      </c>
      <c r="AB31" s="128">
        <v>1</v>
      </c>
      <c r="AC31" s="128">
        <v>1</v>
      </c>
      <c r="AD31" s="128">
        <v>1</v>
      </c>
      <c r="AE31" s="128">
        <v>1</v>
      </c>
      <c r="AF31" s="128">
        <v>1</v>
      </c>
      <c r="AG31" s="128">
        <v>1</v>
      </c>
      <c r="AH31" s="128">
        <v>1</v>
      </c>
      <c r="AI31" s="128">
        <v>1</v>
      </c>
      <c r="AJ31" s="128">
        <v>1</v>
      </c>
      <c r="AK31" s="128">
        <v>1</v>
      </c>
      <c r="AL31" s="128">
        <v>1</v>
      </c>
      <c r="AM31" s="128">
        <v>1</v>
      </c>
      <c r="AN31" s="128">
        <v>1</v>
      </c>
      <c r="AO31" s="128">
        <v>1</v>
      </c>
      <c r="AP31" s="128">
        <v>1</v>
      </c>
      <c r="AQ31" s="128">
        <v>1</v>
      </c>
      <c r="AR31" s="128">
        <v>1</v>
      </c>
      <c r="AS31" s="128">
        <v>1</v>
      </c>
      <c r="AT31" s="128">
        <v>1</v>
      </c>
      <c r="AU31" s="128">
        <v>1</v>
      </c>
      <c r="AV31" s="128">
        <v>1</v>
      </c>
      <c r="AW31" s="128">
        <v>1</v>
      </c>
      <c r="AX31" s="128">
        <v>1</v>
      </c>
      <c r="AY31" s="128">
        <v>1</v>
      </c>
      <c r="AZ31" s="128">
        <v>1</v>
      </c>
      <c r="BA31" s="128">
        <v>1</v>
      </c>
      <c r="BB31" s="128">
        <v>1</v>
      </c>
      <c r="BC31" s="128">
        <v>1</v>
      </c>
      <c r="BD31" s="128">
        <v>1</v>
      </c>
      <c r="BE31" s="128">
        <v>1</v>
      </c>
      <c r="BF31" s="128">
        <v>1</v>
      </c>
      <c r="BG31" s="128">
        <v>1</v>
      </c>
      <c r="BH31" s="128">
        <v>1</v>
      </c>
      <c r="BI31" s="128">
        <v>1</v>
      </c>
      <c r="BJ31" s="128">
        <v>1</v>
      </c>
      <c r="BK31" s="128">
        <v>1</v>
      </c>
      <c r="BL31" s="128">
        <v>1</v>
      </c>
      <c r="BM31" s="128">
        <v>1</v>
      </c>
      <c r="BN31" s="128">
        <v>1</v>
      </c>
      <c r="BO31" s="128">
        <v>1</v>
      </c>
      <c r="BP31" s="128">
        <v>1</v>
      </c>
      <c r="BQ31" s="128">
        <v>1</v>
      </c>
      <c r="BR31" s="128">
        <v>1</v>
      </c>
      <c r="BS31" s="128">
        <v>1</v>
      </c>
      <c r="BT31" s="128">
        <v>1</v>
      </c>
      <c r="BU31" s="128">
        <v>1</v>
      </c>
      <c r="BV31" s="128">
        <v>1</v>
      </c>
      <c r="BW31" s="128">
        <v>1</v>
      </c>
      <c r="BX31" s="128">
        <v>1</v>
      </c>
      <c r="BY31" s="128">
        <v>1</v>
      </c>
      <c r="BZ31" s="128">
        <v>1</v>
      </c>
      <c r="CA31" s="128">
        <v>1</v>
      </c>
      <c r="CB31" s="128">
        <v>1</v>
      </c>
      <c r="CC31" s="128">
        <v>1</v>
      </c>
      <c r="CD31" s="128">
        <v>1</v>
      </c>
      <c r="CE31" s="128">
        <v>1</v>
      </c>
      <c r="CF31" s="128">
        <v>1</v>
      </c>
      <c r="CG31" s="128">
        <v>1</v>
      </c>
      <c r="CH31" s="128">
        <v>1</v>
      </c>
      <c r="CI31" s="128">
        <v>1</v>
      </c>
      <c r="CJ31" s="128">
        <v>1</v>
      </c>
      <c r="CK31" s="128">
        <v>1</v>
      </c>
      <c r="CL31" s="128">
        <v>1</v>
      </c>
      <c r="CM31" s="128">
        <v>1</v>
      </c>
      <c r="CN31" s="128">
        <v>1</v>
      </c>
      <c r="CO31" s="128">
        <v>1</v>
      </c>
      <c r="CP31" s="128">
        <v>1</v>
      </c>
      <c r="CQ31" s="128">
        <v>1</v>
      </c>
      <c r="CR31" s="128">
        <v>1</v>
      </c>
      <c r="CS31" s="128">
        <v>1</v>
      </c>
      <c r="CT31" s="128">
        <v>1</v>
      </c>
      <c r="CU31" s="128">
        <v>1</v>
      </c>
      <c r="CV31" s="128">
        <v>1</v>
      </c>
      <c r="CW31" s="128">
        <v>1</v>
      </c>
      <c r="CX31" s="128">
        <v>1</v>
      </c>
      <c r="CZ31" s="126">
        <f>SUMIF(MatrixF0[[1]:[2]],MatrixF0[[#This Row],[Столбец1]])/MatrixF0[[#This Row],[Столбец1]]</f>
        <v>0</v>
      </c>
    </row>
    <row r="32" spans="1:104" ht="21" customHeight="1" x14ac:dyDescent="0.25">
      <c r="A32" s="127">
        <v>1.29</v>
      </c>
      <c r="B32" s="128">
        <v>1</v>
      </c>
      <c r="C32" s="128">
        <v>1</v>
      </c>
      <c r="D32" s="128">
        <v>1</v>
      </c>
      <c r="E32" s="128">
        <v>1</v>
      </c>
      <c r="F32" s="128">
        <v>1</v>
      </c>
      <c r="G32" s="128">
        <v>1</v>
      </c>
      <c r="H32" s="128">
        <v>1</v>
      </c>
      <c r="I32" s="128">
        <v>1</v>
      </c>
      <c r="J32" s="128">
        <v>1</v>
      </c>
      <c r="K32" s="128">
        <v>1</v>
      </c>
      <c r="L32" s="128">
        <v>1</v>
      </c>
      <c r="M32" s="128">
        <v>1</v>
      </c>
      <c r="N32" s="128">
        <v>1</v>
      </c>
      <c r="O32" s="128">
        <v>1</v>
      </c>
      <c r="P32" s="128">
        <v>1</v>
      </c>
      <c r="Q32" s="128">
        <v>1</v>
      </c>
      <c r="R32" s="128">
        <v>1</v>
      </c>
      <c r="S32" s="128">
        <v>1</v>
      </c>
      <c r="T32" s="128">
        <v>1</v>
      </c>
      <c r="U32" s="128">
        <v>1</v>
      </c>
      <c r="V32" s="128">
        <v>1</v>
      </c>
      <c r="W32" s="128">
        <v>1</v>
      </c>
      <c r="X32" s="128">
        <v>1</v>
      </c>
      <c r="Y32" s="128">
        <v>1</v>
      </c>
      <c r="Z32" s="128">
        <v>1</v>
      </c>
      <c r="AA32" s="128">
        <v>1</v>
      </c>
      <c r="AB32" s="128">
        <v>1</v>
      </c>
      <c r="AC32" s="128">
        <v>1</v>
      </c>
      <c r="AD32" s="128">
        <v>1</v>
      </c>
      <c r="AE32" s="128">
        <v>1</v>
      </c>
      <c r="AF32" s="128">
        <v>1</v>
      </c>
      <c r="AG32" s="128">
        <v>1</v>
      </c>
      <c r="AH32" s="128">
        <v>1</v>
      </c>
      <c r="AI32" s="128">
        <v>1</v>
      </c>
      <c r="AJ32" s="128">
        <v>1</v>
      </c>
      <c r="AK32" s="128">
        <v>1</v>
      </c>
      <c r="AL32" s="128">
        <v>1</v>
      </c>
      <c r="AM32" s="128">
        <v>1</v>
      </c>
      <c r="AN32" s="128">
        <v>1</v>
      </c>
      <c r="AO32" s="128">
        <v>1</v>
      </c>
      <c r="AP32" s="128">
        <v>1</v>
      </c>
      <c r="AQ32" s="128">
        <v>1</v>
      </c>
      <c r="AR32" s="128">
        <v>1</v>
      </c>
      <c r="AS32" s="128">
        <v>1</v>
      </c>
      <c r="AT32" s="128">
        <v>1</v>
      </c>
      <c r="AU32" s="128">
        <v>1</v>
      </c>
      <c r="AV32" s="128">
        <v>1</v>
      </c>
      <c r="AW32" s="128">
        <v>1</v>
      </c>
      <c r="AX32" s="128">
        <v>1</v>
      </c>
      <c r="AY32" s="128">
        <v>1</v>
      </c>
      <c r="AZ32" s="128">
        <v>1</v>
      </c>
      <c r="BA32" s="128">
        <v>1</v>
      </c>
      <c r="BB32" s="128">
        <v>1</v>
      </c>
      <c r="BC32" s="128">
        <v>1</v>
      </c>
      <c r="BD32" s="128">
        <v>1</v>
      </c>
      <c r="BE32" s="128">
        <v>1</v>
      </c>
      <c r="BF32" s="128">
        <v>1</v>
      </c>
      <c r="BG32" s="128">
        <v>1</v>
      </c>
      <c r="BH32" s="128">
        <v>1</v>
      </c>
      <c r="BI32" s="128">
        <v>1</v>
      </c>
      <c r="BJ32" s="128">
        <v>1</v>
      </c>
      <c r="BK32" s="128">
        <v>1</v>
      </c>
      <c r="BL32" s="128">
        <v>1</v>
      </c>
      <c r="BM32" s="128">
        <v>1</v>
      </c>
      <c r="BN32" s="128">
        <v>1</v>
      </c>
      <c r="BO32" s="128">
        <v>1</v>
      </c>
      <c r="BP32" s="128">
        <v>1</v>
      </c>
      <c r="BQ32" s="128">
        <v>1</v>
      </c>
      <c r="BR32" s="128">
        <v>1</v>
      </c>
      <c r="BS32" s="128">
        <v>1</v>
      </c>
      <c r="BT32" s="128">
        <v>1</v>
      </c>
      <c r="BU32" s="128">
        <v>1</v>
      </c>
      <c r="BV32" s="128">
        <v>1</v>
      </c>
      <c r="BW32" s="128">
        <v>1</v>
      </c>
      <c r="BX32" s="128">
        <v>1</v>
      </c>
      <c r="BY32" s="128">
        <v>1</v>
      </c>
      <c r="BZ32" s="128">
        <v>1</v>
      </c>
      <c r="CA32" s="128">
        <v>1</v>
      </c>
      <c r="CB32" s="128">
        <v>1</v>
      </c>
      <c r="CC32" s="128">
        <v>1</v>
      </c>
      <c r="CD32" s="128">
        <v>1</v>
      </c>
      <c r="CE32" s="128">
        <v>1</v>
      </c>
      <c r="CF32" s="128">
        <v>1</v>
      </c>
      <c r="CG32" s="128">
        <v>1</v>
      </c>
      <c r="CH32" s="128">
        <v>1</v>
      </c>
      <c r="CI32" s="128">
        <v>1</v>
      </c>
      <c r="CJ32" s="128">
        <v>1</v>
      </c>
      <c r="CK32" s="128">
        <v>1</v>
      </c>
      <c r="CL32" s="128">
        <v>1</v>
      </c>
      <c r="CM32" s="128">
        <v>1</v>
      </c>
      <c r="CN32" s="128">
        <v>1</v>
      </c>
      <c r="CO32" s="128">
        <v>1</v>
      </c>
      <c r="CP32" s="128">
        <v>1</v>
      </c>
      <c r="CQ32" s="128">
        <v>1</v>
      </c>
      <c r="CR32" s="128">
        <v>1</v>
      </c>
      <c r="CS32" s="128">
        <v>1</v>
      </c>
      <c r="CT32" s="128">
        <v>1</v>
      </c>
      <c r="CU32" s="128">
        <v>1</v>
      </c>
      <c r="CV32" s="128">
        <v>1</v>
      </c>
      <c r="CW32" s="128">
        <v>1</v>
      </c>
      <c r="CX32" s="128">
        <v>1</v>
      </c>
      <c r="CZ32" s="126">
        <f>SUMIF(MatrixF0[[1]:[2]],MatrixF0[[#This Row],[Столбец1]])/MatrixF0[[#This Row],[Столбец1]]</f>
        <v>0</v>
      </c>
    </row>
    <row r="33" spans="1:104" ht="21" customHeight="1" x14ac:dyDescent="0.25">
      <c r="A33" s="127">
        <v>1.3</v>
      </c>
      <c r="B33" s="128">
        <v>1</v>
      </c>
      <c r="C33" s="128">
        <v>1</v>
      </c>
      <c r="D33" s="128">
        <v>1</v>
      </c>
      <c r="E33" s="128">
        <v>1</v>
      </c>
      <c r="F33" s="128">
        <v>1</v>
      </c>
      <c r="G33" s="128">
        <v>1</v>
      </c>
      <c r="H33" s="128">
        <v>1</v>
      </c>
      <c r="I33" s="128">
        <v>1</v>
      </c>
      <c r="J33" s="128">
        <v>1</v>
      </c>
      <c r="K33" s="128">
        <v>1</v>
      </c>
      <c r="L33" s="128">
        <v>1</v>
      </c>
      <c r="M33" s="128">
        <v>1</v>
      </c>
      <c r="N33" s="128">
        <v>1</v>
      </c>
      <c r="O33" s="128">
        <v>1</v>
      </c>
      <c r="P33" s="128">
        <v>1</v>
      </c>
      <c r="Q33" s="128">
        <v>1</v>
      </c>
      <c r="R33" s="128">
        <v>1</v>
      </c>
      <c r="S33" s="128">
        <v>1</v>
      </c>
      <c r="T33" s="128">
        <v>1</v>
      </c>
      <c r="U33" s="128">
        <v>1</v>
      </c>
      <c r="V33" s="128">
        <v>1</v>
      </c>
      <c r="W33" s="128">
        <v>1</v>
      </c>
      <c r="X33" s="128">
        <v>1</v>
      </c>
      <c r="Y33" s="128">
        <v>1</v>
      </c>
      <c r="Z33" s="128">
        <v>1</v>
      </c>
      <c r="AA33" s="128">
        <v>1</v>
      </c>
      <c r="AB33" s="128">
        <v>1</v>
      </c>
      <c r="AC33" s="128">
        <v>1</v>
      </c>
      <c r="AD33" s="128">
        <v>1</v>
      </c>
      <c r="AE33" s="128">
        <v>1</v>
      </c>
      <c r="AF33" s="128">
        <v>1</v>
      </c>
      <c r="AG33" s="128">
        <v>1</v>
      </c>
      <c r="AH33" s="128">
        <v>1</v>
      </c>
      <c r="AI33" s="128">
        <v>1</v>
      </c>
      <c r="AJ33" s="128">
        <v>1</v>
      </c>
      <c r="AK33" s="128">
        <v>1</v>
      </c>
      <c r="AL33" s="128">
        <v>1</v>
      </c>
      <c r="AM33" s="128">
        <v>1</v>
      </c>
      <c r="AN33" s="128">
        <v>1</v>
      </c>
      <c r="AO33" s="128">
        <v>1</v>
      </c>
      <c r="AP33" s="128">
        <v>1</v>
      </c>
      <c r="AQ33" s="128">
        <v>1</v>
      </c>
      <c r="AR33" s="128">
        <v>1</v>
      </c>
      <c r="AS33" s="128">
        <v>1</v>
      </c>
      <c r="AT33" s="128">
        <v>1</v>
      </c>
      <c r="AU33" s="128">
        <v>1</v>
      </c>
      <c r="AV33" s="128">
        <v>1</v>
      </c>
      <c r="AW33" s="128">
        <v>1</v>
      </c>
      <c r="AX33" s="128">
        <v>1</v>
      </c>
      <c r="AY33" s="128">
        <v>1</v>
      </c>
      <c r="AZ33" s="128">
        <v>1</v>
      </c>
      <c r="BA33" s="128">
        <v>1</v>
      </c>
      <c r="BB33" s="128">
        <v>1</v>
      </c>
      <c r="BC33" s="128">
        <v>1</v>
      </c>
      <c r="BD33" s="128">
        <v>1</v>
      </c>
      <c r="BE33" s="128">
        <v>1</v>
      </c>
      <c r="BF33" s="128">
        <v>1</v>
      </c>
      <c r="BG33" s="128">
        <v>1</v>
      </c>
      <c r="BH33" s="128">
        <v>1</v>
      </c>
      <c r="BI33" s="128">
        <v>1</v>
      </c>
      <c r="BJ33" s="128">
        <v>1</v>
      </c>
      <c r="BK33" s="128">
        <v>1</v>
      </c>
      <c r="BL33" s="128">
        <v>1</v>
      </c>
      <c r="BM33" s="128">
        <v>1</v>
      </c>
      <c r="BN33" s="128">
        <v>1</v>
      </c>
      <c r="BO33" s="128">
        <v>1</v>
      </c>
      <c r="BP33" s="128">
        <v>1</v>
      </c>
      <c r="BQ33" s="128">
        <v>1</v>
      </c>
      <c r="BR33" s="128">
        <v>1</v>
      </c>
      <c r="BS33" s="128">
        <v>1</v>
      </c>
      <c r="BT33" s="128">
        <v>1</v>
      </c>
      <c r="BU33" s="128">
        <v>1</v>
      </c>
      <c r="BV33" s="128">
        <v>1</v>
      </c>
      <c r="BW33" s="128">
        <v>1</v>
      </c>
      <c r="BX33" s="128">
        <v>1</v>
      </c>
      <c r="BY33" s="128">
        <v>1</v>
      </c>
      <c r="BZ33" s="128">
        <v>1</v>
      </c>
      <c r="CA33" s="128">
        <v>1</v>
      </c>
      <c r="CB33" s="128">
        <v>1</v>
      </c>
      <c r="CC33" s="128">
        <v>1</v>
      </c>
      <c r="CD33" s="128">
        <v>1</v>
      </c>
      <c r="CE33" s="128">
        <v>1</v>
      </c>
      <c r="CF33" s="128">
        <v>1</v>
      </c>
      <c r="CG33" s="128">
        <v>1</v>
      </c>
      <c r="CH33" s="128">
        <v>1</v>
      </c>
      <c r="CI33" s="128">
        <v>1</v>
      </c>
      <c r="CJ33" s="128">
        <v>1</v>
      </c>
      <c r="CK33" s="128">
        <v>1</v>
      </c>
      <c r="CL33" s="128">
        <v>1</v>
      </c>
      <c r="CM33" s="128">
        <v>1</v>
      </c>
      <c r="CN33" s="128">
        <v>1</v>
      </c>
      <c r="CO33" s="128">
        <v>1</v>
      </c>
      <c r="CP33" s="128">
        <v>1</v>
      </c>
      <c r="CQ33" s="128">
        <v>1</v>
      </c>
      <c r="CR33" s="128">
        <v>1</v>
      </c>
      <c r="CS33" s="128">
        <v>1</v>
      </c>
      <c r="CT33" s="128">
        <v>1</v>
      </c>
      <c r="CU33" s="128">
        <v>1</v>
      </c>
      <c r="CV33" s="128">
        <v>1</v>
      </c>
      <c r="CW33" s="128">
        <v>1</v>
      </c>
      <c r="CX33" s="128">
        <v>1</v>
      </c>
      <c r="CZ33" s="126">
        <f>SUMIF(MatrixF0[[1]:[2]],MatrixF0[[#This Row],[Столбец1]])/MatrixF0[[#This Row],[Столбец1]]</f>
        <v>0</v>
      </c>
    </row>
    <row r="34" spans="1:104" ht="21" customHeight="1" x14ac:dyDescent="0.25">
      <c r="A34" s="127">
        <v>1.31</v>
      </c>
      <c r="B34" s="128">
        <v>1</v>
      </c>
      <c r="C34" s="128">
        <v>1</v>
      </c>
      <c r="D34" s="128">
        <v>1</v>
      </c>
      <c r="E34" s="128">
        <v>1</v>
      </c>
      <c r="F34" s="128">
        <v>1</v>
      </c>
      <c r="G34" s="128">
        <v>1</v>
      </c>
      <c r="H34" s="128">
        <v>1</v>
      </c>
      <c r="I34" s="128">
        <v>1</v>
      </c>
      <c r="J34" s="128">
        <v>1</v>
      </c>
      <c r="K34" s="128">
        <v>1</v>
      </c>
      <c r="L34" s="128">
        <v>1</v>
      </c>
      <c r="M34" s="128">
        <v>1</v>
      </c>
      <c r="N34" s="128">
        <v>1</v>
      </c>
      <c r="O34" s="128">
        <v>1</v>
      </c>
      <c r="P34" s="128">
        <v>1</v>
      </c>
      <c r="Q34" s="128">
        <v>1</v>
      </c>
      <c r="R34" s="128">
        <v>1</v>
      </c>
      <c r="S34" s="128">
        <v>1</v>
      </c>
      <c r="T34" s="128">
        <v>1</v>
      </c>
      <c r="U34" s="128">
        <v>1</v>
      </c>
      <c r="V34" s="128">
        <v>1</v>
      </c>
      <c r="W34" s="128">
        <v>1</v>
      </c>
      <c r="X34" s="128">
        <v>1</v>
      </c>
      <c r="Y34" s="128">
        <v>1</v>
      </c>
      <c r="Z34" s="128">
        <v>1</v>
      </c>
      <c r="AA34" s="128">
        <v>1</v>
      </c>
      <c r="AB34" s="128">
        <v>1</v>
      </c>
      <c r="AC34" s="128">
        <v>1</v>
      </c>
      <c r="AD34" s="128">
        <v>1</v>
      </c>
      <c r="AE34" s="128">
        <v>1</v>
      </c>
      <c r="AF34" s="128">
        <v>1</v>
      </c>
      <c r="AG34" s="128">
        <v>1</v>
      </c>
      <c r="AH34" s="128">
        <v>1</v>
      </c>
      <c r="AI34" s="128">
        <v>1</v>
      </c>
      <c r="AJ34" s="128">
        <v>1</v>
      </c>
      <c r="AK34" s="128">
        <v>1</v>
      </c>
      <c r="AL34" s="128">
        <v>1</v>
      </c>
      <c r="AM34" s="128">
        <v>1</v>
      </c>
      <c r="AN34" s="128">
        <v>1</v>
      </c>
      <c r="AO34" s="128">
        <v>1</v>
      </c>
      <c r="AP34" s="128">
        <v>1</v>
      </c>
      <c r="AQ34" s="128">
        <v>1</v>
      </c>
      <c r="AR34" s="128">
        <v>1</v>
      </c>
      <c r="AS34" s="128">
        <v>1</v>
      </c>
      <c r="AT34" s="128">
        <v>1</v>
      </c>
      <c r="AU34" s="128">
        <v>1</v>
      </c>
      <c r="AV34" s="128">
        <v>1</v>
      </c>
      <c r="AW34" s="128">
        <v>1</v>
      </c>
      <c r="AX34" s="128">
        <v>1</v>
      </c>
      <c r="AY34" s="128">
        <v>1</v>
      </c>
      <c r="AZ34" s="128">
        <v>1</v>
      </c>
      <c r="BA34" s="128">
        <v>1</v>
      </c>
      <c r="BB34" s="128">
        <v>1</v>
      </c>
      <c r="BC34" s="128">
        <v>1</v>
      </c>
      <c r="BD34" s="128">
        <v>1</v>
      </c>
      <c r="BE34" s="128">
        <v>1</v>
      </c>
      <c r="BF34" s="128">
        <v>1</v>
      </c>
      <c r="BG34" s="128">
        <v>1</v>
      </c>
      <c r="BH34" s="128">
        <v>1</v>
      </c>
      <c r="BI34" s="128">
        <v>1</v>
      </c>
      <c r="BJ34" s="128">
        <v>1</v>
      </c>
      <c r="BK34" s="128">
        <v>1</v>
      </c>
      <c r="BL34" s="128">
        <v>1</v>
      </c>
      <c r="BM34" s="128">
        <v>1</v>
      </c>
      <c r="BN34" s="128">
        <v>1</v>
      </c>
      <c r="BO34" s="128">
        <v>1</v>
      </c>
      <c r="BP34" s="128">
        <v>1</v>
      </c>
      <c r="BQ34" s="128">
        <v>1</v>
      </c>
      <c r="BR34" s="128">
        <v>1</v>
      </c>
      <c r="BS34" s="128">
        <v>1</v>
      </c>
      <c r="BT34" s="128">
        <v>1</v>
      </c>
      <c r="BU34" s="128">
        <v>1</v>
      </c>
      <c r="BV34" s="128">
        <v>1</v>
      </c>
      <c r="BW34" s="128">
        <v>1</v>
      </c>
      <c r="BX34" s="128">
        <v>1</v>
      </c>
      <c r="BY34" s="128">
        <v>1</v>
      </c>
      <c r="BZ34" s="128">
        <v>1</v>
      </c>
      <c r="CA34" s="128">
        <v>1</v>
      </c>
      <c r="CB34" s="128">
        <v>1</v>
      </c>
      <c r="CC34" s="128">
        <v>1</v>
      </c>
      <c r="CD34" s="128">
        <v>1</v>
      </c>
      <c r="CE34" s="128">
        <v>1</v>
      </c>
      <c r="CF34" s="128">
        <v>1</v>
      </c>
      <c r="CG34" s="128">
        <v>1</v>
      </c>
      <c r="CH34" s="128">
        <v>1</v>
      </c>
      <c r="CI34" s="128">
        <v>1</v>
      </c>
      <c r="CJ34" s="128">
        <v>1</v>
      </c>
      <c r="CK34" s="128">
        <v>1</v>
      </c>
      <c r="CL34" s="128">
        <v>1</v>
      </c>
      <c r="CM34" s="128">
        <v>1</v>
      </c>
      <c r="CN34" s="128">
        <v>1</v>
      </c>
      <c r="CO34" s="128">
        <v>1</v>
      </c>
      <c r="CP34" s="128">
        <v>1</v>
      </c>
      <c r="CQ34" s="128">
        <v>1</v>
      </c>
      <c r="CR34" s="128">
        <v>1</v>
      </c>
      <c r="CS34" s="128">
        <v>1</v>
      </c>
      <c r="CT34" s="128">
        <v>1</v>
      </c>
      <c r="CU34" s="128">
        <v>1</v>
      </c>
      <c r="CV34" s="128">
        <v>1</v>
      </c>
      <c r="CW34" s="128">
        <v>1</v>
      </c>
      <c r="CX34" s="128">
        <v>1</v>
      </c>
      <c r="CZ34" s="126">
        <f>SUMIF(MatrixF0[[1]:[2]],MatrixF0[[#This Row],[Столбец1]])/MatrixF0[[#This Row],[Столбец1]]</f>
        <v>0</v>
      </c>
    </row>
    <row r="35" spans="1:104" ht="21" customHeight="1" x14ac:dyDescent="0.25">
      <c r="A35" s="127">
        <v>1.32</v>
      </c>
      <c r="B35" s="128">
        <v>1</v>
      </c>
      <c r="C35" s="128">
        <v>1</v>
      </c>
      <c r="D35" s="128">
        <v>1</v>
      </c>
      <c r="E35" s="128">
        <v>1</v>
      </c>
      <c r="F35" s="128">
        <v>1</v>
      </c>
      <c r="G35" s="128">
        <v>1</v>
      </c>
      <c r="H35" s="128">
        <v>1</v>
      </c>
      <c r="I35" s="128">
        <v>1</v>
      </c>
      <c r="J35" s="128">
        <v>1</v>
      </c>
      <c r="K35" s="128">
        <v>1</v>
      </c>
      <c r="L35" s="128">
        <v>1</v>
      </c>
      <c r="M35" s="128">
        <v>1</v>
      </c>
      <c r="N35" s="128">
        <v>1</v>
      </c>
      <c r="O35" s="128">
        <v>1</v>
      </c>
      <c r="P35" s="128">
        <v>1</v>
      </c>
      <c r="Q35" s="128">
        <v>1</v>
      </c>
      <c r="R35" s="128">
        <v>1</v>
      </c>
      <c r="S35" s="128">
        <v>1</v>
      </c>
      <c r="T35" s="128">
        <v>1</v>
      </c>
      <c r="U35" s="128">
        <v>1</v>
      </c>
      <c r="V35" s="128">
        <v>1</v>
      </c>
      <c r="W35" s="128">
        <v>1</v>
      </c>
      <c r="X35" s="128">
        <v>1</v>
      </c>
      <c r="Y35" s="128">
        <v>1</v>
      </c>
      <c r="Z35" s="128">
        <v>1</v>
      </c>
      <c r="AA35" s="128">
        <v>1</v>
      </c>
      <c r="AB35" s="128">
        <v>1</v>
      </c>
      <c r="AC35" s="128">
        <v>1</v>
      </c>
      <c r="AD35" s="128">
        <v>1</v>
      </c>
      <c r="AE35" s="128">
        <v>1</v>
      </c>
      <c r="AF35" s="128">
        <v>1</v>
      </c>
      <c r="AG35" s="128">
        <v>1</v>
      </c>
      <c r="AH35" s="128">
        <v>1</v>
      </c>
      <c r="AI35" s="128">
        <v>1</v>
      </c>
      <c r="AJ35" s="128">
        <v>1</v>
      </c>
      <c r="AK35" s="128">
        <v>1</v>
      </c>
      <c r="AL35" s="128">
        <v>1</v>
      </c>
      <c r="AM35" s="128">
        <v>1</v>
      </c>
      <c r="AN35" s="128">
        <v>1</v>
      </c>
      <c r="AO35" s="128">
        <v>1</v>
      </c>
      <c r="AP35" s="128">
        <v>1</v>
      </c>
      <c r="AQ35" s="128">
        <v>1</v>
      </c>
      <c r="AR35" s="128">
        <v>1</v>
      </c>
      <c r="AS35" s="128">
        <v>1</v>
      </c>
      <c r="AT35" s="128">
        <v>1</v>
      </c>
      <c r="AU35" s="128">
        <v>1</v>
      </c>
      <c r="AV35" s="128">
        <v>1</v>
      </c>
      <c r="AW35" s="128">
        <v>1</v>
      </c>
      <c r="AX35" s="128">
        <v>1</v>
      </c>
      <c r="AY35" s="128">
        <v>1</v>
      </c>
      <c r="AZ35" s="128">
        <v>1</v>
      </c>
      <c r="BA35" s="128">
        <v>1</v>
      </c>
      <c r="BB35" s="128">
        <v>1</v>
      </c>
      <c r="BC35" s="128">
        <v>1</v>
      </c>
      <c r="BD35" s="128">
        <v>1</v>
      </c>
      <c r="BE35" s="128">
        <v>1</v>
      </c>
      <c r="BF35" s="128">
        <v>1</v>
      </c>
      <c r="BG35" s="128">
        <v>1</v>
      </c>
      <c r="BH35" s="128">
        <v>1</v>
      </c>
      <c r="BI35" s="128">
        <v>1</v>
      </c>
      <c r="BJ35" s="128">
        <v>1</v>
      </c>
      <c r="BK35" s="128">
        <v>1</v>
      </c>
      <c r="BL35" s="128">
        <v>1</v>
      </c>
      <c r="BM35" s="128">
        <v>1</v>
      </c>
      <c r="BN35" s="128">
        <v>1</v>
      </c>
      <c r="BO35" s="128">
        <v>1</v>
      </c>
      <c r="BP35" s="128">
        <v>1</v>
      </c>
      <c r="BQ35" s="128">
        <v>1</v>
      </c>
      <c r="BR35" s="128">
        <v>1</v>
      </c>
      <c r="BS35" s="128">
        <v>1</v>
      </c>
      <c r="BT35" s="128">
        <v>1</v>
      </c>
      <c r="BU35" s="128">
        <v>1</v>
      </c>
      <c r="BV35" s="128">
        <v>1</v>
      </c>
      <c r="BW35" s="128">
        <v>1</v>
      </c>
      <c r="BX35" s="128">
        <v>1</v>
      </c>
      <c r="BY35" s="128">
        <v>1</v>
      </c>
      <c r="BZ35" s="128">
        <v>1</v>
      </c>
      <c r="CA35" s="128">
        <v>1</v>
      </c>
      <c r="CB35" s="128">
        <v>1</v>
      </c>
      <c r="CC35" s="128">
        <v>1</v>
      </c>
      <c r="CD35" s="128">
        <v>1</v>
      </c>
      <c r="CE35" s="128">
        <v>1</v>
      </c>
      <c r="CF35" s="128">
        <v>1</v>
      </c>
      <c r="CG35" s="128">
        <v>1</v>
      </c>
      <c r="CH35" s="128">
        <v>1</v>
      </c>
      <c r="CI35" s="128">
        <v>1</v>
      </c>
      <c r="CJ35" s="128">
        <v>1</v>
      </c>
      <c r="CK35" s="128">
        <v>1</v>
      </c>
      <c r="CL35" s="128">
        <v>1</v>
      </c>
      <c r="CM35" s="128">
        <v>1</v>
      </c>
      <c r="CN35" s="128">
        <v>1</v>
      </c>
      <c r="CO35" s="128">
        <v>1</v>
      </c>
      <c r="CP35" s="128">
        <v>1</v>
      </c>
      <c r="CQ35" s="128">
        <v>1</v>
      </c>
      <c r="CR35" s="128">
        <v>1</v>
      </c>
      <c r="CS35" s="128">
        <v>1</v>
      </c>
      <c r="CT35" s="128">
        <v>1</v>
      </c>
      <c r="CU35" s="128">
        <v>1</v>
      </c>
      <c r="CV35" s="128">
        <v>1</v>
      </c>
      <c r="CW35" s="128">
        <v>1</v>
      </c>
      <c r="CX35" s="128">
        <v>1</v>
      </c>
      <c r="CZ35" s="126">
        <f>SUMIF(MatrixF0[[1]:[2]],MatrixF0[[#This Row],[Столбец1]])/MatrixF0[[#This Row],[Столбец1]]</f>
        <v>0</v>
      </c>
    </row>
    <row r="36" spans="1:104" ht="21" customHeight="1" x14ac:dyDescent="0.25">
      <c r="A36" s="127">
        <v>1.33</v>
      </c>
      <c r="B36" s="128">
        <v>1</v>
      </c>
      <c r="C36" s="128">
        <v>1</v>
      </c>
      <c r="D36" s="128">
        <v>1</v>
      </c>
      <c r="E36" s="128">
        <v>1</v>
      </c>
      <c r="F36" s="128">
        <v>1</v>
      </c>
      <c r="G36" s="128">
        <v>1</v>
      </c>
      <c r="H36" s="128">
        <v>1</v>
      </c>
      <c r="I36" s="128">
        <v>1</v>
      </c>
      <c r="J36" s="128">
        <v>1</v>
      </c>
      <c r="K36" s="128">
        <v>1</v>
      </c>
      <c r="L36" s="128">
        <v>1</v>
      </c>
      <c r="M36" s="128">
        <v>1</v>
      </c>
      <c r="N36" s="128">
        <v>1</v>
      </c>
      <c r="O36" s="128">
        <v>1</v>
      </c>
      <c r="P36" s="128">
        <v>1</v>
      </c>
      <c r="Q36" s="128">
        <v>1</v>
      </c>
      <c r="R36" s="128">
        <v>1</v>
      </c>
      <c r="S36" s="128">
        <v>1</v>
      </c>
      <c r="T36" s="128">
        <v>1</v>
      </c>
      <c r="U36" s="128">
        <v>1</v>
      </c>
      <c r="V36" s="128">
        <v>1</v>
      </c>
      <c r="W36" s="128">
        <v>1</v>
      </c>
      <c r="X36" s="128">
        <v>1</v>
      </c>
      <c r="Y36" s="128">
        <v>1</v>
      </c>
      <c r="Z36" s="128">
        <v>1</v>
      </c>
      <c r="AA36" s="128">
        <v>1</v>
      </c>
      <c r="AB36" s="128">
        <v>1</v>
      </c>
      <c r="AC36" s="128">
        <v>1</v>
      </c>
      <c r="AD36" s="128">
        <v>1</v>
      </c>
      <c r="AE36" s="128">
        <v>1</v>
      </c>
      <c r="AF36" s="128">
        <v>1</v>
      </c>
      <c r="AG36" s="128">
        <v>1</v>
      </c>
      <c r="AH36" s="128">
        <v>1</v>
      </c>
      <c r="AI36" s="128">
        <v>1</v>
      </c>
      <c r="AJ36" s="128">
        <v>1</v>
      </c>
      <c r="AK36" s="128">
        <v>1</v>
      </c>
      <c r="AL36" s="128">
        <v>1</v>
      </c>
      <c r="AM36" s="128">
        <v>1</v>
      </c>
      <c r="AN36" s="128">
        <v>1</v>
      </c>
      <c r="AO36" s="128">
        <v>1</v>
      </c>
      <c r="AP36" s="128">
        <v>1</v>
      </c>
      <c r="AQ36" s="128">
        <v>1</v>
      </c>
      <c r="AR36" s="128">
        <v>1</v>
      </c>
      <c r="AS36" s="128">
        <v>1</v>
      </c>
      <c r="AT36" s="128">
        <v>1</v>
      </c>
      <c r="AU36" s="128">
        <v>1</v>
      </c>
      <c r="AV36" s="128">
        <v>1</v>
      </c>
      <c r="AW36" s="128">
        <v>1</v>
      </c>
      <c r="AX36" s="128">
        <v>1</v>
      </c>
      <c r="AY36" s="128">
        <v>1</v>
      </c>
      <c r="AZ36" s="128">
        <v>1</v>
      </c>
      <c r="BA36" s="128">
        <v>1</v>
      </c>
      <c r="BB36" s="128">
        <v>1</v>
      </c>
      <c r="BC36" s="128">
        <v>1</v>
      </c>
      <c r="BD36" s="128">
        <v>1</v>
      </c>
      <c r="BE36" s="128">
        <v>1</v>
      </c>
      <c r="BF36" s="128">
        <v>1</v>
      </c>
      <c r="BG36" s="128">
        <v>1</v>
      </c>
      <c r="BH36" s="128">
        <v>1</v>
      </c>
      <c r="BI36" s="128">
        <v>1</v>
      </c>
      <c r="BJ36" s="128">
        <v>1</v>
      </c>
      <c r="BK36" s="128">
        <v>1</v>
      </c>
      <c r="BL36" s="128">
        <v>1</v>
      </c>
      <c r="BM36" s="128">
        <v>1</v>
      </c>
      <c r="BN36" s="128">
        <v>1</v>
      </c>
      <c r="BO36" s="128">
        <v>1</v>
      </c>
      <c r="BP36" s="128">
        <v>1</v>
      </c>
      <c r="BQ36" s="128">
        <v>1</v>
      </c>
      <c r="BR36" s="128">
        <v>1</v>
      </c>
      <c r="BS36" s="128">
        <v>1</v>
      </c>
      <c r="BT36" s="128">
        <v>1</v>
      </c>
      <c r="BU36" s="128">
        <v>1</v>
      </c>
      <c r="BV36" s="128">
        <v>1</v>
      </c>
      <c r="BW36" s="128">
        <v>1</v>
      </c>
      <c r="BX36" s="128">
        <v>1</v>
      </c>
      <c r="BY36" s="128">
        <v>1</v>
      </c>
      <c r="BZ36" s="128">
        <v>1</v>
      </c>
      <c r="CA36" s="128">
        <v>1</v>
      </c>
      <c r="CB36" s="128">
        <v>1</v>
      </c>
      <c r="CC36" s="128">
        <v>1</v>
      </c>
      <c r="CD36" s="128">
        <v>1</v>
      </c>
      <c r="CE36" s="128">
        <v>1</v>
      </c>
      <c r="CF36" s="128">
        <v>1</v>
      </c>
      <c r="CG36" s="128">
        <v>1</v>
      </c>
      <c r="CH36" s="128">
        <v>1</v>
      </c>
      <c r="CI36" s="128">
        <v>1</v>
      </c>
      <c r="CJ36" s="128">
        <v>1</v>
      </c>
      <c r="CK36" s="128">
        <v>1</v>
      </c>
      <c r="CL36" s="128">
        <v>1</v>
      </c>
      <c r="CM36" s="128">
        <v>1</v>
      </c>
      <c r="CN36" s="128">
        <v>1</v>
      </c>
      <c r="CO36" s="128">
        <v>1</v>
      </c>
      <c r="CP36" s="128">
        <v>1</v>
      </c>
      <c r="CQ36" s="128">
        <v>1</v>
      </c>
      <c r="CR36" s="128">
        <v>1</v>
      </c>
      <c r="CS36" s="128">
        <v>1</v>
      </c>
      <c r="CT36" s="128">
        <v>1</v>
      </c>
      <c r="CU36" s="128">
        <v>1</v>
      </c>
      <c r="CV36" s="128">
        <v>1</v>
      </c>
      <c r="CW36" s="128">
        <v>1</v>
      </c>
      <c r="CX36" s="128">
        <v>1</v>
      </c>
      <c r="CZ36" s="126">
        <f>SUMIF(MatrixF0[[1]:[2]],MatrixF0[[#This Row],[Столбец1]])/MatrixF0[[#This Row],[Столбец1]]</f>
        <v>0</v>
      </c>
    </row>
    <row r="37" spans="1:104" ht="21" customHeight="1" x14ac:dyDescent="0.25">
      <c r="A37" s="127">
        <v>1.34</v>
      </c>
      <c r="B37" s="128">
        <v>1</v>
      </c>
      <c r="C37" s="128">
        <v>1</v>
      </c>
      <c r="D37" s="128">
        <v>1</v>
      </c>
      <c r="E37" s="128">
        <v>1</v>
      </c>
      <c r="F37" s="128">
        <v>1</v>
      </c>
      <c r="G37" s="128">
        <v>1</v>
      </c>
      <c r="H37" s="128">
        <v>1</v>
      </c>
      <c r="I37" s="128">
        <v>1</v>
      </c>
      <c r="J37" s="128">
        <v>1</v>
      </c>
      <c r="K37" s="128">
        <v>1</v>
      </c>
      <c r="L37" s="128">
        <v>1</v>
      </c>
      <c r="M37" s="128">
        <v>1</v>
      </c>
      <c r="N37" s="128">
        <v>1</v>
      </c>
      <c r="O37" s="128">
        <v>1</v>
      </c>
      <c r="P37" s="128">
        <v>1</v>
      </c>
      <c r="Q37" s="128">
        <v>1</v>
      </c>
      <c r="R37" s="128">
        <v>1</v>
      </c>
      <c r="S37" s="128">
        <v>1</v>
      </c>
      <c r="T37" s="128">
        <v>1</v>
      </c>
      <c r="U37" s="128">
        <v>1</v>
      </c>
      <c r="V37" s="128">
        <v>1</v>
      </c>
      <c r="W37" s="128">
        <v>1</v>
      </c>
      <c r="X37" s="128">
        <v>1</v>
      </c>
      <c r="Y37" s="128">
        <v>1</v>
      </c>
      <c r="Z37" s="128">
        <v>1</v>
      </c>
      <c r="AA37" s="128">
        <v>1</v>
      </c>
      <c r="AB37" s="128">
        <v>1</v>
      </c>
      <c r="AC37" s="128">
        <v>1</v>
      </c>
      <c r="AD37" s="128">
        <v>1</v>
      </c>
      <c r="AE37" s="128">
        <v>1</v>
      </c>
      <c r="AF37" s="128">
        <v>1</v>
      </c>
      <c r="AG37" s="128">
        <v>1</v>
      </c>
      <c r="AH37" s="128">
        <v>1</v>
      </c>
      <c r="AI37" s="128">
        <v>1</v>
      </c>
      <c r="AJ37" s="128">
        <v>1</v>
      </c>
      <c r="AK37" s="128">
        <v>1</v>
      </c>
      <c r="AL37" s="128">
        <v>1</v>
      </c>
      <c r="AM37" s="128">
        <v>1</v>
      </c>
      <c r="AN37" s="128">
        <v>1</v>
      </c>
      <c r="AO37" s="128">
        <v>1</v>
      </c>
      <c r="AP37" s="128">
        <v>1</v>
      </c>
      <c r="AQ37" s="128">
        <v>1</v>
      </c>
      <c r="AR37" s="128">
        <v>1</v>
      </c>
      <c r="AS37" s="128">
        <v>1</v>
      </c>
      <c r="AT37" s="128">
        <v>1</v>
      </c>
      <c r="AU37" s="128">
        <v>1</v>
      </c>
      <c r="AV37" s="128">
        <v>1</v>
      </c>
      <c r="AW37" s="128">
        <v>1</v>
      </c>
      <c r="AX37" s="128">
        <v>1</v>
      </c>
      <c r="AY37" s="128">
        <v>1</v>
      </c>
      <c r="AZ37" s="128">
        <v>1</v>
      </c>
      <c r="BA37" s="128">
        <v>1</v>
      </c>
      <c r="BB37" s="128">
        <v>1</v>
      </c>
      <c r="BC37" s="128">
        <v>1</v>
      </c>
      <c r="BD37" s="128">
        <v>1</v>
      </c>
      <c r="BE37" s="128">
        <v>1</v>
      </c>
      <c r="BF37" s="128">
        <v>1</v>
      </c>
      <c r="BG37" s="128">
        <v>1</v>
      </c>
      <c r="BH37" s="128">
        <v>1</v>
      </c>
      <c r="BI37" s="128">
        <v>1</v>
      </c>
      <c r="BJ37" s="128">
        <v>1</v>
      </c>
      <c r="BK37" s="128">
        <v>1</v>
      </c>
      <c r="BL37" s="128">
        <v>1</v>
      </c>
      <c r="BM37" s="128">
        <v>1</v>
      </c>
      <c r="BN37" s="128">
        <v>1</v>
      </c>
      <c r="BO37" s="128">
        <v>1</v>
      </c>
      <c r="BP37" s="128">
        <v>1</v>
      </c>
      <c r="BQ37" s="128">
        <v>1</v>
      </c>
      <c r="BR37" s="128">
        <v>1</v>
      </c>
      <c r="BS37" s="128">
        <v>1</v>
      </c>
      <c r="BT37" s="128">
        <v>1</v>
      </c>
      <c r="BU37" s="128">
        <v>1</v>
      </c>
      <c r="BV37" s="128">
        <v>1</v>
      </c>
      <c r="BW37" s="128">
        <v>1</v>
      </c>
      <c r="BX37" s="128">
        <v>1</v>
      </c>
      <c r="BY37" s="128">
        <v>1</v>
      </c>
      <c r="BZ37" s="128">
        <v>1</v>
      </c>
      <c r="CA37" s="128">
        <v>1</v>
      </c>
      <c r="CB37" s="128">
        <v>1</v>
      </c>
      <c r="CC37" s="128">
        <v>1</v>
      </c>
      <c r="CD37" s="128">
        <v>1</v>
      </c>
      <c r="CE37" s="128">
        <v>1</v>
      </c>
      <c r="CF37" s="128">
        <v>1</v>
      </c>
      <c r="CG37" s="128">
        <v>1</v>
      </c>
      <c r="CH37" s="128">
        <v>1</v>
      </c>
      <c r="CI37" s="128">
        <v>1</v>
      </c>
      <c r="CJ37" s="128">
        <v>1</v>
      </c>
      <c r="CK37" s="128">
        <v>1</v>
      </c>
      <c r="CL37" s="128">
        <v>1</v>
      </c>
      <c r="CM37" s="128">
        <v>1</v>
      </c>
      <c r="CN37" s="128">
        <v>1</v>
      </c>
      <c r="CO37" s="128">
        <v>1</v>
      </c>
      <c r="CP37" s="128">
        <v>1</v>
      </c>
      <c r="CQ37" s="128">
        <v>1</v>
      </c>
      <c r="CR37" s="128">
        <v>1</v>
      </c>
      <c r="CS37" s="128">
        <v>1</v>
      </c>
      <c r="CT37" s="128">
        <v>1</v>
      </c>
      <c r="CU37" s="128">
        <v>1</v>
      </c>
      <c r="CV37" s="128">
        <v>1</v>
      </c>
      <c r="CW37" s="128">
        <v>1</v>
      </c>
      <c r="CX37" s="128">
        <v>1</v>
      </c>
      <c r="CZ37" s="126">
        <f>SUMIF(MatrixF0[[1]:[2]],MatrixF0[[#This Row],[Столбец1]])/MatrixF0[[#This Row],[Столбец1]]</f>
        <v>0</v>
      </c>
    </row>
    <row r="38" spans="1:104" ht="21" customHeight="1" x14ac:dyDescent="0.25">
      <c r="A38" s="127">
        <v>1.35</v>
      </c>
      <c r="B38" s="128">
        <v>1</v>
      </c>
      <c r="C38" s="128">
        <v>1</v>
      </c>
      <c r="D38" s="128">
        <v>1</v>
      </c>
      <c r="E38" s="128">
        <v>1</v>
      </c>
      <c r="F38" s="128">
        <v>1</v>
      </c>
      <c r="G38" s="128">
        <v>1</v>
      </c>
      <c r="H38" s="128">
        <v>1</v>
      </c>
      <c r="I38" s="128">
        <v>1</v>
      </c>
      <c r="J38" s="128">
        <v>1</v>
      </c>
      <c r="K38" s="128">
        <v>1</v>
      </c>
      <c r="L38" s="128">
        <v>1</v>
      </c>
      <c r="M38" s="128">
        <v>1</v>
      </c>
      <c r="N38" s="128">
        <v>1</v>
      </c>
      <c r="O38" s="128">
        <v>1</v>
      </c>
      <c r="P38" s="128">
        <v>1</v>
      </c>
      <c r="Q38" s="128">
        <v>1</v>
      </c>
      <c r="R38" s="128">
        <v>1</v>
      </c>
      <c r="S38" s="128">
        <v>1</v>
      </c>
      <c r="T38" s="128">
        <v>1</v>
      </c>
      <c r="U38" s="128">
        <v>1</v>
      </c>
      <c r="V38" s="128">
        <v>1</v>
      </c>
      <c r="W38" s="128">
        <v>1</v>
      </c>
      <c r="X38" s="128">
        <v>1</v>
      </c>
      <c r="Y38" s="128">
        <v>1</v>
      </c>
      <c r="Z38" s="128">
        <v>1</v>
      </c>
      <c r="AA38" s="128">
        <v>1</v>
      </c>
      <c r="AB38" s="128">
        <v>1</v>
      </c>
      <c r="AC38" s="128">
        <v>1</v>
      </c>
      <c r="AD38" s="128">
        <v>1</v>
      </c>
      <c r="AE38" s="128">
        <v>1</v>
      </c>
      <c r="AF38" s="128">
        <v>1</v>
      </c>
      <c r="AG38" s="128">
        <v>1</v>
      </c>
      <c r="AH38" s="128">
        <v>1</v>
      </c>
      <c r="AI38" s="128">
        <v>1</v>
      </c>
      <c r="AJ38" s="128">
        <v>1</v>
      </c>
      <c r="AK38" s="128">
        <v>1</v>
      </c>
      <c r="AL38" s="128">
        <v>1</v>
      </c>
      <c r="AM38" s="128">
        <v>1</v>
      </c>
      <c r="AN38" s="128">
        <v>1</v>
      </c>
      <c r="AO38" s="128">
        <v>1</v>
      </c>
      <c r="AP38" s="128">
        <v>1</v>
      </c>
      <c r="AQ38" s="128">
        <v>1</v>
      </c>
      <c r="AR38" s="128">
        <v>1</v>
      </c>
      <c r="AS38" s="128">
        <v>1</v>
      </c>
      <c r="AT38" s="128">
        <v>1</v>
      </c>
      <c r="AU38" s="128">
        <v>1</v>
      </c>
      <c r="AV38" s="128">
        <v>1</v>
      </c>
      <c r="AW38" s="128">
        <v>1</v>
      </c>
      <c r="AX38" s="128">
        <v>1</v>
      </c>
      <c r="AY38" s="128">
        <v>1</v>
      </c>
      <c r="AZ38" s="128">
        <v>1</v>
      </c>
      <c r="BA38" s="128">
        <v>1</v>
      </c>
      <c r="BB38" s="128">
        <v>1</v>
      </c>
      <c r="BC38" s="128">
        <v>1</v>
      </c>
      <c r="BD38" s="128">
        <v>1</v>
      </c>
      <c r="BE38" s="128">
        <v>1</v>
      </c>
      <c r="BF38" s="128">
        <v>1</v>
      </c>
      <c r="BG38" s="128">
        <v>1</v>
      </c>
      <c r="BH38" s="128">
        <v>1</v>
      </c>
      <c r="BI38" s="128">
        <v>1</v>
      </c>
      <c r="BJ38" s="128">
        <v>1</v>
      </c>
      <c r="BK38" s="128">
        <v>1</v>
      </c>
      <c r="BL38" s="128">
        <v>1</v>
      </c>
      <c r="BM38" s="128">
        <v>1</v>
      </c>
      <c r="BN38" s="128">
        <v>1</v>
      </c>
      <c r="BO38" s="128">
        <v>1</v>
      </c>
      <c r="BP38" s="128">
        <v>1</v>
      </c>
      <c r="BQ38" s="128">
        <v>1</v>
      </c>
      <c r="BR38" s="128">
        <v>1</v>
      </c>
      <c r="BS38" s="128">
        <v>1</v>
      </c>
      <c r="BT38" s="128">
        <v>1</v>
      </c>
      <c r="BU38" s="128">
        <v>1</v>
      </c>
      <c r="BV38" s="128">
        <v>1</v>
      </c>
      <c r="BW38" s="128">
        <v>1</v>
      </c>
      <c r="BX38" s="128">
        <v>1</v>
      </c>
      <c r="BY38" s="128">
        <v>1</v>
      </c>
      <c r="BZ38" s="128">
        <v>1</v>
      </c>
      <c r="CA38" s="128">
        <v>1</v>
      </c>
      <c r="CB38" s="128">
        <v>1</v>
      </c>
      <c r="CC38" s="128">
        <v>1</v>
      </c>
      <c r="CD38" s="128">
        <v>1</v>
      </c>
      <c r="CE38" s="128">
        <v>1</v>
      </c>
      <c r="CF38" s="128">
        <v>1</v>
      </c>
      <c r="CG38" s="128">
        <v>1</v>
      </c>
      <c r="CH38" s="128">
        <v>1</v>
      </c>
      <c r="CI38" s="128">
        <v>1</v>
      </c>
      <c r="CJ38" s="128">
        <v>1</v>
      </c>
      <c r="CK38" s="128">
        <v>1</v>
      </c>
      <c r="CL38" s="128">
        <v>1</v>
      </c>
      <c r="CM38" s="128">
        <v>1</v>
      </c>
      <c r="CN38" s="128">
        <v>1</v>
      </c>
      <c r="CO38" s="128">
        <v>1</v>
      </c>
      <c r="CP38" s="128">
        <v>1</v>
      </c>
      <c r="CQ38" s="128">
        <v>1</v>
      </c>
      <c r="CR38" s="128">
        <v>1</v>
      </c>
      <c r="CS38" s="128">
        <v>1</v>
      </c>
      <c r="CT38" s="128">
        <v>1</v>
      </c>
      <c r="CU38" s="128">
        <v>1</v>
      </c>
      <c r="CV38" s="128">
        <v>1</v>
      </c>
      <c r="CW38" s="128">
        <v>1</v>
      </c>
      <c r="CX38" s="128">
        <v>1</v>
      </c>
      <c r="CZ38" s="126">
        <f>SUMIF(MatrixF0[[1]:[2]],MatrixF0[[#This Row],[Столбец1]])/MatrixF0[[#This Row],[Столбец1]]</f>
        <v>0</v>
      </c>
    </row>
    <row r="39" spans="1:104" ht="21" customHeight="1" x14ac:dyDescent="0.25">
      <c r="A39" s="127">
        <v>1.36</v>
      </c>
      <c r="B39" s="128">
        <v>1</v>
      </c>
      <c r="C39" s="128">
        <v>1</v>
      </c>
      <c r="D39" s="128">
        <v>1</v>
      </c>
      <c r="E39" s="128">
        <v>1</v>
      </c>
      <c r="F39" s="128">
        <v>1</v>
      </c>
      <c r="G39" s="128">
        <v>1</v>
      </c>
      <c r="H39" s="128">
        <v>1</v>
      </c>
      <c r="I39" s="128">
        <v>1</v>
      </c>
      <c r="J39" s="128">
        <v>1</v>
      </c>
      <c r="K39" s="128">
        <v>1</v>
      </c>
      <c r="L39" s="128">
        <v>1</v>
      </c>
      <c r="M39" s="128">
        <v>1</v>
      </c>
      <c r="N39" s="128">
        <v>1</v>
      </c>
      <c r="O39" s="128">
        <v>1</v>
      </c>
      <c r="P39" s="128">
        <v>1</v>
      </c>
      <c r="Q39" s="128">
        <v>1</v>
      </c>
      <c r="R39" s="128">
        <v>1</v>
      </c>
      <c r="S39" s="128">
        <v>1</v>
      </c>
      <c r="T39" s="128">
        <v>1</v>
      </c>
      <c r="U39" s="128">
        <v>1</v>
      </c>
      <c r="V39" s="128">
        <v>1</v>
      </c>
      <c r="W39" s="128">
        <v>1</v>
      </c>
      <c r="X39" s="128">
        <v>1</v>
      </c>
      <c r="Y39" s="128">
        <v>1</v>
      </c>
      <c r="Z39" s="128">
        <v>1</v>
      </c>
      <c r="AA39" s="128">
        <v>1</v>
      </c>
      <c r="AB39" s="128">
        <v>1</v>
      </c>
      <c r="AC39" s="128">
        <v>1</v>
      </c>
      <c r="AD39" s="128">
        <v>1</v>
      </c>
      <c r="AE39" s="128">
        <v>1</v>
      </c>
      <c r="AF39" s="128">
        <v>1</v>
      </c>
      <c r="AG39" s="128">
        <v>1</v>
      </c>
      <c r="AH39" s="128">
        <v>1</v>
      </c>
      <c r="AI39" s="128">
        <v>1</v>
      </c>
      <c r="AJ39" s="128">
        <v>1</v>
      </c>
      <c r="AK39" s="128">
        <v>1</v>
      </c>
      <c r="AL39" s="128">
        <v>1</v>
      </c>
      <c r="AM39" s="128">
        <v>1</v>
      </c>
      <c r="AN39" s="128">
        <v>1</v>
      </c>
      <c r="AO39" s="128">
        <v>1</v>
      </c>
      <c r="AP39" s="128">
        <v>1</v>
      </c>
      <c r="AQ39" s="128">
        <v>1</v>
      </c>
      <c r="AR39" s="128">
        <v>1</v>
      </c>
      <c r="AS39" s="128">
        <v>1</v>
      </c>
      <c r="AT39" s="128">
        <v>1</v>
      </c>
      <c r="AU39" s="128">
        <v>1</v>
      </c>
      <c r="AV39" s="128">
        <v>1</v>
      </c>
      <c r="AW39" s="128">
        <v>1</v>
      </c>
      <c r="AX39" s="128">
        <v>1</v>
      </c>
      <c r="AY39" s="128">
        <v>1</v>
      </c>
      <c r="AZ39" s="128">
        <v>1</v>
      </c>
      <c r="BA39" s="128">
        <v>1</v>
      </c>
      <c r="BB39" s="128">
        <v>1</v>
      </c>
      <c r="BC39" s="128">
        <v>1</v>
      </c>
      <c r="BD39" s="128">
        <v>1</v>
      </c>
      <c r="BE39" s="128">
        <v>1</v>
      </c>
      <c r="BF39" s="128">
        <v>1</v>
      </c>
      <c r="BG39" s="128">
        <v>1</v>
      </c>
      <c r="BH39" s="128">
        <v>1</v>
      </c>
      <c r="BI39" s="128">
        <v>1</v>
      </c>
      <c r="BJ39" s="128">
        <v>1</v>
      </c>
      <c r="BK39" s="128">
        <v>1</v>
      </c>
      <c r="BL39" s="128">
        <v>1</v>
      </c>
      <c r="BM39" s="128">
        <v>1</v>
      </c>
      <c r="BN39" s="128">
        <v>1</v>
      </c>
      <c r="BO39" s="128">
        <v>1</v>
      </c>
      <c r="BP39" s="128">
        <v>1</v>
      </c>
      <c r="BQ39" s="128">
        <v>1</v>
      </c>
      <c r="BR39" s="128">
        <v>1</v>
      </c>
      <c r="BS39" s="128">
        <v>1</v>
      </c>
      <c r="BT39" s="128">
        <v>1</v>
      </c>
      <c r="BU39" s="128">
        <v>1</v>
      </c>
      <c r="BV39" s="128">
        <v>1</v>
      </c>
      <c r="BW39" s="128">
        <v>1</v>
      </c>
      <c r="BX39" s="128">
        <v>1</v>
      </c>
      <c r="BY39" s="128">
        <v>1</v>
      </c>
      <c r="BZ39" s="128">
        <v>1</v>
      </c>
      <c r="CA39" s="128">
        <v>1</v>
      </c>
      <c r="CB39" s="128">
        <v>1</v>
      </c>
      <c r="CC39" s="128">
        <v>1</v>
      </c>
      <c r="CD39" s="128">
        <v>1</v>
      </c>
      <c r="CE39" s="128">
        <v>1</v>
      </c>
      <c r="CF39" s="128">
        <v>1</v>
      </c>
      <c r="CG39" s="128">
        <v>1</v>
      </c>
      <c r="CH39" s="128">
        <v>1</v>
      </c>
      <c r="CI39" s="128">
        <v>1</v>
      </c>
      <c r="CJ39" s="128">
        <v>1</v>
      </c>
      <c r="CK39" s="128">
        <v>1</v>
      </c>
      <c r="CL39" s="128">
        <v>1</v>
      </c>
      <c r="CM39" s="128">
        <v>1</v>
      </c>
      <c r="CN39" s="128">
        <v>1</v>
      </c>
      <c r="CO39" s="128">
        <v>1</v>
      </c>
      <c r="CP39" s="128">
        <v>1</v>
      </c>
      <c r="CQ39" s="128">
        <v>1</v>
      </c>
      <c r="CR39" s="128">
        <v>1</v>
      </c>
      <c r="CS39" s="128">
        <v>1</v>
      </c>
      <c r="CT39" s="128">
        <v>1</v>
      </c>
      <c r="CU39" s="128">
        <v>1</v>
      </c>
      <c r="CV39" s="128">
        <v>1</v>
      </c>
      <c r="CW39" s="128">
        <v>1</v>
      </c>
      <c r="CX39" s="128">
        <v>1</v>
      </c>
      <c r="CZ39" s="126">
        <f>SUMIF(MatrixF0[[1]:[2]],MatrixF0[[#This Row],[Столбец1]])/MatrixF0[[#This Row],[Столбец1]]</f>
        <v>0</v>
      </c>
    </row>
    <row r="40" spans="1:104" ht="21" customHeight="1" x14ac:dyDescent="0.25">
      <c r="A40" s="127">
        <v>1.37</v>
      </c>
      <c r="B40" s="128">
        <v>1</v>
      </c>
      <c r="C40" s="128">
        <v>1</v>
      </c>
      <c r="D40" s="128">
        <v>1</v>
      </c>
      <c r="E40" s="128">
        <v>1</v>
      </c>
      <c r="F40" s="128">
        <v>1</v>
      </c>
      <c r="G40" s="128">
        <v>1</v>
      </c>
      <c r="H40" s="128">
        <v>1</v>
      </c>
      <c r="I40" s="128">
        <v>1</v>
      </c>
      <c r="J40" s="128">
        <v>1</v>
      </c>
      <c r="K40" s="128">
        <v>1</v>
      </c>
      <c r="L40" s="128">
        <v>1</v>
      </c>
      <c r="M40" s="128">
        <v>1</v>
      </c>
      <c r="N40" s="128">
        <v>1</v>
      </c>
      <c r="O40" s="128">
        <v>1</v>
      </c>
      <c r="P40" s="128">
        <v>1</v>
      </c>
      <c r="Q40" s="128">
        <v>1</v>
      </c>
      <c r="R40" s="128">
        <v>1</v>
      </c>
      <c r="S40" s="128">
        <v>1</v>
      </c>
      <c r="T40" s="128">
        <v>1</v>
      </c>
      <c r="U40" s="128">
        <v>1</v>
      </c>
      <c r="V40" s="128">
        <v>1</v>
      </c>
      <c r="W40" s="128">
        <v>1</v>
      </c>
      <c r="X40" s="128">
        <v>1</v>
      </c>
      <c r="Y40" s="128">
        <v>1</v>
      </c>
      <c r="Z40" s="128">
        <v>1</v>
      </c>
      <c r="AA40" s="128">
        <v>1</v>
      </c>
      <c r="AB40" s="128">
        <v>1</v>
      </c>
      <c r="AC40" s="128">
        <v>1</v>
      </c>
      <c r="AD40" s="128">
        <v>1</v>
      </c>
      <c r="AE40" s="128">
        <v>1</v>
      </c>
      <c r="AF40" s="128">
        <v>1</v>
      </c>
      <c r="AG40" s="128">
        <v>1</v>
      </c>
      <c r="AH40" s="128">
        <v>1</v>
      </c>
      <c r="AI40" s="128">
        <v>1</v>
      </c>
      <c r="AJ40" s="128">
        <v>1</v>
      </c>
      <c r="AK40" s="128">
        <v>1</v>
      </c>
      <c r="AL40" s="128">
        <v>1</v>
      </c>
      <c r="AM40" s="128">
        <v>1</v>
      </c>
      <c r="AN40" s="128">
        <v>1</v>
      </c>
      <c r="AO40" s="128">
        <v>1</v>
      </c>
      <c r="AP40" s="128">
        <v>1</v>
      </c>
      <c r="AQ40" s="128">
        <v>1</v>
      </c>
      <c r="AR40" s="128">
        <v>1</v>
      </c>
      <c r="AS40" s="128">
        <v>1</v>
      </c>
      <c r="AT40" s="128">
        <v>1</v>
      </c>
      <c r="AU40" s="128">
        <v>1</v>
      </c>
      <c r="AV40" s="128">
        <v>1</v>
      </c>
      <c r="AW40" s="128">
        <v>1</v>
      </c>
      <c r="AX40" s="128">
        <v>1</v>
      </c>
      <c r="AY40" s="128">
        <v>1</v>
      </c>
      <c r="AZ40" s="128">
        <v>1</v>
      </c>
      <c r="BA40" s="128">
        <v>1</v>
      </c>
      <c r="BB40" s="128">
        <v>1</v>
      </c>
      <c r="BC40" s="128">
        <v>1</v>
      </c>
      <c r="BD40" s="128">
        <v>1</v>
      </c>
      <c r="BE40" s="128">
        <v>1</v>
      </c>
      <c r="BF40" s="128">
        <v>1</v>
      </c>
      <c r="BG40" s="128">
        <v>1</v>
      </c>
      <c r="BH40" s="128">
        <v>1</v>
      </c>
      <c r="BI40" s="128">
        <v>1</v>
      </c>
      <c r="BJ40" s="128">
        <v>1</v>
      </c>
      <c r="BK40" s="128">
        <v>1</v>
      </c>
      <c r="BL40" s="128">
        <v>1</v>
      </c>
      <c r="BM40" s="128">
        <v>1</v>
      </c>
      <c r="BN40" s="128">
        <v>1</v>
      </c>
      <c r="BO40" s="128">
        <v>1</v>
      </c>
      <c r="BP40" s="128">
        <v>1</v>
      </c>
      <c r="BQ40" s="128">
        <v>1</v>
      </c>
      <c r="BR40" s="128">
        <v>1</v>
      </c>
      <c r="BS40" s="128">
        <v>1</v>
      </c>
      <c r="BT40" s="128">
        <v>1</v>
      </c>
      <c r="BU40" s="128">
        <v>1</v>
      </c>
      <c r="BV40" s="128">
        <v>1</v>
      </c>
      <c r="BW40" s="128">
        <v>1</v>
      </c>
      <c r="BX40" s="128">
        <v>1</v>
      </c>
      <c r="BY40" s="128">
        <v>1</v>
      </c>
      <c r="BZ40" s="128">
        <v>1</v>
      </c>
      <c r="CA40" s="128">
        <v>1</v>
      </c>
      <c r="CB40" s="128">
        <v>1</v>
      </c>
      <c r="CC40" s="128">
        <v>1</v>
      </c>
      <c r="CD40" s="128">
        <v>1</v>
      </c>
      <c r="CE40" s="128">
        <v>1</v>
      </c>
      <c r="CF40" s="128">
        <v>1</v>
      </c>
      <c r="CG40" s="128">
        <v>1</v>
      </c>
      <c r="CH40" s="128">
        <v>1</v>
      </c>
      <c r="CI40" s="128">
        <v>1</v>
      </c>
      <c r="CJ40" s="128">
        <v>1</v>
      </c>
      <c r="CK40" s="128">
        <v>1</v>
      </c>
      <c r="CL40" s="128">
        <v>1</v>
      </c>
      <c r="CM40" s="128">
        <v>1</v>
      </c>
      <c r="CN40" s="128">
        <v>1</v>
      </c>
      <c r="CO40" s="128">
        <v>1</v>
      </c>
      <c r="CP40" s="128">
        <v>1</v>
      </c>
      <c r="CQ40" s="128">
        <v>1</v>
      </c>
      <c r="CR40" s="128">
        <v>1</v>
      </c>
      <c r="CS40" s="128">
        <v>1</v>
      </c>
      <c r="CT40" s="128">
        <v>1</v>
      </c>
      <c r="CU40" s="128">
        <v>1</v>
      </c>
      <c r="CV40" s="128">
        <v>1</v>
      </c>
      <c r="CW40" s="128">
        <v>1</v>
      </c>
      <c r="CX40" s="128">
        <v>1</v>
      </c>
      <c r="CZ40" s="126">
        <f>SUMIF(MatrixF0[[1]:[2]],MatrixF0[[#This Row],[Столбец1]])/MatrixF0[[#This Row],[Столбец1]]</f>
        <v>0</v>
      </c>
    </row>
    <row r="41" spans="1:104" ht="21" customHeight="1" x14ac:dyDescent="0.25">
      <c r="A41" s="127">
        <v>1.38</v>
      </c>
      <c r="B41" s="128">
        <v>1</v>
      </c>
      <c r="C41" s="128">
        <v>1</v>
      </c>
      <c r="D41" s="128">
        <v>1</v>
      </c>
      <c r="E41" s="128">
        <v>1</v>
      </c>
      <c r="F41" s="128">
        <v>1</v>
      </c>
      <c r="G41" s="128">
        <v>1</v>
      </c>
      <c r="H41" s="128">
        <v>1</v>
      </c>
      <c r="I41" s="128">
        <v>1</v>
      </c>
      <c r="J41" s="128">
        <v>1</v>
      </c>
      <c r="K41" s="128">
        <v>1</v>
      </c>
      <c r="L41" s="128">
        <v>1</v>
      </c>
      <c r="M41" s="128">
        <v>1</v>
      </c>
      <c r="N41" s="128">
        <v>1</v>
      </c>
      <c r="O41" s="128">
        <v>1</v>
      </c>
      <c r="P41" s="128">
        <v>1</v>
      </c>
      <c r="Q41" s="128">
        <v>1</v>
      </c>
      <c r="R41" s="128">
        <v>1</v>
      </c>
      <c r="S41" s="128">
        <v>1</v>
      </c>
      <c r="T41" s="128">
        <v>1</v>
      </c>
      <c r="U41" s="128">
        <v>1</v>
      </c>
      <c r="V41" s="128">
        <v>1</v>
      </c>
      <c r="W41" s="128">
        <v>1</v>
      </c>
      <c r="X41" s="128">
        <v>1</v>
      </c>
      <c r="Y41" s="128">
        <v>1</v>
      </c>
      <c r="Z41" s="128">
        <v>1</v>
      </c>
      <c r="AA41" s="128">
        <v>1</v>
      </c>
      <c r="AB41" s="128">
        <v>1</v>
      </c>
      <c r="AC41" s="128">
        <v>1</v>
      </c>
      <c r="AD41" s="128">
        <v>1</v>
      </c>
      <c r="AE41" s="128">
        <v>1</v>
      </c>
      <c r="AF41" s="128">
        <v>1</v>
      </c>
      <c r="AG41" s="128">
        <v>1</v>
      </c>
      <c r="AH41" s="128">
        <v>1</v>
      </c>
      <c r="AI41" s="128">
        <v>1</v>
      </c>
      <c r="AJ41" s="128">
        <v>1</v>
      </c>
      <c r="AK41" s="128">
        <v>1</v>
      </c>
      <c r="AL41" s="128">
        <v>1</v>
      </c>
      <c r="AM41" s="128">
        <v>1</v>
      </c>
      <c r="AN41" s="128">
        <v>1</v>
      </c>
      <c r="AO41" s="128">
        <v>1</v>
      </c>
      <c r="AP41" s="128">
        <v>1</v>
      </c>
      <c r="AQ41" s="128">
        <v>1</v>
      </c>
      <c r="AR41" s="128">
        <v>1</v>
      </c>
      <c r="AS41" s="128">
        <v>1</v>
      </c>
      <c r="AT41" s="128">
        <v>1</v>
      </c>
      <c r="AU41" s="128">
        <v>1</v>
      </c>
      <c r="AV41" s="128">
        <v>1</v>
      </c>
      <c r="AW41" s="128">
        <v>1</v>
      </c>
      <c r="AX41" s="128">
        <v>1</v>
      </c>
      <c r="AY41" s="128">
        <v>1</v>
      </c>
      <c r="AZ41" s="128">
        <v>1</v>
      </c>
      <c r="BA41" s="128">
        <v>1</v>
      </c>
      <c r="BB41" s="128">
        <v>1</v>
      </c>
      <c r="BC41" s="128">
        <v>1</v>
      </c>
      <c r="BD41" s="128">
        <v>1</v>
      </c>
      <c r="BE41" s="128">
        <v>1</v>
      </c>
      <c r="BF41" s="128">
        <v>1</v>
      </c>
      <c r="BG41" s="128">
        <v>1</v>
      </c>
      <c r="BH41" s="128">
        <v>1</v>
      </c>
      <c r="BI41" s="128">
        <v>1</v>
      </c>
      <c r="BJ41" s="128">
        <v>1</v>
      </c>
      <c r="BK41" s="128">
        <v>1</v>
      </c>
      <c r="BL41" s="128">
        <v>1</v>
      </c>
      <c r="BM41" s="128">
        <v>1</v>
      </c>
      <c r="BN41" s="128">
        <v>1</v>
      </c>
      <c r="BO41" s="128">
        <v>1</v>
      </c>
      <c r="BP41" s="128">
        <v>1</v>
      </c>
      <c r="BQ41" s="128">
        <v>1</v>
      </c>
      <c r="BR41" s="128">
        <v>1</v>
      </c>
      <c r="BS41" s="128">
        <v>1</v>
      </c>
      <c r="BT41" s="128">
        <v>1</v>
      </c>
      <c r="BU41" s="128">
        <v>1</v>
      </c>
      <c r="BV41" s="128">
        <v>1</v>
      </c>
      <c r="BW41" s="128">
        <v>1</v>
      </c>
      <c r="BX41" s="128">
        <v>1</v>
      </c>
      <c r="BY41" s="128">
        <v>1</v>
      </c>
      <c r="BZ41" s="128">
        <v>1</v>
      </c>
      <c r="CA41" s="128">
        <v>1</v>
      </c>
      <c r="CB41" s="128">
        <v>1</v>
      </c>
      <c r="CC41" s="128">
        <v>1</v>
      </c>
      <c r="CD41" s="128">
        <v>1</v>
      </c>
      <c r="CE41" s="128">
        <v>1</v>
      </c>
      <c r="CF41" s="128">
        <v>1</v>
      </c>
      <c r="CG41" s="128">
        <v>1</v>
      </c>
      <c r="CH41" s="128">
        <v>1</v>
      </c>
      <c r="CI41" s="128">
        <v>1</v>
      </c>
      <c r="CJ41" s="128">
        <v>1</v>
      </c>
      <c r="CK41" s="128">
        <v>1</v>
      </c>
      <c r="CL41" s="128">
        <v>1</v>
      </c>
      <c r="CM41" s="128">
        <v>1</v>
      </c>
      <c r="CN41" s="128">
        <v>1</v>
      </c>
      <c r="CO41" s="128">
        <v>1</v>
      </c>
      <c r="CP41" s="128">
        <v>1</v>
      </c>
      <c r="CQ41" s="128">
        <v>1</v>
      </c>
      <c r="CR41" s="128">
        <v>1</v>
      </c>
      <c r="CS41" s="128">
        <v>1</v>
      </c>
      <c r="CT41" s="128">
        <v>1</v>
      </c>
      <c r="CU41" s="128">
        <v>1</v>
      </c>
      <c r="CV41" s="128">
        <v>1</v>
      </c>
      <c r="CW41" s="128">
        <v>1</v>
      </c>
      <c r="CX41" s="128">
        <v>1</v>
      </c>
      <c r="CZ41" s="126">
        <f>SUMIF(MatrixF0[[1]:[2]],MatrixF0[[#This Row],[Столбец1]])/MatrixF0[[#This Row],[Столбец1]]</f>
        <v>0</v>
      </c>
    </row>
    <row r="42" spans="1:104" ht="21" customHeight="1" x14ac:dyDescent="0.25">
      <c r="A42" s="127">
        <v>1.39</v>
      </c>
      <c r="B42" s="128">
        <v>1</v>
      </c>
      <c r="C42" s="128">
        <v>1</v>
      </c>
      <c r="D42" s="128">
        <v>1</v>
      </c>
      <c r="E42" s="128">
        <v>1</v>
      </c>
      <c r="F42" s="128">
        <v>1</v>
      </c>
      <c r="G42" s="128">
        <v>1</v>
      </c>
      <c r="H42" s="128">
        <v>1</v>
      </c>
      <c r="I42" s="128">
        <v>1</v>
      </c>
      <c r="J42" s="128">
        <v>1</v>
      </c>
      <c r="K42" s="128">
        <v>1</v>
      </c>
      <c r="L42" s="128">
        <v>1</v>
      </c>
      <c r="M42" s="128">
        <v>1</v>
      </c>
      <c r="N42" s="128">
        <v>1</v>
      </c>
      <c r="O42" s="128">
        <v>1</v>
      </c>
      <c r="P42" s="128">
        <v>1</v>
      </c>
      <c r="Q42" s="128">
        <v>1</v>
      </c>
      <c r="R42" s="128">
        <v>1</v>
      </c>
      <c r="S42" s="128">
        <v>1</v>
      </c>
      <c r="T42" s="128">
        <v>1</v>
      </c>
      <c r="U42" s="128">
        <v>1</v>
      </c>
      <c r="V42" s="128">
        <v>1</v>
      </c>
      <c r="W42" s="128">
        <v>1</v>
      </c>
      <c r="X42" s="128">
        <v>1</v>
      </c>
      <c r="Y42" s="128">
        <v>1</v>
      </c>
      <c r="Z42" s="128">
        <v>1</v>
      </c>
      <c r="AA42" s="128">
        <v>1</v>
      </c>
      <c r="AB42" s="128">
        <v>1</v>
      </c>
      <c r="AC42" s="128">
        <v>1</v>
      </c>
      <c r="AD42" s="128">
        <v>1</v>
      </c>
      <c r="AE42" s="128">
        <v>1</v>
      </c>
      <c r="AF42" s="128">
        <v>1</v>
      </c>
      <c r="AG42" s="128">
        <v>1</v>
      </c>
      <c r="AH42" s="128">
        <v>1</v>
      </c>
      <c r="AI42" s="128">
        <v>1</v>
      </c>
      <c r="AJ42" s="128">
        <v>1</v>
      </c>
      <c r="AK42" s="128">
        <v>1</v>
      </c>
      <c r="AL42" s="128">
        <v>1</v>
      </c>
      <c r="AM42" s="128">
        <v>1</v>
      </c>
      <c r="AN42" s="128">
        <v>1</v>
      </c>
      <c r="AO42" s="128">
        <v>1</v>
      </c>
      <c r="AP42" s="128">
        <v>1</v>
      </c>
      <c r="AQ42" s="128">
        <v>1</v>
      </c>
      <c r="AR42" s="128">
        <v>1</v>
      </c>
      <c r="AS42" s="128">
        <v>1</v>
      </c>
      <c r="AT42" s="128">
        <v>1</v>
      </c>
      <c r="AU42" s="128">
        <v>1</v>
      </c>
      <c r="AV42" s="128">
        <v>1</v>
      </c>
      <c r="AW42" s="128">
        <v>1</v>
      </c>
      <c r="AX42" s="128">
        <v>1</v>
      </c>
      <c r="AY42" s="128">
        <v>1</v>
      </c>
      <c r="AZ42" s="128">
        <v>1</v>
      </c>
      <c r="BA42" s="128">
        <v>1</v>
      </c>
      <c r="BB42" s="128">
        <v>1</v>
      </c>
      <c r="BC42" s="128">
        <v>1</v>
      </c>
      <c r="BD42" s="128">
        <v>1</v>
      </c>
      <c r="BE42" s="128">
        <v>1</v>
      </c>
      <c r="BF42" s="128">
        <v>1</v>
      </c>
      <c r="BG42" s="128">
        <v>1</v>
      </c>
      <c r="BH42" s="128">
        <v>1</v>
      </c>
      <c r="BI42" s="128">
        <v>1</v>
      </c>
      <c r="BJ42" s="128">
        <v>1</v>
      </c>
      <c r="BK42" s="128">
        <v>1</v>
      </c>
      <c r="BL42" s="128">
        <v>1</v>
      </c>
      <c r="BM42" s="128">
        <v>1</v>
      </c>
      <c r="BN42" s="128">
        <v>1</v>
      </c>
      <c r="BO42" s="128">
        <v>1</v>
      </c>
      <c r="BP42" s="128">
        <v>1</v>
      </c>
      <c r="BQ42" s="128">
        <v>1</v>
      </c>
      <c r="BR42" s="128">
        <v>1</v>
      </c>
      <c r="BS42" s="128">
        <v>1</v>
      </c>
      <c r="BT42" s="128">
        <v>1</v>
      </c>
      <c r="BU42" s="128">
        <v>1</v>
      </c>
      <c r="BV42" s="128">
        <v>1</v>
      </c>
      <c r="BW42" s="128">
        <v>1</v>
      </c>
      <c r="BX42" s="128">
        <v>1</v>
      </c>
      <c r="BY42" s="128">
        <v>1</v>
      </c>
      <c r="BZ42" s="128">
        <v>1</v>
      </c>
      <c r="CA42" s="128">
        <v>1</v>
      </c>
      <c r="CB42" s="128">
        <v>1</v>
      </c>
      <c r="CC42" s="128">
        <v>1</v>
      </c>
      <c r="CD42" s="128">
        <v>1</v>
      </c>
      <c r="CE42" s="128">
        <v>1</v>
      </c>
      <c r="CF42" s="128">
        <v>1</v>
      </c>
      <c r="CG42" s="128">
        <v>1</v>
      </c>
      <c r="CH42" s="128">
        <v>1</v>
      </c>
      <c r="CI42" s="128">
        <v>1</v>
      </c>
      <c r="CJ42" s="128">
        <v>1</v>
      </c>
      <c r="CK42" s="128">
        <v>1</v>
      </c>
      <c r="CL42" s="128">
        <v>1</v>
      </c>
      <c r="CM42" s="128">
        <v>1</v>
      </c>
      <c r="CN42" s="128">
        <v>1</v>
      </c>
      <c r="CO42" s="128">
        <v>1</v>
      </c>
      <c r="CP42" s="128">
        <v>1</v>
      </c>
      <c r="CQ42" s="128">
        <v>1</v>
      </c>
      <c r="CR42" s="128">
        <v>1</v>
      </c>
      <c r="CS42" s="128">
        <v>1</v>
      </c>
      <c r="CT42" s="128">
        <v>1</v>
      </c>
      <c r="CU42" s="128">
        <v>1</v>
      </c>
      <c r="CV42" s="128">
        <v>1</v>
      </c>
      <c r="CW42" s="128">
        <v>1</v>
      </c>
      <c r="CX42" s="128">
        <v>1</v>
      </c>
      <c r="CZ42" s="126">
        <f>SUMIF(MatrixF0[[1]:[2]],MatrixF0[[#This Row],[Столбец1]])/MatrixF0[[#This Row],[Столбец1]]</f>
        <v>0</v>
      </c>
    </row>
    <row r="43" spans="1:104" ht="21" customHeight="1" x14ac:dyDescent="0.25">
      <c r="A43" s="127">
        <v>1.4</v>
      </c>
      <c r="B43" s="128">
        <v>1</v>
      </c>
      <c r="C43" s="128">
        <v>1</v>
      </c>
      <c r="D43" s="128">
        <v>1</v>
      </c>
      <c r="E43" s="128">
        <v>1</v>
      </c>
      <c r="F43" s="128">
        <v>1</v>
      </c>
      <c r="G43" s="128">
        <v>1</v>
      </c>
      <c r="H43" s="128">
        <v>1</v>
      </c>
      <c r="I43" s="128">
        <v>1</v>
      </c>
      <c r="J43" s="128">
        <v>1</v>
      </c>
      <c r="K43" s="128">
        <v>1</v>
      </c>
      <c r="L43" s="128">
        <v>1</v>
      </c>
      <c r="M43" s="128">
        <v>1</v>
      </c>
      <c r="N43" s="128">
        <v>1</v>
      </c>
      <c r="O43" s="128">
        <v>1</v>
      </c>
      <c r="P43" s="128">
        <v>1</v>
      </c>
      <c r="Q43" s="128">
        <v>1</v>
      </c>
      <c r="R43" s="128">
        <v>1</v>
      </c>
      <c r="S43" s="128">
        <v>1</v>
      </c>
      <c r="T43" s="128">
        <v>1</v>
      </c>
      <c r="U43" s="128">
        <v>1</v>
      </c>
      <c r="V43" s="128">
        <v>1</v>
      </c>
      <c r="W43" s="128">
        <v>1</v>
      </c>
      <c r="X43" s="128">
        <v>1</v>
      </c>
      <c r="Y43" s="128">
        <v>1</v>
      </c>
      <c r="Z43" s="128">
        <v>1</v>
      </c>
      <c r="AA43" s="128">
        <v>1</v>
      </c>
      <c r="AB43" s="128">
        <v>1</v>
      </c>
      <c r="AC43" s="128">
        <v>1</v>
      </c>
      <c r="AD43" s="128">
        <v>1</v>
      </c>
      <c r="AE43" s="128">
        <v>1</v>
      </c>
      <c r="AF43" s="128">
        <v>1</v>
      </c>
      <c r="AG43" s="128">
        <v>1</v>
      </c>
      <c r="AH43" s="128">
        <v>1</v>
      </c>
      <c r="AI43" s="128">
        <v>1</v>
      </c>
      <c r="AJ43" s="128">
        <v>1</v>
      </c>
      <c r="AK43" s="128">
        <v>1</v>
      </c>
      <c r="AL43" s="128">
        <v>1</v>
      </c>
      <c r="AM43" s="128">
        <v>1</v>
      </c>
      <c r="AN43" s="128">
        <v>1</v>
      </c>
      <c r="AO43" s="128">
        <v>1</v>
      </c>
      <c r="AP43" s="128">
        <v>1</v>
      </c>
      <c r="AQ43" s="128">
        <v>1</v>
      </c>
      <c r="AR43" s="128">
        <v>1</v>
      </c>
      <c r="AS43" s="128">
        <v>1</v>
      </c>
      <c r="AT43" s="128">
        <v>1</v>
      </c>
      <c r="AU43" s="128">
        <v>1</v>
      </c>
      <c r="AV43" s="128">
        <v>1</v>
      </c>
      <c r="AW43" s="128">
        <v>1</v>
      </c>
      <c r="AX43" s="128">
        <v>1</v>
      </c>
      <c r="AY43" s="128">
        <v>1</v>
      </c>
      <c r="AZ43" s="128">
        <v>1</v>
      </c>
      <c r="BA43" s="128">
        <v>1</v>
      </c>
      <c r="BB43" s="128">
        <v>1</v>
      </c>
      <c r="BC43" s="128">
        <v>1</v>
      </c>
      <c r="BD43" s="128">
        <v>1</v>
      </c>
      <c r="BE43" s="128">
        <v>1</v>
      </c>
      <c r="BF43" s="128">
        <v>1</v>
      </c>
      <c r="BG43" s="128">
        <v>1</v>
      </c>
      <c r="BH43" s="128">
        <v>1</v>
      </c>
      <c r="BI43" s="128">
        <v>1</v>
      </c>
      <c r="BJ43" s="128">
        <v>1</v>
      </c>
      <c r="BK43" s="128">
        <v>1</v>
      </c>
      <c r="BL43" s="128">
        <v>1</v>
      </c>
      <c r="BM43" s="128">
        <v>1</v>
      </c>
      <c r="BN43" s="128">
        <v>1</v>
      </c>
      <c r="BO43" s="128">
        <v>1</v>
      </c>
      <c r="BP43" s="128">
        <v>1</v>
      </c>
      <c r="BQ43" s="128">
        <v>1</v>
      </c>
      <c r="BR43" s="128">
        <v>1</v>
      </c>
      <c r="BS43" s="128">
        <v>1</v>
      </c>
      <c r="BT43" s="128">
        <v>1</v>
      </c>
      <c r="BU43" s="128">
        <v>1</v>
      </c>
      <c r="BV43" s="128">
        <v>1</v>
      </c>
      <c r="BW43" s="128">
        <v>1</v>
      </c>
      <c r="BX43" s="128">
        <v>1</v>
      </c>
      <c r="BY43" s="128">
        <v>1</v>
      </c>
      <c r="BZ43" s="128">
        <v>1</v>
      </c>
      <c r="CA43" s="128">
        <v>1</v>
      </c>
      <c r="CB43" s="128">
        <v>1</v>
      </c>
      <c r="CC43" s="128">
        <v>1</v>
      </c>
      <c r="CD43" s="128">
        <v>1</v>
      </c>
      <c r="CE43" s="128">
        <v>1</v>
      </c>
      <c r="CF43" s="128">
        <v>1</v>
      </c>
      <c r="CG43" s="128">
        <v>1</v>
      </c>
      <c r="CH43" s="128">
        <v>1</v>
      </c>
      <c r="CI43" s="128">
        <v>1</v>
      </c>
      <c r="CJ43" s="128">
        <v>1</v>
      </c>
      <c r="CK43" s="128">
        <v>1</v>
      </c>
      <c r="CL43" s="128">
        <v>1</v>
      </c>
      <c r="CM43" s="128">
        <v>1</v>
      </c>
      <c r="CN43" s="128">
        <v>1</v>
      </c>
      <c r="CO43" s="128">
        <v>1</v>
      </c>
      <c r="CP43" s="128">
        <v>1</v>
      </c>
      <c r="CQ43" s="128">
        <v>1</v>
      </c>
      <c r="CR43" s="128">
        <v>1</v>
      </c>
      <c r="CS43" s="128">
        <v>1</v>
      </c>
      <c r="CT43" s="128">
        <v>1</v>
      </c>
      <c r="CU43" s="128">
        <v>1</v>
      </c>
      <c r="CV43" s="128">
        <v>1</v>
      </c>
      <c r="CW43" s="128">
        <v>1</v>
      </c>
      <c r="CX43" s="128">
        <v>1</v>
      </c>
      <c r="CZ43" s="126">
        <f>SUMIF(MatrixF0[[1]:[2]],MatrixF0[[#This Row],[Столбец1]])/MatrixF0[[#This Row],[Столбец1]]</f>
        <v>0</v>
      </c>
    </row>
    <row r="44" spans="1:104" ht="21" customHeight="1" x14ac:dyDescent="0.25">
      <c r="A44" s="127">
        <v>1.41</v>
      </c>
      <c r="B44" s="128">
        <v>1</v>
      </c>
      <c r="C44" s="128">
        <v>1</v>
      </c>
      <c r="D44" s="128">
        <v>1</v>
      </c>
      <c r="E44" s="128">
        <v>1</v>
      </c>
      <c r="F44" s="128">
        <v>1</v>
      </c>
      <c r="G44" s="128">
        <v>1</v>
      </c>
      <c r="H44" s="128">
        <v>1</v>
      </c>
      <c r="I44" s="128">
        <v>1</v>
      </c>
      <c r="J44" s="128">
        <v>1</v>
      </c>
      <c r="K44" s="128">
        <v>1</v>
      </c>
      <c r="L44" s="128">
        <v>1</v>
      </c>
      <c r="M44" s="128">
        <v>1</v>
      </c>
      <c r="N44" s="128">
        <v>1</v>
      </c>
      <c r="O44" s="128">
        <v>1</v>
      </c>
      <c r="P44" s="128">
        <v>1</v>
      </c>
      <c r="Q44" s="128">
        <v>1</v>
      </c>
      <c r="R44" s="128">
        <v>1</v>
      </c>
      <c r="S44" s="128">
        <v>1</v>
      </c>
      <c r="T44" s="128">
        <v>1</v>
      </c>
      <c r="U44" s="128">
        <v>1</v>
      </c>
      <c r="V44" s="128">
        <v>1</v>
      </c>
      <c r="W44" s="128">
        <v>1</v>
      </c>
      <c r="X44" s="128">
        <v>1</v>
      </c>
      <c r="Y44" s="128">
        <v>1</v>
      </c>
      <c r="Z44" s="128">
        <v>1</v>
      </c>
      <c r="AA44" s="128">
        <v>1</v>
      </c>
      <c r="AB44" s="128">
        <v>1</v>
      </c>
      <c r="AC44" s="128">
        <v>1</v>
      </c>
      <c r="AD44" s="128">
        <v>1</v>
      </c>
      <c r="AE44" s="128">
        <v>1</v>
      </c>
      <c r="AF44" s="128">
        <v>1</v>
      </c>
      <c r="AG44" s="128">
        <v>1</v>
      </c>
      <c r="AH44" s="128">
        <v>1</v>
      </c>
      <c r="AI44" s="128">
        <v>1</v>
      </c>
      <c r="AJ44" s="128">
        <v>1</v>
      </c>
      <c r="AK44" s="128">
        <v>1</v>
      </c>
      <c r="AL44" s="128">
        <v>1</v>
      </c>
      <c r="AM44" s="128">
        <v>1</v>
      </c>
      <c r="AN44" s="128">
        <v>1</v>
      </c>
      <c r="AO44" s="128">
        <v>1</v>
      </c>
      <c r="AP44" s="128">
        <v>1</v>
      </c>
      <c r="AQ44" s="128">
        <v>1</v>
      </c>
      <c r="AR44" s="128">
        <v>1</v>
      </c>
      <c r="AS44" s="128">
        <v>1</v>
      </c>
      <c r="AT44" s="128">
        <v>1</v>
      </c>
      <c r="AU44" s="128">
        <v>1</v>
      </c>
      <c r="AV44" s="128">
        <v>1</v>
      </c>
      <c r="AW44" s="128">
        <v>1</v>
      </c>
      <c r="AX44" s="128">
        <v>1</v>
      </c>
      <c r="AY44" s="128">
        <v>1</v>
      </c>
      <c r="AZ44" s="128">
        <v>1</v>
      </c>
      <c r="BA44" s="128">
        <v>1</v>
      </c>
      <c r="BB44" s="128">
        <v>1</v>
      </c>
      <c r="BC44" s="128">
        <v>1</v>
      </c>
      <c r="BD44" s="128">
        <v>1</v>
      </c>
      <c r="BE44" s="128">
        <v>1</v>
      </c>
      <c r="BF44" s="128">
        <v>1</v>
      </c>
      <c r="BG44" s="128">
        <v>1</v>
      </c>
      <c r="BH44" s="128">
        <v>1</v>
      </c>
      <c r="BI44" s="128">
        <v>1</v>
      </c>
      <c r="BJ44" s="128">
        <v>1</v>
      </c>
      <c r="BK44" s="128">
        <v>1</v>
      </c>
      <c r="BL44" s="128">
        <v>1</v>
      </c>
      <c r="BM44" s="128">
        <v>1</v>
      </c>
      <c r="BN44" s="128">
        <v>1</v>
      </c>
      <c r="BO44" s="128">
        <v>1</v>
      </c>
      <c r="BP44" s="128">
        <v>1</v>
      </c>
      <c r="BQ44" s="128">
        <v>1</v>
      </c>
      <c r="BR44" s="128">
        <v>1</v>
      </c>
      <c r="BS44" s="128">
        <v>1</v>
      </c>
      <c r="BT44" s="128">
        <v>1</v>
      </c>
      <c r="BU44" s="128">
        <v>1</v>
      </c>
      <c r="BV44" s="128">
        <v>1</v>
      </c>
      <c r="BW44" s="128">
        <v>1</v>
      </c>
      <c r="BX44" s="128">
        <v>1</v>
      </c>
      <c r="BY44" s="128">
        <v>1</v>
      </c>
      <c r="BZ44" s="128">
        <v>1</v>
      </c>
      <c r="CA44" s="128">
        <v>1</v>
      </c>
      <c r="CB44" s="128">
        <v>1</v>
      </c>
      <c r="CC44" s="128">
        <v>1</v>
      </c>
      <c r="CD44" s="128">
        <v>1</v>
      </c>
      <c r="CE44" s="128">
        <v>1</v>
      </c>
      <c r="CF44" s="128">
        <v>1</v>
      </c>
      <c r="CG44" s="128">
        <v>1</v>
      </c>
      <c r="CH44" s="128">
        <v>1</v>
      </c>
      <c r="CI44" s="128">
        <v>1</v>
      </c>
      <c r="CJ44" s="128">
        <v>1</v>
      </c>
      <c r="CK44" s="128">
        <v>1</v>
      </c>
      <c r="CL44" s="128">
        <v>1</v>
      </c>
      <c r="CM44" s="128">
        <v>1</v>
      </c>
      <c r="CN44" s="128">
        <v>1</v>
      </c>
      <c r="CO44" s="128">
        <v>1</v>
      </c>
      <c r="CP44" s="128">
        <v>1</v>
      </c>
      <c r="CQ44" s="128">
        <v>1</v>
      </c>
      <c r="CR44" s="128">
        <v>1</v>
      </c>
      <c r="CS44" s="128">
        <v>1</v>
      </c>
      <c r="CT44" s="128">
        <v>1</v>
      </c>
      <c r="CU44" s="128">
        <v>1</v>
      </c>
      <c r="CV44" s="128">
        <v>1</v>
      </c>
      <c r="CW44" s="128">
        <v>1</v>
      </c>
      <c r="CX44" s="128">
        <v>1</v>
      </c>
      <c r="CZ44" s="126">
        <f>SUMIF(MatrixF0[[1]:[2]],MatrixF0[[#This Row],[Столбец1]])/MatrixF0[[#This Row],[Столбец1]]</f>
        <v>0</v>
      </c>
    </row>
    <row r="45" spans="1:104" ht="21" customHeight="1" x14ac:dyDescent="0.25">
      <c r="A45" s="127">
        <v>1.42</v>
      </c>
      <c r="B45" s="128">
        <v>1</v>
      </c>
      <c r="C45" s="128">
        <v>1</v>
      </c>
      <c r="D45" s="128">
        <v>1</v>
      </c>
      <c r="E45" s="128">
        <v>1</v>
      </c>
      <c r="F45" s="128">
        <v>1</v>
      </c>
      <c r="G45" s="128">
        <v>1</v>
      </c>
      <c r="H45" s="128">
        <v>1</v>
      </c>
      <c r="I45" s="128">
        <v>1</v>
      </c>
      <c r="J45" s="128">
        <v>1</v>
      </c>
      <c r="K45" s="128">
        <v>1</v>
      </c>
      <c r="L45" s="128">
        <v>1</v>
      </c>
      <c r="M45" s="128">
        <v>1</v>
      </c>
      <c r="N45" s="128">
        <v>1</v>
      </c>
      <c r="O45" s="128">
        <v>1</v>
      </c>
      <c r="P45" s="128">
        <v>1</v>
      </c>
      <c r="Q45" s="128">
        <v>1</v>
      </c>
      <c r="R45" s="128">
        <v>1</v>
      </c>
      <c r="S45" s="128">
        <v>1</v>
      </c>
      <c r="T45" s="128">
        <v>1</v>
      </c>
      <c r="U45" s="128">
        <v>1</v>
      </c>
      <c r="V45" s="128">
        <v>1</v>
      </c>
      <c r="W45" s="128">
        <v>1</v>
      </c>
      <c r="X45" s="128">
        <v>1</v>
      </c>
      <c r="Y45" s="128">
        <v>1</v>
      </c>
      <c r="Z45" s="128">
        <v>1</v>
      </c>
      <c r="AA45" s="128">
        <v>1</v>
      </c>
      <c r="AB45" s="128">
        <v>1</v>
      </c>
      <c r="AC45" s="128">
        <v>1</v>
      </c>
      <c r="AD45" s="128">
        <v>1</v>
      </c>
      <c r="AE45" s="128">
        <v>1</v>
      </c>
      <c r="AF45" s="128">
        <v>1</v>
      </c>
      <c r="AG45" s="128">
        <v>1</v>
      </c>
      <c r="AH45" s="128">
        <v>1</v>
      </c>
      <c r="AI45" s="128">
        <v>1</v>
      </c>
      <c r="AJ45" s="128">
        <v>1</v>
      </c>
      <c r="AK45" s="128">
        <v>1</v>
      </c>
      <c r="AL45" s="128">
        <v>1</v>
      </c>
      <c r="AM45" s="128">
        <v>1</v>
      </c>
      <c r="AN45" s="128">
        <v>1</v>
      </c>
      <c r="AO45" s="128">
        <v>1</v>
      </c>
      <c r="AP45" s="128">
        <v>1</v>
      </c>
      <c r="AQ45" s="128">
        <v>1</v>
      </c>
      <c r="AR45" s="128">
        <v>1</v>
      </c>
      <c r="AS45" s="128">
        <v>1</v>
      </c>
      <c r="AT45" s="128">
        <v>1</v>
      </c>
      <c r="AU45" s="128">
        <v>1</v>
      </c>
      <c r="AV45" s="128">
        <v>1</v>
      </c>
      <c r="AW45" s="128">
        <v>1</v>
      </c>
      <c r="AX45" s="128">
        <v>1</v>
      </c>
      <c r="AY45" s="128">
        <v>1</v>
      </c>
      <c r="AZ45" s="128">
        <v>1</v>
      </c>
      <c r="BA45" s="128">
        <v>1</v>
      </c>
      <c r="BB45" s="128">
        <v>1</v>
      </c>
      <c r="BC45" s="128">
        <v>1</v>
      </c>
      <c r="BD45" s="128">
        <v>1</v>
      </c>
      <c r="BE45" s="128">
        <v>1</v>
      </c>
      <c r="BF45" s="128">
        <v>1</v>
      </c>
      <c r="BG45" s="128">
        <v>1</v>
      </c>
      <c r="BH45" s="128">
        <v>1</v>
      </c>
      <c r="BI45" s="128">
        <v>1</v>
      </c>
      <c r="BJ45" s="128">
        <v>1</v>
      </c>
      <c r="BK45" s="128">
        <v>1</v>
      </c>
      <c r="BL45" s="128">
        <v>1</v>
      </c>
      <c r="BM45" s="128">
        <v>1</v>
      </c>
      <c r="BN45" s="128">
        <v>1</v>
      </c>
      <c r="BO45" s="128">
        <v>1</v>
      </c>
      <c r="BP45" s="128">
        <v>1</v>
      </c>
      <c r="BQ45" s="128">
        <v>1</v>
      </c>
      <c r="BR45" s="128">
        <v>1</v>
      </c>
      <c r="BS45" s="128">
        <v>1</v>
      </c>
      <c r="BT45" s="128">
        <v>1</v>
      </c>
      <c r="BU45" s="128">
        <v>1</v>
      </c>
      <c r="BV45" s="128">
        <v>1</v>
      </c>
      <c r="BW45" s="128">
        <v>1</v>
      </c>
      <c r="BX45" s="128">
        <v>1</v>
      </c>
      <c r="BY45" s="128">
        <v>1</v>
      </c>
      <c r="BZ45" s="128">
        <v>1</v>
      </c>
      <c r="CA45" s="128">
        <v>1</v>
      </c>
      <c r="CB45" s="128">
        <v>1</v>
      </c>
      <c r="CC45" s="128">
        <v>1</v>
      </c>
      <c r="CD45" s="128">
        <v>1</v>
      </c>
      <c r="CE45" s="128">
        <v>1</v>
      </c>
      <c r="CF45" s="128">
        <v>1</v>
      </c>
      <c r="CG45" s="128">
        <v>1</v>
      </c>
      <c r="CH45" s="128">
        <v>1</v>
      </c>
      <c r="CI45" s="128">
        <v>1</v>
      </c>
      <c r="CJ45" s="128">
        <v>1</v>
      </c>
      <c r="CK45" s="128">
        <v>1</v>
      </c>
      <c r="CL45" s="128">
        <v>1</v>
      </c>
      <c r="CM45" s="128">
        <v>1</v>
      </c>
      <c r="CN45" s="128">
        <v>1</v>
      </c>
      <c r="CO45" s="128">
        <v>1</v>
      </c>
      <c r="CP45" s="128">
        <v>1</v>
      </c>
      <c r="CQ45" s="128">
        <v>1</v>
      </c>
      <c r="CR45" s="128">
        <v>1</v>
      </c>
      <c r="CS45" s="128">
        <v>1</v>
      </c>
      <c r="CT45" s="128">
        <v>1</v>
      </c>
      <c r="CU45" s="128">
        <v>1</v>
      </c>
      <c r="CV45" s="128">
        <v>1</v>
      </c>
      <c r="CW45" s="128">
        <v>1</v>
      </c>
      <c r="CX45" s="128">
        <v>1</v>
      </c>
      <c r="CZ45" s="126">
        <f>SUMIF(MatrixF0[[1]:[2]],MatrixF0[[#This Row],[Столбец1]])/MatrixF0[[#This Row],[Столбец1]]</f>
        <v>0</v>
      </c>
    </row>
    <row r="46" spans="1:104" ht="21" customHeight="1" x14ac:dyDescent="0.25">
      <c r="A46" s="127">
        <v>1.43</v>
      </c>
      <c r="B46" s="128">
        <v>1</v>
      </c>
      <c r="C46" s="128">
        <v>1</v>
      </c>
      <c r="D46" s="128">
        <v>1</v>
      </c>
      <c r="E46" s="128">
        <v>1</v>
      </c>
      <c r="F46" s="128">
        <v>1</v>
      </c>
      <c r="G46" s="128">
        <v>1</v>
      </c>
      <c r="H46" s="128">
        <v>1</v>
      </c>
      <c r="I46" s="128">
        <v>1</v>
      </c>
      <c r="J46" s="128">
        <v>1</v>
      </c>
      <c r="K46" s="128">
        <v>1</v>
      </c>
      <c r="L46" s="128">
        <v>1</v>
      </c>
      <c r="M46" s="128">
        <v>1</v>
      </c>
      <c r="N46" s="128">
        <v>1</v>
      </c>
      <c r="O46" s="128">
        <v>1</v>
      </c>
      <c r="P46" s="128">
        <v>1</v>
      </c>
      <c r="Q46" s="128">
        <v>1</v>
      </c>
      <c r="R46" s="128">
        <v>1</v>
      </c>
      <c r="S46" s="128">
        <v>1</v>
      </c>
      <c r="T46" s="128">
        <v>1</v>
      </c>
      <c r="U46" s="128">
        <v>1</v>
      </c>
      <c r="V46" s="128">
        <v>1</v>
      </c>
      <c r="W46" s="128">
        <v>1</v>
      </c>
      <c r="X46" s="128">
        <v>1</v>
      </c>
      <c r="Y46" s="128">
        <v>1</v>
      </c>
      <c r="Z46" s="128">
        <v>1</v>
      </c>
      <c r="AA46" s="128">
        <v>1</v>
      </c>
      <c r="AB46" s="128">
        <v>1</v>
      </c>
      <c r="AC46" s="128">
        <v>1</v>
      </c>
      <c r="AD46" s="128">
        <v>1</v>
      </c>
      <c r="AE46" s="128">
        <v>1</v>
      </c>
      <c r="AF46" s="128">
        <v>1</v>
      </c>
      <c r="AG46" s="128">
        <v>1</v>
      </c>
      <c r="AH46" s="128">
        <v>1</v>
      </c>
      <c r="AI46" s="128">
        <v>1</v>
      </c>
      <c r="AJ46" s="128">
        <v>1</v>
      </c>
      <c r="AK46" s="128">
        <v>1</v>
      </c>
      <c r="AL46" s="128">
        <v>1</v>
      </c>
      <c r="AM46" s="128">
        <v>1</v>
      </c>
      <c r="AN46" s="128">
        <v>1</v>
      </c>
      <c r="AO46" s="128">
        <v>1</v>
      </c>
      <c r="AP46" s="128">
        <v>1</v>
      </c>
      <c r="AQ46" s="128">
        <v>1</v>
      </c>
      <c r="AR46" s="128">
        <v>1</v>
      </c>
      <c r="AS46" s="128">
        <v>1</v>
      </c>
      <c r="AT46" s="128">
        <v>1</v>
      </c>
      <c r="AU46" s="128">
        <v>1</v>
      </c>
      <c r="AV46" s="128">
        <v>1</v>
      </c>
      <c r="AW46" s="128">
        <v>1</v>
      </c>
      <c r="AX46" s="128">
        <v>1</v>
      </c>
      <c r="AY46" s="128">
        <v>1</v>
      </c>
      <c r="AZ46" s="128">
        <v>1</v>
      </c>
      <c r="BA46" s="128">
        <v>1</v>
      </c>
      <c r="BB46" s="128">
        <v>1</v>
      </c>
      <c r="BC46" s="128">
        <v>1</v>
      </c>
      <c r="BD46" s="128">
        <v>1</v>
      </c>
      <c r="BE46" s="128">
        <v>1</v>
      </c>
      <c r="BF46" s="128">
        <v>1</v>
      </c>
      <c r="BG46" s="128">
        <v>1</v>
      </c>
      <c r="BH46" s="128">
        <v>1</v>
      </c>
      <c r="BI46" s="128">
        <v>1</v>
      </c>
      <c r="BJ46" s="128">
        <v>1</v>
      </c>
      <c r="BK46" s="128">
        <v>1</v>
      </c>
      <c r="BL46" s="128">
        <v>1</v>
      </c>
      <c r="BM46" s="128">
        <v>1</v>
      </c>
      <c r="BN46" s="128">
        <v>1</v>
      </c>
      <c r="BO46" s="128">
        <v>1</v>
      </c>
      <c r="BP46" s="128">
        <v>1</v>
      </c>
      <c r="BQ46" s="128">
        <v>1</v>
      </c>
      <c r="BR46" s="128">
        <v>1</v>
      </c>
      <c r="BS46" s="128">
        <v>1</v>
      </c>
      <c r="BT46" s="128">
        <v>1</v>
      </c>
      <c r="BU46" s="128">
        <v>1</v>
      </c>
      <c r="BV46" s="128">
        <v>1</v>
      </c>
      <c r="BW46" s="128">
        <v>1</v>
      </c>
      <c r="BX46" s="128">
        <v>1</v>
      </c>
      <c r="BY46" s="128">
        <v>1</v>
      </c>
      <c r="BZ46" s="128">
        <v>1</v>
      </c>
      <c r="CA46" s="128">
        <v>1</v>
      </c>
      <c r="CB46" s="128">
        <v>1</v>
      </c>
      <c r="CC46" s="128">
        <v>1</v>
      </c>
      <c r="CD46" s="128">
        <v>1</v>
      </c>
      <c r="CE46" s="128">
        <v>1</v>
      </c>
      <c r="CF46" s="128">
        <v>1</v>
      </c>
      <c r="CG46" s="128">
        <v>1</v>
      </c>
      <c r="CH46" s="128">
        <v>1</v>
      </c>
      <c r="CI46" s="128">
        <v>1</v>
      </c>
      <c r="CJ46" s="128">
        <v>1</v>
      </c>
      <c r="CK46" s="128">
        <v>1</v>
      </c>
      <c r="CL46" s="128">
        <v>1</v>
      </c>
      <c r="CM46" s="128">
        <v>1</v>
      </c>
      <c r="CN46" s="128">
        <v>1</v>
      </c>
      <c r="CO46" s="128">
        <v>1</v>
      </c>
      <c r="CP46" s="128">
        <v>1</v>
      </c>
      <c r="CQ46" s="128">
        <v>1</v>
      </c>
      <c r="CR46" s="128">
        <v>1</v>
      </c>
      <c r="CS46" s="128">
        <v>1</v>
      </c>
      <c r="CT46" s="128">
        <v>1</v>
      </c>
      <c r="CU46" s="128">
        <v>1</v>
      </c>
      <c r="CV46" s="128">
        <v>1</v>
      </c>
      <c r="CW46" s="128">
        <v>1</v>
      </c>
      <c r="CX46" s="128">
        <v>1</v>
      </c>
      <c r="CZ46" s="126">
        <f>SUMIF(MatrixF0[[1]:[2]],MatrixF0[[#This Row],[Столбец1]])/MatrixF0[[#This Row],[Столбец1]]</f>
        <v>0</v>
      </c>
    </row>
    <row r="47" spans="1:104" ht="21" customHeight="1" x14ac:dyDescent="0.25">
      <c r="A47" s="127">
        <v>1.44</v>
      </c>
      <c r="B47" s="128">
        <v>1</v>
      </c>
      <c r="C47" s="128">
        <v>1</v>
      </c>
      <c r="D47" s="128">
        <v>1</v>
      </c>
      <c r="E47" s="128">
        <v>1</v>
      </c>
      <c r="F47" s="128">
        <v>1</v>
      </c>
      <c r="G47" s="128">
        <v>1</v>
      </c>
      <c r="H47" s="128">
        <v>1</v>
      </c>
      <c r="I47" s="128">
        <v>1</v>
      </c>
      <c r="J47" s="128">
        <v>1</v>
      </c>
      <c r="K47" s="128">
        <v>1</v>
      </c>
      <c r="L47" s="128">
        <v>1</v>
      </c>
      <c r="M47" s="128">
        <v>1</v>
      </c>
      <c r="N47" s="128">
        <v>1</v>
      </c>
      <c r="O47" s="128">
        <v>1</v>
      </c>
      <c r="P47" s="128">
        <v>1</v>
      </c>
      <c r="Q47" s="128">
        <v>1</v>
      </c>
      <c r="R47" s="128">
        <v>1</v>
      </c>
      <c r="S47" s="128">
        <v>1</v>
      </c>
      <c r="T47" s="128">
        <v>1</v>
      </c>
      <c r="U47" s="128">
        <v>1</v>
      </c>
      <c r="V47" s="128">
        <v>1</v>
      </c>
      <c r="W47" s="128">
        <v>1</v>
      </c>
      <c r="X47" s="128">
        <v>1</v>
      </c>
      <c r="Y47" s="128">
        <v>1</v>
      </c>
      <c r="Z47" s="128">
        <v>1</v>
      </c>
      <c r="AA47" s="128">
        <v>1</v>
      </c>
      <c r="AB47" s="128">
        <v>1</v>
      </c>
      <c r="AC47" s="128">
        <v>1</v>
      </c>
      <c r="AD47" s="128">
        <v>1</v>
      </c>
      <c r="AE47" s="128">
        <v>1</v>
      </c>
      <c r="AF47" s="128">
        <v>1</v>
      </c>
      <c r="AG47" s="128">
        <v>1</v>
      </c>
      <c r="AH47" s="128">
        <v>1</v>
      </c>
      <c r="AI47" s="128">
        <v>1</v>
      </c>
      <c r="AJ47" s="128">
        <v>1</v>
      </c>
      <c r="AK47" s="128">
        <v>1</v>
      </c>
      <c r="AL47" s="128">
        <v>1</v>
      </c>
      <c r="AM47" s="128">
        <v>1</v>
      </c>
      <c r="AN47" s="128">
        <v>1</v>
      </c>
      <c r="AO47" s="128">
        <v>1</v>
      </c>
      <c r="AP47" s="128">
        <v>1</v>
      </c>
      <c r="AQ47" s="128">
        <v>1</v>
      </c>
      <c r="AR47" s="128">
        <v>1</v>
      </c>
      <c r="AS47" s="128">
        <v>1</v>
      </c>
      <c r="AT47" s="128">
        <v>1</v>
      </c>
      <c r="AU47" s="128">
        <v>1</v>
      </c>
      <c r="AV47" s="128">
        <v>1</v>
      </c>
      <c r="AW47" s="128">
        <v>1</v>
      </c>
      <c r="AX47" s="128">
        <v>1</v>
      </c>
      <c r="AY47" s="128">
        <v>1</v>
      </c>
      <c r="AZ47" s="128">
        <v>1</v>
      </c>
      <c r="BA47" s="128">
        <v>1</v>
      </c>
      <c r="BB47" s="128">
        <v>1</v>
      </c>
      <c r="BC47" s="128">
        <v>1</v>
      </c>
      <c r="BD47" s="128">
        <v>1</v>
      </c>
      <c r="BE47" s="128">
        <v>1</v>
      </c>
      <c r="BF47" s="128">
        <v>1</v>
      </c>
      <c r="BG47" s="128">
        <v>1</v>
      </c>
      <c r="BH47" s="128">
        <v>1</v>
      </c>
      <c r="BI47" s="128">
        <v>1</v>
      </c>
      <c r="BJ47" s="128">
        <v>1</v>
      </c>
      <c r="BK47" s="128">
        <v>1</v>
      </c>
      <c r="BL47" s="128">
        <v>1</v>
      </c>
      <c r="BM47" s="128">
        <v>1</v>
      </c>
      <c r="BN47" s="128">
        <v>1</v>
      </c>
      <c r="BO47" s="128">
        <v>1</v>
      </c>
      <c r="BP47" s="128">
        <v>1</v>
      </c>
      <c r="BQ47" s="128">
        <v>1</v>
      </c>
      <c r="BR47" s="128">
        <v>1</v>
      </c>
      <c r="BS47" s="128">
        <v>1</v>
      </c>
      <c r="BT47" s="128">
        <v>1</v>
      </c>
      <c r="BU47" s="128">
        <v>1</v>
      </c>
      <c r="BV47" s="128">
        <v>1</v>
      </c>
      <c r="BW47" s="128">
        <v>1</v>
      </c>
      <c r="BX47" s="128">
        <v>1</v>
      </c>
      <c r="BY47" s="128">
        <v>1</v>
      </c>
      <c r="BZ47" s="128">
        <v>1</v>
      </c>
      <c r="CA47" s="128">
        <v>1</v>
      </c>
      <c r="CB47" s="128">
        <v>1</v>
      </c>
      <c r="CC47" s="128">
        <v>1</v>
      </c>
      <c r="CD47" s="128">
        <v>1</v>
      </c>
      <c r="CE47" s="128">
        <v>1</v>
      </c>
      <c r="CF47" s="128">
        <v>1</v>
      </c>
      <c r="CG47" s="128">
        <v>1</v>
      </c>
      <c r="CH47" s="128">
        <v>1</v>
      </c>
      <c r="CI47" s="128">
        <v>1</v>
      </c>
      <c r="CJ47" s="128">
        <v>1</v>
      </c>
      <c r="CK47" s="128">
        <v>1</v>
      </c>
      <c r="CL47" s="128">
        <v>1</v>
      </c>
      <c r="CM47" s="128">
        <v>1</v>
      </c>
      <c r="CN47" s="128">
        <v>1</v>
      </c>
      <c r="CO47" s="128">
        <v>1</v>
      </c>
      <c r="CP47" s="128">
        <v>1</v>
      </c>
      <c r="CQ47" s="128">
        <v>1</v>
      </c>
      <c r="CR47" s="128">
        <v>1</v>
      </c>
      <c r="CS47" s="128">
        <v>1</v>
      </c>
      <c r="CT47" s="128">
        <v>1</v>
      </c>
      <c r="CU47" s="128">
        <v>1</v>
      </c>
      <c r="CV47" s="128">
        <v>1</v>
      </c>
      <c r="CW47" s="128">
        <v>1</v>
      </c>
      <c r="CX47" s="128">
        <v>1</v>
      </c>
      <c r="CZ47" s="126">
        <f>SUMIF(MatrixF0[[1]:[2]],MatrixF0[[#This Row],[Столбец1]])/MatrixF0[[#This Row],[Столбец1]]</f>
        <v>0</v>
      </c>
    </row>
    <row r="48" spans="1:104" ht="21" customHeight="1" x14ac:dyDescent="0.25">
      <c r="A48" s="127">
        <v>1.45</v>
      </c>
      <c r="B48" s="128">
        <v>1</v>
      </c>
      <c r="C48" s="128">
        <v>1</v>
      </c>
      <c r="D48" s="128">
        <v>1</v>
      </c>
      <c r="E48" s="128">
        <v>1</v>
      </c>
      <c r="F48" s="128">
        <v>1</v>
      </c>
      <c r="G48" s="128">
        <v>1</v>
      </c>
      <c r="H48" s="128">
        <v>1</v>
      </c>
      <c r="I48" s="128">
        <v>1</v>
      </c>
      <c r="J48" s="128">
        <v>1</v>
      </c>
      <c r="K48" s="128">
        <v>1</v>
      </c>
      <c r="L48" s="128">
        <v>1</v>
      </c>
      <c r="M48" s="128">
        <v>1</v>
      </c>
      <c r="N48" s="128">
        <v>1</v>
      </c>
      <c r="O48" s="128">
        <v>1</v>
      </c>
      <c r="P48" s="128">
        <v>1</v>
      </c>
      <c r="Q48" s="128">
        <v>1</v>
      </c>
      <c r="R48" s="128">
        <v>1</v>
      </c>
      <c r="S48" s="128">
        <v>1</v>
      </c>
      <c r="T48" s="128">
        <v>1</v>
      </c>
      <c r="U48" s="128">
        <v>1</v>
      </c>
      <c r="V48" s="128">
        <v>1</v>
      </c>
      <c r="W48" s="128">
        <v>1</v>
      </c>
      <c r="X48" s="128">
        <v>1</v>
      </c>
      <c r="Y48" s="128">
        <v>1</v>
      </c>
      <c r="Z48" s="128">
        <v>1</v>
      </c>
      <c r="AA48" s="128">
        <v>1</v>
      </c>
      <c r="AB48" s="128">
        <v>1</v>
      </c>
      <c r="AC48" s="128">
        <v>1</v>
      </c>
      <c r="AD48" s="128">
        <v>1</v>
      </c>
      <c r="AE48" s="128">
        <v>1</v>
      </c>
      <c r="AF48" s="128">
        <v>1</v>
      </c>
      <c r="AG48" s="128">
        <v>1</v>
      </c>
      <c r="AH48" s="128">
        <v>1</v>
      </c>
      <c r="AI48" s="128">
        <v>1</v>
      </c>
      <c r="AJ48" s="128">
        <v>1</v>
      </c>
      <c r="AK48" s="128">
        <v>1</v>
      </c>
      <c r="AL48" s="128">
        <v>1</v>
      </c>
      <c r="AM48" s="128">
        <v>1</v>
      </c>
      <c r="AN48" s="128">
        <v>1</v>
      </c>
      <c r="AO48" s="128">
        <v>1</v>
      </c>
      <c r="AP48" s="128">
        <v>1</v>
      </c>
      <c r="AQ48" s="128">
        <v>1</v>
      </c>
      <c r="AR48" s="128">
        <v>1</v>
      </c>
      <c r="AS48" s="128">
        <v>1</v>
      </c>
      <c r="AT48" s="128">
        <v>1</v>
      </c>
      <c r="AU48" s="128">
        <v>1</v>
      </c>
      <c r="AV48" s="128">
        <v>1</v>
      </c>
      <c r="AW48" s="128">
        <v>1</v>
      </c>
      <c r="AX48" s="128">
        <v>1</v>
      </c>
      <c r="AY48" s="128">
        <v>1</v>
      </c>
      <c r="AZ48" s="128">
        <v>1</v>
      </c>
      <c r="BA48" s="128">
        <v>1</v>
      </c>
      <c r="BB48" s="128">
        <v>1</v>
      </c>
      <c r="BC48" s="128">
        <v>1</v>
      </c>
      <c r="BD48" s="128">
        <v>1</v>
      </c>
      <c r="BE48" s="128">
        <v>1</v>
      </c>
      <c r="BF48" s="128">
        <v>1</v>
      </c>
      <c r="BG48" s="128">
        <v>1</v>
      </c>
      <c r="BH48" s="128">
        <v>1</v>
      </c>
      <c r="BI48" s="128">
        <v>1</v>
      </c>
      <c r="BJ48" s="128">
        <v>1</v>
      </c>
      <c r="BK48" s="128">
        <v>1</v>
      </c>
      <c r="BL48" s="128">
        <v>1</v>
      </c>
      <c r="BM48" s="128">
        <v>1</v>
      </c>
      <c r="BN48" s="128">
        <v>1</v>
      </c>
      <c r="BO48" s="128">
        <v>1</v>
      </c>
      <c r="BP48" s="128">
        <v>1</v>
      </c>
      <c r="BQ48" s="128">
        <v>1</v>
      </c>
      <c r="BR48" s="128">
        <v>1</v>
      </c>
      <c r="BS48" s="128">
        <v>1</v>
      </c>
      <c r="BT48" s="128">
        <v>1</v>
      </c>
      <c r="BU48" s="128">
        <v>1</v>
      </c>
      <c r="BV48" s="128">
        <v>1</v>
      </c>
      <c r="BW48" s="128">
        <v>1</v>
      </c>
      <c r="BX48" s="128">
        <v>1</v>
      </c>
      <c r="BY48" s="128">
        <v>1</v>
      </c>
      <c r="BZ48" s="128">
        <v>1</v>
      </c>
      <c r="CA48" s="128">
        <v>1</v>
      </c>
      <c r="CB48" s="128">
        <v>1</v>
      </c>
      <c r="CC48" s="128">
        <v>1</v>
      </c>
      <c r="CD48" s="128">
        <v>1</v>
      </c>
      <c r="CE48" s="128">
        <v>1</v>
      </c>
      <c r="CF48" s="128">
        <v>1</v>
      </c>
      <c r="CG48" s="128">
        <v>1</v>
      </c>
      <c r="CH48" s="128">
        <v>1</v>
      </c>
      <c r="CI48" s="128">
        <v>1</v>
      </c>
      <c r="CJ48" s="128">
        <v>1</v>
      </c>
      <c r="CK48" s="128">
        <v>1</v>
      </c>
      <c r="CL48" s="128">
        <v>1</v>
      </c>
      <c r="CM48" s="128">
        <v>1</v>
      </c>
      <c r="CN48" s="128">
        <v>1</v>
      </c>
      <c r="CO48" s="128">
        <v>1</v>
      </c>
      <c r="CP48" s="128">
        <v>1</v>
      </c>
      <c r="CQ48" s="128">
        <v>1</v>
      </c>
      <c r="CR48" s="128">
        <v>1</v>
      </c>
      <c r="CS48" s="128">
        <v>1</v>
      </c>
      <c r="CT48" s="128">
        <v>1</v>
      </c>
      <c r="CU48" s="128">
        <v>1</v>
      </c>
      <c r="CV48" s="128">
        <v>1</v>
      </c>
      <c r="CW48" s="128">
        <v>1</v>
      </c>
      <c r="CX48" s="128">
        <v>1</v>
      </c>
      <c r="CZ48" s="126">
        <f>SUMIF(MatrixF0[[1]:[2]],MatrixF0[[#This Row],[Столбец1]])/MatrixF0[[#This Row],[Столбец1]]</f>
        <v>0</v>
      </c>
    </row>
    <row r="49" spans="1:104" ht="21" customHeight="1" x14ac:dyDescent="0.25">
      <c r="A49" s="127">
        <v>1.46</v>
      </c>
      <c r="B49" s="128">
        <v>1</v>
      </c>
      <c r="C49" s="128">
        <v>1</v>
      </c>
      <c r="D49" s="128">
        <v>1</v>
      </c>
      <c r="E49" s="128">
        <v>1</v>
      </c>
      <c r="F49" s="128">
        <v>1</v>
      </c>
      <c r="G49" s="128">
        <v>1</v>
      </c>
      <c r="H49" s="128">
        <v>1</v>
      </c>
      <c r="I49" s="128">
        <v>1</v>
      </c>
      <c r="J49" s="128">
        <v>1</v>
      </c>
      <c r="K49" s="128">
        <v>1</v>
      </c>
      <c r="L49" s="128">
        <v>1</v>
      </c>
      <c r="M49" s="128">
        <v>1</v>
      </c>
      <c r="N49" s="128">
        <v>1</v>
      </c>
      <c r="O49" s="128">
        <v>1</v>
      </c>
      <c r="P49" s="128">
        <v>1</v>
      </c>
      <c r="Q49" s="128">
        <v>1</v>
      </c>
      <c r="R49" s="128">
        <v>1</v>
      </c>
      <c r="S49" s="128">
        <v>1</v>
      </c>
      <c r="T49" s="128">
        <v>1</v>
      </c>
      <c r="U49" s="128">
        <v>1</v>
      </c>
      <c r="V49" s="128">
        <v>1</v>
      </c>
      <c r="W49" s="128">
        <v>1</v>
      </c>
      <c r="X49" s="128">
        <v>1</v>
      </c>
      <c r="Y49" s="128">
        <v>1</v>
      </c>
      <c r="Z49" s="128">
        <v>1</v>
      </c>
      <c r="AA49" s="128">
        <v>1</v>
      </c>
      <c r="AB49" s="128">
        <v>1</v>
      </c>
      <c r="AC49" s="128">
        <v>1</v>
      </c>
      <c r="AD49" s="128">
        <v>1</v>
      </c>
      <c r="AE49" s="128">
        <v>1</v>
      </c>
      <c r="AF49" s="128">
        <v>1</v>
      </c>
      <c r="AG49" s="128">
        <v>1</v>
      </c>
      <c r="AH49" s="128">
        <v>1</v>
      </c>
      <c r="AI49" s="128">
        <v>1</v>
      </c>
      <c r="AJ49" s="128">
        <v>1</v>
      </c>
      <c r="AK49" s="128">
        <v>1</v>
      </c>
      <c r="AL49" s="128">
        <v>1</v>
      </c>
      <c r="AM49" s="128">
        <v>1</v>
      </c>
      <c r="AN49" s="128">
        <v>1</v>
      </c>
      <c r="AO49" s="128">
        <v>1</v>
      </c>
      <c r="AP49" s="128">
        <v>1</v>
      </c>
      <c r="AQ49" s="128">
        <v>1</v>
      </c>
      <c r="AR49" s="128">
        <v>1</v>
      </c>
      <c r="AS49" s="128">
        <v>1</v>
      </c>
      <c r="AT49" s="128">
        <v>1</v>
      </c>
      <c r="AU49" s="128">
        <v>1</v>
      </c>
      <c r="AV49" s="128">
        <v>1</v>
      </c>
      <c r="AW49" s="128">
        <v>1</v>
      </c>
      <c r="AX49" s="128">
        <v>1</v>
      </c>
      <c r="AY49" s="128">
        <v>1</v>
      </c>
      <c r="AZ49" s="128">
        <v>1</v>
      </c>
      <c r="BA49" s="128">
        <v>1</v>
      </c>
      <c r="BB49" s="128">
        <v>1</v>
      </c>
      <c r="BC49" s="128">
        <v>1</v>
      </c>
      <c r="BD49" s="128">
        <v>1</v>
      </c>
      <c r="BE49" s="128">
        <v>1</v>
      </c>
      <c r="BF49" s="128">
        <v>1</v>
      </c>
      <c r="BG49" s="128">
        <v>1</v>
      </c>
      <c r="BH49" s="128">
        <v>1</v>
      </c>
      <c r="BI49" s="128">
        <v>1</v>
      </c>
      <c r="BJ49" s="128">
        <v>1</v>
      </c>
      <c r="BK49" s="128">
        <v>1</v>
      </c>
      <c r="BL49" s="128">
        <v>1</v>
      </c>
      <c r="BM49" s="128">
        <v>1</v>
      </c>
      <c r="BN49" s="128">
        <v>1</v>
      </c>
      <c r="BO49" s="128">
        <v>1</v>
      </c>
      <c r="BP49" s="128">
        <v>1</v>
      </c>
      <c r="BQ49" s="128">
        <v>1</v>
      </c>
      <c r="BR49" s="128">
        <v>1</v>
      </c>
      <c r="BS49" s="128">
        <v>1</v>
      </c>
      <c r="BT49" s="128">
        <v>1</v>
      </c>
      <c r="BU49" s="128">
        <v>1</v>
      </c>
      <c r="BV49" s="128">
        <v>1</v>
      </c>
      <c r="BW49" s="128">
        <v>1</v>
      </c>
      <c r="BX49" s="128">
        <v>1</v>
      </c>
      <c r="BY49" s="128">
        <v>1</v>
      </c>
      <c r="BZ49" s="128">
        <v>1</v>
      </c>
      <c r="CA49" s="128">
        <v>1</v>
      </c>
      <c r="CB49" s="128">
        <v>1</v>
      </c>
      <c r="CC49" s="128">
        <v>1</v>
      </c>
      <c r="CD49" s="128">
        <v>1</v>
      </c>
      <c r="CE49" s="128">
        <v>1</v>
      </c>
      <c r="CF49" s="128">
        <v>1</v>
      </c>
      <c r="CG49" s="128">
        <v>1</v>
      </c>
      <c r="CH49" s="128">
        <v>1</v>
      </c>
      <c r="CI49" s="128">
        <v>1</v>
      </c>
      <c r="CJ49" s="128">
        <v>1</v>
      </c>
      <c r="CK49" s="128">
        <v>1</v>
      </c>
      <c r="CL49" s="128">
        <v>1</v>
      </c>
      <c r="CM49" s="128">
        <v>1</v>
      </c>
      <c r="CN49" s="128">
        <v>1</v>
      </c>
      <c r="CO49" s="128">
        <v>1</v>
      </c>
      <c r="CP49" s="128">
        <v>1</v>
      </c>
      <c r="CQ49" s="128">
        <v>1</v>
      </c>
      <c r="CR49" s="128">
        <v>1</v>
      </c>
      <c r="CS49" s="128">
        <v>1</v>
      </c>
      <c r="CT49" s="128">
        <v>1</v>
      </c>
      <c r="CU49" s="128">
        <v>1</v>
      </c>
      <c r="CV49" s="128">
        <v>1</v>
      </c>
      <c r="CW49" s="128">
        <v>1</v>
      </c>
      <c r="CX49" s="128">
        <v>1</v>
      </c>
      <c r="CZ49" s="126">
        <f>SUMIF(MatrixF0[[1]:[2]],MatrixF0[[#This Row],[Столбец1]])/MatrixF0[[#This Row],[Столбец1]]</f>
        <v>0</v>
      </c>
    </row>
    <row r="50" spans="1:104" ht="21" customHeight="1" x14ac:dyDescent="0.25">
      <c r="A50" s="127">
        <v>1.47</v>
      </c>
      <c r="B50" s="128">
        <v>1</v>
      </c>
      <c r="C50" s="128">
        <v>1</v>
      </c>
      <c r="D50" s="128">
        <v>1</v>
      </c>
      <c r="E50" s="128">
        <v>1</v>
      </c>
      <c r="F50" s="128">
        <v>1</v>
      </c>
      <c r="G50" s="128">
        <v>1</v>
      </c>
      <c r="H50" s="128">
        <v>1</v>
      </c>
      <c r="I50" s="128">
        <v>1</v>
      </c>
      <c r="J50" s="128">
        <v>1</v>
      </c>
      <c r="K50" s="128">
        <v>1</v>
      </c>
      <c r="L50" s="128">
        <v>1</v>
      </c>
      <c r="M50" s="128">
        <v>1</v>
      </c>
      <c r="N50" s="128">
        <v>1</v>
      </c>
      <c r="O50" s="128">
        <v>1</v>
      </c>
      <c r="P50" s="128">
        <v>1</v>
      </c>
      <c r="Q50" s="128">
        <v>1</v>
      </c>
      <c r="R50" s="128">
        <v>1</v>
      </c>
      <c r="S50" s="128">
        <v>1</v>
      </c>
      <c r="T50" s="128">
        <v>1</v>
      </c>
      <c r="U50" s="128">
        <v>1</v>
      </c>
      <c r="V50" s="128">
        <v>1</v>
      </c>
      <c r="W50" s="128">
        <v>1</v>
      </c>
      <c r="X50" s="128">
        <v>1</v>
      </c>
      <c r="Y50" s="128">
        <v>1</v>
      </c>
      <c r="Z50" s="128">
        <v>1</v>
      </c>
      <c r="AA50" s="128">
        <v>1</v>
      </c>
      <c r="AB50" s="128">
        <v>1</v>
      </c>
      <c r="AC50" s="128">
        <v>1</v>
      </c>
      <c r="AD50" s="128">
        <v>1</v>
      </c>
      <c r="AE50" s="128">
        <v>1</v>
      </c>
      <c r="AF50" s="128">
        <v>1</v>
      </c>
      <c r="AG50" s="128">
        <v>1</v>
      </c>
      <c r="AH50" s="128">
        <v>1</v>
      </c>
      <c r="AI50" s="128">
        <v>1</v>
      </c>
      <c r="AJ50" s="128">
        <v>1</v>
      </c>
      <c r="AK50" s="128">
        <v>1</v>
      </c>
      <c r="AL50" s="128">
        <v>1</v>
      </c>
      <c r="AM50" s="128">
        <v>1</v>
      </c>
      <c r="AN50" s="128">
        <v>1</v>
      </c>
      <c r="AO50" s="128">
        <v>1</v>
      </c>
      <c r="AP50" s="128">
        <v>1</v>
      </c>
      <c r="AQ50" s="128">
        <v>1</v>
      </c>
      <c r="AR50" s="128">
        <v>1</v>
      </c>
      <c r="AS50" s="128">
        <v>1</v>
      </c>
      <c r="AT50" s="128">
        <v>1</v>
      </c>
      <c r="AU50" s="128">
        <v>1</v>
      </c>
      <c r="AV50" s="128">
        <v>1</v>
      </c>
      <c r="AW50" s="128">
        <v>1</v>
      </c>
      <c r="AX50" s="128">
        <v>1</v>
      </c>
      <c r="AY50" s="128">
        <v>1</v>
      </c>
      <c r="AZ50" s="128">
        <v>1</v>
      </c>
      <c r="BA50" s="128">
        <v>1</v>
      </c>
      <c r="BB50" s="128">
        <v>1</v>
      </c>
      <c r="BC50" s="128">
        <v>1</v>
      </c>
      <c r="BD50" s="128">
        <v>1</v>
      </c>
      <c r="BE50" s="128">
        <v>1</v>
      </c>
      <c r="BF50" s="128">
        <v>1</v>
      </c>
      <c r="BG50" s="128">
        <v>1</v>
      </c>
      <c r="BH50" s="128">
        <v>1</v>
      </c>
      <c r="BI50" s="128">
        <v>1</v>
      </c>
      <c r="BJ50" s="128">
        <v>1</v>
      </c>
      <c r="BK50" s="128">
        <v>1</v>
      </c>
      <c r="BL50" s="128">
        <v>1</v>
      </c>
      <c r="BM50" s="128">
        <v>1</v>
      </c>
      <c r="BN50" s="128">
        <v>1</v>
      </c>
      <c r="BO50" s="128">
        <v>1</v>
      </c>
      <c r="BP50" s="128">
        <v>1</v>
      </c>
      <c r="BQ50" s="128">
        <v>1</v>
      </c>
      <c r="BR50" s="128">
        <v>1</v>
      </c>
      <c r="BS50" s="128">
        <v>1</v>
      </c>
      <c r="BT50" s="128">
        <v>1</v>
      </c>
      <c r="BU50" s="128">
        <v>1</v>
      </c>
      <c r="BV50" s="128">
        <v>1</v>
      </c>
      <c r="BW50" s="128">
        <v>1</v>
      </c>
      <c r="BX50" s="128">
        <v>1</v>
      </c>
      <c r="BY50" s="128">
        <v>1</v>
      </c>
      <c r="BZ50" s="128">
        <v>1</v>
      </c>
      <c r="CA50" s="128">
        <v>1</v>
      </c>
      <c r="CB50" s="128">
        <v>1</v>
      </c>
      <c r="CC50" s="128">
        <v>1</v>
      </c>
      <c r="CD50" s="128">
        <v>1</v>
      </c>
      <c r="CE50" s="128">
        <v>1</v>
      </c>
      <c r="CF50" s="128">
        <v>1</v>
      </c>
      <c r="CG50" s="128">
        <v>1</v>
      </c>
      <c r="CH50" s="128">
        <v>1</v>
      </c>
      <c r="CI50" s="128">
        <v>1</v>
      </c>
      <c r="CJ50" s="128">
        <v>1</v>
      </c>
      <c r="CK50" s="128">
        <v>1</v>
      </c>
      <c r="CL50" s="128">
        <v>1</v>
      </c>
      <c r="CM50" s="128">
        <v>1</v>
      </c>
      <c r="CN50" s="128">
        <v>1</v>
      </c>
      <c r="CO50" s="128">
        <v>1</v>
      </c>
      <c r="CP50" s="128">
        <v>1</v>
      </c>
      <c r="CQ50" s="128">
        <v>1</v>
      </c>
      <c r="CR50" s="128">
        <v>1</v>
      </c>
      <c r="CS50" s="128">
        <v>1</v>
      </c>
      <c r="CT50" s="128">
        <v>1</v>
      </c>
      <c r="CU50" s="128">
        <v>1</v>
      </c>
      <c r="CV50" s="128">
        <v>1</v>
      </c>
      <c r="CW50" s="128">
        <v>1</v>
      </c>
      <c r="CX50" s="128">
        <v>1</v>
      </c>
      <c r="CZ50" s="126">
        <f>SUMIF(MatrixF0[[1]:[2]],MatrixF0[[#This Row],[Столбец1]])/MatrixF0[[#This Row],[Столбец1]]</f>
        <v>0</v>
      </c>
    </row>
    <row r="51" spans="1:104" ht="21" customHeight="1" x14ac:dyDescent="0.25">
      <c r="A51" s="127">
        <v>1.48</v>
      </c>
      <c r="B51" s="128">
        <v>1</v>
      </c>
      <c r="C51" s="128">
        <v>1</v>
      </c>
      <c r="D51" s="128">
        <v>1</v>
      </c>
      <c r="E51" s="128">
        <v>1</v>
      </c>
      <c r="F51" s="128">
        <v>1</v>
      </c>
      <c r="G51" s="128">
        <v>1</v>
      </c>
      <c r="H51" s="128">
        <v>1</v>
      </c>
      <c r="I51" s="128">
        <v>1</v>
      </c>
      <c r="J51" s="128">
        <v>1</v>
      </c>
      <c r="K51" s="128">
        <v>1</v>
      </c>
      <c r="L51" s="128">
        <v>1</v>
      </c>
      <c r="M51" s="128">
        <v>1</v>
      </c>
      <c r="N51" s="128">
        <v>1</v>
      </c>
      <c r="O51" s="128">
        <v>1</v>
      </c>
      <c r="P51" s="128">
        <v>1</v>
      </c>
      <c r="Q51" s="128">
        <v>1</v>
      </c>
      <c r="R51" s="128">
        <v>1</v>
      </c>
      <c r="S51" s="128">
        <v>1</v>
      </c>
      <c r="T51" s="128">
        <v>1</v>
      </c>
      <c r="U51" s="128">
        <v>1</v>
      </c>
      <c r="V51" s="128">
        <v>1</v>
      </c>
      <c r="W51" s="128">
        <v>1</v>
      </c>
      <c r="X51" s="128">
        <v>1</v>
      </c>
      <c r="Y51" s="128">
        <v>1</v>
      </c>
      <c r="Z51" s="128">
        <v>1</v>
      </c>
      <c r="AA51" s="128">
        <v>1</v>
      </c>
      <c r="AB51" s="128">
        <v>1</v>
      </c>
      <c r="AC51" s="128">
        <v>1</v>
      </c>
      <c r="AD51" s="128">
        <v>1</v>
      </c>
      <c r="AE51" s="128">
        <v>1</v>
      </c>
      <c r="AF51" s="128">
        <v>1</v>
      </c>
      <c r="AG51" s="128">
        <v>1</v>
      </c>
      <c r="AH51" s="128">
        <v>1</v>
      </c>
      <c r="AI51" s="128">
        <v>1</v>
      </c>
      <c r="AJ51" s="128">
        <v>1</v>
      </c>
      <c r="AK51" s="128">
        <v>1</v>
      </c>
      <c r="AL51" s="128">
        <v>1</v>
      </c>
      <c r="AM51" s="128">
        <v>1</v>
      </c>
      <c r="AN51" s="128">
        <v>1</v>
      </c>
      <c r="AO51" s="128">
        <v>1</v>
      </c>
      <c r="AP51" s="128">
        <v>1</v>
      </c>
      <c r="AQ51" s="128">
        <v>1</v>
      </c>
      <c r="AR51" s="128">
        <v>1</v>
      </c>
      <c r="AS51" s="128">
        <v>1</v>
      </c>
      <c r="AT51" s="128">
        <v>1</v>
      </c>
      <c r="AU51" s="128">
        <v>1</v>
      </c>
      <c r="AV51" s="128">
        <v>1</v>
      </c>
      <c r="AW51" s="128">
        <v>1</v>
      </c>
      <c r="AX51" s="128">
        <v>1</v>
      </c>
      <c r="AY51" s="128">
        <v>1</v>
      </c>
      <c r="AZ51" s="128">
        <v>1</v>
      </c>
      <c r="BA51" s="128">
        <v>1</v>
      </c>
      <c r="BB51" s="128">
        <v>1</v>
      </c>
      <c r="BC51" s="128">
        <v>1</v>
      </c>
      <c r="BD51" s="128">
        <v>1</v>
      </c>
      <c r="BE51" s="128">
        <v>1</v>
      </c>
      <c r="BF51" s="128">
        <v>1</v>
      </c>
      <c r="BG51" s="128">
        <v>1</v>
      </c>
      <c r="BH51" s="128">
        <v>1</v>
      </c>
      <c r="BI51" s="128">
        <v>1</v>
      </c>
      <c r="BJ51" s="128">
        <v>1</v>
      </c>
      <c r="BK51" s="128">
        <v>1</v>
      </c>
      <c r="BL51" s="128">
        <v>1</v>
      </c>
      <c r="BM51" s="128">
        <v>1</v>
      </c>
      <c r="BN51" s="128">
        <v>1</v>
      </c>
      <c r="BO51" s="128">
        <v>1</v>
      </c>
      <c r="BP51" s="128">
        <v>1</v>
      </c>
      <c r="BQ51" s="128">
        <v>1</v>
      </c>
      <c r="BR51" s="128">
        <v>1</v>
      </c>
      <c r="BS51" s="128">
        <v>1</v>
      </c>
      <c r="BT51" s="128">
        <v>1</v>
      </c>
      <c r="BU51" s="128">
        <v>1</v>
      </c>
      <c r="BV51" s="128">
        <v>1</v>
      </c>
      <c r="BW51" s="128">
        <v>1</v>
      </c>
      <c r="BX51" s="128">
        <v>1</v>
      </c>
      <c r="BY51" s="128">
        <v>1</v>
      </c>
      <c r="BZ51" s="128">
        <v>1</v>
      </c>
      <c r="CA51" s="128">
        <v>1</v>
      </c>
      <c r="CB51" s="128">
        <v>1</v>
      </c>
      <c r="CC51" s="128">
        <v>1</v>
      </c>
      <c r="CD51" s="128">
        <v>1</v>
      </c>
      <c r="CE51" s="128">
        <v>1</v>
      </c>
      <c r="CF51" s="128">
        <v>1</v>
      </c>
      <c r="CG51" s="128">
        <v>1</v>
      </c>
      <c r="CH51" s="128">
        <v>1</v>
      </c>
      <c r="CI51" s="128">
        <v>1</v>
      </c>
      <c r="CJ51" s="128">
        <v>1</v>
      </c>
      <c r="CK51" s="128">
        <v>1</v>
      </c>
      <c r="CL51" s="128">
        <v>1</v>
      </c>
      <c r="CM51" s="128">
        <v>1</v>
      </c>
      <c r="CN51" s="128">
        <v>1</v>
      </c>
      <c r="CO51" s="128">
        <v>1</v>
      </c>
      <c r="CP51" s="128">
        <v>1</v>
      </c>
      <c r="CQ51" s="128">
        <v>1</v>
      </c>
      <c r="CR51" s="128">
        <v>1</v>
      </c>
      <c r="CS51" s="128">
        <v>1</v>
      </c>
      <c r="CT51" s="128">
        <v>1</v>
      </c>
      <c r="CU51" s="128">
        <v>1</v>
      </c>
      <c r="CV51" s="128">
        <v>1</v>
      </c>
      <c r="CW51" s="128">
        <v>1</v>
      </c>
      <c r="CX51" s="128">
        <v>1</v>
      </c>
      <c r="CZ51" s="126">
        <f>SUMIF(MatrixF0[[1]:[2]],MatrixF0[[#This Row],[Столбец1]])/MatrixF0[[#This Row],[Столбец1]]</f>
        <v>0</v>
      </c>
    </row>
    <row r="52" spans="1:104" ht="21" customHeight="1" x14ac:dyDescent="0.25">
      <c r="A52" s="127">
        <v>1.49</v>
      </c>
      <c r="B52" s="128">
        <v>1</v>
      </c>
      <c r="C52" s="128">
        <v>1</v>
      </c>
      <c r="D52" s="128">
        <v>1</v>
      </c>
      <c r="E52" s="128">
        <v>1</v>
      </c>
      <c r="F52" s="128">
        <v>1</v>
      </c>
      <c r="G52" s="128">
        <v>1</v>
      </c>
      <c r="H52" s="128">
        <v>1</v>
      </c>
      <c r="I52" s="128">
        <v>1</v>
      </c>
      <c r="J52" s="128">
        <v>1</v>
      </c>
      <c r="K52" s="128">
        <v>1</v>
      </c>
      <c r="L52" s="128">
        <v>1</v>
      </c>
      <c r="M52" s="128">
        <v>1</v>
      </c>
      <c r="N52" s="128">
        <v>1</v>
      </c>
      <c r="O52" s="128">
        <v>1</v>
      </c>
      <c r="P52" s="128">
        <v>1</v>
      </c>
      <c r="Q52" s="128">
        <v>1</v>
      </c>
      <c r="R52" s="128">
        <v>1</v>
      </c>
      <c r="S52" s="128">
        <v>1</v>
      </c>
      <c r="T52" s="128">
        <v>1</v>
      </c>
      <c r="U52" s="128">
        <v>1</v>
      </c>
      <c r="V52" s="128">
        <v>1</v>
      </c>
      <c r="W52" s="128">
        <v>1</v>
      </c>
      <c r="X52" s="128">
        <v>1</v>
      </c>
      <c r="Y52" s="128">
        <v>1</v>
      </c>
      <c r="Z52" s="128">
        <v>1</v>
      </c>
      <c r="AA52" s="128">
        <v>1</v>
      </c>
      <c r="AB52" s="128">
        <v>1</v>
      </c>
      <c r="AC52" s="128">
        <v>1</v>
      </c>
      <c r="AD52" s="128">
        <v>1</v>
      </c>
      <c r="AE52" s="128">
        <v>1</v>
      </c>
      <c r="AF52" s="128">
        <v>1</v>
      </c>
      <c r="AG52" s="128">
        <v>1</v>
      </c>
      <c r="AH52" s="128">
        <v>1</v>
      </c>
      <c r="AI52" s="128">
        <v>1</v>
      </c>
      <c r="AJ52" s="128">
        <v>1</v>
      </c>
      <c r="AK52" s="128">
        <v>1</v>
      </c>
      <c r="AL52" s="128">
        <v>1</v>
      </c>
      <c r="AM52" s="128">
        <v>1</v>
      </c>
      <c r="AN52" s="128">
        <v>1</v>
      </c>
      <c r="AO52" s="128">
        <v>1</v>
      </c>
      <c r="AP52" s="128">
        <v>1</v>
      </c>
      <c r="AQ52" s="128">
        <v>1</v>
      </c>
      <c r="AR52" s="128">
        <v>1</v>
      </c>
      <c r="AS52" s="128">
        <v>1</v>
      </c>
      <c r="AT52" s="128">
        <v>1</v>
      </c>
      <c r="AU52" s="128">
        <v>1</v>
      </c>
      <c r="AV52" s="128">
        <v>1</v>
      </c>
      <c r="AW52" s="128">
        <v>1</v>
      </c>
      <c r="AX52" s="128">
        <v>1</v>
      </c>
      <c r="AY52" s="128">
        <v>1</v>
      </c>
      <c r="AZ52" s="128">
        <v>1</v>
      </c>
      <c r="BA52" s="128">
        <v>1</v>
      </c>
      <c r="BB52" s="128">
        <v>1</v>
      </c>
      <c r="BC52" s="128">
        <v>1</v>
      </c>
      <c r="BD52" s="128">
        <v>1</v>
      </c>
      <c r="BE52" s="128">
        <v>1</v>
      </c>
      <c r="BF52" s="128">
        <v>1</v>
      </c>
      <c r="BG52" s="128">
        <v>1</v>
      </c>
      <c r="BH52" s="128">
        <v>1</v>
      </c>
      <c r="BI52" s="128">
        <v>1</v>
      </c>
      <c r="BJ52" s="128">
        <v>1</v>
      </c>
      <c r="BK52" s="128">
        <v>1</v>
      </c>
      <c r="BL52" s="128">
        <v>1</v>
      </c>
      <c r="BM52" s="128">
        <v>1</v>
      </c>
      <c r="BN52" s="128">
        <v>1</v>
      </c>
      <c r="BO52" s="128">
        <v>1</v>
      </c>
      <c r="BP52" s="128">
        <v>1</v>
      </c>
      <c r="BQ52" s="128">
        <v>1</v>
      </c>
      <c r="BR52" s="128">
        <v>1</v>
      </c>
      <c r="BS52" s="128">
        <v>1</v>
      </c>
      <c r="BT52" s="128">
        <v>1</v>
      </c>
      <c r="BU52" s="128">
        <v>1</v>
      </c>
      <c r="BV52" s="128">
        <v>1</v>
      </c>
      <c r="BW52" s="128">
        <v>1</v>
      </c>
      <c r="BX52" s="128">
        <v>1</v>
      </c>
      <c r="BY52" s="128">
        <v>1</v>
      </c>
      <c r="BZ52" s="128">
        <v>1</v>
      </c>
      <c r="CA52" s="128">
        <v>1</v>
      </c>
      <c r="CB52" s="128">
        <v>1</v>
      </c>
      <c r="CC52" s="128">
        <v>1</v>
      </c>
      <c r="CD52" s="128">
        <v>1</v>
      </c>
      <c r="CE52" s="128">
        <v>1</v>
      </c>
      <c r="CF52" s="128">
        <v>1</v>
      </c>
      <c r="CG52" s="128">
        <v>1</v>
      </c>
      <c r="CH52" s="128">
        <v>1</v>
      </c>
      <c r="CI52" s="128">
        <v>1</v>
      </c>
      <c r="CJ52" s="128">
        <v>1</v>
      </c>
      <c r="CK52" s="128">
        <v>1</v>
      </c>
      <c r="CL52" s="128">
        <v>1</v>
      </c>
      <c r="CM52" s="128">
        <v>1</v>
      </c>
      <c r="CN52" s="128">
        <v>1</v>
      </c>
      <c r="CO52" s="128">
        <v>1</v>
      </c>
      <c r="CP52" s="128">
        <v>1</v>
      </c>
      <c r="CQ52" s="128">
        <v>1</v>
      </c>
      <c r="CR52" s="128">
        <v>1</v>
      </c>
      <c r="CS52" s="128">
        <v>1</v>
      </c>
      <c r="CT52" s="128">
        <v>1</v>
      </c>
      <c r="CU52" s="128">
        <v>1</v>
      </c>
      <c r="CV52" s="128">
        <v>1</v>
      </c>
      <c r="CW52" s="128">
        <v>1</v>
      </c>
      <c r="CX52" s="128">
        <v>1</v>
      </c>
      <c r="CZ52" s="126">
        <f>SUMIF(MatrixF0[[1]:[2]],MatrixF0[[#This Row],[Столбец1]])/MatrixF0[[#This Row],[Столбец1]]</f>
        <v>0</v>
      </c>
    </row>
    <row r="53" spans="1:104" ht="21" customHeight="1" x14ac:dyDescent="0.25">
      <c r="A53" s="127">
        <v>1.5</v>
      </c>
      <c r="B53" s="128">
        <v>1</v>
      </c>
      <c r="C53" s="128">
        <v>1</v>
      </c>
      <c r="D53" s="128">
        <v>1</v>
      </c>
      <c r="E53" s="128">
        <v>1</v>
      </c>
      <c r="F53" s="128">
        <v>1</v>
      </c>
      <c r="G53" s="128">
        <v>1</v>
      </c>
      <c r="H53" s="128">
        <v>1</v>
      </c>
      <c r="I53" s="128">
        <v>1</v>
      </c>
      <c r="J53" s="128">
        <v>1</v>
      </c>
      <c r="K53" s="128">
        <v>1</v>
      </c>
      <c r="L53" s="128">
        <v>1</v>
      </c>
      <c r="M53" s="128">
        <v>1</v>
      </c>
      <c r="N53" s="128">
        <v>1</v>
      </c>
      <c r="O53" s="128">
        <v>1</v>
      </c>
      <c r="P53" s="128">
        <v>1</v>
      </c>
      <c r="Q53" s="128">
        <v>1</v>
      </c>
      <c r="R53" s="128">
        <v>1</v>
      </c>
      <c r="S53" s="128">
        <v>1</v>
      </c>
      <c r="T53" s="128">
        <v>1</v>
      </c>
      <c r="U53" s="128">
        <v>1</v>
      </c>
      <c r="V53" s="128">
        <v>1</v>
      </c>
      <c r="W53" s="128">
        <v>1</v>
      </c>
      <c r="X53" s="128">
        <v>1</v>
      </c>
      <c r="Y53" s="128">
        <v>1</v>
      </c>
      <c r="Z53" s="128">
        <v>1</v>
      </c>
      <c r="AA53" s="128">
        <v>1</v>
      </c>
      <c r="AB53" s="128">
        <v>1</v>
      </c>
      <c r="AC53" s="128">
        <v>1</v>
      </c>
      <c r="AD53" s="128">
        <v>1</v>
      </c>
      <c r="AE53" s="128">
        <v>1</v>
      </c>
      <c r="AF53" s="128">
        <v>1</v>
      </c>
      <c r="AG53" s="128">
        <v>1</v>
      </c>
      <c r="AH53" s="128">
        <v>1</v>
      </c>
      <c r="AI53" s="128">
        <v>1</v>
      </c>
      <c r="AJ53" s="128">
        <v>1</v>
      </c>
      <c r="AK53" s="128">
        <v>1</v>
      </c>
      <c r="AL53" s="128">
        <v>1</v>
      </c>
      <c r="AM53" s="128">
        <v>1</v>
      </c>
      <c r="AN53" s="128">
        <v>1</v>
      </c>
      <c r="AO53" s="128">
        <v>1</v>
      </c>
      <c r="AP53" s="128">
        <v>1</v>
      </c>
      <c r="AQ53" s="128">
        <v>1</v>
      </c>
      <c r="AR53" s="128">
        <v>1</v>
      </c>
      <c r="AS53" s="128">
        <v>1</v>
      </c>
      <c r="AT53" s="128">
        <v>1</v>
      </c>
      <c r="AU53" s="128">
        <v>1</v>
      </c>
      <c r="AV53" s="128">
        <v>1</v>
      </c>
      <c r="AW53" s="128">
        <v>1</v>
      </c>
      <c r="AX53" s="128">
        <v>1</v>
      </c>
      <c r="AY53" s="128">
        <v>1</v>
      </c>
      <c r="AZ53" s="128">
        <v>1</v>
      </c>
      <c r="BA53" s="128">
        <v>1</v>
      </c>
      <c r="BB53" s="128">
        <v>1</v>
      </c>
      <c r="BC53" s="128">
        <v>1</v>
      </c>
      <c r="BD53" s="128">
        <v>1</v>
      </c>
      <c r="BE53" s="128">
        <v>1</v>
      </c>
      <c r="BF53" s="128">
        <v>1</v>
      </c>
      <c r="BG53" s="128">
        <v>1</v>
      </c>
      <c r="BH53" s="128">
        <v>1</v>
      </c>
      <c r="BI53" s="128">
        <v>1</v>
      </c>
      <c r="BJ53" s="128">
        <v>1</v>
      </c>
      <c r="BK53" s="128">
        <v>1</v>
      </c>
      <c r="BL53" s="128">
        <v>1</v>
      </c>
      <c r="BM53" s="128">
        <v>1</v>
      </c>
      <c r="BN53" s="128">
        <v>1</v>
      </c>
      <c r="BO53" s="128">
        <v>1</v>
      </c>
      <c r="BP53" s="128">
        <v>1</v>
      </c>
      <c r="BQ53" s="128">
        <v>1</v>
      </c>
      <c r="BR53" s="128">
        <v>1</v>
      </c>
      <c r="BS53" s="128">
        <v>1</v>
      </c>
      <c r="BT53" s="128">
        <v>1</v>
      </c>
      <c r="BU53" s="128">
        <v>1</v>
      </c>
      <c r="BV53" s="128">
        <v>1</v>
      </c>
      <c r="BW53" s="128">
        <v>1</v>
      </c>
      <c r="BX53" s="128">
        <v>1</v>
      </c>
      <c r="BY53" s="128">
        <v>1</v>
      </c>
      <c r="BZ53" s="128">
        <v>1</v>
      </c>
      <c r="CA53" s="128">
        <v>1</v>
      </c>
      <c r="CB53" s="128">
        <v>1</v>
      </c>
      <c r="CC53" s="128">
        <v>1</v>
      </c>
      <c r="CD53" s="128">
        <v>1</v>
      </c>
      <c r="CE53" s="128">
        <v>1</v>
      </c>
      <c r="CF53" s="128">
        <v>1</v>
      </c>
      <c r="CG53" s="128">
        <v>1</v>
      </c>
      <c r="CH53" s="128">
        <v>1</v>
      </c>
      <c r="CI53" s="128">
        <v>1</v>
      </c>
      <c r="CJ53" s="128">
        <v>1</v>
      </c>
      <c r="CK53" s="128">
        <v>1</v>
      </c>
      <c r="CL53" s="128">
        <v>1</v>
      </c>
      <c r="CM53" s="128">
        <v>1</v>
      </c>
      <c r="CN53" s="128">
        <v>1</v>
      </c>
      <c r="CO53" s="128">
        <v>1</v>
      </c>
      <c r="CP53" s="128">
        <v>1</v>
      </c>
      <c r="CQ53" s="128">
        <v>1</v>
      </c>
      <c r="CR53" s="128">
        <v>1</v>
      </c>
      <c r="CS53" s="128">
        <v>1</v>
      </c>
      <c r="CT53" s="128">
        <v>1</v>
      </c>
      <c r="CU53" s="128">
        <v>1</v>
      </c>
      <c r="CV53" s="128">
        <v>1</v>
      </c>
      <c r="CW53" s="128">
        <v>1</v>
      </c>
      <c r="CX53" s="128">
        <v>1</v>
      </c>
      <c r="CZ53" s="126">
        <f>SUMIF(MatrixF0[[1]:[2]],MatrixF0[[#This Row],[Столбец1]])/MatrixF0[[#This Row],[Столбец1]]</f>
        <v>0</v>
      </c>
    </row>
    <row r="54" spans="1:104" ht="21" customHeight="1" x14ac:dyDescent="0.25">
      <c r="A54" s="127">
        <v>1.51</v>
      </c>
      <c r="B54" s="128">
        <v>1</v>
      </c>
      <c r="C54" s="128">
        <v>1</v>
      </c>
      <c r="D54" s="128">
        <v>1</v>
      </c>
      <c r="E54" s="128">
        <v>1</v>
      </c>
      <c r="F54" s="128">
        <v>1</v>
      </c>
      <c r="G54" s="128">
        <v>1</v>
      </c>
      <c r="H54" s="128">
        <v>1</v>
      </c>
      <c r="I54" s="128">
        <v>1</v>
      </c>
      <c r="J54" s="128">
        <v>1</v>
      </c>
      <c r="K54" s="128">
        <v>1</v>
      </c>
      <c r="L54" s="128">
        <v>1</v>
      </c>
      <c r="M54" s="128">
        <v>1</v>
      </c>
      <c r="N54" s="128">
        <v>1</v>
      </c>
      <c r="O54" s="128">
        <v>1</v>
      </c>
      <c r="P54" s="128">
        <v>1</v>
      </c>
      <c r="Q54" s="128">
        <v>1</v>
      </c>
      <c r="R54" s="128">
        <v>1</v>
      </c>
      <c r="S54" s="128">
        <v>1</v>
      </c>
      <c r="T54" s="128">
        <v>1</v>
      </c>
      <c r="U54" s="128">
        <v>1</v>
      </c>
      <c r="V54" s="128">
        <v>1</v>
      </c>
      <c r="W54" s="128">
        <v>1</v>
      </c>
      <c r="X54" s="128">
        <v>1</v>
      </c>
      <c r="Y54" s="128">
        <v>1</v>
      </c>
      <c r="Z54" s="128">
        <v>1</v>
      </c>
      <c r="AA54" s="128">
        <v>1</v>
      </c>
      <c r="AB54" s="128">
        <v>1</v>
      </c>
      <c r="AC54" s="128">
        <v>1</v>
      </c>
      <c r="AD54" s="128">
        <v>1</v>
      </c>
      <c r="AE54" s="128">
        <v>1</v>
      </c>
      <c r="AF54" s="128">
        <v>1</v>
      </c>
      <c r="AG54" s="128">
        <v>1</v>
      </c>
      <c r="AH54" s="128">
        <v>1</v>
      </c>
      <c r="AI54" s="128">
        <v>1</v>
      </c>
      <c r="AJ54" s="128">
        <v>1</v>
      </c>
      <c r="AK54" s="128">
        <v>1</v>
      </c>
      <c r="AL54" s="128">
        <v>1</v>
      </c>
      <c r="AM54" s="128">
        <v>1</v>
      </c>
      <c r="AN54" s="128">
        <v>1</v>
      </c>
      <c r="AO54" s="128">
        <v>1</v>
      </c>
      <c r="AP54" s="128">
        <v>1</v>
      </c>
      <c r="AQ54" s="128">
        <v>1</v>
      </c>
      <c r="AR54" s="128">
        <v>1</v>
      </c>
      <c r="AS54" s="128">
        <v>1</v>
      </c>
      <c r="AT54" s="128">
        <v>1</v>
      </c>
      <c r="AU54" s="128">
        <v>1</v>
      </c>
      <c r="AV54" s="128">
        <v>1</v>
      </c>
      <c r="AW54" s="128">
        <v>1</v>
      </c>
      <c r="AX54" s="128">
        <v>1</v>
      </c>
      <c r="AY54" s="128">
        <v>1</v>
      </c>
      <c r="AZ54" s="128">
        <v>1</v>
      </c>
      <c r="BA54" s="128">
        <v>1</v>
      </c>
      <c r="BB54" s="128">
        <v>1</v>
      </c>
      <c r="BC54" s="128">
        <v>1</v>
      </c>
      <c r="BD54" s="128">
        <v>1</v>
      </c>
      <c r="BE54" s="128">
        <v>1</v>
      </c>
      <c r="BF54" s="128">
        <v>1</v>
      </c>
      <c r="BG54" s="128">
        <v>1</v>
      </c>
      <c r="BH54" s="128">
        <v>1</v>
      </c>
      <c r="BI54" s="128">
        <v>1</v>
      </c>
      <c r="BJ54" s="128">
        <v>1</v>
      </c>
      <c r="BK54" s="128">
        <v>1</v>
      </c>
      <c r="BL54" s="128">
        <v>1</v>
      </c>
      <c r="BM54" s="128">
        <v>1</v>
      </c>
      <c r="BN54" s="128">
        <v>1</v>
      </c>
      <c r="BO54" s="128">
        <v>1</v>
      </c>
      <c r="BP54" s="128">
        <v>1</v>
      </c>
      <c r="BQ54" s="128">
        <v>1</v>
      </c>
      <c r="BR54" s="128">
        <v>1</v>
      </c>
      <c r="BS54" s="128">
        <v>1</v>
      </c>
      <c r="BT54" s="128">
        <v>1</v>
      </c>
      <c r="BU54" s="128">
        <v>1</v>
      </c>
      <c r="BV54" s="128">
        <v>1</v>
      </c>
      <c r="BW54" s="128">
        <v>1</v>
      </c>
      <c r="BX54" s="128">
        <v>1</v>
      </c>
      <c r="BY54" s="128">
        <v>1</v>
      </c>
      <c r="BZ54" s="128">
        <v>1</v>
      </c>
      <c r="CA54" s="128">
        <v>1</v>
      </c>
      <c r="CB54" s="128">
        <v>1</v>
      </c>
      <c r="CC54" s="128">
        <v>1</v>
      </c>
      <c r="CD54" s="128">
        <v>1</v>
      </c>
      <c r="CE54" s="128">
        <v>1</v>
      </c>
      <c r="CF54" s="128">
        <v>1</v>
      </c>
      <c r="CG54" s="128">
        <v>1</v>
      </c>
      <c r="CH54" s="128">
        <v>1</v>
      </c>
      <c r="CI54" s="128">
        <v>1</v>
      </c>
      <c r="CJ54" s="128">
        <v>1</v>
      </c>
      <c r="CK54" s="128">
        <v>1</v>
      </c>
      <c r="CL54" s="128">
        <v>1</v>
      </c>
      <c r="CM54" s="128">
        <v>1</v>
      </c>
      <c r="CN54" s="128">
        <v>1</v>
      </c>
      <c r="CO54" s="128">
        <v>1</v>
      </c>
      <c r="CP54" s="128">
        <v>1</v>
      </c>
      <c r="CQ54" s="128">
        <v>1</v>
      </c>
      <c r="CR54" s="128">
        <v>1</v>
      </c>
      <c r="CS54" s="128">
        <v>1</v>
      </c>
      <c r="CT54" s="128">
        <v>1</v>
      </c>
      <c r="CU54" s="128">
        <v>1</v>
      </c>
      <c r="CV54" s="128">
        <v>1</v>
      </c>
      <c r="CW54" s="128">
        <v>1</v>
      </c>
      <c r="CX54" s="128">
        <v>1</v>
      </c>
      <c r="CZ54" s="126">
        <f>SUMIF(MatrixF0[[1]:[2]],MatrixF0[[#This Row],[Столбец1]])/MatrixF0[[#This Row],[Столбец1]]</f>
        <v>0</v>
      </c>
    </row>
    <row r="55" spans="1:104" ht="21" customHeight="1" x14ac:dyDescent="0.25">
      <c r="A55" s="127">
        <v>1.52</v>
      </c>
      <c r="B55" s="128">
        <v>1</v>
      </c>
      <c r="C55" s="128">
        <v>1</v>
      </c>
      <c r="D55" s="128">
        <v>1</v>
      </c>
      <c r="E55" s="128">
        <v>1</v>
      </c>
      <c r="F55" s="128">
        <v>1</v>
      </c>
      <c r="G55" s="128">
        <v>1</v>
      </c>
      <c r="H55" s="128">
        <v>1</v>
      </c>
      <c r="I55" s="128">
        <v>1</v>
      </c>
      <c r="J55" s="128">
        <v>1</v>
      </c>
      <c r="K55" s="128">
        <v>1</v>
      </c>
      <c r="L55" s="128">
        <v>1</v>
      </c>
      <c r="M55" s="128">
        <v>1</v>
      </c>
      <c r="N55" s="128">
        <v>1</v>
      </c>
      <c r="O55" s="128">
        <v>1</v>
      </c>
      <c r="P55" s="128">
        <v>1</v>
      </c>
      <c r="Q55" s="128">
        <v>1</v>
      </c>
      <c r="R55" s="128">
        <v>1</v>
      </c>
      <c r="S55" s="128">
        <v>1</v>
      </c>
      <c r="T55" s="128">
        <v>1</v>
      </c>
      <c r="U55" s="128">
        <v>1</v>
      </c>
      <c r="V55" s="128">
        <v>1</v>
      </c>
      <c r="W55" s="128">
        <v>1</v>
      </c>
      <c r="X55" s="128">
        <v>1</v>
      </c>
      <c r="Y55" s="128">
        <v>1</v>
      </c>
      <c r="Z55" s="128">
        <v>1</v>
      </c>
      <c r="AA55" s="128">
        <v>1</v>
      </c>
      <c r="AB55" s="128">
        <v>1</v>
      </c>
      <c r="AC55" s="128">
        <v>1</v>
      </c>
      <c r="AD55" s="128">
        <v>1</v>
      </c>
      <c r="AE55" s="128">
        <v>1</v>
      </c>
      <c r="AF55" s="128">
        <v>1</v>
      </c>
      <c r="AG55" s="128">
        <v>1</v>
      </c>
      <c r="AH55" s="128">
        <v>1</v>
      </c>
      <c r="AI55" s="128">
        <v>1</v>
      </c>
      <c r="AJ55" s="128">
        <v>1</v>
      </c>
      <c r="AK55" s="128">
        <v>1</v>
      </c>
      <c r="AL55" s="128">
        <v>1</v>
      </c>
      <c r="AM55" s="128">
        <v>1</v>
      </c>
      <c r="AN55" s="128">
        <v>1</v>
      </c>
      <c r="AO55" s="128">
        <v>1</v>
      </c>
      <c r="AP55" s="128">
        <v>1</v>
      </c>
      <c r="AQ55" s="128">
        <v>1</v>
      </c>
      <c r="AR55" s="128">
        <v>1</v>
      </c>
      <c r="AS55" s="128">
        <v>1</v>
      </c>
      <c r="AT55" s="128">
        <v>1</v>
      </c>
      <c r="AU55" s="128">
        <v>1</v>
      </c>
      <c r="AV55" s="128">
        <v>1</v>
      </c>
      <c r="AW55" s="128">
        <v>1</v>
      </c>
      <c r="AX55" s="128">
        <v>1</v>
      </c>
      <c r="AY55" s="128">
        <v>1</v>
      </c>
      <c r="AZ55" s="128">
        <v>1</v>
      </c>
      <c r="BA55" s="128">
        <v>1</v>
      </c>
      <c r="BB55" s="128">
        <v>1</v>
      </c>
      <c r="BC55" s="128">
        <v>1</v>
      </c>
      <c r="BD55" s="128">
        <v>1</v>
      </c>
      <c r="BE55" s="128">
        <v>1</v>
      </c>
      <c r="BF55" s="128">
        <v>1</v>
      </c>
      <c r="BG55" s="128">
        <v>1</v>
      </c>
      <c r="BH55" s="128">
        <v>1</v>
      </c>
      <c r="BI55" s="128">
        <v>1</v>
      </c>
      <c r="BJ55" s="128">
        <v>1</v>
      </c>
      <c r="BK55" s="128">
        <v>1</v>
      </c>
      <c r="BL55" s="128">
        <v>1</v>
      </c>
      <c r="BM55" s="128">
        <v>1</v>
      </c>
      <c r="BN55" s="128">
        <v>1</v>
      </c>
      <c r="BO55" s="128">
        <v>1</v>
      </c>
      <c r="BP55" s="128">
        <v>1</v>
      </c>
      <c r="BQ55" s="128">
        <v>1</v>
      </c>
      <c r="BR55" s="128">
        <v>1</v>
      </c>
      <c r="BS55" s="128">
        <v>1</v>
      </c>
      <c r="BT55" s="128">
        <v>1</v>
      </c>
      <c r="BU55" s="128">
        <v>1</v>
      </c>
      <c r="BV55" s="128">
        <v>1</v>
      </c>
      <c r="BW55" s="128">
        <v>1</v>
      </c>
      <c r="BX55" s="128">
        <v>1</v>
      </c>
      <c r="BY55" s="128">
        <v>1</v>
      </c>
      <c r="BZ55" s="128">
        <v>1</v>
      </c>
      <c r="CA55" s="128">
        <v>1</v>
      </c>
      <c r="CB55" s="128">
        <v>1</v>
      </c>
      <c r="CC55" s="128">
        <v>1</v>
      </c>
      <c r="CD55" s="128">
        <v>1</v>
      </c>
      <c r="CE55" s="128">
        <v>1</v>
      </c>
      <c r="CF55" s="128">
        <v>1</v>
      </c>
      <c r="CG55" s="128">
        <v>1</v>
      </c>
      <c r="CH55" s="128">
        <v>1</v>
      </c>
      <c r="CI55" s="128">
        <v>1</v>
      </c>
      <c r="CJ55" s="128">
        <v>1</v>
      </c>
      <c r="CK55" s="128">
        <v>1</v>
      </c>
      <c r="CL55" s="128">
        <v>1</v>
      </c>
      <c r="CM55" s="128">
        <v>1</v>
      </c>
      <c r="CN55" s="128">
        <v>1</v>
      </c>
      <c r="CO55" s="128">
        <v>1</v>
      </c>
      <c r="CP55" s="128">
        <v>1</v>
      </c>
      <c r="CQ55" s="128">
        <v>1</v>
      </c>
      <c r="CR55" s="128">
        <v>1</v>
      </c>
      <c r="CS55" s="128">
        <v>1</v>
      </c>
      <c r="CT55" s="128">
        <v>1</v>
      </c>
      <c r="CU55" s="128">
        <v>1</v>
      </c>
      <c r="CV55" s="128">
        <v>1</v>
      </c>
      <c r="CW55" s="128">
        <v>1</v>
      </c>
      <c r="CX55" s="128">
        <v>1</v>
      </c>
      <c r="CZ55" s="126">
        <f>SUMIF(MatrixF0[[1]:[2]],MatrixF0[[#This Row],[Столбец1]])/MatrixF0[[#This Row],[Столбец1]]</f>
        <v>0</v>
      </c>
    </row>
    <row r="56" spans="1:104" ht="21" customHeight="1" x14ac:dyDescent="0.25">
      <c r="A56" s="127">
        <v>1.53</v>
      </c>
      <c r="B56" s="128">
        <v>1</v>
      </c>
      <c r="C56" s="128">
        <v>1</v>
      </c>
      <c r="D56" s="128">
        <v>1</v>
      </c>
      <c r="E56" s="128">
        <v>1</v>
      </c>
      <c r="F56" s="128">
        <v>1</v>
      </c>
      <c r="G56" s="128">
        <v>1</v>
      </c>
      <c r="H56" s="128">
        <v>1</v>
      </c>
      <c r="I56" s="128">
        <v>1</v>
      </c>
      <c r="J56" s="128">
        <v>1</v>
      </c>
      <c r="K56" s="128">
        <v>1</v>
      </c>
      <c r="L56" s="128">
        <v>1</v>
      </c>
      <c r="M56" s="128">
        <v>1</v>
      </c>
      <c r="N56" s="128">
        <v>1</v>
      </c>
      <c r="O56" s="128">
        <v>1</v>
      </c>
      <c r="P56" s="128">
        <v>1</v>
      </c>
      <c r="Q56" s="128">
        <v>1</v>
      </c>
      <c r="R56" s="128">
        <v>1</v>
      </c>
      <c r="S56" s="128">
        <v>1</v>
      </c>
      <c r="T56" s="128">
        <v>1</v>
      </c>
      <c r="U56" s="128">
        <v>1</v>
      </c>
      <c r="V56" s="128">
        <v>1</v>
      </c>
      <c r="W56" s="128">
        <v>1</v>
      </c>
      <c r="X56" s="128">
        <v>1</v>
      </c>
      <c r="Y56" s="128">
        <v>1</v>
      </c>
      <c r="Z56" s="128">
        <v>1</v>
      </c>
      <c r="AA56" s="128">
        <v>1</v>
      </c>
      <c r="AB56" s="128">
        <v>1</v>
      </c>
      <c r="AC56" s="128">
        <v>1</v>
      </c>
      <c r="AD56" s="128">
        <v>1</v>
      </c>
      <c r="AE56" s="128">
        <v>1</v>
      </c>
      <c r="AF56" s="128">
        <v>1</v>
      </c>
      <c r="AG56" s="128">
        <v>1</v>
      </c>
      <c r="AH56" s="128">
        <v>1</v>
      </c>
      <c r="AI56" s="128">
        <v>1</v>
      </c>
      <c r="AJ56" s="128">
        <v>1</v>
      </c>
      <c r="AK56" s="128">
        <v>1</v>
      </c>
      <c r="AL56" s="128">
        <v>1</v>
      </c>
      <c r="AM56" s="128">
        <v>1</v>
      </c>
      <c r="AN56" s="128">
        <v>1</v>
      </c>
      <c r="AO56" s="128">
        <v>1</v>
      </c>
      <c r="AP56" s="128">
        <v>1</v>
      </c>
      <c r="AQ56" s="128">
        <v>1</v>
      </c>
      <c r="AR56" s="128">
        <v>1</v>
      </c>
      <c r="AS56" s="128">
        <v>1</v>
      </c>
      <c r="AT56" s="128">
        <v>1</v>
      </c>
      <c r="AU56" s="128">
        <v>1</v>
      </c>
      <c r="AV56" s="128">
        <v>1</v>
      </c>
      <c r="AW56" s="128">
        <v>1</v>
      </c>
      <c r="AX56" s="128">
        <v>1</v>
      </c>
      <c r="AY56" s="128">
        <v>1</v>
      </c>
      <c r="AZ56" s="128">
        <v>1</v>
      </c>
      <c r="BA56" s="128">
        <v>1</v>
      </c>
      <c r="BB56" s="128">
        <v>1</v>
      </c>
      <c r="BC56" s="128">
        <v>1</v>
      </c>
      <c r="BD56" s="128">
        <v>1</v>
      </c>
      <c r="BE56" s="128">
        <v>1</v>
      </c>
      <c r="BF56" s="128">
        <v>1</v>
      </c>
      <c r="BG56" s="128">
        <v>1</v>
      </c>
      <c r="BH56" s="128">
        <v>1</v>
      </c>
      <c r="BI56" s="128">
        <v>1</v>
      </c>
      <c r="BJ56" s="128">
        <v>1</v>
      </c>
      <c r="BK56" s="128">
        <v>1</v>
      </c>
      <c r="BL56" s="128">
        <v>1</v>
      </c>
      <c r="BM56" s="128">
        <v>1</v>
      </c>
      <c r="BN56" s="128">
        <v>1</v>
      </c>
      <c r="BO56" s="128">
        <v>1</v>
      </c>
      <c r="BP56" s="128">
        <v>1</v>
      </c>
      <c r="BQ56" s="128">
        <v>1</v>
      </c>
      <c r="BR56" s="128">
        <v>1</v>
      </c>
      <c r="BS56" s="128">
        <v>1</v>
      </c>
      <c r="BT56" s="128">
        <v>1</v>
      </c>
      <c r="BU56" s="128">
        <v>1</v>
      </c>
      <c r="BV56" s="128">
        <v>1</v>
      </c>
      <c r="BW56" s="128">
        <v>1</v>
      </c>
      <c r="BX56" s="128">
        <v>1</v>
      </c>
      <c r="BY56" s="128">
        <v>1</v>
      </c>
      <c r="BZ56" s="128">
        <v>1</v>
      </c>
      <c r="CA56" s="128">
        <v>1</v>
      </c>
      <c r="CB56" s="128">
        <v>1</v>
      </c>
      <c r="CC56" s="128">
        <v>1</v>
      </c>
      <c r="CD56" s="128">
        <v>1</v>
      </c>
      <c r="CE56" s="128">
        <v>1</v>
      </c>
      <c r="CF56" s="128">
        <v>1</v>
      </c>
      <c r="CG56" s="128">
        <v>1</v>
      </c>
      <c r="CH56" s="128">
        <v>1</v>
      </c>
      <c r="CI56" s="128">
        <v>1</v>
      </c>
      <c r="CJ56" s="128">
        <v>1</v>
      </c>
      <c r="CK56" s="128">
        <v>1</v>
      </c>
      <c r="CL56" s="128">
        <v>1</v>
      </c>
      <c r="CM56" s="128">
        <v>1</v>
      </c>
      <c r="CN56" s="128">
        <v>1</v>
      </c>
      <c r="CO56" s="128">
        <v>1</v>
      </c>
      <c r="CP56" s="128">
        <v>1</v>
      </c>
      <c r="CQ56" s="128">
        <v>1</v>
      </c>
      <c r="CR56" s="128">
        <v>1</v>
      </c>
      <c r="CS56" s="128">
        <v>1</v>
      </c>
      <c r="CT56" s="128">
        <v>1</v>
      </c>
      <c r="CU56" s="128">
        <v>1</v>
      </c>
      <c r="CV56" s="128">
        <v>1</v>
      </c>
      <c r="CW56" s="128">
        <v>1</v>
      </c>
      <c r="CX56" s="128">
        <v>1</v>
      </c>
      <c r="CZ56" s="126">
        <f>SUMIF(MatrixF0[[1]:[2]],MatrixF0[[#This Row],[Столбец1]])/MatrixF0[[#This Row],[Столбец1]]</f>
        <v>0</v>
      </c>
    </row>
    <row r="57" spans="1:104" ht="21" customHeight="1" x14ac:dyDescent="0.25">
      <c r="A57" s="127">
        <v>1.54</v>
      </c>
      <c r="B57" s="128">
        <v>1</v>
      </c>
      <c r="C57" s="128">
        <v>1</v>
      </c>
      <c r="D57" s="128">
        <v>1</v>
      </c>
      <c r="E57" s="128">
        <v>1</v>
      </c>
      <c r="F57" s="128">
        <v>1</v>
      </c>
      <c r="G57" s="128">
        <v>1</v>
      </c>
      <c r="H57" s="128">
        <v>1</v>
      </c>
      <c r="I57" s="128">
        <v>1</v>
      </c>
      <c r="J57" s="128">
        <v>1</v>
      </c>
      <c r="K57" s="128">
        <v>1</v>
      </c>
      <c r="L57" s="128">
        <v>1</v>
      </c>
      <c r="M57" s="128">
        <v>1</v>
      </c>
      <c r="N57" s="128">
        <v>1</v>
      </c>
      <c r="O57" s="128">
        <v>1</v>
      </c>
      <c r="P57" s="128">
        <v>1</v>
      </c>
      <c r="Q57" s="128">
        <v>1</v>
      </c>
      <c r="R57" s="128">
        <v>1</v>
      </c>
      <c r="S57" s="128">
        <v>1</v>
      </c>
      <c r="T57" s="128">
        <v>1</v>
      </c>
      <c r="U57" s="128">
        <v>1</v>
      </c>
      <c r="V57" s="128">
        <v>1</v>
      </c>
      <c r="W57" s="128">
        <v>1</v>
      </c>
      <c r="X57" s="128">
        <v>1</v>
      </c>
      <c r="Y57" s="128">
        <v>1</v>
      </c>
      <c r="Z57" s="128">
        <v>1</v>
      </c>
      <c r="AA57" s="128">
        <v>1</v>
      </c>
      <c r="AB57" s="128">
        <v>1</v>
      </c>
      <c r="AC57" s="128">
        <v>1</v>
      </c>
      <c r="AD57" s="128">
        <v>1</v>
      </c>
      <c r="AE57" s="128">
        <v>1</v>
      </c>
      <c r="AF57" s="128">
        <v>1</v>
      </c>
      <c r="AG57" s="128">
        <v>1</v>
      </c>
      <c r="AH57" s="128">
        <v>1</v>
      </c>
      <c r="AI57" s="128">
        <v>1</v>
      </c>
      <c r="AJ57" s="128">
        <v>1</v>
      </c>
      <c r="AK57" s="128">
        <v>1</v>
      </c>
      <c r="AL57" s="128">
        <v>1</v>
      </c>
      <c r="AM57" s="128">
        <v>1</v>
      </c>
      <c r="AN57" s="128">
        <v>1</v>
      </c>
      <c r="AO57" s="128">
        <v>1</v>
      </c>
      <c r="AP57" s="128">
        <v>1</v>
      </c>
      <c r="AQ57" s="128">
        <v>1</v>
      </c>
      <c r="AR57" s="128">
        <v>1</v>
      </c>
      <c r="AS57" s="128">
        <v>1</v>
      </c>
      <c r="AT57" s="128">
        <v>1</v>
      </c>
      <c r="AU57" s="128">
        <v>1</v>
      </c>
      <c r="AV57" s="128">
        <v>1</v>
      </c>
      <c r="AW57" s="128">
        <v>1</v>
      </c>
      <c r="AX57" s="128">
        <v>1</v>
      </c>
      <c r="AY57" s="128">
        <v>1</v>
      </c>
      <c r="AZ57" s="128">
        <v>1</v>
      </c>
      <c r="BA57" s="128">
        <v>1</v>
      </c>
      <c r="BB57" s="128">
        <v>1</v>
      </c>
      <c r="BC57" s="128">
        <v>1</v>
      </c>
      <c r="BD57" s="128">
        <v>1</v>
      </c>
      <c r="BE57" s="128">
        <v>1</v>
      </c>
      <c r="BF57" s="128">
        <v>1</v>
      </c>
      <c r="BG57" s="128">
        <v>1</v>
      </c>
      <c r="BH57" s="128">
        <v>1</v>
      </c>
      <c r="BI57" s="128">
        <v>1</v>
      </c>
      <c r="BJ57" s="128">
        <v>1</v>
      </c>
      <c r="BK57" s="128">
        <v>1</v>
      </c>
      <c r="BL57" s="128">
        <v>1</v>
      </c>
      <c r="BM57" s="128">
        <v>1</v>
      </c>
      <c r="BN57" s="128">
        <v>1</v>
      </c>
      <c r="BO57" s="128">
        <v>1</v>
      </c>
      <c r="BP57" s="128">
        <v>1</v>
      </c>
      <c r="BQ57" s="128">
        <v>1</v>
      </c>
      <c r="BR57" s="128">
        <v>1</v>
      </c>
      <c r="BS57" s="128">
        <v>1</v>
      </c>
      <c r="BT57" s="128">
        <v>1</v>
      </c>
      <c r="BU57" s="128">
        <v>1</v>
      </c>
      <c r="BV57" s="128">
        <v>1</v>
      </c>
      <c r="BW57" s="128">
        <v>1</v>
      </c>
      <c r="BX57" s="128">
        <v>1</v>
      </c>
      <c r="BY57" s="128">
        <v>1</v>
      </c>
      <c r="BZ57" s="128">
        <v>1</v>
      </c>
      <c r="CA57" s="128">
        <v>1</v>
      </c>
      <c r="CB57" s="128">
        <v>1</v>
      </c>
      <c r="CC57" s="128">
        <v>1</v>
      </c>
      <c r="CD57" s="128">
        <v>1</v>
      </c>
      <c r="CE57" s="128">
        <v>1</v>
      </c>
      <c r="CF57" s="128">
        <v>1</v>
      </c>
      <c r="CG57" s="128">
        <v>1</v>
      </c>
      <c r="CH57" s="128">
        <v>1</v>
      </c>
      <c r="CI57" s="128">
        <v>1</v>
      </c>
      <c r="CJ57" s="128">
        <v>1</v>
      </c>
      <c r="CK57" s="128">
        <v>1</v>
      </c>
      <c r="CL57" s="128">
        <v>1</v>
      </c>
      <c r="CM57" s="128">
        <v>1</v>
      </c>
      <c r="CN57" s="128">
        <v>1</v>
      </c>
      <c r="CO57" s="128">
        <v>1</v>
      </c>
      <c r="CP57" s="128">
        <v>1</v>
      </c>
      <c r="CQ57" s="128">
        <v>1</v>
      </c>
      <c r="CR57" s="128">
        <v>1</v>
      </c>
      <c r="CS57" s="128">
        <v>1</v>
      </c>
      <c r="CT57" s="128">
        <v>1</v>
      </c>
      <c r="CU57" s="128">
        <v>1</v>
      </c>
      <c r="CV57" s="128">
        <v>1</v>
      </c>
      <c r="CW57" s="128">
        <v>1</v>
      </c>
      <c r="CX57" s="128">
        <v>1</v>
      </c>
      <c r="CZ57" s="126">
        <f>SUMIF(MatrixF0[[1]:[2]],MatrixF0[[#This Row],[Столбец1]])/MatrixF0[[#This Row],[Столбец1]]</f>
        <v>0</v>
      </c>
    </row>
    <row r="58" spans="1:104" ht="21" customHeight="1" x14ac:dyDescent="0.25">
      <c r="A58" s="127">
        <v>1.55</v>
      </c>
      <c r="B58" s="128">
        <v>1</v>
      </c>
      <c r="C58" s="128">
        <v>1</v>
      </c>
      <c r="D58" s="128">
        <v>1</v>
      </c>
      <c r="E58" s="128">
        <v>1</v>
      </c>
      <c r="F58" s="128">
        <v>1</v>
      </c>
      <c r="G58" s="128">
        <v>1</v>
      </c>
      <c r="H58" s="128">
        <v>1</v>
      </c>
      <c r="I58" s="128">
        <v>1</v>
      </c>
      <c r="J58" s="128">
        <v>1</v>
      </c>
      <c r="K58" s="128">
        <v>1</v>
      </c>
      <c r="L58" s="128">
        <v>1</v>
      </c>
      <c r="M58" s="128">
        <v>1</v>
      </c>
      <c r="N58" s="128">
        <v>1</v>
      </c>
      <c r="O58" s="128">
        <v>1</v>
      </c>
      <c r="P58" s="128">
        <v>1</v>
      </c>
      <c r="Q58" s="128">
        <v>1</v>
      </c>
      <c r="R58" s="128">
        <v>1</v>
      </c>
      <c r="S58" s="128">
        <v>1</v>
      </c>
      <c r="T58" s="128">
        <v>1</v>
      </c>
      <c r="U58" s="128">
        <v>1</v>
      </c>
      <c r="V58" s="128">
        <v>1</v>
      </c>
      <c r="W58" s="128">
        <v>1</v>
      </c>
      <c r="X58" s="128">
        <v>1</v>
      </c>
      <c r="Y58" s="128">
        <v>1</v>
      </c>
      <c r="Z58" s="128">
        <v>1</v>
      </c>
      <c r="AA58" s="128">
        <v>1</v>
      </c>
      <c r="AB58" s="128">
        <v>1</v>
      </c>
      <c r="AC58" s="128">
        <v>1</v>
      </c>
      <c r="AD58" s="128">
        <v>1</v>
      </c>
      <c r="AE58" s="128">
        <v>1</v>
      </c>
      <c r="AF58" s="128">
        <v>1</v>
      </c>
      <c r="AG58" s="128">
        <v>1</v>
      </c>
      <c r="AH58" s="128">
        <v>1</v>
      </c>
      <c r="AI58" s="128">
        <v>1</v>
      </c>
      <c r="AJ58" s="128">
        <v>1</v>
      </c>
      <c r="AK58" s="128">
        <v>1</v>
      </c>
      <c r="AL58" s="128">
        <v>1</v>
      </c>
      <c r="AM58" s="128">
        <v>1</v>
      </c>
      <c r="AN58" s="128">
        <v>1</v>
      </c>
      <c r="AO58" s="128">
        <v>1</v>
      </c>
      <c r="AP58" s="128">
        <v>1</v>
      </c>
      <c r="AQ58" s="128">
        <v>1</v>
      </c>
      <c r="AR58" s="128">
        <v>1</v>
      </c>
      <c r="AS58" s="128">
        <v>1</v>
      </c>
      <c r="AT58" s="128">
        <v>1</v>
      </c>
      <c r="AU58" s="128">
        <v>1</v>
      </c>
      <c r="AV58" s="128">
        <v>1</v>
      </c>
      <c r="AW58" s="128">
        <v>1</v>
      </c>
      <c r="AX58" s="128">
        <v>1</v>
      </c>
      <c r="AY58" s="128">
        <v>1</v>
      </c>
      <c r="AZ58" s="128">
        <v>1</v>
      </c>
      <c r="BA58" s="128">
        <v>1</v>
      </c>
      <c r="BB58" s="128">
        <v>1</v>
      </c>
      <c r="BC58" s="128">
        <v>1</v>
      </c>
      <c r="BD58" s="128">
        <v>1</v>
      </c>
      <c r="BE58" s="128">
        <v>1</v>
      </c>
      <c r="BF58" s="128">
        <v>1</v>
      </c>
      <c r="BG58" s="128">
        <v>1</v>
      </c>
      <c r="BH58" s="128">
        <v>1</v>
      </c>
      <c r="BI58" s="128">
        <v>1</v>
      </c>
      <c r="BJ58" s="128">
        <v>1</v>
      </c>
      <c r="BK58" s="128">
        <v>1</v>
      </c>
      <c r="BL58" s="128">
        <v>1</v>
      </c>
      <c r="BM58" s="128">
        <v>1</v>
      </c>
      <c r="BN58" s="128">
        <v>1</v>
      </c>
      <c r="BO58" s="128">
        <v>1</v>
      </c>
      <c r="BP58" s="128">
        <v>1</v>
      </c>
      <c r="BQ58" s="128">
        <v>1</v>
      </c>
      <c r="BR58" s="128">
        <v>1</v>
      </c>
      <c r="BS58" s="128">
        <v>1</v>
      </c>
      <c r="BT58" s="128">
        <v>1</v>
      </c>
      <c r="BU58" s="128">
        <v>1</v>
      </c>
      <c r="BV58" s="128">
        <v>1</v>
      </c>
      <c r="BW58" s="128">
        <v>1</v>
      </c>
      <c r="BX58" s="128">
        <v>1</v>
      </c>
      <c r="BY58" s="128">
        <v>1</v>
      </c>
      <c r="BZ58" s="128">
        <v>1</v>
      </c>
      <c r="CA58" s="128">
        <v>1</v>
      </c>
      <c r="CB58" s="128">
        <v>1</v>
      </c>
      <c r="CC58" s="128">
        <v>1</v>
      </c>
      <c r="CD58" s="128">
        <v>1</v>
      </c>
      <c r="CE58" s="128">
        <v>1</v>
      </c>
      <c r="CF58" s="128">
        <v>1</v>
      </c>
      <c r="CG58" s="128">
        <v>1</v>
      </c>
      <c r="CH58" s="128">
        <v>1</v>
      </c>
      <c r="CI58" s="128">
        <v>1</v>
      </c>
      <c r="CJ58" s="128">
        <v>1</v>
      </c>
      <c r="CK58" s="128">
        <v>1</v>
      </c>
      <c r="CL58" s="128">
        <v>1</v>
      </c>
      <c r="CM58" s="128">
        <v>1</v>
      </c>
      <c r="CN58" s="128">
        <v>1</v>
      </c>
      <c r="CO58" s="128">
        <v>1</v>
      </c>
      <c r="CP58" s="128">
        <v>1</v>
      </c>
      <c r="CQ58" s="128">
        <v>1</v>
      </c>
      <c r="CR58" s="128">
        <v>1</v>
      </c>
      <c r="CS58" s="128">
        <v>1</v>
      </c>
      <c r="CT58" s="128">
        <v>1</v>
      </c>
      <c r="CU58" s="128">
        <v>1</v>
      </c>
      <c r="CV58" s="128">
        <v>1</v>
      </c>
      <c r="CW58" s="128">
        <v>1</v>
      </c>
      <c r="CX58" s="128">
        <v>1</v>
      </c>
      <c r="CZ58" s="126">
        <f>SUMIF(MatrixF0[[1]:[2]],MatrixF0[[#This Row],[Столбец1]])/MatrixF0[[#This Row],[Столбец1]]</f>
        <v>0</v>
      </c>
    </row>
    <row r="59" spans="1:104" ht="21" customHeight="1" x14ac:dyDescent="0.25">
      <c r="A59" s="127">
        <v>1.56</v>
      </c>
      <c r="B59" s="128">
        <v>1</v>
      </c>
      <c r="C59" s="128">
        <v>1</v>
      </c>
      <c r="D59" s="128">
        <v>1</v>
      </c>
      <c r="E59" s="128">
        <v>1</v>
      </c>
      <c r="F59" s="128">
        <v>1</v>
      </c>
      <c r="G59" s="128">
        <v>1</v>
      </c>
      <c r="H59" s="128">
        <v>1</v>
      </c>
      <c r="I59" s="128">
        <v>1</v>
      </c>
      <c r="J59" s="128">
        <v>1</v>
      </c>
      <c r="K59" s="128">
        <v>1</v>
      </c>
      <c r="L59" s="128">
        <v>1</v>
      </c>
      <c r="M59" s="128">
        <v>1</v>
      </c>
      <c r="N59" s="128">
        <v>1</v>
      </c>
      <c r="O59" s="128">
        <v>1</v>
      </c>
      <c r="P59" s="128">
        <v>1</v>
      </c>
      <c r="Q59" s="128">
        <v>1</v>
      </c>
      <c r="R59" s="128">
        <v>1</v>
      </c>
      <c r="S59" s="128">
        <v>1</v>
      </c>
      <c r="T59" s="128">
        <v>1</v>
      </c>
      <c r="U59" s="128">
        <v>1</v>
      </c>
      <c r="V59" s="128">
        <v>1</v>
      </c>
      <c r="W59" s="128">
        <v>1</v>
      </c>
      <c r="X59" s="128">
        <v>1</v>
      </c>
      <c r="Y59" s="128">
        <v>1</v>
      </c>
      <c r="Z59" s="128">
        <v>1</v>
      </c>
      <c r="AA59" s="128">
        <v>1</v>
      </c>
      <c r="AB59" s="128">
        <v>1</v>
      </c>
      <c r="AC59" s="128">
        <v>1</v>
      </c>
      <c r="AD59" s="128">
        <v>1</v>
      </c>
      <c r="AE59" s="128">
        <v>1</v>
      </c>
      <c r="AF59" s="128">
        <v>1</v>
      </c>
      <c r="AG59" s="128">
        <v>1</v>
      </c>
      <c r="AH59" s="128">
        <v>1</v>
      </c>
      <c r="AI59" s="128">
        <v>1</v>
      </c>
      <c r="AJ59" s="128">
        <v>1</v>
      </c>
      <c r="AK59" s="128">
        <v>1</v>
      </c>
      <c r="AL59" s="128">
        <v>1</v>
      </c>
      <c r="AM59" s="128">
        <v>1</v>
      </c>
      <c r="AN59" s="128">
        <v>1</v>
      </c>
      <c r="AO59" s="128">
        <v>1</v>
      </c>
      <c r="AP59" s="128">
        <v>1</v>
      </c>
      <c r="AQ59" s="128">
        <v>1</v>
      </c>
      <c r="AR59" s="128">
        <v>1</v>
      </c>
      <c r="AS59" s="128">
        <v>1</v>
      </c>
      <c r="AT59" s="128">
        <v>1</v>
      </c>
      <c r="AU59" s="128">
        <v>1</v>
      </c>
      <c r="AV59" s="128">
        <v>1</v>
      </c>
      <c r="AW59" s="128">
        <v>1</v>
      </c>
      <c r="AX59" s="128">
        <v>1</v>
      </c>
      <c r="AY59" s="128">
        <v>1</v>
      </c>
      <c r="AZ59" s="128">
        <v>1</v>
      </c>
      <c r="BA59" s="128">
        <v>1</v>
      </c>
      <c r="BB59" s="128">
        <v>1</v>
      </c>
      <c r="BC59" s="128">
        <v>1</v>
      </c>
      <c r="BD59" s="128">
        <v>1</v>
      </c>
      <c r="BE59" s="128">
        <v>1</v>
      </c>
      <c r="BF59" s="128">
        <v>1</v>
      </c>
      <c r="BG59" s="128">
        <v>1</v>
      </c>
      <c r="BH59" s="128">
        <v>1</v>
      </c>
      <c r="BI59" s="128">
        <v>1</v>
      </c>
      <c r="BJ59" s="128">
        <v>1</v>
      </c>
      <c r="BK59" s="128">
        <v>1</v>
      </c>
      <c r="BL59" s="128">
        <v>1</v>
      </c>
      <c r="BM59" s="128">
        <v>1</v>
      </c>
      <c r="BN59" s="128">
        <v>1</v>
      </c>
      <c r="BO59" s="128">
        <v>1</v>
      </c>
      <c r="BP59" s="128">
        <v>1</v>
      </c>
      <c r="BQ59" s="128">
        <v>1</v>
      </c>
      <c r="BR59" s="128">
        <v>1</v>
      </c>
      <c r="BS59" s="128">
        <v>1</v>
      </c>
      <c r="BT59" s="128">
        <v>1</v>
      </c>
      <c r="BU59" s="128">
        <v>1</v>
      </c>
      <c r="BV59" s="128">
        <v>1</v>
      </c>
      <c r="BW59" s="128">
        <v>1</v>
      </c>
      <c r="BX59" s="128">
        <v>1</v>
      </c>
      <c r="BY59" s="128">
        <v>1</v>
      </c>
      <c r="BZ59" s="128">
        <v>1</v>
      </c>
      <c r="CA59" s="128">
        <v>1</v>
      </c>
      <c r="CB59" s="128">
        <v>1</v>
      </c>
      <c r="CC59" s="128">
        <v>1</v>
      </c>
      <c r="CD59" s="128">
        <v>1</v>
      </c>
      <c r="CE59" s="128">
        <v>1</v>
      </c>
      <c r="CF59" s="128">
        <v>1</v>
      </c>
      <c r="CG59" s="128">
        <v>1</v>
      </c>
      <c r="CH59" s="128">
        <v>1</v>
      </c>
      <c r="CI59" s="128">
        <v>1</v>
      </c>
      <c r="CJ59" s="128">
        <v>1</v>
      </c>
      <c r="CK59" s="128">
        <v>1</v>
      </c>
      <c r="CL59" s="128">
        <v>1</v>
      </c>
      <c r="CM59" s="128">
        <v>1</v>
      </c>
      <c r="CN59" s="128">
        <v>1</v>
      </c>
      <c r="CO59" s="128">
        <v>1</v>
      </c>
      <c r="CP59" s="128">
        <v>1</v>
      </c>
      <c r="CQ59" s="128">
        <v>1</v>
      </c>
      <c r="CR59" s="128">
        <v>1</v>
      </c>
      <c r="CS59" s="128">
        <v>1</v>
      </c>
      <c r="CT59" s="128">
        <v>1</v>
      </c>
      <c r="CU59" s="128">
        <v>1</v>
      </c>
      <c r="CV59" s="128">
        <v>1</v>
      </c>
      <c r="CW59" s="128">
        <v>1</v>
      </c>
      <c r="CX59" s="128">
        <v>1</v>
      </c>
      <c r="CZ59" s="126">
        <f>SUMIF(MatrixF0[[1]:[2]],MatrixF0[[#This Row],[Столбец1]])/MatrixF0[[#This Row],[Столбец1]]</f>
        <v>0</v>
      </c>
    </row>
    <row r="60" spans="1:104" ht="21" customHeight="1" x14ac:dyDescent="0.25">
      <c r="A60" s="127">
        <v>1.57</v>
      </c>
      <c r="B60" s="128">
        <v>1</v>
      </c>
      <c r="C60" s="128">
        <v>1</v>
      </c>
      <c r="D60" s="128">
        <v>1</v>
      </c>
      <c r="E60" s="128">
        <v>1</v>
      </c>
      <c r="F60" s="128">
        <v>1</v>
      </c>
      <c r="G60" s="128">
        <v>1</v>
      </c>
      <c r="H60" s="128">
        <v>1</v>
      </c>
      <c r="I60" s="128">
        <v>1</v>
      </c>
      <c r="J60" s="128">
        <v>1</v>
      </c>
      <c r="K60" s="128">
        <v>1</v>
      </c>
      <c r="L60" s="128">
        <v>1</v>
      </c>
      <c r="M60" s="128">
        <v>1</v>
      </c>
      <c r="N60" s="128">
        <v>1</v>
      </c>
      <c r="O60" s="128">
        <v>1</v>
      </c>
      <c r="P60" s="128">
        <v>1</v>
      </c>
      <c r="Q60" s="128">
        <v>1</v>
      </c>
      <c r="R60" s="128">
        <v>1</v>
      </c>
      <c r="S60" s="128">
        <v>1</v>
      </c>
      <c r="T60" s="128">
        <v>1</v>
      </c>
      <c r="U60" s="128">
        <v>1</v>
      </c>
      <c r="V60" s="128">
        <v>1</v>
      </c>
      <c r="W60" s="128">
        <v>1</v>
      </c>
      <c r="X60" s="128">
        <v>1</v>
      </c>
      <c r="Y60" s="128">
        <v>1</v>
      </c>
      <c r="Z60" s="128">
        <v>1</v>
      </c>
      <c r="AA60" s="128">
        <v>1</v>
      </c>
      <c r="AB60" s="128">
        <v>1</v>
      </c>
      <c r="AC60" s="128">
        <v>1</v>
      </c>
      <c r="AD60" s="128">
        <v>1</v>
      </c>
      <c r="AE60" s="128">
        <v>1</v>
      </c>
      <c r="AF60" s="128">
        <v>1</v>
      </c>
      <c r="AG60" s="128">
        <v>1</v>
      </c>
      <c r="AH60" s="128">
        <v>1</v>
      </c>
      <c r="AI60" s="128">
        <v>1</v>
      </c>
      <c r="AJ60" s="128">
        <v>1</v>
      </c>
      <c r="AK60" s="128">
        <v>1</v>
      </c>
      <c r="AL60" s="128">
        <v>1</v>
      </c>
      <c r="AM60" s="128">
        <v>1</v>
      </c>
      <c r="AN60" s="128">
        <v>1</v>
      </c>
      <c r="AO60" s="128">
        <v>1</v>
      </c>
      <c r="AP60" s="128">
        <v>1</v>
      </c>
      <c r="AQ60" s="128">
        <v>1</v>
      </c>
      <c r="AR60" s="128">
        <v>1</v>
      </c>
      <c r="AS60" s="128">
        <v>1</v>
      </c>
      <c r="AT60" s="128">
        <v>1</v>
      </c>
      <c r="AU60" s="128">
        <v>1</v>
      </c>
      <c r="AV60" s="128">
        <v>1</v>
      </c>
      <c r="AW60" s="128">
        <v>1</v>
      </c>
      <c r="AX60" s="128">
        <v>1</v>
      </c>
      <c r="AY60" s="128">
        <v>1</v>
      </c>
      <c r="AZ60" s="128">
        <v>1</v>
      </c>
      <c r="BA60" s="128">
        <v>1</v>
      </c>
      <c r="BB60" s="128">
        <v>1</v>
      </c>
      <c r="BC60" s="128">
        <v>1</v>
      </c>
      <c r="BD60" s="128">
        <v>1</v>
      </c>
      <c r="BE60" s="128">
        <v>1</v>
      </c>
      <c r="BF60" s="128">
        <v>1</v>
      </c>
      <c r="BG60" s="128">
        <v>1</v>
      </c>
      <c r="BH60" s="128">
        <v>1</v>
      </c>
      <c r="BI60" s="128">
        <v>1</v>
      </c>
      <c r="BJ60" s="128">
        <v>1</v>
      </c>
      <c r="BK60" s="128">
        <v>1</v>
      </c>
      <c r="BL60" s="128">
        <v>1</v>
      </c>
      <c r="BM60" s="128">
        <v>1</v>
      </c>
      <c r="BN60" s="128">
        <v>1</v>
      </c>
      <c r="BO60" s="128">
        <v>1</v>
      </c>
      <c r="BP60" s="128">
        <v>1</v>
      </c>
      <c r="BQ60" s="128">
        <v>1</v>
      </c>
      <c r="BR60" s="128">
        <v>1</v>
      </c>
      <c r="BS60" s="128">
        <v>1</v>
      </c>
      <c r="BT60" s="128">
        <v>1</v>
      </c>
      <c r="BU60" s="128">
        <v>1</v>
      </c>
      <c r="BV60" s="128">
        <v>1</v>
      </c>
      <c r="BW60" s="128">
        <v>1</v>
      </c>
      <c r="BX60" s="128">
        <v>1</v>
      </c>
      <c r="BY60" s="128">
        <v>1</v>
      </c>
      <c r="BZ60" s="128">
        <v>1</v>
      </c>
      <c r="CA60" s="128">
        <v>1</v>
      </c>
      <c r="CB60" s="128">
        <v>1</v>
      </c>
      <c r="CC60" s="128">
        <v>1</v>
      </c>
      <c r="CD60" s="128">
        <v>1</v>
      </c>
      <c r="CE60" s="128">
        <v>1</v>
      </c>
      <c r="CF60" s="128">
        <v>1</v>
      </c>
      <c r="CG60" s="128">
        <v>1</v>
      </c>
      <c r="CH60" s="128">
        <v>1</v>
      </c>
      <c r="CI60" s="128">
        <v>1</v>
      </c>
      <c r="CJ60" s="128">
        <v>1</v>
      </c>
      <c r="CK60" s="128">
        <v>1</v>
      </c>
      <c r="CL60" s="128">
        <v>1</v>
      </c>
      <c r="CM60" s="128">
        <v>1</v>
      </c>
      <c r="CN60" s="128">
        <v>1</v>
      </c>
      <c r="CO60" s="128">
        <v>1</v>
      </c>
      <c r="CP60" s="128">
        <v>1</v>
      </c>
      <c r="CQ60" s="128">
        <v>1</v>
      </c>
      <c r="CR60" s="128">
        <v>1</v>
      </c>
      <c r="CS60" s="128">
        <v>1</v>
      </c>
      <c r="CT60" s="128">
        <v>1</v>
      </c>
      <c r="CU60" s="128">
        <v>1</v>
      </c>
      <c r="CV60" s="128">
        <v>1</v>
      </c>
      <c r="CW60" s="128">
        <v>1</v>
      </c>
      <c r="CX60" s="128">
        <v>1</v>
      </c>
      <c r="CZ60" s="126">
        <f>SUMIF(MatrixF0[[1]:[2]],MatrixF0[[#This Row],[Столбец1]])/MatrixF0[[#This Row],[Столбец1]]</f>
        <v>0</v>
      </c>
    </row>
    <row r="61" spans="1:104" ht="21" customHeight="1" x14ac:dyDescent="0.25">
      <c r="A61" s="127">
        <v>1.58</v>
      </c>
      <c r="B61" s="128">
        <v>1</v>
      </c>
      <c r="C61" s="128">
        <v>1</v>
      </c>
      <c r="D61" s="128">
        <v>1</v>
      </c>
      <c r="E61" s="128">
        <v>1</v>
      </c>
      <c r="F61" s="128">
        <v>1</v>
      </c>
      <c r="G61" s="128">
        <v>1</v>
      </c>
      <c r="H61" s="128">
        <v>1</v>
      </c>
      <c r="I61" s="128">
        <v>1</v>
      </c>
      <c r="J61" s="128">
        <v>1</v>
      </c>
      <c r="K61" s="128">
        <v>1</v>
      </c>
      <c r="L61" s="128">
        <v>1</v>
      </c>
      <c r="M61" s="128">
        <v>1</v>
      </c>
      <c r="N61" s="128">
        <v>1</v>
      </c>
      <c r="O61" s="128">
        <v>1</v>
      </c>
      <c r="P61" s="128">
        <v>1</v>
      </c>
      <c r="Q61" s="128">
        <v>1</v>
      </c>
      <c r="R61" s="128">
        <v>1</v>
      </c>
      <c r="S61" s="128">
        <v>1</v>
      </c>
      <c r="T61" s="128">
        <v>1</v>
      </c>
      <c r="U61" s="128">
        <v>1</v>
      </c>
      <c r="V61" s="128">
        <v>1</v>
      </c>
      <c r="W61" s="128">
        <v>1</v>
      </c>
      <c r="X61" s="128">
        <v>1</v>
      </c>
      <c r="Y61" s="128">
        <v>1</v>
      </c>
      <c r="Z61" s="128">
        <v>1</v>
      </c>
      <c r="AA61" s="128">
        <v>1</v>
      </c>
      <c r="AB61" s="128">
        <v>1</v>
      </c>
      <c r="AC61" s="128">
        <v>1</v>
      </c>
      <c r="AD61" s="128">
        <v>1</v>
      </c>
      <c r="AE61" s="128">
        <v>1</v>
      </c>
      <c r="AF61" s="128">
        <v>1</v>
      </c>
      <c r="AG61" s="128">
        <v>1</v>
      </c>
      <c r="AH61" s="128">
        <v>1</v>
      </c>
      <c r="AI61" s="128">
        <v>1</v>
      </c>
      <c r="AJ61" s="128">
        <v>1</v>
      </c>
      <c r="AK61" s="128">
        <v>1</v>
      </c>
      <c r="AL61" s="128">
        <v>1</v>
      </c>
      <c r="AM61" s="128">
        <v>1</v>
      </c>
      <c r="AN61" s="128">
        <v>1</v>
      </c>
      <c r="AO61" s="128">
        <v>1</v>
      </c>
      <c r="AP61" s="128">
        <v>1</v>
      </c>
      <c r="AQ61" s="128">
        <v>1</v>
      </c>
      <c r="AR61" s="128">
        <v>1</v>
      </c>
      <c r="AS61" s="128">
        <v>1</v>
      </c>
      <c r="AT61" s="128">
        <v>1</v>
      </c>
      <c r="AU61" s="128">
        <v>1</v>
      </c>
      <c r="AV61" s="128">
        <v>1</v>
      </c>
      <c r="AW61" s="128">
        <v>1</v>
      </c>
      <c r="AX61" s="128">
        <v>1</v>
      </c>
      <c r="AY61" s="128">
        <v>1</v>
      </c>
      <c r="AZ61" s="128">
        <v>1</v>
      </c>
      <c r="BA61" s="128">
        <v>1</v>
      </c>
      <c r="BB61" s="128">
        <v>1</v>
      </c>
      <c r="BC61" s="128">
        <v>1</v>
      </c>
      <c r="BD61" s="128">
        <v>1</v>
      </c>
      <c r="BE61" s="128">
        <v>1</v>
      </c>
      <c r="BF61" s="128">
        <v>1</v>
      </c>
      <c r="BG61" s="128">
        <v>1</v>
      </c>
      <c r="BH61" s="128">
        <v>1</v>
      </c>
      <c r="BI61" s="128">
        <v>1</v>
      </c>
      <c r="BJ61" s="128">
        <v>1</v>
      </c>
      <c r="BK61" s="128">
        <v>1</v>
      </c>
      <c r="BL61" s="128">
        <v>1</v>
      </c>
      <c r="BM61" s="128">
        <v>1</v>
      </c>
      <c r="BN61" s="128">
        <v>1</v>
      </c>
      <c r="BO61" s="128">
        <v>1</v>
      </c>
      <c r="BP61" s="128">
        <v>1</v>
      </c>
      <c r="BQ61" s="128">
        <v>1</v>
      </c>
      <c r="BR61" s="128">
        <v>1</v>
      </c>
      <c r="BS61" s="128">
        <v>1</v>
      </c>
      <c r="BT61" s="128">
        <v>1</v>
      </c>
      <c r="BU61" s="128">
        <v>1</v>
      </c>
      <c r="BV61" s="128">
        <v>1</v>
      </c>
      <c r="BW61" s="128">
        <v>1</v>
      </c>
      <c r="BX61" s="128">
        <v>1</v>
      </c>
      <c r="BY61" s="128">
        <v>1</v>
      </c>
      <c r="BZ61" s="128">
        <v>1</v>
      </c>
      <c r="CA61" s="128">
        <v>1</v>
      </c>
      <c r="CB61" s="128">
        <v>1</v>
      </c>
      <c r="CC61" s="128">
        <v>1</v>
      </c>
      <c r="CD61" s="128">
        <v>1</v>
      </c>
      <c r="CE61" s="128">
        <v>1</v>
      </c>
      <c r="CF61" s="128">
        <v>1</v>
      </c>
      <c r="CG61" s="128">
        <v>1</v>
      </c>
      <c r="CH61" s="128">
        <v>1</v>
      </c>
      <c r="CI61" s="128">
        <v>1</v>
      </c>
      <c r="CJ61" s="128">
        <v>1</v>
      </c>
      <c r="CK61" s="128">
        <v>1</v>
      </c>
      <c r="CL61" s="128">
        <v>1</v>
      </c>
      <c r="CM61" s="128">
        <v>1</v>
      </c>
      <c r="CN61" s="128">
        <v>1</v>
      </c>
      <c r="CO61" s="128">
        <v>1</v>
      </c>
      <c r="CP61" s="128">
        <v>1</v>
      </c>
      <c r="CQ61" s="128">
        <v>1</v>
      </c>
      <c r="CR61" s="128">
        <v>1</v>
      </c>
      <c r="CS61" s="128">
        <v>1</v>
      </c>
      <c r="CT61" s="128">
        <v>1</v>
      </c>
      <c r="CU61" s="128">
        <v>1</v>
      </c>
      <c r="CV61" s="128">
        <v>1</v>
      </c>
      <c r="CW61" s="128">
        <v>1</v>
      </c>
      <c r="CX61" s="128">
        <v>1</v>
      </c>
      <c r="CZ61" s="126">
        <f>SUMIF(MatrixF0[[1]:[2]],MatrixF0[[#This Row],[Столбец1]])/MatrixF0[[#This Row],[Столбец1]]</f>
        <v>0</v>
      </c>
    </row>
    <row r="62" spans="1:104" ht="21" customHeight="1" x14ac:dyDescent="0.25">
      <c r="A62" s="127">
        <v>1.59</v>
      </c>
      <c r="B62" s="128">
        <v>1</v>
      </c>
      <c r="C62" s="128">
        <v>1</v>
      </c>
      <c r="D62" s="128">
        <v>1</v>
      </c>
      <c r="E62" s="128">
        <v>1</v>
      </c>
      <c r="F62" s="128">
        <v>1</v>
      </c>
      <c r="G62" s="128">
        <v>1</v>
      </c>
      <c r="H62" s="128">
        <v>1</v>
      </c>
      <c r="I62" s="128">
        <v>1</v>
      </c>
      <c r="J62" s="128">
        <v>1</v>
      </c>
      <c r="K62" s="128">
        <v>1</v>
      </c>
      <c r="L62" s="128">
        <v>1</v>
      </c>
      <c r="M62" s="128">
        <v>1</v>
      </c>
      <c r="N62" s="128">
        <v>1</v>
      </c>
      <c r="O62" s="128">
        <v>1</v>
      </c>
      <c r="P62" s="128">
        <v>1</v>
      </c>
      <c r="Q62" s="128">
        <v>1</v>
      </c>
      <c r="R62" s="128">
        <v>1</v>
      </c>
      <c r="S62" s="128">
        <v>1</v>
      </c>
      <c r="T62" s="128">
        <v>1</v>
      </c>
      <c r="U62" s="128">
        <v>1</v>
      </c>
      <c r="V62" s="128">
        <v>1</v>
      </c>
      <c r="W62" s="128">
        <v>1</v>
      </c>
      <c r="X62" s="128">
        <v>1</v>
      </c>
      <c r="Y62" s="128">
        <v>1</v>
      </c>
      <c r="Z62" s="128">
        <v>1</v>
      </c>
      <c r="AA62" s="128">
        <v>1</v>
      </c>
      <c r="AB62" s="128">
        <v>1</v>
      </c>
      <c r="AC62" s="128">
        <v>1</v>
      </c>
      <c r="AD62" s="128">
        <v>1</v>
      </c>
      <c r="AE62" s="128">
        <v>1</v>
      </c>
      <c r="AF62" s="128">
        <v>1</v>
      </c>
      <c r="AG62" s="128">
        <v>1</v>
      </c>
      <c r="AH62" s="128">
        <v>1</v>
      </c>
      <c r="AI62" s="128">
        <v>1</v>
      </c>
      <c r="AJ62" s="128">
        <v>1</v>
      </c>
      <c r="AK62" s="128">
        <v>1</v>
      </c>
      <c r="AL62" s="128">
        <v>1</v>
      </c>
      <c r="AM62" s="128">
        <v>1</v>
      </c>
      <c r="AN62" s="128">
        <v>1</v>
      </c>
      <c r="AO62" s="128">
        <v>1</v>
      </c>
      <c r="AP62" s="128">
        <v>1</v>
      </c>
      <c r="AQ62" s="128">
        <v>1</v>
      </c>
      <c r="AR62" s="128">
        <v>1</v>
      </c>
      <c r="AS62" s="128">
        <v>1</v>
      </c>
      <c r="AT62" s="128">
        <v>1</v>
      </c>
      <c r="AU62" s="128">
        <v>1</v>
      </c>
      <c r="AV62" s="128">
        <v>1</v>
      </c>
      <c r="AW62" s="128">
        <v>1</v>
      </c>
      <c r="AX62" s="128">
        <v>1</v>
      </c>
      <c r="AY62" s="128">
        <v>1</v>
      </c>
      <c r="AZ62" s="128">
        <v>1</v>
      </c>
      <c r="BA62" s="128">
        <v>1</v>
      </c>
      <c r="BB62" s="128">
        <v>1</v>
      </c>
      <c r="BC62" s="128">
        <v>1</v>
      </c>
      <c r="BD62" s="128">
        <v>1</v>
      </c>
      <c r="BE62" s="128">
        <v>1</v>
      </c>
      <c r="BF62" s="128">
        <v>1</v>
      </c>
      <c r="BG62" s="128">
        <v>1</v>
      </c>
      <c r="BH62" s="128">
        <v>1</v>
      </c>
      <c r="BI62" s="128">
        <v>1</v>
      </c>
      <c r="BJ62" s="128">
        <v>1</v>
      </c>
      <c r="BK62" s="128">
        <v>1</v>
      </c>
      <c r="BL62" s="128">
        <v>1</v>
      </c>
      <c r="BM62" s="128">
        <v>1</v>
      </c>
      <c r="BN62" s="128">
        <v>1</v>
      </c>
      <c r="BO62" s="128">
        <v>1</v>
      </c>
      <c r="BP62" s="128">
        <v>1</v>
      </c>
      <c r="BQ62" s="128">
        <v>1</v>
      </c>
      <c r="BR62" s="128">
        <v>1</v>
      </c>
      <c r="BS62" s="128">
        <v>1</v>
      </c>
      <c r="BT62" s="128">
        <v>1</v>
      </c>
      <c r="BU62" s="128">
        <v>1</v>
      </c>
      <c r="BV62" s="128">
        <v>1</v>
      </c>
      <c r="BW62" s="128">
        <v>1</v>
      </c>
      <c r="BX62" s="128">
        <v>1</v>
      </c>
      <c r="BY62" s="128">
        <v>1</v>
      </c>
      <c r="BZ62" s="128">
        <v>1</v>
      </c>
      <c r="CA62" s="128">
        <v>1</v>
      </c>
      <c r="CB62" s="128">
        <v>1</v>
      </c>
      <c r="CC62" s="128">
        <v>1</v>
      </c>
      <c r="CD62" s="128">
        <v>1</v>
      </c>
      <c r="CE62" s="128">
        <v>1</v>
      </c>
      <c r="CF62" s="128">
        <v>1</v>
      </c>
      <c r="CG62" s="128">
        <v>1</v>
      </c>
      <c r="CH62" s="128">
        <v>1</v>
      </c>
      <c r="CI62" s="128">
        <v>1</v>
      </c>
      <c r="CJ62" s="128">
        <v>1</v>
      </c>
      <c r="CK62" s="128">
        <v>1</v>
      </c>
      <c r="CL62" s="128">
        <v>1</v>
      </c>
      <c r="CM62" s="128">
        <v>1</v>
      </c>
      <c r="CN62" s="128">
        <v>1</v>
      </c>
      <c r="CO62" s="128">
        <v>1</v>
      </c>
      <c r="CP62" s="128">
        <v>1</v>
      </c>
      <c r="CQ62" s="128">
        <v>1</v>
      </c>
      <c r="CR62" s="128">
        <v>1</v>
      </c>
      <c r="CS62" s="128">
        <v>1</v>
      </c>
      <c r="CT62" s="128">
        <v>1</v>
      </c>
      <c r="CU62" s="128">
        <v>1</v>
      </c>
      <c r="CV62" s="128">
        <v>1</v>
      </c>
      <c r="CW62" s="128">
        <v>1</v>
      </c>
      <c r="CX62" s="128">
        <v>1</v>
      </c>
      <c r="CZ62" s="126">
        <f>SUMIF(MatrixF0[[1]:[2]],MatrixF0[[#This Row],[Столбец1]])/MatrixF0[[#This Row],[Столбец1]]</f>
        <v>0</v>
      </c>
    </row>
    <row r="63" spans="1:104" ht="21" customHeight="1" x14ac:dyDescent="0.25">
      <c r="A63" s="127">
        <v>1.6</v>
      </c>
      <c r="B63" s="128">
        <v>1</v>
      </c>
      <c r="C63" s="128">
        <v>1</v>
      </c>
      <c r="D63" s="128">
        <v>1</v>
      </c>
      <c r="E63" s="128">
        <v>1</v>
      </c>
      <c r="F63" s="128">
        <v>1</v>
      </c>
      <c r="G63" s="128">
        <v>1</v>
      </c>
      <c r="H63" s="128">
        <v>1</v>
      </c>
      <c r="I63" s="128">
        <v>1</v>
      </c>
      <c r="J63" s="128">
        <v>1</v>
      </c>
      <c r="K63" s="128">
        <v>1</v>
      </c>
      <c r="L63" s="128">
        <v>1</v>
      </c>
      <c r="M63" s="128">
        <v>1</v>
      </c>
      <c r="N63" s="128">
        <v>1</v>
      </c>
      <c r="O63" s="128">
        <v>1</v>
      </c>
      <c r="P63" s="128">
        <v>1</v>
      </c>
      <c r="Q63" s="128">
        <v>1</v>
      </c>
      <c r="R63" s="128">
        <v>1</v>
      </c>
      <c r="S63" s="128">
        <v>1</v>
      </c>
      <c r="T63" s="128">
        <v>1</v>
      </c>
      <c r="U63" s="128">
        <v>1</v>
      </c>
      <c r="V63" s="128">
        <v>1</v>
      </c>
      <c r="W63" s="128">
        <v>1</v>
      </c>
      <c r="X63" s="128">
        <v>1</v>
      </c>
      <c r="Y63" s="128">
        <v>1</v>
      </c>
      <c r="Z63" s="128">
        <v>1</v>
      </c>
      <c r="AA63" s="128">
        <v>1</v>
      </c>
      <c r="AB63" s="128">
        <v>1</v>
      </c>
      <c r="AC63" s="128">
        <v>1</v>
      </c>
      <c r="AD63" s="128">
        <v>1</v>
      </c>
      <c r="AE63" s="128">
        <v>1</v>
      </c>
      <c r="AF63" s="128">
        <v>1</v>
      </c>
      <c r="AG63" s="128">
        <v>1</v>
      </c>
      <c r="AH63" s="128">
        <v>1</v>
      </c>
      <c r="AI63" s="128">
        <v>1</v>
      </c>
      <c r="AJ63" s="128">
        <v>1</v>
      </c>
      <c r="AK63" s="128">
        <v>1</v>
      </c>
      <c r="AL63" s="128">
        <v>1</v>
      </c>
      <c r="AM63" s="128">
        <v>1</v>
      </c>
      <c r="AN63" s="128">
        <v>1</v>
      </c>
      <c r="AO63" s="128">
        <v>1</v>
      </c>
      <c r="AP63" s="128">
        <v>1</v>
      </c>
      <c r="AQ63" s="128">
        <v>1</v>
      </c>
      <c r="AR63" s="128">
        <v>1</v>
      </c>
      <c r="AS63" s="128">
        <v>1</v>
      </c>
      <c r="AT63" s="128">
        <v>1</v>
      </c>
      <c r="AU63" s="128">
        <v>1</v>
      </c>
      <c r="AV63" s="128">
        <v>1</v>
      </c>
      <c r="AW63" s="128">
        <v>1</v>
      </c>
      <c r="AX63" s="128">
        <v>1</v>
      </c>
      <c r="AY63" s="128">
        <v>1</v>
      </c>
      <c r="AZ63" s="128">
        <v>1</v>
      </c>
      <c r="BA63" s="128">
        <v>1</v>
      </c>
      <c r="BB63" s="128">
        <v>1</v>
      </c>
      <c r="BC63" s="128">
        <v>1</v>
      </c>
      <c r="BD63" s="128">
        <v>1</v>
      </c>
      <c r="BE63" s="128">
        <v>1</v>
      </c>
      <c r="BF63" s="128">
        <v>1</v>
      </c>
      <c r="BG63" s="128">
        <v>1</v>
      </c>
      <c r="BH63" s="128">
        <v>1</v>
      </c>
      <c r="BI63" s="128">
        <v>1</v>
      </c>
      <c r="BJ63" s="128">
        <v>1</v>
      </c>
      <c r="BK63" s="128">
        <v>1</v>
      </c>
      <c r="BL63" s="128">
        <v>1</v>
      </c>
      <c r="BM63" s="128">
        <v>1</v>
      </c>
      <c r="BN63" s="128">
        <v>1</v>
      </c>
      <c r="BO63" s="128">
        <v>1</v>
      </c>
      <c r="BP63" s="128">
        <v>1</v>
      </c>
      <c r="BQ63" s="128">
        <v>1</v>
      </c>
      <c r="BR63" s="128">
        <v>1</v>
      </c>
      <c r="BS63" s="128">
        <v>1</v>
      </c>
      <c r="BT63" s="128">
        <v>1</v>
      </c>
      <c r="BU63" s="128">
        <v>1</v>
      </c>
      <c r="BV63" s="128">
        <v>1</v>
      </c>
      <c r="BW63" s="128">
        <v>1</v>
      </c>
      <c r="BX63" s="128">
        <v>1</v>
      </c>
      <c r="BY63" s="128">
        <v>1</v>
      </c>
      <c r="BZ63" s="128">
        <v>1</v>
      </c>
      <c r="CA63" s="128">
        <v>1</v>
      </c>
      <c r="CB63" s="128">
        <v>1</v>
      </c>
      <c r="CC63" s="128">
        <v>1</v>
      </c>
      <c r="CD63" s="128">
        <v>1</v>
      </c>
      <c r="CE63" s="128">
        <v>1</v>
      </c>
      <c r="CF63" s="128">
        <v>1</v>
      </c>
      <c r="CG63" s="128">
        <v>1</v>
      </c>
      <c r="CH63" s="128">
        <v>1</v>
      </c>
      <c r="CI63" s="128">
        <v>1</v>
      </c>
      <c r="CJ63" s="128">
        <v>1</v>
      </c>
      <c r="CK63" s="128">
        <v>1</v>
      </c>
      <c r="CL63" s="128">
        <v>1</v>
      </c>
      <c r="CM63" s="128">
        <v>1</v>
      </c>
      <c r="CN63" s="128">
        <v>1</v>
      </c>
      <c r="CO63" s="128">
        <v>1</v>
      </c>
      <c r="CP63" s="128">
        <v>1</v>
      </c>
      <c r="CQ63" s="128">
        <v>1</v>
      </c>
      <c r="CR63" s="128">
        <v>1</v>
      </c>
      <c r="CS63" s="128">
        <v>1</v>
      </c>
      <c r="CT63" s="128">
        <v>1</v>
      </c>
      <c r="CU63" s="128">
        <v>1</v>
      </c>
      <c r="CV63" s="128">
        <v>1</v>
      </c>
      <c r="CW63" s="128">
        <v>1</v>
      </c>
      <c r="CX63" s="128">
        <v>1</v>
      </c>
      <c r="CZ63" s="126">
        <f>SUMIF(MatrixF0[[1]:[2]],MatrixF0[[#This Row],[Столбец1]])/MatrixF0[[#This Row],[Столбец1]]</f>
        <v>0</v>
      </c>
    </row>
    <row r="64" spans="1:104" ht="21" customHeight="1" x14ac:dyDescent="0.25">
      <c r="A64" s="127">
        <v>1.61</v>
      </c>
      <c r="B64" s="128">
        <v>1</v>
      </c>
      <c r="C64" s="128">
        <v>1</v>
      </c>
      <c r="D64" s="128">
        <v>1</v>
      </c>
      <c r="E64" s="128">
        <v>1</v>
      </c>
      <c r="F64" s="128">
        <v>1</v>
      </c>
      <c r="G64" s="128">
        <v>1</v>
      </c>
      <c r="H64" s="128">
        <v>1</v>
      </c>
      <c r="I64" s="128">
        <v>1</v>
      </c>
      <c r="J64" s="128">
        <v>1</v>
      </c>
      <c r="K64" s="128">
        <v>1</v>
      </c>
      <c r="L64" s="128">
        <v>1</v>
      </c>
      <c r="M64" s="128">
        <v>1</v>
      </c>
      <c r="N64" s="128">
        <v>1</v>
      </c>
      <c r="O64" s="128">
        <v>1</v>
      </c>
      <c r="P64" s="128">
        <v>1</v>
      </c>
      <c r="Q64" s="128">
        <v>1</v>
      </c>
      <c r="R64" s="128">
        <v>1</v>
      </c>
      <c r="S64" s="128">
        <v>1</v>
      </c>
      <c r="T64" s="128">
        <v>1</v>
      </c>
      <c r="U64" s="128">
        <v>1</v>
      </c>
      <c r="V64" s="128">
        <v>1</v>
      </c>
      <c r="W64" s="128">
        <v>1</v>
      </c>
      <c r="X64" s="128">
        <v>1</v>
      </c>
      <c r="Y64" s="128">
        <v>1</v>
      </c>
      <c r="Z64" s="128">
        <v>1</v>
      </c>
      <c r="AA64" s="128">
        <v>1</v>
      </c>
      <c r="AB64" s="128">
        <v>1</v>
      </c>
      <c r="AC64" s="128">
        <v>1</v>
      </c>
      <c r="AD64" s="128">
        <v>1</v>
      </c>
      <c r="AE64" s="128">
        <v>1</v>
      </c>
      <c r="AF64" s="128">
        <v>1</v>
      </c>
      <c r="AG64" s="128">
        <v>1</v>
      </c>
      <c r="AH64" s="128">
        <v>1</v>
      </c>
      <c r="AI64" s="128">
        <v>1</v>
      </c>
      <c r="AJ64" s="128">
        <v>1</v>
      </c>
      <c r="AK64" s="128">
        <v>1</v>
      </c>
      <c r="AL64" s="128">
        <v>1</v>
      </c>
      <c r="AM64" s="128">
        <v>1</v>
      </c>
      <c r="AN64" s="128">
        <v>1</v>
      </c>
      <c r="AO64" s="128">
        <v>1</v>
      </c>
      <c r="AP64" s="128">
        <v>1</v>
      </c>
      <c r="AQ64" s="128">
        <v>1</v>
      </c>
      <c r="AR64" s="128">
        <v>1</v>
      </c>
      <c r="AS64" s="128">
        <v>1</v>
      </c>
      <c r="AT64" s="128">
        <v>1</v>
      </c>
      <c r="AU64" s="128">
        <v>1</v>
      </c>
      <c r="AV64" s="128">
        <v>1</v>
      </c>
      <c r="AW64" s="128">
        <v>1</v>
      </c>
      <c r="AX64" s="128">
        <v>1</v>
      </c>
      <c r="AY64" s="128">
        <v>1</v>
      </c>
      <c r="AZ64" s="128">
        <v>1</v>
      </c>
      <c r="BA64" s="128">
        <v>1</v>
      </c>
      <c r="BB64" s="128">
        <v>1</v>
      </c>
      <c r="BC64" s="128">
        <v>1</v>
      </c>
      <c r="BD64" s="128">
        <v>1</v>
      </c>
      <c r="BE64" s="128">
        <v>1</v>
      </c>
      <c r="BF64" s="128">
        <v>1</v>
      </c>
      <c r="BG64" s="128">
        <v>1</v>
      </c>
      <c r="BH64" s="128">
        <v>1</v>
      </c>
      <c r="BI64" s="128">
        <v>1</v>
      </c>
      <c r="BJ64" s="128">
        <v>1</v>
      </c>
      <c r="BK64" s="128">
        <v>1</v>
      </c>
      <c r="BL64" s="128">
        <v>1</v>
      </c>
      <c r="BM64" s="128">
        <v>1</v>
      </c>
      <c r="BN64" s="128">
        <v>1</v>
      </c>
      <c r="BO64" s="128">
        <v>1</v>
      </c>
      <c r="BP64" s="128">
        <v>1</v>
      </c>
      <c r="BQ64" s="128">
        <v>1</v>
      </c>
      <c r="BR64" s="128">
        <v>1</v>
      </c>
      <c r="BS64" s="128">
        <v>1</v>
      </c>
      <c r="BT64" s="128">
        <v>1</v>
      </c>
      <c r="BU64" s="128">
        <v>1</v>
      </c>
      <c r="BV64" s="128">
        <v>1</v>
      </c>
      <c r="BW64" s="128">
        <v>1</v>
      </c>
      <c r="BX64" s="128">
        <v>1</v>
      </c>
      <c r="BY64" s="128">
        <v>1</v>
      </c>
      <c r="BZ64" s="128">
        <v>1</v>
      </c>
      <c r="CA64" s="128">
        <v>1</v>
      </c>
      <c r="CB64" s="128">
        <v>1</v>
      </c>
      <c r="CC64" s="128">
        <v>1</v>
      </c>
      <c r="CD64" s="128">
        <v>1</v>
      </c>
      <c r="CE64" s="128">
        <v>1</v>
      </c>
      <c r="CF64" s="128">
        <v>1</v>
      </c>
      <c r="CG64" s="128">
        <v>1</v>
      </c>
      <c r="CH64" s="128">
        <v>1</v>
      </c>
      <c r="CI64" s="128">
        <v>1</v>
      </c>
      <c r="CJ64" s="128">
        <v>1</v>
      </c>
      <c r="CK64" s="128">
        <v>1</v>
      </c>
      <c r="CL64" s="128">
        <v>1</v>
      </c>
      <c r="CM64" s="128">
        <v>1</v>
      </c>
      <c r="CN64" s="128">
        <v>1</v>
      </c>
      <c r="CO64" s="128">
        <v>1</v>
      </c>
      <c r="CP64" s="128">
        <v>1</v>
      </c>
      <c r="CQ64" s="128">
        <v>1</v>
      </c>
      <c r="CR64" s="128">
        <v>1</v>
      </c>
      <c r="CS64" s="128">
        <v>1</v>
      </c>
      <c r="CT64" s="128">
        <v>1</v>
      </c>
      <c r="CU64" s="128">
        <v>1</v>
      </c>
      <c r="CV64" s="128">
        <v>1</v>
      </c>
      <c r="CW64" s="128">
        <v>1</v>
      </c>
      <c r="CX64" s="128">
        <v>1</v>
      </c>
      <c r="CZ64" s="126">
        <f>SUMIF(MatrixF0[[1]:[2]],MatrixF0[[#This Row],[Столбец1]])/MatrixF0[[#This Row],[Столбец1]]</f>
        <v>0</v>
      </c>
    </row>
    <row r="65" spans="1:104" ht="21" customHeight="1" x14ac:dyDescent="0.25">
      <c r="A65" s="127">
        <v>1.62</v>
      </c>
      <c r="B65" s="128">
        <v>1</v>
      </c>
      <c r="C65" s="128">
        <v>1</v>
      </c>
      <c r="D65" s="128">
        <v>1</v>
      </c>
      <c r="E65" s="128">
        <v>1</v>
      </c>
      <c r="F65" s="128">
        <v>1</v>
      </c>
      <c r="G65" s="128">
        <v>1</v>
      </c>
      <c r="H65" s="128">
        <v>1</v>
      </c>
      <c r="I65" s="128">
        <v>1</v>
      </c>
      <c r="J65" s="128">
        <v>1</v>
      </c>
      <c r="K65" s="128">
        <v>1</v>
      </c>
      <c r="L65" s="128">
        <v>1</v>
      </c>
      <c r="M65" s="128">
        <v>1</v>
      </c>
      <c r="N65" s="128">
        <v>1</v>
      </c>
      <c r="O65" s="128">
        <v>1</v>
      </c>
      <c r="P65" s="128">
        <v>1</v>
      </c>
      <c r="Q65" s="128">
        <v>1</v>
      </c>
      <c r="R65" s="128">
        <v>1</v>
      </c>
      <c r="S65" s="128">
        <v>1</v>
      </c>
      <c r="T65" s="128">
        <v>1</v>
      </c>
      <c r="U65" s="128">
        <v>1</v>
      </c>
      <c r="V65" s="128">
        <v>1</v>
      </c>
      <c r="W65" s="128">
        <v>1</v>
      </c>
      <c r="X65" s="128">
        <v>1</v>
      </c>
      <c r="Y65" s="128">
        <v>1</v>
      </c>
      <c r="Z65" s="128">
        <v>1</v>
      </c>
      <c r="AA65" s="128">
        <v>1</v>
      </c>
      <c r="AB65" s="128">
        <v>1</v>
      </c>
      <c r="AC65" s="128">
        <v>1</v>
      </c>
      <c r="AD65" s="128">
        <v>1</v>
      </c>
      <c r="AE65" s="128">
        <v>1</v>
      </c>
      <c r="AF65" s="128">
        <v>1</v>
      </c>
      <c r="AG65" s="128">
        <v>1</v>
      </c>
      <c r="AH65" s="128">
        <v>1</v>
      </c>
      <c r="AI65" s="128">
        <v>1</v>
      </c>
      <c r="AJ65" s="128">
        <v>1</v>
      </c>
      <c r="AK65" s="128">
        <v>1</v>
      </c>
      <c r="AL65" s="128">
        <v>1</v>
      </c>
      <c r="AM65" s="128">
        <v>1</v>
      </c>
      <c r="AN65" s="128">
        <v>1</v>
      </c>
      <c r="AO65" s="128">
        <v>1</v>
      </c>
      <c r="AP65" s="128">
        <v>1</v>
      </c>
      <c r="AQ65" s="128">
        <v>1</v>
      </c>
      <c r="AR65" s="128">
        <v>1</v>
      </c>
      <c r="AS65" s="128">
        <v>1</v>
      </c>
      <c r="AT65" s="128">
        <v>1</v>
      </c>
      <c r="AU65" s="128">
        <v>1</v>
      </c>
      <c r="AV65" s="128">
        <v>1</v>
      </c>
      <c r="AW65" s="128">
        <v>1</v>
      </c>
      <c r="AX65" s="128">
        <v>1</v>
      </c>
      <c r="AY65" s="128">
        <v>1</v>
      </c>
      <c r="AZ65" s="128">
        <v>1</v>
      </c>
      <c r="BA65" s="128">
        <v>1</v>
      </c>
      <c r="BB65" s="128">
        <v>1</v>
      </c>
      <c r="BC65" s="128">
        <v>1</v>
      </c>
      <c r="BD65" s="128">
        <v>1</v>
      </c>
      <c r="BE65" s="128">
        <v>1</v>
      </c>
      <c r="BF65" s="128">
        <v>1</v>
      </c>
      <c r="BG65" s="128">
        <v>1</v>
      </c>
      <c r="BH65" s="128">
        <v>1</v>
      </c>
      <c r="BI65" s="128">
        <v>1</v>
      </c>
      <c r="BJ65" s="128">
        <v>1</v>
      </c>
      <c r="BK65" s="128">
        <v>1</v>
      </c>
      <c r="BL65" s="128">
        <v>1</v>
      </c>
      <c r="BM65" s="128">
        <v>1</v>
      </c>
      <c r="BN65" s="128">
        <v>1</v>
      </c>
      <c r="BO65" s="128">
        <v>1</v>
      </c>
      <c r="BP65" s="128">
        <v>1</v>
      </c>
      <c r="BQ65" s="128">
        <v>1</v>
      </c>
      <c r="BR65" s="128">
        <v>1</v>
      </c>
      <c r="BS65" s="128">
        <v>1</v>
      </c>
      <c r="BT65" s="128">
        <v>1</v>
      </c>
      <c r="BU65" s="128">
        <v>1</v>
      </c>
      <c r="BV65" s="128">
        <v>1</v>
      </c>
      <c r="BW65" s="128">
        <v>1</v>
      </c>
      <c r="BX65" s="128">
        <v>1</v>
      </c>
      <c r="BY65" s="128">
        <v>1</v>
      </c>
      <c r="BZ65" s="128">
        <v>1</v>
      </c>
      <c r="CA65" s="128">
        <v>1</v>
      </c>
      <c r="CB65" s="128">
        <v>1</v>
      </c>
      <c r="CC65" s="128">
        <v>1</v>
      </c>
      <c r="CD65" s="128">
        <v>1</v>
      </c>
      <c r="CE65" s="128">
        <v>1</v>
      </c>
      <c r="CF65" s="128">
        <v>1</v>
      </c>
      <c r="CG65" s="128">
        <v>1</v>
      </c>
      <c r="CH65" s="128">
        <v>1</v>
      </c>
      <c r="CI65" s="128">
        <v>1</v>
      </c>
      <c r="CJ65" s="128">
        <v>1</v>
      </c>
      <c r="CK65" s="128">
        <v>1</v>
      </c>
      <c r="CL65" s="128">
        <v>1</v>
      </c>
      <c r="CM65" s="128">
        <v>1</v>
      </c>
      <c r="CN65" s="128">
        <v>1</v>
      </c>
      <c r="CO65" s="128">
        <v>1</v>
      </c>
      <c r="CP65" s="128">
        <v>1</v>
      </c>
      <c r="CQ65" s="128">
        <v>1</v>
      </c>
      <c r="CR65" s="128">
        <v>1</v>
      </c>
      <c r="CS65" s="128">
        <v>1</v>
      </c>
      <c r="CT65" s="128">
        <v>1</v>
      </c>
      <c r="CU65" s="128">
        <v>1</v>
      </c>
      <c r="CV65" s="128">
        <v>1</v>
      </c>
      <c r="CW65" s="128">
        <v>1</v>
      </c>
      <c r="CX65" s="128">
        <v>1</v>
      </c>
      <c r="CZ65" s="126">
        <f>SUMIF(MatrixF0[[1]:[2]],MatrixF0[[#This Row],[Столбец1]])/MatrixF0[[#This Row],[Столбец1]]</f>
        <v>0</v>
      </c>
    </row>
    <row r="66" spans="1:104" ht="21" customHeight="1" x14ac:dyDescent="0.25">
      <c r="A66" s="127">
        <v>1.63</v>
      </c>
      <c r="B66" s="128">
        <v>1</v>
      </c>
      <c r="C66" s="128">
        <v>1</v>
      </c>
      <c r="D66" s="128">
        <v>1</v>
      </c>
      <c r="E66" s="128">
        <v>1</v>
      </c>
      <c r="F66" s="128">
        <v>1</v>
      </c>
      <c r="G66" s="128">
        <v>1</v>
      </c>
      <c r="H66" s="128">
        <v>1</v>
      </c>
      <c r="I66" s="128">
        <v>1</v>
      </c>
      <c r="J66" s="128">
        <v>1</v>
      </c>
      <c r="K66" s="128">
        <v>1</v>
      </c>
      <c r="L66" s="128">
        <v>1</v>
      </c>
      <c r="M66" s="128">
        <v>1</v>
      </c>
      <c r="N66" s="128">
        <v>1</v>
      </c>
      <c r="O66" s="128">
        <v>1</v>
      </c>
      <c r="P66" s="128">
        <v>1</v>
      </c>
      <c r="Q66" s="128">
        <v>1</v>
      </c>
      <c r="R66" s="128">
        <v>1</v>
      </c>
      <c r="S66" s="128">
        <v>1</v>
      </c>
      <c r="T66" s="128">
        <v>1</v>
      </c>
      <c r="U66" s="128">
        <v>1</v>
      </c>
      <c r="V66" s="128">
        <v>1</v>
      </c>
      <c r="W66" s="128">
        <v>1</v>
      </c>
      <c r="X66" s="128">
        <v>1</v>
      </c>
      <c r="Y66" s="128">
        <v>1</v>
      </c>
      <c r="Z66" s="128">
        <v>1</v>
      </c>
      <c r="AA66" s="128">
        <v>1</v>
      </c>
      <c r="AB66" s="128">
        <v>1</v>
      </c>
      <c r="AC66" s="128">
        <v>1</v>
      </c>
      <c r="AD66" s="128">
        <v>1</v>
      </c>
      <c r="AE66" s="128">
        <v>1</v>
      </c>
      <c r="AF66" s="128">
        <v>1</v>
      </c>
      <c r="AG66" s="128">
        <v>1</v>
      </c>
      <c r="AH66" s="128">
        <v>1</v>
      </c>
      <c r="AI66" s="128">
        <v>1</v>
      </c>
      <c r="AJ66" s="128">
        <v>1</v>
      </c>
      <c r="AK66" s="128">
        <v>1</v>
      </c>
      <c r="AL66" s="128">
        <v>1</v>
      </c>
      <c r="AM66" s="128">
        <v>1</v>
      </c>
      <c r="AN66" s="128">
        <v>1</v>
      </c>
      <c r="AO66" s="128">
        <v>1</v>
      </c>
      <c r="AP66" s="128">
        <v>1</v>
      </c>
      <c r="AQ66" s="128">
        <v>1</v>
      </c>
      <c r="AR66" s="128">
        <v>1</v>
      </c>
      <c r="AS66" s="128">
        <v>1</v>
      </c>
      <c r="AT66" s="128">
        <v>1</v>
      </c>
      <c r="AU66" s="128">
        <v>1</v>
      </c>
      <c r="AV66" s="128">
        <v>1</v>
      </c>
      <c r="AW66" s="128">
        <v>1</v>
      </c>
      <c r="AX66" s="128">
        <v>1</v>
      </c>
      <c r="AY66" s="128">
        <v>1</v>
      </c>
      <c r="AZ66" s="128">
        <v>1</v>
      </c>
      <c r="BA66" s="128">
        <v>1</v>
      </c>
      <c r="BB66" s="128">
        <v>1</v>
      </c>
      <c r="BC66" s="128">
        <v>1</v>
      </c>
      <c r="BD66" s="128">
        <v>1</v>
      </c>
      <c r="BE66" s="128">
        <v>1</v>
      </c>
      <c r="BF66" s="128">
        <v>1</v>
      </c>
      <c r="BG66" s="128">
        <v>1</v>
      </c>
      <c r="BH66" s="128">
        <v>1</v>
      </c>
      <c r="BI66" s="128">
        <v>1</v>
      </c>
      <c r="BJ66" s="128">
        <v>1</v>
      </c>
      <c r="BK66" s="128">
        <v>1</v>
      </c>
      <c r="BL66" s="128">
        <v>1</v>
      </c>
      <c r="BM66" s="128">
        <v>1</v>
      </c>
      <c r="BN66" s="128">
        <v>1</v>
      </c>
      <c r="BO66" s="128">
        <v>1</v>
      </c>
      <c r="BP66" s="128">
        <v>1</v>
      </c>
      <c r="BQ66" s="128">
        <v>1</v>
      </c>
      <c r="BR66" s="128">
        <v>1</v>
      </c>
      <c r="BS66" s="128">
        <v>1</v>
      </c>
      <c r="BT66" s="128">
        <v>1</v>
      </c>
      <c r="BU66" s="128">
        <v>1</v>
      </c>
      <c r="BV66" s="128">
        <v>1</v>
      </c>
      <c r="BW66" s="128">
        <v>1</v>
      </c>
      <c r="BX66" s="128">
        <v>1</v>
      </c>
      <c r="BY66" s="128">
        <v>1</v>
      </c>
      <c r="BZ66" s="128">
        <v>1</v>
      </c>
      <c r="CA66" s="128">
        <v>1</v>
      </c>
      <c r="CB66" s="128">
        <v>1</v>
      </c>
      <c r="CC66" s="128">
        <v>1</v>
      </c>
      <c r="CD66" s="128">
        <v>1</v>
      </c>
      <c r="CE66" s="128">
        <v>1</v>
      </c>
      <c r="CF66" s="128">
        <v>1</v>
      </c>
      <c r="CG66" s="128">
        <v>1</v>
      </c>
      <c r="CH66" s="128">
        <v>1</v>
      </c>
      <c r="CI66" s="128">
        <v>1</v>
      </c>
      <c r="CJ66" s="128">
        <v>1</v>
      </c>
      <c r="CK66" s="128">
        <v>1</v>
      </c>
      <c r="CL66" s="128">
        <v>1</v>
      </c>
      <c r="CM66" s="128">
        <v>1</v>
      </c>
      <c r="CN66" s="128">
        <v>1</v>
      </c>
      <c r="CO66" s="128">
        <v>1</v>
      </c>
      <c r="CP66" s="128">
        <v>1</v>
      </c>
      <c r="CQ66" s="128">
        <v>1</v>
      </c>
      <c r="CR66" s="128">
        <v>1</v>
      </c>
      <c r="CS66" s="128">
        <v>1</v>
      </c>
      <c r="CT66" s="128">
        <v>1</v>
      </c>
      <c r="CU66" s="128">
        <v>1</v>
      </c>
      <c r="CV66" s="128">
        <v>1</v>
      </c>
      <c r="CW66" s="128">
        <v>1</v>
      </c>
      <c r="CX66" s="128">
        <v>1</v>
      </c>
      <c r="CZ66" s="126">
        <f>SUMIF(MatrixF0[[1]:[2]],MatrixF0[[#This Row],[Столбец1]])/MatrixF0[[#This Row],[Столбец1]]</f>
        <v>0</v>
      </c>
    </row>
    <row r="67" spans="1:104" ht="21" customHeight="1" x14ac:dyDescent="0.25">
      <c r="A67" s="127">
        <v>1.64</v>
      </c>
      <c r="B67" s="128">
        <v>1</v>
      </c>
      <c r="C67" s="128">
        <v>1</v>
      </c>
      <c r="D67" s="128">
        <v>1</v>
      </c>
      <c r="E67" s="128">
        <v>1</v>
      </c>
      <c r="F67" s="128">
        <v>1</v>
      </c>
      <c r="G67" s="128">
        <v>1</v>
      </c>
      <c r="H67" s="128">
        <v>1</v>
      </c>
      <c r="I67" s="128">
        <v>1</v>
      </c>
      <c r="J67" s="128">
        <v>1</v>
      </c>
      <c r="K67" s="128">
        <v>1</v>
      </c>
      <c r="L67" s="128">
        <v>1</v>
      </c>
      <c r="M67" s="128">
        <v>1</v>
      </c>
      <c r="N67" s="128">
        <v>1</v>
      </c>
      <c r="O67" s="128">
        <v>1</v>
      </c>
      <c r="P67" s="128">
        <v>1</v>
      </c>
      <c r="Q67" s="128">
        <v>1</v>
      </c>
      <c r="R67" s="128">
        <v>1</v>
      </c>
      <c r="S67" s="128">
        <v>1</v>
      </c>
      <c r="T67" s="128">
        <v>1</v>
      </c>
      <c r="U67" s="128">
        <v>1</v>
      </c>
      <c r="V67" s="128">
        <v>1</v>
      </c>
      <c r="W67" s="128">
        <v>1</v>
      </c>
      <c r="X67" s="128">
        <v>1</v>
      </c>
      <c r="Y67" s="128">
        <v>1</v>
      </c>
      <c r="Z67" s="128">
        <v>1</v>
      </c>
      <c r="AA67" s="128">
        <v>1</v>
      </c>
      <c r="AB67" s="128">
        <v>1</v>
      </c>
      <c r="AC67" s="128">
        <v>1</v>
      </c>
      <c r="AD67" s="128">
        <v>1</v>
      </c>
      <c r="AE67" s="128">
        <v>1</v>
      </c>
      <c r="AF67" s="128">
        <v>1</v>
      </c>
      <c r="AG67" s="128">
        <v>1</v>
      </c>
      <c r="AH67" s="128">
        <v>1</v>
      </c>
      <c r="AI67" s="128">
        <v>1</v>
      </c>
      <c r="AJ67" s="128">
        <v>1</v>
      </c>
      <c r="AK67" s="128">
        <v>1</v>
      </c>
      <c r="AL67" s="128">
        <v>1</v>
      </c>
      <c r="AM67" s="128">
        <v>1</v>
      </c>
      <c r="AN67" s="128">
        <v>1</v>
      </c>
      <c r="AO67" s="128">
        <v>1</v>
      </c>
      <c r="AP67" s="128">
        <v>1</v>
      </c>
      <c r="AQ67" s="128">
        <v>1</v>
      </c>
      <c r="AR67" s="128">
        <v>1</v>
      </c>
      <c r="AS67" s="128">
        <v>1</v>
      </c>
      <c r="AT67" s="128">
        <v>1</v>
      </c>
      <c r="AU67" s="128">
        <v>1</v>
      </c>
      <c r="AV67" s="128">
        <v>1</v>
      </c>
      <c r="AW67" s="128">
        <v>1</v>
      </c>
      <c r="AX67" s="128">
        <v>1</v>
      </c>
      <c r="AY67" s="128">
        <v>1</v>
      </c>
      <c r="AZ67" s="128">
        <v>1</v>
      </c>
      <c r="BA67" s="128">
        <v>1</v>
      </c>
      <c r="BB67" s="128">
        <v>1</v>
      </c>
      <c r="BC67" s="128">
        <v>1</v>
      </c>
      <c r="BD67" s="128">
        <v>1</v>
      </c>
      <c r="BE67" s="128">
        <v>1</v>
      </c>
      <c r="BF67" s="128">
        <v>1</v>
      </c>
      <c r="BG67" s="128">
        <v>1</v>
      </c>
      <c r="BH67" s="128">
        <v>1</v>
      </c>
      <c r="BI67" s="128">
        <v>1</v>
      </c>
      <c r="BJ67" s="128">
        <v>1</v>
      </c>
      <c r="BK67" s="128">
        <v>1</v>
      </c>
      <c r="BL67" s="128">
        <v>1</v>
      </c>
      <c r="BM67" s="128">
        <v>1</v>
      </c>
      <c r="BN67" s="128">
        <v>1</v>
      </c>
      <c r="BO67" s="128">
        <v>1</v>
      </c>
      <c r="BP67" s="128">
        <v>1</v>
      </c>
      <c r="BQ67" s="128">
        <v>1</v>
      </c>
      <c r="BR67" s="128">
        <v>1</v>
      </c>
      <c r="BS67" s="128">
        <v>1</v>
      </c>
      <c r="BT67" s="128">
        <v>1</v>
      </c>
      <c r="BU67" s="128">
        <v>1</v>
      </c>
      <c r="BV67" s="128">
        <v>1</v>
      </c>
      <c r="BW67" s="128">
        <v>1</v>
      </c>
      <c r="BX67" s="128">
        <v>1</v>
      </c>
      <c r="BY67" s="128">
        <v>1</v>
      </c>
      <c r="BZ67" s="128">
        <v>1</v>
      </c>
      <c r="CA67" s="128">
        <v>1</v>
      </c>
      <c r="CB67" s="128">
        <v>1</v>
      </c>
      <c r="CC67" s="128">
        <v>1</v>
      </c>
      <c r="CD67" s="128">
        <v>1</v>
      </c>
      <c r="CE67" s="128">
        <v>1</v>
      </c>
      <c r="CF67" s="128">
        <v>1</v>
      </c>
      <c r="CG67" s="128">
        <v>1</v>
      </c>
      <c r="CH67" s="128">
        <v>1</v>
      </c>
      <c r="CI67" s="128">
        <v>1</v>
      </c>
      <c r="CJ67" s="128">
        <v>1</v>
      </c>
      <c r="CK67" s="128">
        <v>1</v>
      </c>
      <c r="CL67" s="128">
        <v>1</v>
      </c>
      <c r="CM67" s="128">
        <v>1</v>
      </c>
      <c r="CN67" s="128">
        <v>1</v>
      </c>
      <c r="CO67" s="128">
        <v>1</v>
      </c>
      <c r="CP67" s="128">
        <v>1</v>
      </c>
      <c r="CQ67" s="128">
        <v>1</v>
      </c>
      <c r="CR67" s="128">
        <v>1</v>
      </c>
      <c r="CS67" s="128">
        <v>1</v>
      </c>
      <c r="CT67" s="128">
        <v>1</v>
      </c>
      <c r="CU67" s="128">
        <v>1</v>
      </c>
      <c r="CV67" s="128">
        <v>1</v>
      </c>
      <c r="CW67" s="128">
        <v>1</v>
      </c>
      <c r="CX67" s="128">
        <v>1</v>
      </c>
      <c r="CZ67" s="126">
        <f>SUMIF(MatrixF0[[1]:[2]],MatrixF0[[#This Row],[Столбец1]])/MatrixF0[[#This Row],[Столбец1]]</f>
        <v>0</v>
      </c>
    </row>
    <row r="68" spans="1:104" ht="21" customHeight="1" x14ac:dyDescent="0.25">
      <c r="A68" s="127">
        <v>1.65</v>
      </c>
      <c r="B68" s="128">
        <v>1</v>
      </c>
      <c r="C68" s="128">
        <v>1</v>
      </c>
      <c r="D68" s="128">
        <v>1</v>
      </c>
      <c r="E68" s="128">
        <v>1</v>
      </c>
      <c r="F68" s="128">
        <v>1</v>
      </c>
      <c r="G68" s="128">
        <v>1</v>
      </c>
      <c r="H68" s="128">
        <v>1</v>
      </c>
      <c r="I68" s="128">
        <v>1</v>
      </c>
      <c r="J68" s="128">
        <v>1</v>
      </c>
      <c r="K68" s="128">
        <v>1</v>
      </c>
      <c r="L68" s="128">
        <v>1</v>
      </c>
      <c r="M68" s="128">
        <v>1</v>
      </c>
      <c r="N68" s="128">
        <v>1</v>
      </c>
      <c r="O68" s="128">
        <v>1</v>
      </c>
      <c r="P68" s="128">
        <v>1</v>
      </c>
      <c r="Q68" s="128">
        <v>1</v>
      </c>
      <c r="R68" s="128">
        <v>1</v>
      </c>
      <c r="S68" s="128">
        <v>1</v>
      </c>
      <c r="T68" s="128">
        <v>1</v>
      </c>
      <c r="U68" s="128">
        <v>1</v>
      </c>
      <c r="V68" s="128">
        <v>1</v>
      </c>
      <c r="W68" s="128">
        <v>1</v>
      </c>
      <c r="X68" s="128">
        <v>1</v>
      </c>
      <c r="Y68" s="128">
        <v>1</v>
      </c>
      <c r="Z68" s="128">
        <v>1</v>
      </c>
      <c r="AA68" s="128">
        <v>1</v>
      </c>
      <c r="AB68" s="128">
        <v>1</v>
      </c>
      <c r="AC68" s="128">
        <v>1</v>
      </c>
      <c r="AD68" s="128">
        <v>1</v>
      </c>
      <c r="AE68" s="128">
        <v>1</v>
      </c>
      <c r="AF68" s="128">
        <v>1</v>
      </c>
      <c r="AG68" s="128">
        <v>1</v>
      </c>
      <c r="AH68" s="128">
        <v>1</v>
      </c>
      <c r="AI68" s="128">
        <v>1</v>
      </c>
      <c r="AJ68" s="128">
        <v>1</v>
      </c>
      <c r="AK68" s="128">
        <v>1</v>
      </c>
      <c r="AL68" s="128">
        <v>1</v>
      </c>
      <c r="AM68" s="128">
        <v>1</v>
      </c>
      <c r="AN68" s="128">
        <v>1</v>
      </c>
      <c r="AO68" s="128">
        <v>1</v>
      </c>
      <c r="AP68" s="128">
        <v>1</v>
      </c>
      <c r="AQ68" s="128">
        <v>1</v>
      </c>
      <c r="AR68" s="128">
        <v>1</v>
      </c>
      <c r="AS68" s="128">
        <v>1</v>
      </c>
      <c r="AT68" s="128">
        <v>1</v>
      </c>
      <c r="AU68" s="128">
        <v>1</v>
      </c>
      <c r="AV68" s="128">
        <v>1</v>
      </c>
      <c r="AW68" s="128">
        <v>1</v>
      </c>
      <c r="AX68" s="128">
        <v>1</v>
      </c>
      <c r="AY68" s="128">
        <v>1</v>
      </c>
      <c r="AZ68" s="128">
        <v>1</v>
      </c>
      <c r="BA68" s="128">
        <v>1</v>
      </c>
      <c r="BB68" s="128">
        <v>1</v>
      </c>
      <c r="BC68" s="128">
        <v>1</v>
      </c>
      <c r="BD68" s="128">
        <v>1</v>
      </c>
      <c r="BE68" s="128">
        <v>1</v>
      </c>
      <c r="BF68" s="128">
        <v>1</v>
      </c>
      <c r="BG68" s="128">
        <v>1</v>
      </c>
      <c r="BH68" s="128">
        <v>1</v>
      </c>
      <c r="BI68" s="128">
        <v>1</v>
      </c>
      <c r="BJ68" s="128">
        <v>1</v>
      </c>
      <c r="BK68" s="128">
        <v>1</v>
      </c>
      <c r="BL68" s="128">
        <v>1</v>
      </c>
      <c r="BM68" s="128">
        <v>1</v>
      </c>
      <c r="BN68" s="128">
        <v>1</v>
      </c>
      <c r="BO68" s="128">
        <v>1</v>
      </c>
      <c r="BP68" s="128">
        <v>1</v>
      </c>
      <c r="BQ68" s="128">
        <v>1</v>
      </c>
      <c r="BR68" s="128">
        <v>1</v>
      </c>
      <c r="BS68" s="128">
        <v>1</v>
      </c>
      <c r="BT68" s="128">
        <v>1</v>
      </c>
      <c r="BU68" s="128">
        <v>1</v>
      </c>
      <c r="BV68" s="128">
        <v>1</v>
      </c>
      <c r="BW68" s="128">
        <v>1</v>
      </c>
      <c r="BX68" s="128">
        <v>1</v>
      </c>
      <c r="BY68" s="128">
        <v>1</v>
      </c>
      <c r="BZ68" s="128">
        <v>1</v>
      </c>
      <c r="CA68" s="128">
        <v>1</v>
      </c>
      <c r="CB68" s="128">
        <v>1</v>
      </c>
      <c r="CC68" s="128">
        <v>1</v>
      </c>
      <c r="CD68" s="128">
        <v>1</v>
      </c>
      <c r="CE68" s="128">
        <v>1</v>
      </c>
      <c r="CF68" s="128">
        <v>1</v>
      </c>
      <c r="CG68" s="128">
        <v>1</v>
      </c>
      <c r="CH68" s="128">
        <v>1</v>
      </c>
      <c r="CI68" s="128">
        <v>1</v>
      </c>
      <c r="CJ68" s="128">
        <v>1</v>
      </c>
      <c r="CK68" s="128">
        <v>1</v>
      </c>
      <c r="CL68" s="128">
        <v>1</v>
      </c>
      <c r="CM68" s="128">
        <v>1</v>
      </c>
      <c r="CN68" s="128">
        <v>1</v>
      </c>
      <c r="CO68" s="128">
        <v>1</v>
      </c>
      <c r="CP68" s="128">
        <v>1</v>
      </c>
      <c r="CQ68" s="128">
        <v>1</v>
      </c>
      <c r="CR68" s="128">
        <v>1</v>
      </c>
      <c r="CS68" s="128">
        <v>1</v>
      </c>
      <c r="CT68" s="128">
        <v>1</v>
      </c>
      <c r="CU68" s="128">
        <v>1</v>
      </c>
      <c r="CV68" s="128">
        <v>1</v>
      </c>
      <c r="CW68" s="128">
        <v>1</v>
      </c>
      <c r="CX68" s="128">
        <v>1</v>
      </c>
      <c r="CZ68" s="126">
        <f>SUMIF(MatrixF0[[1]:[2]],MatrixF0[[#This Row],[Столбец1]])/MatrixF0[[#This Row],[Столбец1]]</f>
        <v>0</v>
      </c>
    </row>
    <row r="69" spans="1:104" ht="21" customHeight="1" x14ac:dyDescent="0.25">
      <c r="A69" s="127">
        <v>1.66</v>
      </c>
      <c r="B69" s="128">
        <v>1</v>
      </c>
      <c r="C69" s="128">
        <v>1</v>
      </c>
      <c r="D69" s="128">
        <v>1</v>
      </c>
      <c r="E69" s="128">
        <v>1</v>
      </c>
      <c r="F69" s="128">
        <v>1</v>
      </c>
      <c r="G69" s="128">
        <v>1</v>
      </c>
      <c r="H69" s="128">
        <v>1</v>
      </c>
      <c r="I69" s="128">
        <v>1</v>
      </c>
      <c r="J69" s="128">
        <v>1</v>
      </c>
      <c r="K69" s="128">
        <v>1</v>
      </c>
      <c r="L69" s="128">
        <v>1</v>
      </c>
      <c r="M69" s="128">
        <v>1</v>
      </c>
      <c r="N69" s="128">
        <v>1</v>
      </c>
      <c r="O69" s="128">
        <v>1</v>
      </c>
      <c r="P69" s="128">
        <v>1</v>
      </c>
      <c r="Q69" s="128">
        <v>1</v>
      </c>
      <c r="R69" s="128">
        <v>1</v>
      </c>
      <c r="S69" s="128">
        <v>1</v>
      </c>
      <c r="T69" s="128">
        <v>1</v>
      </c>
      <c r="U69" s="128">
        <v>1</v>
      </c>
      <c r="V69" s="128">
        <v>1</v>
      </c>
      <c r="W69" s="128">
        <v>1</v>
      </c>
      <c r="X69" s="128">
        <v>1</v>
      </c>
      <c r="Y69" s="128">
        <v>1</v>
      </c>
      <c r="Z69" s="128">
        <v>1</v>
      </c>
      <c r="AA69" s="128">
        <v>1</v>
      </c>
      <c r="AB69" s="128">
        <v>1</v>
      </c>
      <c r="AC69" s="128">
        <v>1</v>
      </c>
      <c r="AD69" s="128">
        <v>1</v>
      </c>
      <c r="AE69" s="128">
        <v>1</v>
      </c>
      <c r="AF69" s="128">
        <v>1</v>
      </c>
      <c r="AG69" s="128">
        <v>1</v>
      </c>
      <c r="AH69" s="128">
        <v>1</v>
      </c>
      <c r="AI69" s="128">
        <v>1</v>
      </c>
      <c r="AJ69" s="128">
        <v>1</v>
      </c>
      <c r="AK69" s="128">
        <v>1</v>
      </c>
      <c r="AL69" s="128">
        <v>1</v>
      </c>
      <c r="AM69" s="128">
        <v>1</v>
      </c>
      <c r="AN69" s="128">
        <v>1</v>
      </c>
      <c r="AO69" s="128">
        <v>1</v>
      </c>
      <c r="AP69" s="128">
        <v>1</v>
      </c>
      <c r="AQ69" s="128">
        <v>1</v>
      </c>
      <c r="AR69" s="128">
        <v>1</v>
      </c>
      <c r="AS69" s="128">
        <v>1</v>
      </c>
      <c r="AT69" s="128">
        <v>1</v>
      </c>
      <c r="AU69" s="128">
        <v>1</v>
      </c>
      <c r="AV69" s="128">
        <v>1</v>
      </c>
      <c r="AW69" s="128">
        <v>1</v>
      </c>
      <c r="AX69" s="128">
        <v>1</v>
      </c>
      <c r="AY69" s="128">
        <v>1</v>
      </c>
      <c r="AZ69" s="128">
        <v>1</v>
      </c>
      <c r="BA69" s="128">
        <v>1</v>
      </c>
      <c r="BB69" s="128">
        <v>1</v>
      </c>
      <c r="BC69" s="128">
        <v>1</v>
      </c>
      <c r="BD69" s="128">
        <v>1</v>
      </c>
      <c r="BE69" s="128">
        <v>1</v>
      </c>
      <c r="BF69" s="128">
        <v>1</v>
      </c>
      <c r="BG69" s="128">
        <v>1</v>
      </c>
      <c r="BH69" s="128">
        <v>1</v>
      </c>
      <c r="BI69" s="128">
        <v>1</v>
      </c>
      <c r="BJ69" s="128">
        <v>1</v>
      </c>
      <c r="BK69" s="128">
        <v>1</v>
      </c>
      <c r="BL69" s="128">
        <v>1</v>
      </c>
      <c r="BM69" s="128">
        <v>1</v>
      </c>
      <c r="BN69" s="128">
        <v>1</v>
      </c>
      <c r="BO69" s="128">
        <v>1</v>
      </c>
      <c r="BP69" s="128">
        <v>1</v>
      </c>
      <c r="BQ69" s="128">
        <v>1</v>
      </c>
      <c r="BR69" s="128">
        <v>1</v>
      </c>
      <c r="BS69" s="128">
        <v>1</v>
      </c>
      <c r="BT69" s="128">
        <v>1</v>
      </c>
      <c r="BU69" s="128">
        <v>1</v>
      </c>
      <c r="BV69" s="128">
        <v>1</v>
      </c>
      <c r="BW69" s="128">
        <v>1</v>
      </c>
      <c r="BX69" s="128">
        <v>1</v>
      </c>
      <c r="BY69" s="128">
        <v>1</v>
      </c>
      <c r="BZ69" s="128">
        <v>1</v>
      </c>
      <c r="CA69" s="128">
        <v>1</v>
      </c>
      <c r="CB69" s="128">
        <v>1</v>
      </c>
      <c r="CC69" s="128">
        <v>1</v>
      </c>
      <c r="CD69" s="128">
        <v>1</v>
      </c>
      <c r="CE69" s="128">
        <v>1</v>
      </c>
      <c r="CF69" s="128">
        <v>1</v>
      </c>
      <c r="CG69" s="128">
        <v>1</v>
      </c>
      <c r="CH69" s="128">
        <v>1</v>
      </c>
      <c r="CI69" s="128">
        <v>1</v>
      </c>
      <c r="CJ69" s="128">
        <v>1</v>
      </c>
      <c r="CK69" s="128">
        <v>1</v>
      </c>
      <c r="CL69" s="128">
        <v>1</v>
      </c>
      <c r="CM69" s="128">
        <v>1</v>
      </c>
      <c r="CN69" s="128">
        <v>1</v>
      </c>
      <c r="CO69" s="128">
        <v>1</v>
      </c>
      <c r="CP69" s="128">
        <v>1</v>
      </c>
      <c r="CQ69" s="128">
        <v>1</v>
      </c>
      <c r="CR69" s="128">
        <v>1</v>
      </c>
      <c r="CS69" s="128">
        <v>1</v>
      </c>
      <c r="CT69" s="128">
        <v>1</v>
      </c>
      <c r="CU69" s="128">
        <v>1</v>
      </c>
      <c r="CV69" s="128">
        <v>1</v>
      </c>
      <c r="CW69" s="128">
        <v>1</v>
      </c>
      <c r="CX69" s="128">
        <v>1</v>
      </c>
      <c r="CZ69" s="126">
        <f>SUMIF(MatrixF0[[1]:[2]],MatrixF0[[#This Row],[Столбец1]])/MatrixF0[[#This Row],[Столбец1]]</f>
        <v>0</v>
      </c>
    </row>
    <row r="70" spans="1:104" ht="21" customHeight="1" x14ac:dyDescent="0.25">
      <c r="A70" s="127">
        <v>1.67</v>
      </c>
      <c r="B70" s="128">
        <v>1</v>
      </c>
      <c r="C70" s="128">
        <v>1</v>
      </c>
      <c r="D70" s="128">
        <v>1</v>
      </c>
      <c r="E70" s="128">
        <v>1</v>
      </c>
      <c r="F70" s="128">
        <v>1</v>
      </c>
      <c r="G70" s="128">
        <v>1</v>
      </c>
      <c r="H70" s="128">
        <v>1</v>
      </c>
      <c r="I70" s="128">
        <v>1</v>
      </c>
      <c r="J70" s="128">
        <v>1</v>
      </c>
      <c r="K70" s="128">
        <v>1</v>
      </c>
      <c r="L70" s="128">
        <v>1</v>
      </c>
      <c r="M70" s="128">
        <v>1</v>
      </c>
      <c r="N70" s="128">
        <v>1</v>
      </c>
      <c r="O70" s="128">
        <v>1</v>
      </c>
      <c r="P70" s="128">
        <v>1</v>
      </c>
      <c r="Q70" s="128">
        <v>1</v>
      </c>
      <c r="R70" s="128">
        <v>1</v>
      </c>
      <c r="S70" s="128">
        <v>1</v>
      </c>
      <c r="T70" s="128">
        <v>1</v>
      </c>
      <c r="U70" s="128">
        <v>1</v>
      </c>
      <c r="V70" s="128">
        <v>1</v>
      </c>
      <c r="W70" s="128">
        <v>1</v>
      </c>
      <c r="X70" s="128">
        <v>1</v>
      </c>
      <c r="Y70" s="128">
        <v>1</v>
      </c>
      <c r="Z70" s="128">
        <v>1</v>
      </c>
      <c r="AA70" s="128">
        <v>1</v>
      </c>
      <c r="AB70" s="128">
        <v>1</v>
      </c>
      <c r="AC70" s="128">
        <v>1</v>
      </c>
      <c r="AD70" s="128">
        <v>1</v>
      </c>
      <c r="AE70" s="128">
        <v>1</v>
      </c>
      <c r="AF70" s="128">
        <v>1</v>
      </c>
      <c r="AG70" s="128">
        <v>1</v>
      </c>
      <c r="AH70" s="128">
        <v>1</v>
      </c>
      <c r="AI70" s="128">
        <v>1</v>
      </c>
      <c r="AJ70" s="128">
        <v>1</v>
      </c>
      <c r="AK70" s="128">
        <v>1</v>
      </c>
      <c r="AL70" s="128">
        <v>1</v>
      </c>
      <c r="AM70" s="128">
        <v>1</v>
      </c>
      <c r="AN70" s="128">
        <v>1</v>
      </c>
      <c r="AO70" s="128">
        <v>1</v>
      </c>
      <c r="AP70" s="128">
        <v>1</v>
      </c>
      <c r="AQ70" s="128">
        <v>1</v>
      </c>
      <c r="AR70" s="128">
        <v>1</v>
      </c>
      <c r="AS70" s="128">
        <v>1</v>
      </c>
      <c r="AT70" s="128">
        <v>1</v>
      </c>
      <c r="AU70" s="128">
        <v>1</v>
      </c>
      <c r="AV70" s="128">
        <v>1</v>
      </c>
      <c r="AW70" s="128">
        <v>1</v>
      </c>
      <c r="AX70" s="128">
        <v>1</v>
      </c>
      <c r="AY70" s="128">
        <v>1</v>
      </c>
      <c r="AZ70" s="128">
        <v>1</v>
      </c>
      <c r="BA70" s="128">
        <v>1</v>
      </c>
      <c r="BB70" s="128">
        <v>1</v>
      </c>
      <c r="BC70" s="128">
        <v>1</v>
      </c>
      <c r="BD70" s="128">
        <v>1</v>
      </c>
      <c r="BE70" s="128">
        <v>1</v>
      </c>
      <c r="BF70" s="128">
        <v>1</v>
      </c>
      <c r="BG70" s="128">
        <v>1</v>
      </c>
      <c r="BH70" s="128">
        <v>1</v>
      </c>
      <c r="BI70" s="128">
        <v>1</v>
      </c>
      <c r="BJ70" s="128">
        <v>1</v>
      </c>
      <c r="BK70" s="128">
        <v>1</v>
      </c>
      <c r="BL70" s="128">
        <v>1</v>
      </c>
      <c r="BM70" s="128">
        <v>1</v>
      </c>
      <c r="BN70" s="128">
        <v>1</v>
      </c>
      <c r="BO70" s="128">
        <v>1</v>
      </c>
      <c r="BP70" s="128">
        <v>1</v>
      </c>
      <c r="BQ70" s="128">
        <v>1</v>
      </c>
      <c r="BR70" s="128">
        <v>1</v>
      </c>
      <c r="BS70" s="128">
        <v>1</v>
      </c>
      <c r="BT70" s="128">
        <v>1</v>
      </c>
      <c r="BU70" s="128">
        <v>1</v>
      </c>
      <c r="BV70" s="128">
        <v>1</v>
      </c>
      <c r="BW70" s="128">
        <v>1</v>
      </c>
      <c r="BX70" s="128">
        <v>1</v>
      </c>
      <c r="BY70" s="128">
        <v>1</v>
      </c>
      <c r="BZ70" s="128">
        <v>1</v>
      </c>
      <c r="CA70" s="128">
        <v>1</v>
      </c>
      <c r="CB70" s="128">
        <v>1</v>
      </c>
      <c r="CC70" s="128">
        <v>1</v>
      </c>
      <c r="CD70" s="128">
        <v>1</v>
      </c>
      <c r="CE70" s="128">
        <v>1</v>
      </c>
      <c r="CF70" s="128">
        <v>1</v>
      </c>
      <c r="CG70" s="128">
        <v>1</v>
      </c>
      <c r="CH70" s="128">
        <v>1</v>
      </c>
      <c r="CI70" s="128">
        <v>1</v>
      </c>
      <c r="CJ70" s="128">
        <v>1</v>
      </c>
      <c r="CK70" s="128">
        <v>1</v>
      </c>
      <c r="CL70" s="128">
        <v>1</v>
      </c>
      <c r="CM70" s="128">
        <v>1</v>
      </c>
      <c r="CN70" s="128">
        <v>1</v>
      </c>
      <c r="CO70" s="128">
        <v>1</v>
      </c>
      <c r="CP70" s="128">
        <v>1</v>
      </c>
      <c r="CQ70" s="128">
        <v>1</v>
      </c>
      <c r="CR70" s="128">
        <v>1</v>
      </c>
      <c r="CS70" s="128">
        <v>1</v>
      </c>
      <c r="CT70" s="128">
        <v>1</v>
      </c>
      <c r="CU70" s="128">
        <v>1</v>
      </c>
      <c r="CV70" s="128">
        <v>1</v>
      </c>
      <c r="CW70" s="128">
        <v>1</v>
      </c>
      <c r="CX70" s="128">
        <v>1</v>
      </c>
      <c r="CZ70" s="126">
        <f>SUMIF(MatrixF0[[1]:[2]],MatrixF0[[#This Row],[Столбец1]])/MatrixF0[[#This Row],[Столбец1]]</f>
        <v>0</v>
      </c>
    </row>
    <row r="71" spans="1:104" ht="21" customHeight="1" x14ac:dyDescent="0.25">
      <c r="A71" s="127">
        <v>1.68</v>
      </c>
      <c r="B71" s="128">
        <v>1</v>
      </c>
      <c r="C71" s="128">
        <v>1</v>
      </c>
      <c r="D71" s="128">
        <v>1</v>
      </c>
      <c r="E71" s="128">
        <v>1</v>
      </c>
      <c r="F71" s="128">
        <v>1</v>
      </c>
      <c r="G71" s="128">
        <v>1</v>
      </c>
      <c r="H71" s="128">
        <v>1</v>
      </c>
      <c r="I71" s="128">
        <v>1</v>
      </c>
      <c r="J71" s="128">
        <v>1</v>
      </c>
      <c r="K71" s="128">
        <v>1</v>
      </c>
      <c r="L71" s="128">
        <v>1</v>
      </c>
      <c r="M71" s="128">
        <v>1</v>
      </c>
      <c r="N71" s="128">
        <v>1</v>
      </c>
      <c r="O71" s="128">
        <v>1</v>
      </c>
      <c r="P71" s="128">
        <v>1</v>
      </c>
      <c r="Q71" s="128">
        <v>1</v>
      </c>
      <c r="R71" s="128">
        <v>1</v>
      </c>
      <c r="S71" s="128">
        <v>1</v>
      </c>
      <c r="T71" s="128">
        <v>1</v>
      </c>
      <c r="U71" s="128">
        <v>1</v>
      </c>
      <c r="V71" s="128">
        <v>1</v>
      </c>
      <c r="W71" s="128">
        <v>1</v>
      </c>
      <c r="X71" s="128">
        <v>1</v>
      </c>
      <c r="Y71" s="128">
        <v>1</v>
      </c>
      <c r="Z71" s="128">
        <v>1</v>
      </c>
      <c r="AA71" s="128">
        <v>1</v>
      </c>
      <c r="AB71" s="128">
        <v>1</v>
      </c>
      <c r="AC71" s="128">
        <v>1</v>
      </c>
      <c r="AD71" s="128">
        <v>1</v>
      </c>
      <c r="AE71" s="128">
        <v>1</v>
      </c>
      <c r="AF71" s="128">
        <v>1</v>
      </c>
      <c r="AG71" s="128">
        <v>1</v>
      </c>
      <c r="AH71" s="128">
        <v>1</v>
      </c>
      <c r="AI71" s="128">
        <v>1</v>
      </c>
      <c r="AJ71" s="128">
        <v>1</v>
      </c>
      <c r="AK71" s="128">
        <v>1</v>
      </c>
      <c r="AL71" s="128">
        <v>1</v>
      </c>
      <c r="AM71" s="128">
        <v>1</v>
      </c>
      <c r="AN71" s="128">
        <v>1</v>
      </c>
      <c r="AO71" s="128">
        <v>1</v>
      </c>
      <c r="AP71" s="128">
        <v>1</v>
      </c>
      <c r="AQ71" s="128">
        <v>1</v>
      </c>
      <c r="AR71" s="128">
        <v>1</v>
      </c>
      <c r="AS71" s="128">
        <v>1</v>
      </c>
      <c r="AT71" s="128">
        <v>1</v>
      </c>
      <c r="AU71" s="128">
        <v>1</v>
      </c>
      <c r="AV71" s="128">
        <v>1</v>
      </c>
      <c r="AW71" s="128">
        <v>1</v>
      </c>
      <c r="AX71" s="128">
        <v>1</v>
      </c>
      <c r="AY71" s="128">
        <v>1</v>
      </c>
      <c r="AZ71" s="128">
        <v>1</v>
      </c>
      <c r="BA71" s="128">
        <v>1</v>
      </c>
      <c r="BB71" s="128">
        <v>1</v>
      </c>
      <c r="BC71" s="128">
        <v>1</v>
      </c>
      <c r="BD71" s="128">
        <v>1</v>
      </c>
      <c r="BE71" s="128">
        <v>1</v>
      </c>
      <c r="BF71" s="128">
        <v>1</v>
      </c>
      <c r="BG71" s="128">
        <v>1</v>
      </c>
      <c r="BH71" s="128">
        <v>1</v>
      </c>
      <c r="BI71" s="128">
        <v>1</v>
      </c>
      <c r="BJ71" s="128">
        <v>1</v>
      </c>
      <c r="BK71" s="128">
        <v>1</v>
      </c>
      <c r="BL71" s="128">
        <v>1</v>
      </c>
      <c r="BM71" s="128">
        <v>1</v>
      </c>
      <c r="BN71" s="128">
        <v>1</v>
      </c>
      <c r="BO71" s="128">
        <v>1</v>
      </c>
      <c r="BP71" s="128">
        <v>1</v>
      </c>
      <c r="BQ71" s="128">
        <v>1</v>
      </c>
      <c r="BR71" s="128">
        <v>1</v>
      </c>
      <c r="BS71" s="128">
        <v>1</v>
      </c>
      <c r="BT71" s="128">
        <v>1</v>
      </c>
      <c r="BU71" s="128">
        <v>1</v>
      </c>
      <c r="BV71" s="128">
        <v>1</v>
      </c>
      <c r="BW71" s="128">
        <v>1</v>
      </c>
      <c r="BX71" s="128">
        <v>1</v>
      </c>
      <c r="BY71" s="128">
        <v>1</v>
      </c>
      <c r="BZ71" s="128">
        <v>1</v>
      </c>
      <c r="CA71" s="128">
        <v>1</v>
      </c>
      <c r="CB71" s="128">
        <v>1</v>
      </c>
      <c r="CC71" s="128">
        <v>1</v>
      </c>
      <c r="CD71" s="128">
        <v>1</v>
      </c>
      <c r="CE71" s="128">
        <v>1</v>
      </c>
      <c r="CF71" s="128">
        <v>1</v>
      </c>
      <c r="CG71" s="128">
        <v>1</v>
      </c>
      <c r="CH71" s="128">
        <v>1</v>
      </c>
      <c r="CI71" s="128">
        <v>1</v>
      </c>
      <c r="CJ71" s="128">
        <v>1</v>
      </c>
      <c r="CK71" s="128">
        <v>1</v>
      </c>
      <c r="CL71" s="128">
        <v>1</v>
      </c>
      <c r="CM71" s="128">
        <v>1</v>
      </c>
      <c r="CN71" s="128">
        <v>1</v>
      </c>
      <c r="CO71" s="128">
        <v>1</v>
      </c>
      <c r="CP71" s="128">
        <v>1</v>
      </c>
      <c r="CQ71" s="128">
        <v>1</v>
      </c>
      <c r="CR71" s="128">
        <v>1</v>
      </c>
      <c r="CS71" s="128">
        <v>1</v>
      </c>
      <c r="CT71" s="128">
        <v>1</v>
      </c>
      <c r="CU71" s="128">
        <v>1</v>
      </c>
      <c r="CV71" s="128">
        <v>1</v>
      </c>
      <c r="CW71" s="128">
        <v>1</v>
      </c>
      <c r="CX71" s="128">
        <v>1</v>
      </c>
      <c r="CZ71" s="126">
        <f>SUMIF(MatrixF0[[1]:[2]],MatrixF0[[#This Row],[Столбец1]])/MatrixF0[[#This Row],[Столбец1]]</f>
        <v>0</v>
      </c>
    </row>
    <row r="72" spans="1:104" ht="21" customHeight="1" x14ac:dyDescent="0.25">
      <c r="A72" s="127">
        <v>1.69</v>
      </c>
      <c r="B72" s="128">
        <v>1</v>
      </c>
      <c r="C72" s="128">
        <v>1</v>
      </c>
      <c r="D72" s="128">
        <v>1</v>
      </c>
      <c r="E72" s="128">
        <v>1</v>
      </c>
      <c r="F72" s="128">
        <v>1</v>
      </c>
      <c r="G72" s="128">
        <v>1</v>
      </c>
      <c r="H72" s="128">
        <v>1</v>
      </c>
      <c r="I72" s="128">
        <v>1</v>
      </c>
      <c r="J72" s="128">
        <v>1</v>
      </c>
      <c r="K72" s="128">
        <v>1</v>
      </c>
      <c r="L72" s="128">
        <v>1</v>
      </c>
      <c r="M72" s="128">
        <v>1</v>
      </c>
      <c r="N72" s="128">
        <v>1</v>
      </c>
      <c r="O72" s="128">
        <v>1</v>
      </c>
      <c r="P72" s="128">
        <v>1</v>
      </c>
      <c r="Q72" s="128">
        <v>1</v>
      </c>
      <c r="R72" s="128">
        <v>1</v>
      </c>
      <c r="S72" s="128">
        <v>1</v>
      </c>
      <c r="T72" s="128">
        <v>1</v>
      </c>
      <c r="U72" s="128">
        <v>1</v>
      </c>
      <c r="V72" s="128">
        <v>1</v>
      </c>
      <c r="W72" s="128">
        <v>1</v>
      </c>
      <c r="X72" s="128">
        <v>1</v>
      </c>
      <c r="Y72" s="128">
        <v>1</v>
      </c>
      <c r="Z72" s="128">
        <v>1</v>
      </c>
      <c r="AA72" s="128">
        <v>1</v>
      </c>
      <c r="AB72" s="128">
        <v>1</v>
      </c>
      <c r="AC72" s="128">
        <v>1</v>
      </c>
      <c r="AD72" s="128">
        <v>1</v>
      </c>
      <c r="AE72" s="128">
        <v>1</v>
      </c>
      <c r="AF72" s="128">
        <v>1</v>
      </c>
      <c r="AG72" s="128">
        <v>1</v>
      </c>
      <c r="AH72" s="128">
        <v>1</v>
      </c>
      <c r="AI72" s="128">
        <v>1</v>
      </c>
      <c r="AJ72" s="128">
        <v>1</v>
      </c>
      <c r="AK72" s="128">
        <v>1</v>
      </c>
      <c r="AL72" s="128">
        <v>1</v>
      </c>
      <c r="AM72" s="128">
        <v>1</v>
      </c>
      <c r="AN72" s="128">
        <v>1</v>
      </c>
      <c r="AO72" s="128">
        <v>1</v>
      </c>
      <c r="AP72" s="128">
        <v>1</v>
      </c>
      <c r="AQ72" s="128">
        <v>1</v>
      </c>
      <c r="AR72" s="128">
        <v>1</v>
      </c>
      <c r="AS72" s="128">
        <v>1</v>
      </c>
      <c r="AT72" s="128">
        <v>1</v>
      </c>
      <c r="AU72" s="128">
        <v>1</v>
      </c>
      <c r="AV72" s="128">
        <v>1</v>
      </c>
      <c r="AW72" s="128">
        <v>1</v>
      </c>
      <c r="AX72" s="128">
        <v>1</v>
      </c>
      <c r="AY72" s="128">
        <v>1</v>
      </c>
      <c r="AZ72" s="128">
        <v>1</v>
      </c>
      <c r="BA72" s="128">
        <v>1</v>
      </c>
      <c r="BB72" s="128">
        <v>1</v>
      </c>
      <c r="BC72" s="128">
        <v>1</v>
      </c>
      <c r="BD72" s="128">
        <v>1</v>
      </c>
      <c r="BE72" s="128">
        <v>1</v>
      </c>
      <c r="BF72" s="128">
        <v>1</v>
      </c>
      <c r="BG72" s="128">
        <v>1</v>
      </c>
      <c r="BH72" s="128">
        <v>1</v>
      </c>
      <c r="BI72" s="128">
        <v>1</v>
      </c>
      <c r="BJ72" s="128">
        <v>1</v>
      </c>
      <c r="BK72" s="128">
        <v>1</v>
      </c>
      <c r="BL72" s="128">
        <v>1</v>
      </c>
      <c r="BM72" s="128">
        <v>1</v>
      </c>
      <c r="BN72" s="128">
        <v>1</v>
      </c>
      <c r="BO72" s="128">
        <v>1</v>
      </c>
      <c r="BP72" s="128">
        <v>1</v>
      </c>
      <c r="BQ72" s="128">
        <v>1</v>
      </c>
      <c r="BR72" s="128">
        <v>1</v>
      </c>
      <c r="BS72" s="128">
        <v>1</v>
      </c>
      <c r="BT72" s="128">
        <v>1</v>
      </c>
      <c r="BU72" s="128">
        <v>1</v>
      </c>
      <c r="BV72" s="128">
        <v>1</v>
      </c>
      <c r="BW72" s="128">
        <v>1</v>
      </c>
      <c r="BX72" s="128">
        <v>1</v>
      </c>
      <c r="BY72" s="128">
        <v>1</v>
      </c>
      <c r="BZ72" s="128">
        <v>1</v>
      </c>
      <c r="CA72" s="128">
        <v>1</v>
      </c>
      <c r="CB72" s="128">
        <v>1</v>
      </c>
      <c r="CC72" s="128">
        <v>1</v>
      </c>
      <c r="CD72" s="128">
        <v>1</v>
      </c>
      <c r="CE72" s="128">
        <v>1</v>
      </c>
      <c r="CF72" s="128">
        <v>1</v>
      </c>
      <c r="CG72" s="128">
        <v>1</v>
      </c>
      <c r="CH72" s="128">
        <v>1</v>
      </c>
      <c r="CI72" s="128">
        <v>1</v>
      </c>
      <c r="CJ72" s="128">
        <v>1</v>
      </c>
      <c r="CK72" s="128">
        <v>1</v>
      </c>
      <c r="CL72" s="128">
        <v>1</v>
      </c>
      <c r="CM72" s="128">
        <v>1</v>
      </c>
      <c r="CN72" s="128">
        <v>1</v>
      </c>
      <c r="CO72" s="128">
        <v>1</v>
      </c>
      <c r="CP72" s="128">
        <v>1</v>
      </c>
      <c r="CQ72" s="128">
        <v>1</v>
      </c>
      <c r="CR72" s="128">
        <v>1</v>
      </c>
      <c r="CS72" s="128">
        <v>1</v>
      </c>
      <c r="CT72" s="128">
        <v>1</v>
      </c>
      <c r="CU72" s="128">
        <v>1</v>
      </c>
      <c r="CV72" s="128">
        <v>1</v>
      </c>
      <c r="CW72" s="128">
        <v>1</v>
      </c>
      <c r="CX72" s="128">
        <v>1</v>
      </c>
      <c r="CZ72" s="126">
        <f>SUMIF(MatrixF0[[1]:[2]],MatrixF0[[#This Row],[Столбец1]])/MatrixF0[[#This Row],[Столбец1]]</f>
        <v>0</v>
      </c>
    </row>
    <row r="73" spans="1:104" ht="21" customHeight="1" x14ac:dyDescent="0.25">
      <c r="A73" s="127">
        <v>1.7</v>
      </c>
      <c r="B73" s="128">
        <v>1</v>
      </c>
      <c r="C73" s="128">
        <v>1</v>
      </c>
      <c r="D73" s="128">
        <v>1</v>
      </c>
      <c r="E73" s="128">
        <v>1</v>
      </c>
      <c r="F73" s="128">
        <v>1</v>
      </c>
      <c r="G73" s="128">
        <v>1</v>
      </c>
      <c r="H73" s="128">
        <v>1</v>
      </c>
      <c r="I73" s="128">
        <v>1</v>
      </c>
      <c r="J73" s="128">
        <v>1</v>
      </c>
      <c r="K73" s="128">
        <v>1</v>
      </c>
      <c r="L73" s="128">
        <v>1</v>
      </c>
      <c r="M73" s="128">
        <v>1</v>
      </c>
      <c r="N73" s="128">
        <v>1</v>
      </c>
      <c r="O73" s="128">
        <v>1</v>
      </c>
      <c r="P73" s="128">
        <v>1</v>
      </c>
      <c r="Q73" s="128">
        <v>1</v>
      </c>
      <c r="R73" s="128">
        <v>1</v>
      </c>
      <c r="S73" s="128">
        <v>1</v>
      </c>
      <c r="T73" s="128">
        <v>1</v>
      </c>
      <c r="U73" s="128">
        <v>1</v>
      </c>
      <c r="V73" s="128">
        <v>1</v>
      </c>
      <c r="W73" s="128">
        <v>1</v>
      </c>
      <c r="X73" s="128">
        <v>1</v>
      </c>
      <c r="Y73" s="128">
        <v>1</v>
      </c>
      <c r="Z73" s="128">
        <v>1</v>
      </c>
      <c r="AA73" s="128">
        <v>1</v>
      </c>
      <c r="AB73" s="128">
        <v>1</v>
      </c>
      <c r="AC73" s="128">
        <v>1</v>
      </c>
      <c r="AD73" s="128">
        <v>1</v>
      </c>
      <c r="AE73" s="128">
        <v>1</v>
      </c>
      <c r="AF73" s="128">
        <v>1</v>
      </c>
      <c r="AG73" s="128">
        <v>1</v>
      </c>
      <c r="AH73" s="128">
        <v>1</v>
      </c>
      <c r="AI73" s="128">
        <v>1</v>
      </c>
      <c r="AJ73" s="128">
        <v>1</v>
      </c>
      <c r="AK73" s="128">
        <v>1</v>
      </c>
      <c r="AL73" s="128">
        <v>1</v>
      </c>
      <c r="AM73" s="128">
        <v>1</v>
      </c>
      <c r="AN73" s="128">
        <v>1</v>
      </c>
      <c r="AO73" s="128">
        <v>1</v>
      </c>
      <c r="AP73" s="128">
        <v>1</v>
      </c>
      <c r="AQ73" s="128">
        <v>1</v>
      </c>
      <c r="AR73" s="128">
        <v>1</v>
      </c>
      <c r="AS73" s="128">
        <v>1</v>
      </c>
      <c r="AT73" s="128">
        <v>1</v>
      </c>
      <c r="AU73" s="128">
        <v>1</v>
      </c>
      <c r="AV73" s="128">
        <v>1</v>
      </c>
      <c r="AW73" s="128">
        <v>1</v>
      </c>
      <c r="AX73" s="128">
        <v>1</v>
      </c>
      <c r="AY73" s="128">
        <v>1</v>
      </c>
      <c r="AZ73" s="128">
        <v>1</v>
      </c>
      <c r="BA73" s="128">
        <v>1</v>
      </c>
      <c r="BB73" s="128">
        <v>1</v>
      </c>
      <c r="BC73" s="128">
        <v>1</v>
      </c>
      <c r="BD73" s="128">
        <v>1</v>
      </c>
      <c r="BE73" s="128">
        <v>1</v>
      </c>
      <c r="BF73" s="128">
        <v>1</v>
      </c>
      <c r="BG73" s="128">
        <v>1</v>
      </c>
      <c r="BH73" s="128">
        <v>1</v>
      </c>
      <c r="BI73" s="128">
        <v>1</v>
      </c>
      <c r="BJ73" s="128">
        <v>1</v>
      </c>
      <c r="BK73" s="128">
        <v>1</v>
      </c>
      <c r="BL73" s="128">
        <v>1</v>
      </c>
      <c r="BM73" s="128">
        <v>1</v>
      </c>
      <c r="BN73" s="128">
        <v>1</v>
      </c>
      <c r="BO73" s="128">
        <v>1</v>
      </c>
      <c r="BP73" s="128">
        <v>1</v>
      </c>
      <c r="BQ73" s="128">
        <v>1</v>
      </c>
      <c r="BR73" s="128">
        <v>1</v>
      </c>
      <c r="BS73" s="128">
        <v>1</v>
      </c>
      <c r="BT73" s="128">
        <v>1</v>
      </c>
      <c r="BU73" s="128">
        <v>1</v>
      </c>
      <c r="BV73" s="128">
        <v>1</v>
      </c>
      <c r="BW73" s="128">
        <v>1</v>
      </c>
      <c r="BX73" s="128">
        <v>1</v>
      </c>
      <c r="BY73" s="128">
        <v>1</v>
      </c>
      <c r="BZ73" s="128">
        <v>1</v>
      </c>
      <c r="CA73" s="128">
        <v>1</v>
      </c>
      <c r="CB73" s="128">
        <v>1</v>
      </c>
      <c r="CC73" s="128">
        <v>1</v>
      </c>
      <c r="CD73" s="128">
        <v>1</v>
      </c>
      <c r="CE73" s="128">
        <v>1</v>
      </c>
      <c r="CF73" s="128">
        <v>1</v>
      </c>
      <c r="CG73" s="128">
        <v>1</v>
      </c>
      <c r="CH73" s="128">
        <v>1</v>
      </c>
      <c r="CI73" s="128">
        <v>1</v>
      </c>
      <c r="CJ73" s="128">
        <v>1</v>
      </c>
      <c r="CK73" s="128">
        <v>1</v>
      </c>
      <c r="CL73" s="128">
        <v>1</v>
      </c>
      <c r="CM73" s="128">
        <v>1</v>
      </c>
      <c r="CN73" s="128">
        <v>1</v>
      </c>
      <c r="CO73" s="128">
        <v>1</v>
      </c>
      <c r="CP73" s="128">
        <v>1</v>
      </c>
      <c r="CQ73" s="128">
        <v>1</v>
      </c>
      <c r="CR73" s="128">
        <v>1</v>
      </c>
      <c r="CS73" s="128">
        <v>1</v>
      </c>
      <c r="CT73" s="128">
        <v>1</v>
      </c>
      <c r="CU73" s="128">
        <v>1</v>
      </c>
      <c r="CV73" s="128">
        <v>1</v>
      </c>
      <c r="CW73" s="128">
        <v>1</v>
      </c>
      <c r="CX73" s="128">
        <v>1</v>
      </c>
      <c r="CZ73" s="126">
        <f>SUMIF(MatrixF0[[1]:[2]],MatrixF0[[#This Row],[Столбец1]])/MatrixF0[[#This Row],[Столбец1]]</f>
        <v>0</v>
      </c>
    </row>
    <row r="74" spans="1:104" ht="21" customHeight="1" x14ac:dyDescent="0.25">
      <c r="A74" s="127">
        <v>1.71</v>
      </c>
      <c r="B74" s="128">
        <v>1</v>
      </c>
      <c r="C74" s="128">
        <v>1</v>
      </c>
      <c r="D74" s="128">
        <v>1</v>
      </c>
      <c r="E74" s="128">
        <v>1</v>
      </c>
      <c r="F74" s="128">
        <v>1</v>
      </c>
      <c r="G74" s="128">
        <v>1</v>
      </c>
      <c r="H74" s="128">
        <v>1</v>
      </c>
      <c r="I74" s="128">
        <v>1</v>
      </c>
      <c r="J74" s="128">
        <v>1</v>
      </c>
      <c r="K74" s="128">
        <v>1</v>
      </c>
      <c r="L74" s="128">
        <v>1</v>
      </c>
      <c r="M74" s="128">
        <v>1</v>
      </c>
      <c r="N74" s="128">
        <v>1</v>
      </c>
      <c r="O74" s="128">
        <v>1</v>
      </c>
      <c r="P74" s="128">
        <v>1</v>
      </c>
      <c r="Q74" s="128">
        <v>1</v>
      </c>
      <c r="R74" s="128">
        <v>1</v>
      </c>
      <c r="S74" s="128">
        <v>1</v>
      </c>
      <c r="T74" s="128">
        <v>1</v>
      </c>
      <c r="U74" s="128">
        <v>1</v>
      </c>
      <c r="V74" s="128">
        <v>1</v>
      </c>
      <c r="W74" s="128">
        <v>1</v>
      </c>
      <c r="X74" s="128">
        <v>1</v>
      </c>
      <c r="Y74" s="128">
        <v>1</v>
      </c>
      <c r="Z74" s="128">
        <v>1</v>
      </c>
      <c r="AA74" s="128">
        <v>1</v>
      </c>
      <c r="AB74" s="128">
        <v>1</v>
      </c>
      <c r="AC74" s="128">
        <v>1</v>
      </c>
      <c r="AD74" s="128">
        <v>1</v>
      </c>
      <c r="AE74" s="128">
        <v>1</v>
      </c>
      <c r="AF74" s="128">
        <v>1</v>
      </c>
      <c r="AG74" s="128">
        <v>1</v>
      </c>
      <c r="AH74" s="128">
        <v>1</v>
      </c>
      <c r="AI74" s="128">
        <v>1</v>
      </c>
      <c r="AJ74" s="128">
        <v>1</v>
      </c>
      <c r="AK74" s="128">
        <v>1</v>
      </c>
      <c r="AL74" s="128">
        <v>1</v>
      </c>
      <c r="AM74" s="128">
        <v>1</v>
      </c>
      <c r="AN74" s="128">
        <v>1</v>
      </c>
      <c r="AO74" s="128">
        <v>1</v>
      </c>
      <c r="AP74" s="128">
        <v>1</v>
      </c>
      <c r="AQ74" s="128">
        <v>1</v>
      </c>
      <c r="AR74" s="128">
        <v>1</v>
      </c>
      <c r="AS74" s="128">
        <v>1</v>
      </c>
      <c r="AT74" s="128">
        <v>1</v>
      </c>
      <c r="AU74" s="128">
        <v>1</v>
      </c>
      <c r="AV74" s="128">
        <v>1</v>
      </c>
      <c r="AW74" s="128">
        <v>1</v>
      </c>
      <c r="AX74" s="128">
        <v>1</v>
      </c>
      <c r="AY74" s="128">
        <v>1</v>
      </c>
      <c r="AZ74" s="128">
        <v>1</v>
      </c>
      <c r="BA74" s="128">
        <v>1</v>
      </c>
      <c r="BB74" s="128">
        <v>1</v>
      </c>
      <c r="BC74" s="128">
        <v>1</v>
      </c>
      <c r="BD74" s="128">
        <v>1</v>
      </c>
      <c r="BE74" s="128">
        <v>1</v>
      </c>
      <c r="BF74" s="128">
        <v>1</v>
      </c>
      <c r="BG74" s="128">
        <v>1</v>
      </c>
      <c r="BH74" s="128">
        <v>1</v>
      </c>
      <c r="BI74" s="128">
        <v>1</v>
      </c>
      <c r="BJ74" s="128">
        <v>1</v>
      </c>
      <c r="BK74" s="128">
        <v>1</v>
      </c>
      <c r="BL74" s="128">
        <v>1</v>
      </c>
      <c r="BM74" s="128">
        <v>1</v>
      </c>
      <c r="BN74" s="128">
        <v>1</v>
      </c>
      <c r="BO74" s="128">
        <v>1</v>
      </c>
      <c r="BP74" s="128">
        <v>1</v>
      </c>
      <c r="BQ74" s="128">
        <v>1</v>
      </c>
      <c r="BR74" s="128">
        <v>1</v>
      </c>
      <c r="BS74" s="128">
        <v>1</v>
      </c>
      <c r="BT74" s="128">
        <v>1</v>
      </c>
      <c r="BU74" s="128">
        <v>1</v>
      </c>
      <c r="BV74" s="128">
        <v>1</v>
      </c>
      <c r="BW74" s="128">
        <v>1</v>
      </c>
      <c r="BX74" s="128">
        <v>1</v>
      </c>
      <c r="BY74" s="128">
        <v>1</v>
      </c>
      <c r="BZ74" s="128">
        <v>1</v>
      </c>
      <c r="CA74" s="128">
        <v>1</v>
      </c>
      <c r="CB74" s="128">
        <v>1</v>
      </c>
      <c r="CC74" s="128">
        <v>1</v>
      </c>
      <c r="CD74" s="128">
        <v>1</v>
      </c>
      <c r="CE74" s="128">
        <v>1</v>
      </c>
      <c r="CF74" s="128">
        <v>1</v>
      </c>
      <c r="CG74" s="128">
        <v>1</v>
      </c>
      <c r="CH74" s="128">
        <v>1</v>
      </c>
      <c r="CI74" s="128">
        <v>1</v>
      </c>
      <c r="CJ74" s="128">
        <v>1</v>
      </c>
      <c r="CK74" s="128">
        <v>1</v>
      </c>
      <c r="CL74" s="128">
        <v>1</v>
      </c>
      <c r="CM74" s="128">
        <v>1</v>
      </c>
      <c r="CN74" s="128">
        <v>1</v>
      </c>
      <c r="CO74" s="128">
        <v>1</v>
      </c>
      <c r="CP74" s="128">
        <v>1</v>
      </c>
      <c r="CQ74" s="128">
        <v>1</v>
      </c>
      <c r="CR74" s="128">
        <v>1</v>
      </c>
      <c r="CS74" s="128">
        <v>1</v>
      </c>
      <c r="CT74" s="128">
        <v>1</v>
      </c>
      <c r="CU74" s="128">
        <v>1</v>
      </c>
      <c r="CV74" s="128">
        <v>1</v>
      </c>
      <c r="CW74" s="128">
        <v>1</v>
      </c>
      <c r="CX74" s="128">
        <v>1</v>
      </c>
      <c r="CZ74" s="126">
        <f>SUMIF(MatrixF0[[1]:[2]],MatrixF0[[#This Row],[Столбец1]])/MatrixF0[[#This Row],[Столбец1]]</f>
        <v>0</v>
      </c>
    </row>
    <row r="75" spans="1:104" ht="21" customHeight="1" x14ac:dyDescent="0.25">
      <c r="A75" s="127">
        <v>1.72</v>
      </c>
      <c r="B75" s="128">
        <v>1</v>
      </c>
      <c r="C75" s="128">
        <v>1</v>
      </c>
      <c r="D75" s="128">
        <v>1</v>
      </c>
      <c r="E75" s="128">
        <v>1</v>
      </c>
      <c r="F75" s="128">
        <v>1</v>
      </c>
      <c r="G75" s="128">
        <v>1</v>
      </c>
      <c r="H75" s="128">
        <v>1</v>
      </c>
      <c r="I75" s="128">
        <v>1</v>
      </c>
      <c r="J75" s="128">
        <v>1</v>
      </c>
      <c r="K75" s="128">
        <v>1</v>
      </c>
      <c r="L75" s="128">
        <v>1</v>
      </c>
      <c r="M75" s="128">
        <v>1</v>
      </c>
      <c r="N75" s="128">
        <v>1</v>
      </c>
      <c r="O75" s="128">
        <v>1</v>
      </c>
      <c r="P75" s="128">
        <v>1</v>
      </c>
      <c r="Q75" s="128">
        <v>1</v>
      </c>
      <c r="R75" s="128">
        <v>1</v>
      </c>
      <c r="S75" s="128">
        <v>1</v>
      </c>
      <c r="T75" s="128">
        <v>1</v>
      </c>
      <c r="U75" s="128">
        <v>1</v>
      </c>
      <c r="V75" s="128">
        <v>1</v>
      </c>
      <c r="W75" s="128">
        <v>1</v>
      </c>
      <c r="X75" s="128">
        <v>1</v>
      </c>
      <c r="Y75" s="128">
        <v>1</v>
      </c>
      <c r="Z75" s="128">
        <v>1</v>
      </c>
      <c r="AA75" s="128">
        <v>1</v>
      </c>
      <c r="AB75" s="128">
        <v>1</v>
      </c>
      <c r="AC75" s="128">
        <v>1</v>
      </c>
      <c r="AD75" s="128">
        <v>1</v>
      </c>
      <c r="AE75" s="128">
        <v>1</v>
      </c>
      <c r="AF75" s="128">
        <v>1</v>
      </c>
      <c r="AG75" s="128">
        <v>1</v>
      </c>
      <c r="AH75" s="128">
        <v>1</v>
      </c>
      <c r="AI75" s="128">
        <v>1</v>
      </c>
      <c r="AJ75" s="128">
        <v>1</v>
      </c>
      <c r="AK75" s="128">
        <v>1</v>
      </c>
      <c r="AL75" s="128">
        <v>1</v>
      </c>
      <c r="AM75" s="128">
        <v>1</v>
      </c>
      <c r="AN75" s="128">
        <v>1</v>
      </c>
      <c r="AO75" s="128">
        <v>1</v>
      </c>
      <c r="AP75" s="128">
        <v>1</v>
      </c>
      <c r="AQ75" s="128">
        <v>1</v>
      </c>
      <c r="AR75" s="128">
        <v>1</v>
      </c>
      <c r="AS75" s="128">
        <v>1</v>
      </c>
      <c r="AT75" s="128">
        <v>1</v>
      </c>
      <c r="AU75" s="128">
        <v>1</v>
      </c>
      <c r="AV75" s="128">
        <v>1</v>
      </c>
      <c r="AW75" s="128">
        <v>1</v>
      </c>
      <c r="AX75" s="128">
        <v>1</v>
      </c>
      <c r="AY75" s="128">
        <v>1</v>
      </c>
      <c r="AZ75" s="128">
        <v>1</v>
      </c>
      <c r="BA75" s="128">
        <v>1</v>
      </c>
      <c r="BB75" s="128">
        <v>1</v>
      </c>
      <c r="BC75" s="128">
        <v>1</v>
      </c>
      <c r="BD75" s="128">
        <v>1</v>
      </c>
      <c r="BE75" s="128">
        <v>1</v>
      </c>
      <c r="BF75" s="128">
        <v>1</v>
      </c>
      <c r="BG75" s="128">
        <v>1</v>
      </c>
      <c r="BH75" s="128">
        <v>1</v>
      </c>
      <c r="BI75" s="128">
        <v>1</v>
      </c>
      <c r="BJ75" s="128">
        <v>1</v>
      </c>
      <c r="BK75" s="128">
        <v>1</v>
      </c>
      <c r="BL75" s="128">
        <v>1</v>
      </c>
      <c r="BM75" s="128">
        <v>1</v>
      </c>
      <c r="BN75" s="128">
        <v>1</v>
      </c>
      <c r="BO75" s="128">
        <v>1</v>
      </c>
      <c r="BP75" s="128">
        <v>1</v>
      </c>
      <c r="BQ75" s="128">
        <v>1</v>
      </c>
      <c r="BR75" s="128">
        <v>1</v>
      </c>
      <c r="BS75" s="128">
        <v>1</v>
      </c>
      <c r="BT75" s="128">
        <v>1</v>
      </c>
      <c r="BU75" s="128">
        <v>1</v>
      </c>
      <c r="BV75" s="128">
        <v>1</v>
      </c>
      <c r="BW75" s="128">
        <v>1</v>
      </c>
      <c r="BX75" s="128">
        <v>1</v>
      </c>
      <c r="BY75" s="128">
        <v>1</v>
      </c>
      <c r="BZ75" s="128">
        <v>1</v>
      </c>
      <c r="CA75" s="128">
        <v>1</v>
      </c>
      <c r="CB75" s="128">
        <v>1</v>
      </c>
      <c r="CC75" s="128">
        <v>1</v>
      </c>
      <c r="CD75" s="128">
        <v>1</v>
      </c>
      <c r="CE75" s="128">
        <v>1</v>
      </c>
      <c r="CF75" s="128">
        <v>1</v>
      </c>
      <c r="CG75" s="128">
        <v>1</v>
      </c>
      <c r="CH75" s="128">
        <v>1</v>
      </c>
      <c r="CI75" s="128">
        <v>1</v>
      </c>
      <c r="CJ75" s="128">
        <v>1</v>
      </c>
      <c r="CK75" s="128">
        <v>1</v>
      </c>
      <c r="CL75" s="128">
        <v>1</v>
      </c>
      <c r="CM75" s="128">
        <v>1</v>
      </c>
      <c r="CN75" s="128">
        <v>1</v>
      </c>
      <c r="CO75" s="128">
        <v>1</v>
      </c>
      <c r="CP75" s="128">
        <v>1</v>
      </c>
      <c r="CQ75" s="128">
        <v>1</v>
      </c>
      <c r="CR75" s="128">
        <v>1</v>
      </c>
      <c r="CS75" s="128">
        <v>1</v>
      </c>
      <c r="CT75" s="128">
        <v>1</v>
      </c>
      <c r="CU75" s="128">
        <v>1</v>
      </c>
      <c r="CV75" s="128">
        <v>1</v>
      </c>
      <c r="CW75" s="128">
        <v>1</v>
      </c>
      <c r="CX75" s="128">
        <v>1</v>
      </c>
      <c r="CZ75" s="126">
        <f>SUMIF(MatrixF0[[1]:[2]],MatrixF0[[#This Row],[Столбец1]])/MatrixF0[[#This Row],[Столбец1]]</f>
        <v>0</v>
      </c>
    </row>
    <row r="76" spans="1:104" ht="21" customHeight="1" x14ac:dyDescent="0.25">
      <c r="A76" s="127">
        <v>1.73</v>
      </c>
      <c r="B76" s="128">
        <v>1</v>
      </c>
      <c r="C76" s="128">
        <v>1</v>
      </c>
      <c r="D76" s="128">
        <v>1</v>
      </c>
      <c r="E76" s="128">
        <v>1</v>
      </c>
      <c r="F76" s="128">
        <v>1</v>
      </c>
      <c r="G76" s="128">
        <v>1</v>
      </c>
      <c r="H76" s="128">
        <v>1</v>
      </c>
      <c r="I76" s="128">
        <v>1</v>
      </c>
      <c r="J76" s="128">
        <v>1</v>
      </c>
      <c r="K76" s="128">
        <v>1</v>
      </c>
      <c r="L76" s="128">
        <v>1</v>
      </c>
      <c r="M76" s="128">
        <v>1</v>
      </c>
      <c r="N76" s="128">
        <v>1</v>
      </c>
      <c r="O76" s="128">
        <v>1</v>
      </c>
      <c r="P76" s="128">
        <v>1</v>
      </c>
      <c r="Q76" s="128">
        <v>1</v>
      </c>
      <c r="R76" s="128">
        <v>1</v>
      </c>
      <c r="S76" s="128">
        <v>1</v>
      </c>
      <c r="T76" s="128">
        <v>1</v>
      </c>
      <c r="U76" s="128">
        <v>1</v>
      </c>
      <c r="V76" s="128">
        <v>1</v>
      </c>
      <c r="W76" s="128">
        <v>1</v>
      </c>
      <c r="X76" s="128">
        <v>1</v>
      </c>
      <c r="Y76" s="128">
        <v>1</v>
      </c>
      <c r="Z76" s="128">
        <v>1</v>
      </c>
      <c r="AA76" s="128">
        <v>1</v>
      </c>
      <c r="AB76" s="128">
        <v>1</v>
      </c>
      <c r="AC76" s="128">
        <v>1</v>
      </c>
      <c r="AD76" s="128">
        <v>1</v>
      </c>
      <c r="AE76" s="128">
        <v>1</v>
      </c>
      <c r="AF76" s="128">
        <v>1</v>
      </c>
      <c r="AG76" s="128">
        <v>1</v>
      </c>
      <c r="AH76" s="128">
        <v>1</v>
      </c>
      <c r="AI76" s="128">
        <v>1</v>
      </c>
      <c r="AJ76" s="128">
        <v>1</v>
      </c>
      <c r="AK76" s="128">
        <v>1</v>
      </c>
      <c r="AL76" s="128">
        <v>1</v>
      </c>
      <c r="AM76" s="128">
        <v>1</v>
      </c>
      <c r="AN76" s="128">
        <v>1</v>
      </c>
      <c r="AO76" s="128">
        <v>1</v>
      </c>
      <c r="AP76" s="128">
        <v>1</v>
      </c>
      <c r="AQ76" s="128">
        <v>1</v>
      </c>
      <c r="AR76" s="128">
        <v>1</v>
      </c>
      <c r="AS76" s="128">
        <v>1</v>
      </c>
      <c r="AT76" s="128">
        <v>1</v>
      </c>
      <c r="AU76" s="128">
        <v>1</v>
      </c>
      <c r="AV76" s="128">
        <v>1</v>
      </c>
      <c r="AW76" s="128">
        <v>1</v>
      </c>
      <c r="AX76" s="128">
        <v>1</v>
      </c>
      <c r="AY76" s="128">
        <v>1</v>
      </c>
      <c r="AZ76" s="128">
        <v>1</v>
      </c>
      <c r="BA76" s="128">
        <v>1</v>
      </c>
      <c r="BB76" s="128">
        <v>1</v>
      </c>
      <c r="BC76" s="128">
        <v>1</v>
      </c>
      <c r="BD76" s="128">
        <v>1</v>
      </c>
      <c r="BE76" s="128">
        <v>1</v>
      </c>
      <c r="BF76" s="128">
        <v>1</v>
      </c>
      <c r="BG76" s="128">
        <v>1</v>
      </c>
      <c r="BH76" s="128">
        <v>1</v>
      </c>
      <c r="BI76" s="128">
        <v>1</v>
      </c>
      <c r="BJ76" s="128">
        <v>1</v>
      </c>
      <c r="BK76" s="128">
        <v>1</v>
      </c>
      <c r="BL76" s="128">
        <v>1</v>
      </c>
      <c r="BM76" s="128">
        <v>1</v>
      </c>
      <c r="BN76" s="128">
        <v>1</v>
      </c>
      <c r="BO76" s="128">
        <v>1</v>
      </c>
      <c r="BP76" s="128">
        <v>1</v>
      </c>
      <c r="BQ76" s="128">
        <v>1</v>
      </c>
      <c r="BR76" s="128">
        <v>1</v>
      </c>
      <c r="BS76" s="128">
        <v>1</v>
      </c>
      <c r="BT76" s="128">
        <v>1</v>
      </c>
      <c r="BU76" s="128">
        <v>1</v>
      </c>
      <c r="BV76" s="128">
        <v>1</v>
      </c>
      <c r="BW76" s="128">
        <v>1</v>
      </c>
      <c r="BX76" s="128">
        <v>1</v>
      </c>
      <c r="BY76" s="128">
        <v>1</v>
      </c>
      <c r="BZ76" s="128">
        <v>1</v>
      </c>
      <c r="CA76" s="128">
        <v>1</v>
      </c>
      <c r="CB76" s="128">
        <v>1</v>
      </c>
      <c r="CC76" s="128">
        <v>1</v>
      </c>
      <c r="CD76" s="128">
        <v>1</v>
      </c>
      <c r="CE76" s="128">
        <v>1</v>
      </c>
      <c r="CF76" s="128">
        <v>1</v>
      </c>
      <c r="CG76" s="128">
        <v>1</v>
      </c>
      <c r="CH76" s="128">
        <v>1</v>
      </c>
      <c r="CI76" s="128">
        <v>1</v>
      </c>
      <c r="CJ76" s="128">
        <v>1</v>
      </c>
      <c r="CK76" s="128">
        <v>1</v>
      </c>
      <c r="CL76" s="128">
        <v>1</v>
      </c>
      <c r="CM76" s="128">
        <v>1</v>
      </c>
      <c r="CN76" s="128">
        <v>1</v>
      </c>
      <c r="CO76" s="128">
        <v>1</v>
      </c>
      <c r="CP76" s="128">
        <v>1</v>
      </c>
      <c r="CQ76" s="128">
        <v>1</v>
      </c>
      <c r="CR76" s="128">
        <v>1</v>
      </c>
      <c r="CS76" s="128">
        <v>1</v>
      </c>
      <c r="CT76" s="128">
        <v>1</v>
      </c>
      <c r="CU76" s="128">
        <v>1</v>
      </c>
      <c r="CV76" s="128">
        <v>1</v>
      </c>
      <c r="CW76" s="128">
        <v>1</v>
      </c>
      <c r="CX76" s="128">
        <v>1</v>
      </c>
      <c r="CZ76" s="126">
        <f>SUMIF(MatrixF0[[1]:[2]],MatrixF0[[#This Row],[Столбец1]])/MatrixF0[[#This Row],[Столбец1]]</f>
        <v>0</v>
      </c>
    </row>
    <row r="77" spans="1:104" ht="21" customHeight="1" x14ac:dyDescent="0.25">
      <c r="A77" s="127">
        <v>1.74</v>
      </c>
      <c r="B77" s="128">
        <v>1</v>
      </c>
      <c r="C77" s="128">
        <v>1</v>
      </c>
      <c r="D77" s="128">
        <v>1</v>
      </c>
      <c r="E77" s="128">
        <v>1</v>
      </c>
      <c r="F77" s="128">
        <v>1</v>
      </c>
      <c r="G77" s="128">
        <v>1</v>
      </c>
      <c r="H77" s="128">
        <v>1</v>
      </c>
      <c r="I77" s="128">
        <v>1</v>
      </c>
      <c r="J77" s="128">
        <v>1</v>
      </c>
      <c r="K77" s="128">
        <v>1</v>
      </c>
      <c r="L77" s="128">
        <v>1</v>
      </c>
      <c r="M77" s="128">
        <v>1</v>
      </c>
      <c r="N77" s="128">
        <v>1</v>
      </c>
      <c r="O77" s="128">
        <v>1</v>
      </c>
      <c r="P77" s="128">
        <v>1</v>
      </c>
      <c r="Q77" s="128">
        <v>1</v>
      </c>
      <c r="R77" s="128">
        <v>1</v>
      </c>
      <c r="S77" s="128">
        <v>1</v>
      </c>
      <c r="T77" s="128">
        <v>1</v>
      </c>
      <c r="U77" s="128">
        <v>1</v>
      </c>
      <c r="V77" s="128">
        <v>1</v>
      </c>
      <c r="W77" s="128">
        <v>1</v>
      </c>
      <c r="X77" s="128">
        <v>1</v>
      </c>
      <c r="Y77" s="128">
        <v>1</v>
      </c>
      <c r="Z77" s="128">
        <v>1</v>
      </c>
      <c r="AA77" s="128">
        <v>1</v>
      </c>
      <c r="AB77" s="128">
        <v>1</v>
      </c>
      <c r="AC77" s="128">
        <v>1</v>
      </c>
      <c r="AD77" s="128">
        <v>1</v>
      </c>
      <c r="AE77" s="128">
        <v>1</v>
      </c>
      <c r="AF77" s="128">
        <v>1</v>
      </c>
      <c r="AG77" s="128">
        <v>1</v>
      </c>
      <c r="AH77" s="128">
        <v>1</v>
      </c>
      <c r="AI77" s="128">
        <v>1</v>
      </c>
      <c r="AJ77" s="128">
        <v>1</v>
      </c>
      <c r="AK77" s="128">
        <v>1</v>
      </c>
      <c r="AL77" s="128">
        <v>1</v>
      </c>
      <c r="AM77" s="128">
        <v>1</v>
      </c>
      <c r="AN77" s="128">
        <v>1</v>
      </c>
      <c r="AO77" s="128">
        <v>1</v>
      </c>
      <c r="AP77" s="128">
        <v>1</v>
      </c>
      <c r="AQ77" s="128">
        <v>1</v>
      </c>
      <c r="AR77" s="128">
        <v>1</v>
      </c>
      <c r="AS77" s="128">
        <v>1</v>
      </c>
      <c r="AT77" s="128">
        <v>1</v>
      </c>
      <c r="AU77" s="128">
        <v>1</v>
      </c>
      <c r="AV77" s="128">
        <v>1</v>
      </c>
      <c r="AW77" s="128">
        <v>1</v>
      </c>
      <c r="AX77" s="128">
        <v>1</v>
      </c>
      <c r="AY77" s="128">
        <v>1</v>
      </c>
      <c r="AZ77" s="128">
        <v>1</v>
      </c>
      <c r="BA77" s="128">
        <v>1</v>
      </c>
      <c r="BB77" s="128">
        <v>1</v>
      </c>
      <c r="BC77" s="128">
        <v>1</v>
      </c>
      <c r="BD77" s="128">
        <v>1</v>
      </c>
      <c r="BE77" s="128">
        <v>1</v>
      </c>
      <c r="BF77" s="128">
        <v>1</v>
      </c>
      <c r="BG77" s="128">
        <v>1</v>
      </c>
      <c r="BH77" s="128">
        <v>1</v>
      </c>
      <c r="BI77" s="128">
        <v>1</v>
      </c>
      <c r="BJ77" s="128">
        <v>1</v>
      </c>
      <c r="BK77" s="128">
        <v>1</v>
      </c>
      <c r="BL77" s="128">
        <v>1</v>
      </c>
      <c r="BM77" s="128">
        <v>1</v>
      </c>
      <c r="BN77" s="128">
        <v>1</v>
      </c>
      <c r="BO77" s="128">
        <v>1</v>
      </c>
      <c r="BP77" s="128">
        <v>1</v>
      </c>
      <c r="BQ77" s="128">
        <v>1</v>
      </c>
      <c r="BR77" s="128">
        <v>1</v>
      </c>
      <c r="BS77" s="128">
        <v>1</v>
      </c>
      <c r="BT77" s="128">
        <v>1</v>
      </c>
      <c r="BU77" s="128">
        <v>1</v>
      </c>
      <c r="BV77" s="128">
        <v>1</v>
      </c>
      <c r="BW77" s="128">
        <v>1</v>
      </c>
      <c r="BX77" s="128">
        <v>1</v>
      </c>
      <c r="BY77" s="128">
        <v>1</v>
      </c>
      <c r="BZ77" s="128">
        <v>1</v>
      </c>
      <c r="CA77" s="128">
        <v>1</v>
      </c>
      <c r="CB77" s="128">
        <v>1</v>
      </c>
      <c r="CC77" s="128">
        <v>1</v>
      </c>
      <c r="CD77" s="128">
        <v>1</v>
      </c>
      <c r="CE77" s="128">
        <v>1</v>
      </c>
      <c r="CF77" s="128">
        <v>1</v>
      </c>
      <c r="CG77" s="128">
        <v>1</v>
      </c>
      <c r="CH77" s="128">
        <v>1</v>
      </c>
      <c r="CI77" s="128">
        <v>1</v>
      </c>
      <c r="CJ77" s="128">
        <v>1</v>
      </c>
      <c r="CK77" s="128">
        <v>1</v>
      </c>
      <c r="CL77" s="128">
        <v>1</v>
      </c>
      <c r="CM77" s="128">
        <v>1</v>
      </c>
      <c r="CN77" s="128">
        <v>1</v>
      </c>
      <c r="CO77" s="128">
        <v>1</v>
      </c>
      <c r="CP77" s="128">
        <v>1</v>
      </c>
      <c r="CQ77" s="128">
        <v>1</v>
      </c>
      <c r="CR77" s="128">
        <v>1</v>
      </c>
      <c r="CS77" s="128">
        <v>1</v>
      </c>
      <c r="CT77" s="128">
        <v>1</v>
      </c>
      <c r="CU77" s="128">
        <v>1</v>
      </c>
      <c r="CV77" s="128">
        <v>1</v>
      </c>
      <c r="CW77" s="128">
        <v>1</v>
      </c>
      <c r="CX77" s="128">
        <v>1</v>
      </c>
      <c r="CZ77" s="126">
        <f>SUMIF(MatrixF0[[1]:[2]],MatrixF0[[#This Row],[Столбец1]])/MatrixF0[[#This Row],[Столбец1]]</f>
        <v>0</v>
      </c>
    </row>
    <row r="78" spans="1:104" ht="21" customHeight="1" x14ac:dyDescent="0.25">
      <c r="A78" s="127">
        <v>1.75</v>
      </c>
      <c r="B78" s="128">
        <v>1</v>
      </c>
      <c r="C78" s="128">
        <v>1</v>
      </c>
      <c r="D78" s="128">
        <v>1</v>
      </c>
      <c r="E78" s="128">
        <v>1</v>
      </c>
      <c r="F78" s="128">
        <v>1</v>
      </c>
      <c r="G78" s="128">
        <v>1</v>
      </c>
      <c r="H78" s="128">
        <v>1</v>
      </c>
      <c r="I78" s="128">
        <v>1</v>
      </c>
      <c r="J78" s="128">
        <v>1</v>
      </c>
      <c r="K78" s="128">
        <v>1</v>
      </c>
      <c r="L78" s="128">
        <v>1</v>
      </c>
      <c r="M78" s="128">
        <v>1</v>
      </c>
      <c r="N78" s="128">
        <v>1</v>
      </c>
      <c r="O78" s="128">
        <v>1</v>
      </c>
      <c r="P78" s="128">
        <v>1</v>
      </c>
      <c r="Q78" s="128">
        <v>1</v>
      </c>
      <c r="R78" s="128">
        <v>1</v>
      </c>
      <c r="S78" s="128">
        <v>1</v>
      </c>
      <c r="T78" s="128">
        <v>1</v>
      </c>
      <c r="U78" s="128">
        <v>1</v>
      </c>
      <c r="V78" s="128">
        <v>1</v>
      </c>
      <c r="W78" s="128">
        <v>1</v>
      </c>
      <c r="X78" s="128">
        <v>1</v>
      </c>
      <c r="Y78" s="128">
        <v>1</v>
      </c>
      <c r="Z78" s="128">
        <v>1</v>
      </c>
      <c r="AA78" s="128">
        <v>1</v>
      </c>
      <c r="AB78" s="128">
        <v>1</v>
      </c>
      <c r="AC78" s="128">
        <v>1</v>
      </c>
      <c r="AD78" s="128">
        <v>1</v>
      </c>
      <c r="AE78" s="128">
        <v>1</v>
      </c>
      <c r="AF78" s="128">
        <v>1</v>
      </c>
      <c r="AG78" s="128">
        <v>1</v>
      </c>
      <c r="AH78" s="128">
        <v>1</v>
      </c>
      <c r="AI78" s="128">
        <v>1</v>
      </c>
      <c r="AJ78" s="128">
        <v>1</v>
      </c>
      <c r="AK78" s="128">
        <v>1</v>
      </c>
      <c r="AL78" s="128">
        <v>1</v>
      </c>
      <c r="AM78" s="128">
        <v>1</v>
      </c>
      <c r="AN78" s="128">
        <v>1</v>
      </c>
      <c r="AO78" s="128">
        <v>1</v>
      </c>
      <c r="AP78" s="128">
        <v>1</v>
      </c>
      <c r="AQ78" s="128">
        <v>1</v>
      </c>
      <c r="AR78" s="128">
        <v>1</v>
      </c>
      <c r="AS78" s="128">
        <v>1</v>
      </c>
      <c r="AT78" s="128">
        <v>1</v>
      </c>
      <c r="AU78" s="128">
        <v>1</v>
      </c>
      <c r="AV78" s="128">
        <v>1</v>
      </c>
      <c r="AW78" s="128">
        <v>1</v>
      </c>
      <c r="AX78" s="128">
        <v>1</v>
      </c>
      <c r="AY78" s="128">
        <v>1</v>
      </c>
      <c r="AZ78" s="128">
        <v>1</v>
      </c>
      <c r="BA78" s="128">
        <v>1</v>
      </c>
      <c r="BB78" s="128">
        <v>1</v>
      </c>
      <c r="BC78" s="128">
        <v>1</v>
      </c>
      <c r="BD78" s="128">
        <v>1</v>
      </c>
      <c r="BE78" s="128">
        <v>1</v>
      </c>
      <c r="BF78" s="128">
        <v>1</v>
      </c>
      <c r="BG78" s="128">
        <v>1</v>
      </c>
      <c r="BH78" s="128">
        <v>1</v>
      </c>
      <c r="BI78" s="128">
        <v>1</v>
      </c>
      <c r="BJ78" s="128">
        <v>1</v>
      </c>
      <c r="BK78" s="128">
        <v>1</v>
      </c>
      <c r="BL78" s="128">
        <v>1</v>
      </c>
      <c r="BM78" s="128">
        <v>1</v>
      </c>
      <c r="BN78" s="128">
        <v>1</v>
      </c>
      <c r="BO78" s="128">
        <v>1</v>
      </c>
      <c r="BP78" s="128">
        <v>1</v>
      </c>
      <c r="BQ78" s="128">
        <v>1</v>
      </c>
      <c r="BR78" s="128">
        <v>1</v>
      </c>
      <c r="BS78" s="128">
        <v>1</v>
      </c>
      <c r="BT78" s="128">
        <v>1</v>
      </c>
      <c r="BU78" s="128">
        <v>1</v>
      </c>
      <c r="BV78" s="128">
        <v>1</v>
      </c>
      <c r="BW78" s="128">
        <v>1</v>
      </c>
      <c r="BX78" s="128">
        <v>1</v>
      </c>
      <c r="BY78" s="128">
        <v>1</v>
      </c>
      <c r="BZ78" s="128">
        <v>1</v>
      </c>
      <c r="CA78" s="128">
        <v>1</v>
      </c>
      <c r="CB78" s="128">
        <v>1</v>
      </c>
      <c r="CC78" s="128">
        <v>1</v>
      </c>
      <c r="CD78" s="128">
        <v>1</v>
      </c>
      <c r="CE78" s="128">
        <v>1</v>
      </c>
      <c r="CF78" s="128">
        <v>1</v>
      </c>
      <c r="CG78" s="128">
        <v>1</v>
      </c>
      <c r="CH78" s="128">
        <v>1</v>
      </c>
      <c r="CI78" s="128">
        <v>1</v>
      </c>
      <c r="CJ78" s="128">
        <v>1</v>
      </c>
      <c r="CK78" s="128">
        <v>1</v>
      </c>
      <c r="CL78" s="128">
        <v>1</v>
      </c>
      <c r="CM78" s="128">
        <v>1</v>
      </c>
      <c r="CN78" s="128">
        <v>1</v>
      </c>
      <c r="CO78" s="128">
        <v>1</v>
      </c>
      <c r="CP78" s="128">
        <v>1</v>
      </c>
      <c r="CQ78" s="128">
        <v>1</v>
      </c>
      <c r="CR78" s="128">
        <v>1</v>
      </c>
      <c r="CS78" s="128">
        <v>1</v>
      </c>
      <c r="CT78" s="128">
        <v>1</v>
      </c>
      <c r="CU78" s="128">
        <v>1</v>
      </c>
      <c r="CV78" s="128">
        <v>1</v>
      </c>
      <c r="CW78" s="128">
        <v>1</v>
      </c>
      <c r="CX78" s="128">
        <v>1</v>
      </c>
      <c r="CZ78" s="126">
        <f>SUMIF(MatrixF0[[1]:[2]],MatrixF0[[#This Row],[Столбец1]])/MatrixF0[[#This Row],[Столбец1]]</f>
        <v>0</v>
      </c>
    </row>
    <row r="79" spans="1:104" ht="21" customHeight="1" x14ac:dyDescent="0.25">
      <c r="A79" s="127">
        <v>1.76</v>
      </c>
      <c r="B79" s="128">
        <v>1</v>
      </c>
      <c r="C79" s="128">
        <v>1</v>
      </c>
      <c r="D79" s="128">
        <v>1</v>
      </c>
      <c r="E79" s="128">
        <v>1</v>
      </c>
      <c r="F79" s="128">
        <v>1</v>
      </c>
      <c r="G79" s="128">
        <v>1</v>
      </c>
      <c r="H79" s="128">
        <v>1</v>
      </c>
      <c r="I79" s="128">
        <v>1</v>
      </c>
      <c r="J79" s="128">
        <v>1</v>
      </c>
      <c r="K79" s="128">
        <v>1</v>
      </c>
      <c r="L79" s="128">
        <v>1</v>
      </c>
      <c r="M79" s="128">
        <v>1</v>
      </c>
      <c r="N79" s="128">
        <v>1</v>
      </c>
      <c r="O79" s="128">
        <v>1</v>
      </c>
      <c r="P79" s="128">
        <v>1</v>
      </c>
      <c r="Q79" s="128">
        <v>1</v>
      </c>
      <c r="R79" s="128">
        <v>1</v>
      </c>
      <c r="S79" s="128">
        <v>1</v>
      </c>
      <c r="T79" s="128">
        <v>1</v>
      </c>
      <c r="U79" s="128">
        <v>1</v>
      </c>
      <c r="V79" s="128">
        <v>1</v>
      </c>
      <c r="W79" s="128">
        <v>1</v>
      </c>
      <c r="X79" s="128">
        <v>1</v>
      </c>
      <c r="Y79" s="128">
        <v>1</v>
      </c>
      <c r="Z79" s="128">
        <v>1</v>
      </c>
      <c r="AA79" s="128">
        <v>1</v>
      </c>
      <c r="AB79" s="128">
        <v>1</v>
      </c>
      <c r="AC79" s="128">
        <v>1</v>
      </c>
      <c r="AD79" s="128">
        <v>1</v>
      </c>
      <c r="AE79" s="128">
        <v>1</v>
      </c>
      <c r="AF79" s="128">
        <v>1</v>
      </c>
      <c r="AG79" s="128">
        <v>1</v>
      </c>
      <c r="AH79" s="128">
        <v>1</v>
      </c>
      <c r="AI79" s="128">
        <v>1</v>
      </c>
      <c r="AJ79" s="128">
        <v>1</v>
      </c>
      <c r="AK79" s="128">
        <v>1</v>
      </c>
      <c r="AL79" s="128">
        <v>1</v>
      </c>
      <c r="AM79" s="128">
        <v>1</v>
      </c>
      <c r="AN79" s="128">
        <v>1</v>
      </c>
      <c r="AO79" s="128">
        <v>1</v>
      </c>
      <c r="AP79" s="128">
        <v>1</v>
      </c>
      <c r="AQ79" s="128">
        <v>1</v>
      </c>
      <c r="AR79" s="128">
        <v>1</v>
      </c>
      <c r="AS79" s="128">
        <v>1</v>
      </c>
      <c r="AT79" s="128">
        <v>1</v>
      </c>
      <c r="AU79" s="128">
        <v>1</v>
      </c>
      <c r="AV79" s="128">
        <v>1</v>
      </c>
      <c r="AW79" s="128">
        <v>1</v>
      </c>
      <c r="AX79" s="128">
        <v>1</v>
      </c>
      <c r="AY79" s="128">
        <v>1</v>
      </c>
      <c r="AZ79" s="128">
        <v>1</v>
      </c>
      <c r="BA79" s="128">
        <v>1</v>
      </c>
      <c r="BB79" s="128">
        <v>1</v>
      </c>
      <c r="BC79" s="128">
        <v>1</v>
      </c>
      <c r="BD79" s="128">
        <v>1</v>
      </c>
      <c r="BE79" s="128">
        <v>1</v>
      </c>
      <c r="BF79" s="128">
        <v>1</v>
      </c>
      <c r="BG79" s="128">
        <v>1</v>
      </c>
      <c r="BH79" s="128">
        <v>1</v>
      </c>
      <c r="BI79" s="128">
        <v>1</v>
      </c>
      <c r="BJ79" s="128">
        <v>1</v>
      </c>
      <c r="BK79" s="128">
        <v>1</v>
      </c>
      <c r="BL79" s="128">
        <v>1</v>
      </c>
      <c r="BM79" s="128">
        <v>1</v>
      </c>
      <c r="BN79" s="128">
        <v>1</v>
      </c>
      <c r="BO79" s="128">
        <v>1</v>
      </c>
      <c r="BP79" s="128">
        <v>1</v>
      </c>
      <c r="BQ79" s="128">
        <v>1</v>
      </c>
      <c r="BR79" s="128">
        <v>1</v>
      </c>
      <c r="BS79" s="128">
        <v>1</v>
      </c>
      <c r="BT79" s="128">
        <v>1</v>
      </c>
      <c r="BU79" s="128">
        <v>1</v>
      </c>
      <c r="BV79" s="128">
        <v>1</v>
      </c>
      <c r="BW79" s="128">
        <v>1</v>
      </c>
      <c r="BX79" s="128">
        <v>1</v>
      </c>
      <c r="BY79" s="128">
        <v>1</v>
      </c>
      <c r="BZ79" s="128">
        <v>1</v>
      </c>
      <c r="CA79" s="128">
        <v>1</v>
      </c>
      <c r="CB79" s="128">
        <v>1</v>
      </c>
      <c r="CC79" s="128">
        <v>1</v>
      </c>
      <c r="CD79" s="128">
        <v>1</v>
      </c>
      <c r="CE79" s="128">
        <v>1</v>
      </c>
      <c r="CF79" s="128">
        <v>1</v>
      </c>
      <c r="CG79" s="128">
        <v>1</v>
      </c>
      <c r="CH79" s="128">
        <v>1</v>
      </c>
      <c r="CI79" s="128">
        <v>1</v>
      </c>
      <c r="CJ79" s="128">
        <v>1</v>
      </c>
      <c r="CK79" s="128">
        <v>1</v>
      </c>
      <c r="CL79" s="128">
        <v>1</v>
      </c>
      <c r="CM79" s="128">
        <v>1</v>
      </c>
      <c r="CN79" s="128">
        <v>1</v>
      </c>
      <c r="CO79" s="128">
        <v>1</v>
      </c>
      <c r="CP79" s="128">
        <v>1</v>
      </c>
      <c r="CQ79" s="128">
        <v>1</v>
      </c>
      <c r="CR79" s="128">
        <v>1</v>
      </c>
      <c r="CS79" s="128">
        <v>1</v>
      </c>
      <c r="CT79" s="128">
        <v>1</v>
      </c>
      <c r="CU79" s="128">
        <v>1</v>
      </c>
      <c r="CV79" s="128">
        <v>1</v>
      </c>
      <c r="CW79" s="128">
        <v>1</v>
      </c>
      <c r="CX79" s="128">
        <v>1</v>
      </c>
      <c r="CZ79" s="126">
        <f>SUMIF(MatrixF0[[1]:[2]],MatrixF0[[#This Row],[Столбец1]])/MatrixF0[[#This Row],[Столбец1]]</f>
        <v>0</v>
      </c>
    </row>
    <row r="80" spans="1:104" ht="21" customHeight="1" x14ac:dyDescent="0.25">
      <c r="A80" s="127">
        <v>1.77</v>
      </c>
      <c r="B80" s="128">
        <v>1</v>
      </c>
      <c r="C80" s="128">
        <v>1</v>
      </c>
      <c r="D80" s="128">
        <v>1</v>
      </c>
      <c r="E80" s="128">
        <v>1</v>
      </c>
      <c r="F80" s="128">
        <v>1</v>
      </c>
      <c r="G80" s="128">
        <v>1</v>
      </c>
      <c r="H80" s="128">
        <v>1</v>
      </c>
      <c r="I80" s="128">
        <v>1</v>
      </c>
      <c r="J80" s="128">
        <v>1</v>
      </c>
      <c r="K80" s="128">
        <v>1</v>
      </c>
      <c r="L80" s="128">
        <v>1</v>
      </c>
      <c r="M80" s="128">
        <v>1</v>
      </c>
      <c r="N80" s="128">
        <v>1</v>
      </c>
      <c r="O80" s="128">
        <v>1</v>
      </c>
      <c r="P80" s="128">
        <v>1</v>
      </c>
      <c r="Q80" s="128">
        <v>1</v>
      </c>
      <c r="R80" s="128">
        <v>1</v>
      </c>
      <c r="S80" s="128">
        <v>1</v>
      </c>
      <c r="T80" s="128">
        <v>1</v>
      </c>
      <c r="U80" s="128">
        <v>1</v>
      </c>
      <c r="V80" s="128">
        <v>1</v>
      </c>
      <c r="W80" s="128">
        <v>1</v>
      </c>
      <c r="X80" s="128">
        <v>1</v>
      </c>
      <c r="Y80" s="128">
        <v>1</v>
      </c>
      <c r="Z80" s="128">
        <v>1</v>
      </c>
      <c r="AA80" s="128">
        <v>1</v>
      </c>
      <c r="AB80" s="128">
        <v>1</v>
      </c>
      <c r="AC80" s="128">
        <v>1</v>
      </c>
      <c r="AD80" s="128">
        <v>1</v>
      </c>
      <c r="AE80" s="128">
        <v>1</v>
      </c>
      <c r="AF80" s="128">
        <v>1</v>
      </c>
      <c r="AG80" s="128">
        <v>1</v>
      </c>
      <c r="AH80" s="128">
        <v>1</v>
      </c>
      <c r="AI80" s="128">
        <v>1</v>
      </c>
      <c r="AJ80" s="128">
        <v>1</v>
      </c>
      <c r="AK80" s="128">
        <v>1</v>
      </c>
      <c r="AL80" s="128">
        <v>1</v>
      </c>
      <c r="AM80" s="128">
        <v>1</v>
      </c>
      <c r="AN80" s="128">
        <v>1</v>
      </c>
      <c r="AO80" s="128">
        <v>1</v>
      </c>
      <c r="AP80" s="128">
        <v>1</v>
      </c>
      <c r="AQ80" s="128">
        <v>1</v>
      </c>
      <c r="AR80" s="128">
        <v>1</v>
      </c>
      <c r="AS80" s="128">
        <v>1</v>
      </c>
      <c r="AT80" s="128">
        <v>1</v>
      </c>
      <c r="AU80" s="128">
        <v>1</v>
      </c>
      <c r="AV80" s="128">
        <v>1</v>
      </c>
      <c r="AW80" s="128">
        <v>1</v>
      </c>
      <c r="AX80" s="128">
        <v>1</v>
      </c>
      <c r="AY80" s="128">
        <v>1</v>
      </c>
      <c r="AZ80" s="128">
        <v>1</v>
      </c>
      <c r="BA80" s="128">
        <v>1</v>
      </c>
      <c r="BB80" s="128">
        <v>1</v>
      </c>
      <c r="BC80" s="128">
        <v>1</v>
      </c>
      <c r="BD80" s="128">
        <v>1</v>
      </c>
      <c r="BE80" s="128">
        <v>1</v>
      </c>
      <c r="BF80" s="128">
        <v>1</v>
      </c>
      <c r="BG80" s="128">
        <v>1</v>
      </c>
      <c r="BH80" s="128">
        <v>1</v>
      </c>
      <c r="BI80" s="128">
        <v>1</v>
      </c>
      <c r="BJ80" s="128">
        <v>1</v>
      </c>
      <c r="BK80" s="128">
        <v>1</v>
      </c>
      <c r="BL80" s="128">
        <v>1</v>
      </c>
      <c r="BM80" s="128">
        <v>1</v>
      </c>
      <c r="BN80" s="128">
        <v>1</v>
      </c>
      <c r="BO80" s="128">
        <v>1</v>
      </c>
      <c r="BP80" s="128">
        <v>1</v>
      </c>
      <c r="BQ80" s="128">
        <v>1</v>
      </c>
      <c r="BR80" s="128">
        <v>1</v>
      </c>
      <c r="BS80" s="128">
        <v>1</v>
      </c>
      <c r="BT80" s="128">
        <v>1</v>
      </c>
      <c r="BU80" s="128">
        <v>1</v>
      </c>
      <c r="BV80" s="128">
        <v>1</v>
      </c>
      <c r="BW80" s="128">
        <v>1</v>
      </c>
      <c r="BX80" s="128">
        <v>1</v>
      </c>
      <c r="BY80" s="128">
        <v>1</v>
      </c>
      <c r="BZ80" s="128">
        <v>1</v>
      </c>
      <c r="CA80" s="128">
        <v>1</v>
      </c>
      <c r="CB80" s="128">
        <v>1</v>
      </c>
      <c r="CC80" s="128">
        <v>1</v>
      </c>
      <c r="CD80" s="128">
        <v>1</v>
      </c>
      <c r="CE80" s="128">
        <v>1</v>
      </c>
      <c r="CF80" s="128">
        <v>1</v>
      </c>
      <c r="CG80" s="128">
        <v>1</v>
      </c>
      <c r="CH80" s="128">
        <v>1</v>
      </c>
      <c r="CI80" s="128">
        <v>1</v>
      </c>
      <c r="CJ80" s="128">
        <v>1</v>
      </c>
      <c r="CK80" s="128">
        <v>1</v>
      </c>
      <c r="CL80" s="128">
        <v>1</v>
      </c>
      <c r="CM80" s="128">
        <v>1</v>
      </c>
      <c r="CN80" s="128">
        <v>1</v>
      </c>
      <c r="CO80" s="128">
        <v>1</v>
      </c>
      <c r="CP80" s="128">
        <v>1</v>
      </c>
      <c r="CQ80" s="128">
        <v>1</v>
      </c>
      <c r="CR80" s="128">
        <v>1</v>
      </c>
      <c r="CS80" s="128">
        <v>1</v>
      </c>
      <c r="CT80" s="128">
        <v>1</v>
      </c>
      <c r="CU80" s="128">
        <v>1</v>
      </c>
      <c r="CV80" s="128">
        <v>1</v>
      </c>
      <c r="CW80" s="128">
        <v>1</v>
      </c>
      <c r="CX80" s="128">
        <v>1</v>
      </c>
      <c r="CZ80" s="126">
        <f>SUMIF(MatrixF0[[1]:[2]],MatrixF0[[#This Row],[Столбец1]])/MatrixF0[[#This Row],[Столбец1]]</f>
        <v>0</v>
      </c>
    </row>
    <row r="81" spans="1:104" ht="21" customHeight="1" x14ac:dyDescent="0.25">
      <c r="A81" s="127">
        <v>1.78</v>
      </c>
      <c r="B81" s="128">
        <v>1</v>
      </c>
      <c r="C81" s="128">
        <v>1</v>
      </c>
      <c r="D81" s="128">
        <v>1</v>
      </c>
      <c r="E81" s="128">
        <v>1</v>
      </c>
      <c r="F81" s="128">
        <v>1</v>
      </c>
      <c r="G81" s="128">
        <v>1</v>
      </c>
      <c r="H81" s="128">
        <v>1</v>
      </c>
      <c r="I81" s="128">
        <v>1</v>
      </c>
      <c r="J81" s="128">
        <v>1</v>
      </c>
      <c r="K81" s="128">
        <v>1</v>
      </c>
      <c r="L81" s="128">
        <v>1</v>
      </c>
      <c r="M81" s="128">
        <v>1</v>
      </c>
      <c r="N81" s="128">
        <v>1</v>
      </c>
      <c r="O81" s="128">
        <v>1</v>
      </c>
      <c r="P81" s="128">
        <v>1</v>
      </c>
      <c r="Q81" s="128">
        <v>1</v>
      </c>
      <c r="R81" s="128">
        <v>1</v>
      </c>
      <c r="S81" s="128">
        <v>1</v>
      </c>
      <c r="T81" s="128">
        <v>1</v>
      </c>
      <c r="U81" s="128">
        <v>1</v>
      </c>
      <c r="V81" s="128">
        <v>1</v>
      </c>
      <c r="W81" s="128">
        <v>1</v>
      </c>
      <c r="X81" s="128">
        <v>1</v>
      </c>
      <c r="Y81" s="128">
        <v>1</v>
      </c>
      <c r="Z81" s="128">
        <v>1</v>
      </c>
      <c r="AA81" s="128">
        <v>1</v>
      </c>
      <c r="AB81" s="128">
        <v>1</v>
      </c>
      <c r="AC81" s="128">
        <v>1</v>
      </c>
      <c r="AD81" s="128">
        <v>1</v>
      </c>
      <c r="AE81" s="128">
        <v>1</v>
      </c>
      <c r="AF81" s="128">
        <v>1</v>
      </c>
      <c r="AG81" s="128">
        <v>1</v>
      </c>
      <c r="AH81" s="128">
        <v>1</v>
      </c>
      <c r="AI81" s="128">
        <v>1</v>
      </c>
      <c r="AJ81" s="128">
        <v>1</v>
      </c>
      <c r="AK81" s="128">
        <v>1</v>
      </c>
      <c r="AL81" s="128">
        <v>1</v>
      </c>
      <c r="AM81" s="128">
        <v>1</v>
      </c>
      <c r="AN81" s="128">
        <v>1</v>
      </c>
      <c r="AO81" s="128">
        <v>1</v>
      </c>
      <c r="AP81" s="128">
        <v>1</v>
      </c>
      <c r="AQ81" s="128">
        <v>1</v>
      </c>
      <c r="AR81" s="128">
        <v>1</v>
      </c>
      <c r="AS81" s="128">
        <v>1</v>
      </c>
      <c r="AT81" s="128">
        <v>1</v>
      </c>
      <c r="AU81" s="128">
        <v>1</v>
      </c>
      <c r="AV81" s="128">
        <v>1</v>
      </c>
      <c r="AW81" s="128">
        <v>1</v>
      </c>
      <c r="AX81" s="128">
        <v>1</v>
      </c>
      <c r="AY81" s="128">
        <v>1</v>
      </c>
      <c r="AZ81" s="128">
        <v>1</v>
      </c>
      <c r="BA81" s="128">
        <v>1</v>
      </c>
      <c r="BB81" s="128">
        <v>1</v>
      </c>
      <c r="BC81" s="128">
        <v>1</v>
      </c>
      <c r="BD81" s="128">
        <v>1</v>
      </c>
      <c r="BE81" s="128">
        <v>1</v>
      </c>
      <c r="BF81" s="128">
        <v>1</v>
      </c>
      <c r="BG81" s="128">
        <v>1</v>
      </c>
      <c r="BH81" s="128">
        <v>1</v>
      </c>
      <c r="BI81" s="128">
        <v>1</v>
      </c>
      <c r="BJ81" s="128">
        <v>1</v>
      </c>
      <c r="BK81" s="128">
        <v>1</v>
      </c>
      <c r="BL81" s="128">
        <v>1</v>
      </c>
      <c r="BM81" s="128">
        <v>1</v>
      </c>
      <c r="BN81" s="128">
        <v>1</v>
      </c>
      <c r="BO81" s="128">
        <v>1</v>
      </c>
      <c r="BP81" s="128">
        <v>1</v>
      </c>
      <c r="BQ81" s="128">
        <v>1</v>
      </c>
      <c r="BR81" s="128">
        <v>1</v>
      </c>
      <c r="BS81" s="128">
        <v>1</v>
      </c>
      <c r="BT81" s="128">
        <v>1</v>
      </c>
      <c r="BU81" s="128">
        <v>1</v>
      </c>
      <c r="BV81" s="128">
        <v>1</v>
      </c>
      <c r="BW81" s="128">
        <v>1</v>
      </c>
      <c r="BX81" s="128">
        <v>1</v>
      </c>
      <c r="BY81" s="128">
        <v>1</v>
      </c>
      <c r="BZ81" s="128">
        <v>1</v>
      </c>
      <c r="CA81" s="128">
        <v>1</v>
      </c>
      <c r="CB81" s="128">
        <v>1</v>
      </c>
      <c r="CC81" s="128">
        <v>1</v>
      </c>
      <c r="CD81" s="128">
        <v>1</v>
      </c>
      <c r="CE81" s="128">
        <v>1</v>
      </c>
      <c r="CF81" s="128">
        <v>1</v>
      </c>
      <c r="CG81" s="128">
        <v>1</v>
      </c>
      <c r="CH81" s="128">
        <v>1</v>
      </c>
      <c r="CI81" s="128">
        <v>1</v>
      </c>
      <c r="CJ81" s="128">
        <v>1</v>
      </c>
      <c r="CK81" s="128">
        <v>1</v>
      </c>
      <c r="CL81" s="128">
        <v>1</v>
      </c>
      <c r="CM81" s="128">
        <v>1</v>
      </c>
      <c r="CN81" s="128">
        <v>1</v>
      </c>
      <c r="CO81" s="128">
        <v>1</v>
      </c>
      <c r="CP81" s="128">
        <v>1</v>
      </c>
      <c r="CQ81" s="128">
        <v>1</v>
      </c>
      <c r="CR81" s="128">
        <v>1</v>
      </c>
      <c r="CS81" s="128">
        <v>1</v>
      </c>
      <c r="CT81" s="128">
        <v>1</v>
      </c>
      <c r="CU81" s="128">
        <v>1</v>
      </c>
      <c r="CV81" s="128">
        <v>1</v>
      </c>
      <c r="CW81" s="128">
        <v>1</v>
      </c>
      <c r="CX81" s="128">
        <v>1</v>
      </c>
      <c r="CZ81" s="126">
        <f>SUMIF(MatrixF0[[1]:[2]],MatrixF0[[#This Row],[Столбец1]])/MatrixF0[[#This Row],[Столбец1]]</f>
        <v>0</v>
      </c>
    </row>
    <row r="82" spans="1:104" ht="21" customHeight="1" x14ac:dyDescent="0.25">
      <c r="A82" s="127">
        <v>1.79</v>
      </c>
      <c r="B82" s="128">
        <v>1</v>
      </c>
      <c r="C82" s="128">
        <v>1</v>
      </c>
      <c r="D82" s="128">
        <v>1</v>
      </c>
      <c r="E82" s="128">
        <v>1</v>
      </c>
      <c r="F82" s="128">
        <v>1</v>
      </c>
      <c r="G82" s="128">
        <v>1</v>
      </c>
      <c r="H82" s="128">
        <v>1</v>
      </c>
      <c r="I82" s="128">
        <v>1</v>
      </c>
      <c r="J82" s="128">
        <v>1</v>
      </c>
      <c r="K82" s="128">
        <v>1</v>
      </c>
      <c r="L82" s="128">
        <v>1</v>
      </c>
      <c r="M82" s="128">
        <v>1</v>
      </c>
      <c r="N82" s="128">
        <v>1</v>
      </c>
      <c r="O82" s="128">
        <v>1</v>
      </c>
      <c r="P82" s="128">
        <v>1</v>
      </c>
      <c r="Q82" s="128">
        <v>1</v>
      </c>
      <c r="R82" s="128">
        <v>1</v>
      </c>
      <c r="S82" s="128">
        <v>1</v>
      </c>
      <c r="T82" s="128">
        <v>1</v>
      </c>
      <c r="U82" s="128">
        <v>1</v>
      </c>
      <c r="V82" s="128">
        <v>1</v>
      </c>
      <c r="W82" s="128">
        <v>1</v>
      </c>
      <c r="X82" s="128">
        <v>1</v>
      </c>
      <c r="Y82" s="128">
        <v>1</v>
      </c>
      <c r="Z82" s="128">
        <v>1</v>
      </c>
      <c r="AA82" s="128">
        <v>1</v>
      </c>
      <c r="AB82" s="128">
        <v>1</v>
      </c>
      <c r="AC82" s="128">
        <v>1</v>
      </c>
      <c r="AD82" s="128">
        <v>1</v>
      </c>
      <c r="AE82" s="128">
        <v>1</v>
      </c>
      <c r="AF82" s="128">
        <v>1</v>
      </c>
      <c r="AG82" s="128">
        <v>1</v>
      </c>
      <c r="AH82" s="128">
        <v>1</v>
      </c>
      <c r="AI82" s="128">
        <v>1</v>
      </c>
      <c r="AJ82" s="128">
        <v>1</v>
      </c>
      <c r="AK82" s="128">
        <v>1</v>
      </c>
      <c r="AL82" s="128">
        <v>1</v>
      </c>
      <c r="AM82" s="128">
        <v>1</v>
      </c>
      <c r="AN82" s="128">
        <v>1</v>
      </c>
      <c r="AO82" s="128">
        <v>1</v>
      </c>
      <c r="AP82" s="128">
        <v>1</v>
      </c>
      <c r="AQ82" s="128">
        <v>1</v>
      </c>
      <c r="AR82" s="128">
        <v>1</v>
      </c>
      <c r="AS82" s="128">
        <v>1</v>
      </c>
      <c r="AT82" s="128">
        <v>1</v>
      </c>
      <c r="AU82" s="128">
        <v>1</v>
      </c>
      <c r="AV82" s="128">
        <v>1</v>
      </c>
      <c r="AW82" s="128">
        <v>1</v>
      </c>
      <c r="AX82" s="128">
        <v>1</v>
      </c>
      <c r="AY82" s="128">
        <v>1</v>
      </c>
      <c r="AZ82" s="128">
        <v>1</v>
      </c>
      <c r="BA82" s="128">
        <v>1</v>
      </c>
      <c r="BB82" s="128">
        <v>1</v>
      </c>
      <c r="BC82" s="128">
        <v>1</v>
      </c>
      <c r="BD82" s="128">
        <v>1</v>
      </c>
      <c r="BE82" s="128">
        <v>1</v>
      </c>
      <c r="BF82" s="128">
        <v>1</v>
      </c>
      <c r="BG82" s="128">
        <v>1</v>
      </c>
      <c r="BH82" s="128">
        <v>1</v>
      </c>
      <c r="BI82" s="128">
        <v>1</v>
      </c>
      <c r="BJ82" s="128">
        <v>1</v>
      </c>
      <c r="BK82" s="128">
        <v>1</v>
      </c>
      <c r="BL82" s="128">
        <v>1</v>
      </c>
      <c r="BM82" s="128">
        <v>1</v>
      </c>
      <c r="BN82" s="128">
        <v>1</v>
      </c>
      <c r="BO82" s="128">
        <v>1</v>
      </c>
      <c r="BP82" s="128">
        <v>1</v>
      </c>
      <c r="BQ82" s="128">
        <v>1</v>
      </c>
      <c r="BR82" s="128">
        <v>1</v>
      </c>
      <c r="BS82" s="128">
        <v>1</v>
      </c>
      <c r="BT82" s="128">
        <v>1</v>
      </c>
      <c r="BU82" s="128">
        <v>1</v>
      </c>
      <c r="BV82" s="128">
        <v>1</v>
      </c>
      <c r="BW82" s="128">
        <v>1</v>
      </c>
      <c r="BX82" s="128">
        <v>1</v>
      </c>
      <c r="BY82" s="128">
        <v>1</v>
      </c>
      <c r="BZ82" s="128">
        <v>1</v>
      </c>
      <c r="CA82" s="128">
        <v>1</v>
      </c>
      <c r="CB82" s="128">
        <v>1</v>
      </c>
      <c r="CC82" s="128">
        <v>1</v>
      </c>
      <c r="CD82" s="128">
        <v>1</v>
      </c>
      <c r="CE82" s="128">
        <v>1</v>
      </c>
      <c r="CF82" s="128">
        <v>1</v>
      </c>
      <c r="CG82" s="128">
        <v>1</v>
      </c>
      <c r="CH82" s="128">
        <v>1</v>
      </c>
      <c r="CI82" s="128">
        <v>1</v>
      </c>
      <c r="CJ82" s="128">
        <v>1</v>
      </c>
      <c r="CK82" s="128">
        <v>1</v>
      </c>
      <c r="CL82" s="128">
        <v>1</v>
      </c>
      <c r="CM82" s="128">
        <v>1</v>
      </c>
      <c r="CN82" s="128">
        <v>1</v>
      </c>
      <c r="CO82" s="128">
        <v>1</v>
      </c>
      <c r="CP82" s="128">
        <v>1</v>
      </c>
      <c r="CQ82" s="128">
        <v>1</v>
      </c>
      <c r="CR82" s="128">
        <v>1</v>
      </c>
      <c r="CS82" s="128">
        <v>1</v>
      </c>
      <c r="CT82" s="128">
        <v>1</v>
      </c>
      <c r="CU82" s="128">
        <v>1</v>
      </c>
      <c r="CV82" s="128">
        <v>1</v>
      </c>
      <c r="CW82" s="128">
        <v>1</v>
      </c>
      <c r="CX82" s="128">
        <v>1</v>
      </c>
      <c r="CZ82" s="126">
        <f>SUMIF(MatrixF0[[1]:[2]],MatrixF0[[#This Row],[Столбец1]])/MatrixF0[[#This Row],[Столбец1]]</f>
        <v>0</v>
      </c>
    </row>
    <row r="83" spans="1:104" ht="21" customHeight="1" x14ac:dyDescent="0.25">
      <c r="A83" s="127">
        <v>1.8</v>
      </c>
      <c r="B83" s="128">
        <v>1</v>
      </c>
      <c r="C83" s="128">
        <v>1</v>
      </c>
      <c r="D83" s="128">
        <v>1</v>
      </c>
      <c r="E83" s="128">
        <v>1</v>
      </c>
      <c r="F83" s="128">
        <v>1</v>
      </c>
      <c r="G83" s="128">
        <v>1</v>
      </c>
      <c r="H83" s="128">
        <v>1</v>
      </c>
      <c r="I83" s="128">
        <v>1</v>
      </c>
      <c r="J83" s="128">
        <v>1</v>
      </c>
      <c r="K83" s="128">
        <v>1</v>
      </c>
      <c r="L83" s="128">
        <v>1</v>
      </c>
      <c r="M83" s="128">
        <v>1</v>
      </c>
      <c r="N83" s="128">
        <v>1</v>
      </c>
      <c r="O83" s="128">
        <v>1</v>
      </c>
      <c r="P83" s="128">
        <v>1</v>
      </c>
      <c r="Q83" s="128">
        <v>1</v>
      </c>
      <c r="R83" s="128">
        <v>1</v>
      </c>
      <c r="S83" s="128">
        <v>1</v>
      </c>
      <c r="T83" s="128">
        <v>1</v>
      </c>
      <c r="U83" s="128">
        <v>1</v>
      </c>
      <c r="V83" s="128">
        <v>1</v>
      </c>
      <c r="W83" s="128">
        <v>1</v>
      </c>
      <c r="X83" s="128">
        <v>1</v>
      </c>
      <c r="Y83" s="128">
        <v>1</v>
      </c>
      <c r="Z83" s="128">
        <v>1</v>
      </c>
      <c r="AA83" s="128">
        <v>1</v>
      </c>
      <c r="AB83" s="128">
        <v>1</v>
      </c>
      <c r="AC83" s="128">
        <v>1</v>
      </c>
      <c r="AD83" s="128">
        <v>1</v>
      </c>
      <c r="AE83" s="128">
        <v>1</v>
      </c>
      <c r="AF83" s="128">
        <v>1</v>
      </c>
      <c r="AG83" s="128">
        <v>1</v>
      </c>
      <c r="AH83" s="128">
        <v>1</v>
      </c>
      <c r="AI83" s="128">
        <v>1</v>
      </c>
      <c r="AJ83" s="128">
        <v>1</v>
      </c>
      <c r="AK83" s="128">
        <v>1</v>
      </c>
      <c r="AL83" s="128">
        <v>1</v>
      </c>
      <c r="AM83" s="128">
        <v>1</v>
      </c>
      <c r="AN83" s="128">
        <v>1</v>
      </c>
      <c r="AO83" s="128">
        <v>1</v>
      </c>
      <c r="AP83" s="128">
        <v>1</v>
      </c>
      <c r="AQ83" s="128">
        <v>1</v>
      </c>
      <c r="AR83" s="128">
        <v>1</v>
      </c>
      <c r="AS83" s="128">
        <v>1</v>
      </c>
      <c r="AT83" s="128">
        <v>1</v>
      </c>
      <c r="AU83" s="128">
        <v>1</v>
      </c>
      <c r="AV83" s="128">
        <v>1</v>
      </c>
      <c r="AW83" s="128">
        <v>1</v>
      </c>
      <c r="AX83" s="128">
        <v>1</v>
      </c>
      <c r="AY83" s="128">
        <v>1</v>
      </c>
      <c r="AZ83" s="128">
        <v>1</v>
      </c>
      <c r="BA83" s="128">
        <v>1</v>
      </c>
      <c r="BB83" s="128">
        <v>1</v>
      </c>
      <c r="BC83" s="128">
        <v>1</v>
      </c>
      <c r="BD83" s="128">
        <v>1</v>
      </c>
      <c r="BE83" s="128">
        <v>1</v>
      </c>
      <c r="BF83" s="128">
        <v>1</v>
      </c>
      <c r="BG83" s="128">
        <v>1</v>
      </c>
      <c r="BH83" s="128">
        <v>1</v>
      </c>
      <c r="BI83" s="128">
        <v>1</v>
      </c>
      <c r="BJ83" s="128">
        <v>1</v>
      </c>
      <c r="BK83" s="128">
        <v>1</v>
      </c>
      <c r="BL83" s="128">
        <v>1</v>
      </c>
      <c r="BM83" s="128">
        <v>1</v>
      </c>
      <c r="BN83" s="128">
        <v>1</v>
      </c>
      <c r="BO83" s="128">
        <v>1</v>
      </c>
      <c r="BP83" s="128">
        <v>1</v>
      </c>
      <c r="BQ83" s="128">
        <v>1</v>
      </c>
      <c r="BR83" s="128">
        <v>1</v>
      </c>
      <c r="BS83" s="128">
        <v>1</v>
      </c>
      <c r="BT83" s="128">
        <v>1</v>
      </c>
      <c r="BU83" s="128">
        <v>1</v>
      </c>
      <c r="BV83" s="128">
        <v>1</v>
      </c>
      <c r="BW83" s="128">
        <v>1</v>
      </c>
      <c r="BX83" s="128">
        <v>1</v>
      </c>
      <c r="BY83" s="128">
        <v>1</v>
      </c>
      <c r="BZ83" s="128">
        <v>1</v>
      </c>
      <c r="CA83" s="128">
        <v>1</v>
      </c>
      <c r="CB83" s="128">
        <v>1</v>
      </c>
      <c r="CC83" s="128">
        <v>1</v>
      </c>
      <c r="CD83" s="128">
        <v>1</v>
      </c>
      <c r="CE83" s="128">
        <v>1</v>
      </c>
      <c r="CF83" s="128">
        <v>1</v>
      </c>
      <c r="CG83" s="128">
        <v>1</v>
      </c>
      <c r="CH83" s="128">
        <v>1</v>
      </c>
      <c r="CI83" s="128">
        <v>1</v>
      </c>
      <c r="CJ83" s="128">
        <v>1</v>
      </c>
      <c r="CK83" s="128">
        <v>1</v>
      </c>
      <c r="CL83" s="128">
        <v>1</v>
      </c>
      <c r="CM83" s="128">
        <v>1</v>
      </c>
      <c r="CN83" s="128">
        <v>1</v>
      </c>
      <c r="CO83" s="128">
        <v>1</v>
      </c>
      <c r="CP83" s="128">
        <v>1</v>
      </c>
      <c r="CQ83" s="128">
        <v>1</v>
      </c>
      <c r="CR83" s="128">
        <v>1</v>
      </c>
      <c r="CS83" s="128">
        <v>1</v>
      </c>
      <c r="CT83" s="128">
        <v>1</v>
      </c>
      <c r="CU83" s="128">
        <v>1</v>
      </c>
      <c r="CV83" s="128">
        <v>1</v>
      </c>
      <c r="CW83" s="128">
        <v>1</v>
      </c>
      <c r="CX83" s="128">
        <v>1</v>
      </c>
      <c r="CZ83" s="126">
        <f>SUMIF(MatrixF0[[1]:[2]],MatrixF0[[#This Row],[Столбец1]])/MatrixF0[[#This Row],[Столбец1]]</f>
        <v>0</v>
      </c>
    </row>
    <row r="84" spans="1:104" ht="21" customHeight="1" x14ac:dyDescent="0.25">
      <c r="A84" s="127">
        <v>1.81</v>
      </c>
      <c r="B84" s="128">
        <v>1</v>
      </c>
      <c r="C84" s="128">
        <v>1</v>
      </c>
      <c r="D84" s="128">
        <v>1</v>
      </c>
      <c r="E84" s="128">
        <v>1</v>
      </c>
      <c r="F84" s="128">
        <v>1</v>
      </c>
      <c r="G84" s="128">
        <v>1</v>
      </c>
      <c r="H84" s="128">
        <v>1</v>
      </c>
      <c r="I84" s="128">
        <v>1</v>
      </c>
      <c r="J84" s="128">
        <v>1</v>
      </c>
      <c r="K84" s="128">
        <v>1</v>
      </c>
      <c r="L84" s="128">
        <v>1</v>
      </c>
      <c r="M84" s="128">
        <v>1</v>
      </c>
      <c r="N84" s="128">
        <v>1</v>
      </c>
      <c r="O84" s="128">
        <v>1</v>
      </c>
      <c r="P84" s="128">
        <v>1</v>
      </c>
      <c r="Q84" s="128">
        <v>1</v>
      </c>
      <c r="R84" s="128">
        <v>1</v>
      </c>
      <c r="S84" s="128">
        <v>1</v>
      </c>
      <c r="T84" s="128">
        <v>1</v>
      </c>
      <c r="U84" s="128">
        <v>1</v>
      </c>
      <c r="V84" s="128">
        <v>1</v>
      </c>
      <c r="W84" s="128">
        <v>1</v>
      </c>
      <c r="X84" s="128">
        <v>1</v>
      </c>
      <c r="Y84" s="128">
        <v>1</v>
      </c>
      <c r="Z84" s="128">
        <v>1</v>
      </c>
      <c r="AA84" s="128">
        <v>1</v>
      </c>
      <c r="AB84" s="128">
        <v>1</v>
      </c>
      <c r="AC84" s="128">
        <v>1</v>
      </c>
      <c r="AD84" s="128">
        <v>1</v>
      </c>
      <c r="AE84" s="128">
        <v>1</v>
      </c>
      <c r="AF84" s="128">
        <v>1</v>
      </c>
      <c r="AG84" s="128">
        <v>1</v>
      </c>
      <c r="AH84" s="128">
        <v>1</v>
      </c>
      <c r="AI84" s="128">
        <v>1</v>
      </c>
      <c r="AJ84" s="128">
        <v>1</v>
      </c>
      <c r="AK84" s="128">
        <v>1</v>
      </c>
      <c r="AL84" s="128">
        <v>1</v>
      </c>
      <c r="AM84" s="128">
        <v>1</v>
      </c>
      <c r="AN84" s="128">
        <v>1</v>
      </c>
      <c r="AO84" s="128">
        <v>1</v>
      </c>
      <c r="AP84" s="128">
        <v>1</v>
      </c>
      <c r="AQ84" s="128">
        <v>1</v>
      </c>
      <c r="AR84" s="128">
        <v>1</v>
      </c>
      <c r="AS84" s="128">
        <v>1</v>
      </c>
      <c r="AT84" s="128">
        <v>1</v>
      </c>
      <c r="AU84" s="128">
        <v>1</v>
      </c>
      <c r="AV84" s="128">
        <v>1</v>
      </c>
      <c r="AW84" s="128">
        <v>1</v>
      </c>
      <c r="AX84" s="128">
        <v>1</v>
      </c>
      <c r="AY84" s="128">
        <v>1</v>
      </c>
      <c r="AZ84" s="128">
        <v>1</v>
      </c>
      <c r="BA84" s="128">
        <v>1</v>
      </c>
      <c r="BB84" s="128">
        <v>1</v>
      </c>
      <c r="BC84" s="128">
        <v>1</v>
      </c>
      <c r="BD84" s="128">
        <v>1</v>
      </c>
      <c r="BE84" s="128">
        <v>1</v>
      </c>
      <c r="BF84" s="128">
        <v>1</v>
      </c>
      <c r="BG84" s="128">
        <v>1</v>
      </c>
      <c r="BH84" s="128">
        <v>1</v>
      </c>
      <c r="BI84" s="128">
        <v>1</v>
      </c>
      <c r="BJ84" s="128">
        <v>1</v>
      </c>
      <c r="BK84" s="128">
        <v>1</v>
      </c>
      <c r="BL84" s="128">
        <v>1</v>
      </c>
      <c r="BM84" s="128">
        <v>1</v>
      </c>
      <c r="BN84" s="128">
        <v>1</v>
      </c>
      <c r="BO84" s="128">
        <v>1</v>
      </c>
      <c r="BP84" s="128">
        <v>1</v>
      </c>
      <c r="BQ84" s="128">
        <v>1</v>
      </c>
      <c r="BR84" s="128">
        <v>1</v>
      </c>
      <c r="BS84" s="128">
        <v>1</v>
      </c>
      <c r="BT84" s="128">
        <v>1</v>
      </c>
      <c r="BU84" s="128">
        <v>1</v>
      </c>
      <c r="BV84" s="128">
        <v>1</v>
      </c>
      <c r="BW84" s="128">
        <v>1</v>
      </c>
      <c r="BX84" s="128">
        <v>1</v>
      </c>
      <c r="BY84" s="128">
        <v>1</v>
      </c>
      <c r="BZ84" s="128">
        <v>1</v>
      </c>
      <c r="CA84" s="128">
        <v>1</v>
      </c>
      <c r="CB84" s="128">
        <v>1</v>
      </c>
      <c r="CC84" s="128">
        <v>1</v>
      </c>
      <c r="CD84" s="128">
        <v>1</v>
      </c>
      <c r="CE84" s="128">
        <v>1</v>
      </c>
      <c r="CF84" s="128">
        <v>1</v>
      </c>
      <c r="CG84" s="128">
        <v>1</v>
      </c>
      <c r="CH84" s="128">
        <v>1</v>
      </c>
      <c r="CI84" s="128">
        <v>1</v>
      </c>
      <c r="CJ84" s="128">
        <v>1</v>
      </c>
      <c r="CK84" s="128">
        <v>1</v>
      </c>
      <c r="CL84" s="128">
        <v>1</v>
      </c>
      <c r="CM84" s="128">
        <v>1</v>
      </c>
      <c r="CN84" s="128">
        <v>1</v>
      </c>
      <c r="CO84" s="128">
        <v>1</v>
      </c>
      <c r="CP84" s="128">
        <v>1</v>
      </c>
      <c r="CQ84" s="128">
        <v>1</v>
      </c>
      <c r="CR84" s="128">
        <v>1</v>
      </c>
      <c r="CS84" s="128">
        <v>1</v>
      </c>
      <c r="CT84" s="128">
        <v>1</v>
      </c>
      <c r="CU84" s="128">
        <v>1</v>
      </c>
      <c r="CV84" s="128">
        <v>1</v>
      </c>
      <c r="CW84" s="128">
        <v>1</v>
      </c>
      <c r="CX84" s="128">
        <v>1</v>
      </c>
      <c r="CZ84" s="126">
        <f>SUMIF(MatrixF0[[1]:[2]],MatrixF0[[#This Row],[Столбец1]])/MatrixF0[[#This Row],[Столбец1]]</f>
        <v>0</v>
      </c>
    </row>
    <row r="85" spans="1:104" ht="21" customHeight="1" x14ac:dyDescent="0.25">
      <c r="A85" s="127">
        <v>1.82</v>
      </c>
      <c r="B85" s="128">
        <v>1</v>
      </c>
      <c r="C85" s="128">
        <v>1</v>
      </c>
      <c r="D85" s="128">
        <v>1</v>
      </c>
      <c r="E85" s="128">
        <v>1</v>
      </c>
      <c r="F85" s="128">
        <v>1</v>
      </c>
      <c r="G85" s="128">
        <v>1</v>
      </c>
      <c r="H85" s="128">
        <v>1</v>
      </c>
      <c r="I85" s="128">
        <v>1</v>
      </c>
      <c r="J85" s="128">
        <v>1</v>
      </c>
      <c r="K85" s="128">
        <v>1</v>
      </c>
      <c r="L85" s="128">
        <v>1</v>
      </c>
      <c r="M85" s="128">
        <v>1</v>
      </c>
      <c r="N85" s="128">
        <v>1</v>
      </c>
      <c r="O85" s="128">
        <v>1</v>
      </c>
      <c r="P85" s="128">
        <v>1</v>
      </c>
      <c r="Q85" s="128">
        <v>1</v>
      </c>
      <c r="R85" s="128">
        <v>1</v>
      </c>
      <c r="S85" s="128">
        <v>1</v>
      </c>
      <c r="T85" s="128">
        <v>1</v>
      </c>
      <c r="U85" s="128">
        <v>1</v>
      </c>
      <c r="V85" s="128">
        <v>1</v>
      </c>
      <c r="W85" s="128">
        <v>1</v>
      </c>
      <c r="X85" s="128">
        <v>1</v>
      </c>
      <c r="Y85" s="128">
        <v>1</v>
      </c>
      <c r="Z85" s="128">
        <v>1</v>
      </c>
      <c r="AA85" s="128">
        <v>1</v>
      </c>
      <c r="AB85" s="128">
        <v>1</v>
      </c>
      <c r="AC85" s="128">
        <v>1</v>
      </c>
      <c r="AD85" s="128">
        <v>1</v>
      </c>
      <c r="AE85" s="128">
        <v>1</v>
      </c>
      <c r="AF85" s="128">
        <v>1</v>
      </c>
      <c r="AG85" s="128">
        <v>1</v>
      </c>
      <c r="AH85" s="128">
        <v>1</v>
      </c>
      <c r="AI85" s="128">
        <v>1</v>
      </c>
      <c r="AJ85" s="128">
        <v>1</v>
      </c>
      <c r="AK85" s="128">
        <v>1</v>
      </c>
      <c r="AL85" s="128">
        <v>1</v>
      </c>
      <c r="AM85" s="128">
        <v>1</v>
      </c>
      <c r="AN85" s="128">
        <v>1</v>
      </c>
      <c r="AO85" s="128">
        <v>1</v>
      </c>
      <c r="AP85" s="128">
        <v>1</v>
      </c>
      <c r="AQ85" s="128">
        <v>1</v>
      </c>
      <c r="AR85" s="128">
        <v>1</v>
      </c>
      <c r="AS85" s="128">
        <v>1</v>
      </c>
      <c r="AT85" s="128">
        <v>1</v>
      </c>
      <c r="AU85" s="128">
        <v>1</v>
      </c>
      <c r="AV85" s="128">
        <v>1</v>
      </c>
      <c r="AW85" s="128">
        <v>1</v>
      </c>
      <c r="AX85" s="128">
        <v>1</v>
      </c>
      <c r="AY85" s="128">
        <v>1</v>
      </c>
      <c r="AZ85" s="128">
        <v>1</v>
      </c>
      <c r="BA85" s="128">
        <v>1</v>
      </c>
      <c r="BB85" s="128">
        <v>1</v>
      </c>
      <c r="BC85" s="128">
        <v>1</v>
      </c>
      <c r="BD85" s="128">
        <v>1</v>
      </c>
      <c r="BE85" s="128">
        <v>1</v>
      </c>
      <c r="BF85" s="128">
        <v>1</v>
      </c>
      <c r="BG85" s="128">
        <v>1</v>
      </c>
      <c r="BH85" s="128">
        <v>1</v>
      </c>
      <c r="BI85" s="128">
        <v>1</v>
      </c>
      <c r="BJ85" s="128">
        <v>1</v>
      </c>
      <c r="BK85" s="128">
        <v>1</v>
      </c>
      <c r="BL85" s="128">
        <v>1</v>
      </c>
      <c r="BM85" s="128">
        <v>1</v>
      </c>
      <c r="BN85" s="128">
        <v>1</v>
      </c>
      <c r="BO85" s="128">
        <v>1</v>
      </c>
      <c r="BP85" s="128">
        <v>1</v>
      </c>
      <c r="BQ85" s="128">
        <v>1</v>
      </c>
      <c r="BR85" s="128">
        <v>1</v>
      </c>
      <c r="BS85" s="128">
        <v>1</v>
      </c>
      <c r="BT85" s="128">
        <v>1</v>
      </c>
      <c r="BU85" s="128">
        <v>1</v>
      </c>
      <c r="BV85" s="128">
        <v>1</v>
      </c>
      <c r="BW85" s="128">
        <v>1</v>
      </c>
      <c r="BX85" s="128">
        <v>1</v>
      </c>
      <c r="BY85" s="128">
        <v>1</v>
      </c>
      <c r="BZ85" s="128">
        <v>1</v>
      </c>
      <c r="CA85" s="128">
        <v>1</v>
      </c>
      <c r="CB85" s="128">
        <v>1</v>
      </c>
      <c r="CC85" s="128">
        <v>1</v>
      </c>
      <c r="CD85" s="128">
        <v>1</v>
      </c>
      <c r="CE85" s="128">
        <v>1</v>
      </c>
      <c r="CF85" s="128">
        <v>1</v>
      </c>
      <c r="CG85" s="128">
        <v>1</v>
      </c>
      <c r="CH85" s="128">
        <v>1</v>
      </c>
      <c r="CI85" s="128">
        <v>1</v>
      </c>
      <c r="CJ85" s="128">
        <v>1</v>
      </c>
      <c r="CK85" s="128">
        <v>1</v>
      </c>
      <c r="CL85" s="128">
        <v>1</v>
      </c>
      <c r="CM85" s="128">
        <v>1</v>
      </c>
      <c r="CN85" s="128">
        <v>1</v>
      </c>
      <c r="CO85" s="128">
        <v>1</v>
      </c>
      <c r="CP85" s="128">
        <v>1</v>
      </c>
      <c r="CQ85" s="128">
        <v>1</v>
      </c>
      <c r="CR85" s="128">
        <v>1</v>
      </c>
      <c r="CS85" s="128">
        <v>1</v>
      </c>
      <c r="CT85" s="128">
        <v>1</v>
      </c>
      <c r="CU85" s="128">
        <v>1</v>
      </c>
      <c r="CV85" s="128">
        <v>1</v>
      </c>
      <c r="CW85" s="128">
        <v>1</v>
      </c>
      <c r="CX85" s="128">
        <v>1</v>
      </c>
      <c r="CZ85" s="126">
        <f>SUMIF(MatrixF0[[1]:[2]],MatrixF0[[#This Row],[Столбец1]])/MatrixF0[[#This Row],[Столбец1]]</f>
        <v>0</v>
      </c>
    </row>
    <row r="86" spans="1:104" ht="21" customHeight="1" x14ac:dyDescent="0.25">
      <c r="A86" s="127">
        <v>1.83</v>
      </c>
      <c r="B86" s="128">
        <v>1</v>
      </c>
      <c r="C86" s="128">
        <v>1</v>
      </c>
      <c r="D86" s="128">
        <v>1</v>
      </c>
      <c r="E86" s="128">
        <v>1</v>
      </c>
      <c r="F86" s="128">
        <v>1</v>
      </c>
      <c r="G86" s="128">
        <v>1</v>
      </c>
      <c r="H86" s="128">
        <v>1</v>
      </c>
      <c r="I86" s="128">
        <v>1</v>
      </c>
      <c r="J86" s="128">
        <v>1</v>
      </c>
      <c r="K86" s="128">
        <v>1</v>
      </c>
      <c r="L86" s="128">
        <v>1</v>
      </c>
      <c r="M86" s="128">
        <v>1</v>
      </c>
      <c r="N86" s="128">
        <v>1</v>
      </c>
      <c r="O86" s="128">
        <v>1</v>
      </c>
      <c r="P86" s="128">
        <v>1</v>
      </c>
      <c r="Q86" s="128">
        <v>1</v>
      </c>
      <c r="R86" s="128">
        <v>1</v>
      </c>
      <c r="S86" s="128">
        <v>1</v>
      </c>
      <c r="T86" s="128">
        <v>1</v>
      </c>
      <c r="U86" s="128">
        <v>1</v>
      </c>
      <c r="V86" s="128">
        <v>1</v>
      </c>
      <c r="W86" s="128">
        <v>1</v>
      </c>
      <c r="X86" s="128">
        <v>1</v>
      </c>
      <c r="Y86" s="128">
        <v>1</v>
      </c>
      <c r="Z86" s="128">
        <v>1</v>
      </c>
      <c r="AA86" s="128">
        <v>1</v>
      </c>
      <c r="AB86" s="128">
        <v>1</v>
      </c>
      <c r="AC86" s="128">
        <v>1</v>
      </c>
      <c r="AD86" s="128">
        <v>1</v>
      </c>
      <c r="AE86" s="128">
        <v>1</v>
      </c>
      <c r="AF86" s="128">
        <v>1</v>
      </c>
      <c r="AG86" s="128">
        <v>1</v>
      </c>
      <c r="AH86" s="128">
        <v>1</v>
      </c>
      <c r="AI86" s="128">
        <v>1</v>
      </c>
      <c r="AJ86" s="128">
        <v>1</v>
      </c>
      <c r="AK86" s="128">
        <v>1</v>
      </c>
      <c r="AL86" s="128">
        <v>1</v>
      </c>
      <c r="AM86" s="128">
        <v>1</v>
      </c>
      <c r="AN86" s="128">
        <v>1</v>
      </c>
      <c r="AO86" s="128">
        <v>1</v>
      </c>
      <c r="AP86" s="128">
        <v>1</v>
      </c>
      <c r="AQ86" s="128">
        <v>1</v>
      </c>
      <c r="AR86" s="128">
        <v>1</v>
      </c>
      <c r="AS86" s="128">
        <v>1</v>
      </c>
      <c r="AT86" s="128">
        <v>1</v>
      </c>
      <c r="AU86" s="128">
        <v>1</v>
      </c>
      <c r="AV86" s="128">
        <v>1</v>
      </c>
      <c r="AW86" s="128">
        <v>1</v>
      </c>
      <c r="AX86" s="128">
        <v>1</v>
      </c>
      <c r="AY86" s="128">
        <v>1</v>
      </c>
      <c r="AZ86" s="128">
        <v>1</v>
      </c>
      <c r="BA86" s="128">
        <v>1</v>
      </c>
      <c r="BB86" s="128">
        <v>1</v>
      </c>
      <c r="BC86" s="128">
        <v>1</v>
      </c>
      <c r="BD86" s="128">
        <v>1</v>
      </c>
      <c r="BE86" s="128">
        <v>1</v>
      </c>
      <c r="BF86" s="128">
        <v>1</v>
      </c>
      <c r="BG86" s="128">
        <v>1</v>
      </c>
      <c r="BH86" s="128">
        <v>1</v>
      </c>
      <c r="BI86" s="128">
        <v>1</v>
      </c>
      <c r="BJ86" s="128">
        <v>1</v>
      </c>
      <c r="BK86" s="128">
        <v>1</v>
      </c>
      <c r="BL86" s="128">
        <v>1</v>
      </c>
      <c r="BM86" s="128">
        <v>1</v>
      </c>
      <c r="BN86" s="128">
        <v>1</v>
      </c>
      <c r="BO86" s="128">
        <v>1</v>
      </c>
      <c r="BP86" s="128">
        <v>1</v>
      </c>
      <c r="BQ86" s="128">
        <v>1</v>
      </c>
      <c r="BR86" s="128">
        <v>1</v>
      </c>
      <c r="BS86" s="128">
        <v>1</v>
      </c>
      <c r="BT86" s="128">
        <v>1</v>
      </c>
      <c r="BU86" s="128">
        <v>1</v>
      </c>
      <c r="BV86" s="128">
        <v>1</v>
      </c>
      <c r="BW86" s="128">
        <v>1</v>
      </c>
      <c r="BX86" s="128">
        <v>1</v>
      </c>
      <c r="BY86" s="128">
        <v>1</v>
      </c>
      <c r="BZ86" s="128">
        <v>1</v>
      </c>
      <c r="CA86" s="128">
        <v>1</v>
      </c>
      <c r="CB86" s="128">
        <v>1</v>
      </c>
      <c r="CC86" s="128">
        <v>1</v>
      </c>
      <c r="CD86" s="128">
        <v>1</v>
      </c>
      <c r="CE86" s="128">
        <v>1</v>
      </c>
      <c r="CF86" s="128">
        <v>1</v>
      </c>
      <c r="CG86" s="128">
        <v>1</v>
      </c>
      <c r="CH86" s="128">
        <v>1</v>
      </c>
      <c r="CI86" s="128">
        <v>1</v>
      </c>
      <c r="CJ86" s="128">
        <v>1</v>
      </c>
      <c r="CK86" s="128">
        <v>1</v>
      </c>
      <c r="CL86" s="128">
        <v>1</v>
      </c>
      <c r="CM86" s="128">
        <v>1</v>
      </c>
      <c r="CN86" s="128">
        <v>1</v>
      </c>
      <c r="CO86" s="128">
        <v>1</v>
      </c>
      <c r="CP86" s="128">
        <v>1</v>
      </c>
      <c r="CQ86" s="128">
        <v>1</v>
      </c>
      <c r="CR86" s="128">
        <v>1</v>
      </c>
      <c r="CS86" s="128">
        <v>1</v>
      </c>
      <c r="CT86" s="128">
        <v>1</v>
      </c>
      <c r="CU86" s="128">
        <v>1</v>
      </c>
      <c r="CV86" s="128">
        <v>1</v>
      </c>
      <c r="CW86" s="128">
        <v>1</v>
      </c>
      <c r="CX86" s="128">
        <v>1</v>
      </c>
      <c r="CZ86" s="126">
        <f>SUMIF(MatrixF0[[1]:[2]],MatrixF0[[#This Row],[Столбец1]])/MatrixF0[[#This Row],[Столбец1]]</f>
        <v>0</v>
      </c>
    </row>
    <row r="87" spans="1:104" ht="21" customHeight="1" x14ac:dyDescent="0.25">
      <c r="A87" s="127">
        <v>1.84</v>
      </c>
      <c r="B87" s="128">
        <v>1</v>
      </c>
      <c r="C87" s="128">
        <v>1</v>
      </c>
      <c r="D87" s="128">
        <v>1</v>
      </c>
      <c r="E87" s="128">
        <v>1</v>
      </c>
      <c r="F87" s="128">
        <v>1</v>
      </c>
      <c r="G87" s="128">
        <v>1</v>
      </c>
      <c r="H87" s="128">
        <v>1</v>
      </c>
      <c r="I87" s="128">
        <v>1</v>
      </c>
      <c r="J87" s="128">
        <v>1</v>
      </c>
      <c r="K87" s="128">
        <v>1</v>
      </c>
      <c r="L87" s="128">
        <v>1</v>
      </c>
      <c r="M87" s="128">
        <v>1</v>
      </c>
      <c r="N87" s="128">
        <v>1</v>
      </c>
      <c r="O87" s="128">
        <v>1</v>
      </c>
      <c r="P87" s="128">
        <v>1</v>
      </c>
      <c r="Q87" s="128">
        <v>1</v>
      </c>
      <c r="R87" s="128">
        <v>1</v>
      </c>
      <c r="S87" s="128">
        <v>1</v>
      </c>
      <c r="T87" s="128">
        <v>1</v>
      </c>
      <c r="U87" s="128">
        <v>1</v>
      </c>
      <c r="V87" s="128">
        <v>1</v>
      </c>
      <c r="W87" s="128">
        <v>1</v>
      </c>
      <c r="X87" s="128">
        <v>1</v>
      </c>
      <c r="Y87" s="128">
        <v>1</v>
      </c>
      <c r="Z87" s="128">
        <v>1</v>
      </c>
      <c r="AA87" s="128">
        <v>1</v>
      </c>
      <c r="AB87" s="128">
        <v>1</v>
      </c>
      <c r="AC87" s="128">
        <v>1</v>
      </c>
      <c r="AD87" s="128">
        <v>1</v>
      </c>
      <c r="AE87" s="128">
        <v>1</v>
      </c>
      <c r="AF87" s="128">
        <v>1</v>
      </c>
      <c r="AG87" s="128">
        <v>1</v>
      </c>
      <c r="AH87" s="128">
        <v>1</v>
      </c>
      <c r="AI87" s="128">
        <v>1</v>
      </c>
      <c r="AJ87" s="128">
        <v>1</v>
      </c>
      <c r="AK87" s="128">
        <v>1</v>
      </c>
      <c r="AL87" s="128">
        <v>1</v>
      </c>
      <c r="AM87" s="128">
        <v>1</v>
      </c>
      <c r="AN87" s="128">
        <v>1</v>
      </c>
      <c r="AO87" s="128">
        <v>1</v>
      </c>
      <c r="AP87" s="128">
        <v>1</v>
      </c>
      <c r="AQ87" s="128">
        <v>1</v>
      </c>
      <c r="AR87" s="128">
        <v>1</v>
      </c>
      <c r="AS87" s="128">
        <v>1</v>
      </c>
      <c r="AT87" s="128">
        <v>1</v>
      </c>
      <c r="AU87" s="128">
        <v>1</v>
      </c>
      <c r="AV87" s="128">
        <v>1</v>
      </c>
      <c r="AW87" s="128">
        <v>1</v>
      </c>
      <c r="AX87" s="128">
        <v>1</v>
      </c>
      <c r="AY87" s="128">
        <v>1</v>
      </c>
      <c r="AZ87" s="128">
        <v>1</v>
      </c>
      <c r="BA87" s="128">
        <v>1</v>
      </c>
      <c r="BB87" s="128">
        <v>1</v>
      </c>
      <c r="BC87" s="128">
        <v>1</v>
      </c>
      <c r="BD87" s="128">
        <v>1</v>
      </c>
      <c r="BE87" s="128">
        <v>1</v>
      </c>
      <c r="BF87" s="128">
        <v>1</v>
      </c>
      <c r="BG87" s="128">
        <v>1</v>
      </c>
      <c r="BH87" s="128">
        <v>1</v>
      </c>
      <c r="BI87" s="128">
        <v>1</v>
      </c>
      <c r="BJ87" s="128">
        <v>1</v>
      </c>
      <c r="BK87" s="128">
        <v>1</v>
      </c>
      <c r="BL87" s="128">
        <v>1</v>
      </c>
      <c r="BM87" s="128">
        <v>1</v>
      </c>
      <c r="BN87" s="128">
        <v>1</v>
      </c>
      <c r="BO87" s="128">
        <v>1</v>
      </c>
      <c r="BP87" s="128">
        <v>1</v>
      </c>
      <c r="BQ87" s="128">
        <v>1</v>
      </c>
      <c r="BR87" s="128">
        <v>1</v>
      </c>
      <c r="BS87" s="128">
        <v>1</v>
      </c>
      <c r="BT87" s="128">
        <v>1</v>
      </c>
      <c r="BU87" s="128">
        <v>1</v>
      </c>
      <c r="BV87" s="128">
        <v>1</v>
      </c>
      <c r="BW87" s="128">
        <v>1</v>
      </c>
      <c r="BX87" s="128">
        <v>1</v>
      </c>
      <c r="BY87" s="128">
        <v>1</v>
      </c>
      <c r="BZ87" s="128">
        <v>1</v>
      </c>
      <c r="CA87" s="128">
        <v>1</v>
      </c>
      <c r="CB87" s="128">
        <v>1</v>
      </c>
      <c r="CC87" s="128">
        <v>1</v>
      </c>
      <c r="CD87" s="128">
        <v>1</v>
      </c>
      <c r="CE87" s="128">
        <v>1</v>
      </c>
      <c r="CF87" s="128">
        <v>1</v>
      </c>
      <c r="CG87" s="128">
        <v>1</v>
      </c>
      <c r="CH87" s="128">
        <v>1</v>
      </c>
      <c r="CI87" s="128">
        <v>1</v>
      </c>
      <c r="CJ87" s="128">
        <v>1</v>
      </c>
      <c r="CK87" s="128">
        <v>1</v>
      </c>
      <c r="CL87" s="128">
        <v>1</v>
      </c>
      <c r="CM87" s="128">
        <v>1</v>
      </c>
      <c r="CN87" s="128">
        <v>1</v>
      </c>
      <c r="CO87" s="128">
        <v>1</v>
      </c>
      <c r="CP87" s="128">
        <v>1</v>
      </c>
      <c r="CQ87" s="128">
        <v>1</v>
      </c>
      <c r="CR87" s="128">
        <v>1</v>
      </c>
      <c r="CS87" s="128">
        <v>1</v>
      </c>
      <c r="CT87" s="128">
        <v>1</v>
      </c>
      <c r="CU87" s="128">
        <v>1</v>
      </c>
      <c r="CV87" s="128">
        <v>1</v>
      </c>
      <c r="CW87" s="128">
        <v>1</v>
      </c>
      <c r="CX87" s="128">
        <v>1</v>
      </c>
      <c r="CZ87" s="126">
        <f>SUMIF(MatrixF0[[1]:[2]],MatrixF0[[#This Row],[Столбец1]])/MatrixF0[[#This Row],[Столбец1]]</f>
        <v>0</v>
      </c>
    </row>
    <row r="88" spans="1:104" ht="21" customHeight="1" x14ac:dyDescent="0.25">
      <c r="A88" s="127">
        <v>1.85</v>
      </c>
      <c r="B88" s="128">
        <v>1</v>
      </c>
      <c r="C88" s="128">
        <v>1</v>
      </c>
      <c r="D88" s="128">
        <v>1</v>
      </c>
      <c r="E88" s="128">
        <v>1</v>
      </c>
      <c r="F88" s="128">
        <v>1</v>
      </c>
      <c r="G88" s="128">
        <v>1</v>
      </c>
      <c r="H88" s="128">
        <v>1</v>
      </c>
      <c r="I88" s="128">
        <v>1</v>
      </c>
      <c r="J88" s="128">
        <v>1</v>
      </c>
      <c r="K88" s="128">
        <v>1</v>
      </c>
      <c r="L88" s="128">
        <v>1</v>
      </c>
      <c r="M88" s="128">
        <v>1</v>
      </c>
      <c r="N88" s="128">
        <v>1</v>
      </c>
      <c r="O88" s="128">
        <v>1</v>
      </c>
      <c r="P88" s="128">
        <v>1</v>
      </c>
      <c r="Q88" s="128">
        <v>1</v>
      </c>
      <c r="R88" s="128">
        <v>1</v>
      </c>
      <c r="S88" s="128">
        <v>1</v>
      </c>
      <c r="T88" s="128">
        <v>1</v>
      </c>
      <c r="U88" s="128">
        <v>1</v>
      </c>
      <c r="V88" s="128">
        <v>1</v>
      </c>
      <c r="W88" s="128">
        <v>1</v>
      </c>
      <c r="X88" s="128">
        <v>1</v>
      </c>
      <c r="Y88" s="128">
        <v>1</v>
      </c>
      <c r="Z88" s="128">
        <v>1</v>
      </c>
      <c r="AA88" s="128">
        <v>1</v>
      </c>
      <c r="AB88" s="128">
        <v>1</v>
      </c>
      <c r="AC88" s="128">
        <v>1</v>
      </c>
      <c r="AD88" s="128">
        <v>1</v>
      </c>
      <c r="AE88" s="128">
        <v>1</v>
      </c>
      <c r="AF88" s="128">
        <v>1</v>
      </c>
      <c r="AG88" s="128">
        <v>1</v>
      </c>
      <c r="AH88" s="128">
        <v>1</v>
      </c>
      <c r="AI88" s="128">
        <v>1</v>
      </c>
      <c r="AJ88" s="128">
        <v>1</v>
      </c>
      <c r="AK88" s="128">
        <v>1</v>
      </c>
      <c r="AL88" s="128">
        <v>1</v>
      </c>
      <c r="AM88" s="128">
        <v>1</v>
      </c>
      <c r="AN88" s="128">
        <v>1</v>
      </c>
      <c r="AO88" s="128">
        <v>1</v>
      </c>
      <c r="AP88" s="128">
        <v>1</v>
      </c>
      <c r="AQ88" s="128">
        <v>1</v>
      </c>
      <c r="AR88" s="128">
        <v>1</v>
      </c>
      <c r="AS88" s="128">
        <v>1</v>
      </c>
      <c r="AT88" s="128">
        <v>1</v>
      </c>
      <c r="AU88" s="128">
        <v>1</v>
      </c>
      <c r="AV88" s="128">
        <v>1</v>
      </c>
      <c r="AW88" s="128">
        <v>1</v>
      </c>
      <c r="AX88" s="128">
        <v>1</v>
      </c>
      <c r="AY88" s="128">
        <v>1</v>
      </c>
      <c r="AZ88" s="128">
        <v>1</v>
      </c>
      <c r="BA88" s="128">
        <v>1</v>
      </c>
      <c r="BB88" s="128">
        <v>1</v>
      </c>
      <c r="BC88" s="128">
        <v>1</v>
      </c>
      <c r="BD88" s="128">
        <v>1</v>
      </c>
      <c r="BE88" s="128">
        <v>1</v>
      </c>
      <c r="BF88" s="128">
        <v>1</v>
      </c>
      <c r="BG88" s="128">
        <v>1</v>
      </c>
      <c r="BH88" s="128">
        <v>1</v>
      </c>
      <c r="BI88" s="128">
        <v>1</v>
      </c>
      <c r="BJ88" s="128">
        <v>1</v>
      </c>
      <c r="BK88" s="128">
        <v>1</v>
      </c>
      <c r="BL88" s="128">
        <v>1</v>
      </c>
      <c r="BM88" s="128">
        <v>1</v>
      </c>
      <c r="BN88" s="128">
        <v>1</v>
      </c>
      <c r="BO88" s="128">
        <v>1</v>
      </c>
      <c r="BP88" s="128">
        <v>1</v>
      </c>
      <c r="BQ88" s="128">
        <v>1</v>
      </c>
      <c r="BR88" s="128">
        <v>1</v>
      </c>
      <c r="BS88" s="128">
        <v>1</v>
      </c>
      <c r="BT88" s="128">
        <v>1</v>
      </c>
      <c r="BU88" s="128">
        <v>1</v>
      </c>
      <c r="BV88" s="128">
        <v>1</v>
      </c>
      <c r="BW88" s="128">
        <v>1</v>
      </c>
      <c r="BX88" s="128">
        <v>1</v>
      </c>
      <c r="BY88" s="128">
        <v>1</v>
      </c>
      <c r="BZ88" s="128">
        <v>1</v>
      </c>
      <c r="CA88" s="128">
        <v>1</v>
      </c>
      <c r="CB88" s="128">
        <v>1</v>
      </c>
      <c r="CC88" s="128">
        <v>1</v>
      </c>
      <c r="CD88" s="128">
        <v>1</v>
      </c>
      <c r="CE88" s="128">
        <v>1</v>
      </c>
      <c r="CF88" s="128">
        <v>1</v>
      </c>
      <c r="CG88" s="128">
        <v>1</v>
      </c>
      <c r="CH88" s="128">
        <v>1</v>
      </c>
      <c r="CI88" s="128">
        <v>1</v>
      </c>
      <c r="CJ88" s="128">
        <v>1</v>
      </c>
      <c r="CK88" s="128">
        <v>1</v>
      </c>
      <c r="CL88" s="128">
        <v>1</v>
      </c>
      <c r="CM88" s="128">
        <v>1</v>
      </c>
      <c r="CN88" s="128">
        <v>1</v>
      </c>
      <c r="CO88" s="128">
        <v>1</v>
      </c>
      <c r="CP88" s="128">
        <v>1</v>
      </c>
      <c r="CQ88" s="128">
        <v>1</v>
      </c>
      <c r="CR88" s="128">
        <v>1</v>
      </c>
      <c r="CS88" s="128">
        <v>1</v>
      </c>
      <c r="CT88" s="128">
        <v>1</v>
      </c>
      <c r="CU88" s="128">
        <v>1</v>
      </c>
      <c r="CV88" s="128">
        <v>1</v>
      </c>
      <c r="CW88" s="128">
        <v>1</v>
      </c>
      <c r="CX88" s="128">
        <v>1</v>
      </c>
      <c r="CZ88" s="126">
        <f>SUMIF(MatrixF0[[1]:[2]],MatrixF0[[#This Row],[Столбец1]])/MatrixF0[[#This Row],[Столбец1]]</f>
        <v>0</v>
      </c>
    </row>
    <row r="89" spans="1:104" ht="21" customHeight="1" x14ac:dyDescent="0.25">
      <c r="A89" s="127">
        <v>1.86</v>
      </c>
      <c r="B89" s="128">
        <v>1</v>
      </c>
      <c r="C89" s="128">
        <v>1</v>
      </c>
      <c r="D89" s="128">
        <v>1</v>
      </c>
      <c r="E89" s="128">
        <v>1</v>
      </c>
      <c r="F89" s="128">
        <v>1</v>
      </c>
      <c r="G89" s="128">
        <v>1</v>
      </c>
      <c r="H89" s="128">
        <v>1</v>
      </c>
      <c r="I89" s="128">
        <v>1</v>
      </c>
      <c r="J89" s="128">
        <v>1</v>
      </c>
      <c r="K89" s="128">
        <v>1</v>
      </c>
      <c r="L89" s="128">
        <v>1</v>
      </c>
      <c r="M89" s="128">
        <v>1</v>
      </c>
      <c r="N89" s="128">
        <v>1</v>
      </c>
      <c r="O89" s="128">
        <v>1</v>
      </c>
      <c r="P89" s="128">
        <v>1</v>
      </c>
      <c r="Q89" s="128">
        <v>1</v>
      </c>
      <c r="R89" s="128">
        <v>1</v>
      </c>
      <c r="S89" s="128">
        <v>1</v>
      </c>
      <c r="T89" s="128">
        <v>1</v>
      </c>
      <c r="U89" s="128">
        <v>1</v>
      </c>
      <c r="V89" s="128">
        <v>1</v>
      </c>
      <c r="W89" s="128">
        <v>1</v>
      </c>
      <c r="X89" s="128">
        <v>1</v>
      </c>
      <c r="Y89" s="128">
        <v>1</v>
      </c>
      <c r="Z89" s="128">
        <v>1</v>
      </c>
      <c r="AA89" s="128">
        <v>1</v>
      </c>
      <c r="AB89" s="128">
        <v>1</v>
      </c>
      <c r="AC89" s="128">
        <v>1</v>
      </c>
      <c r="AD89" s="128">
        <v>1</v>
      </c>
      <c r="AE89" s="128">
        <v>1</v>
      </c>
      <c r="AF89" s="128">
        <v>1</v>
      </c>
      <c r="AG89" s="128">
        <v>1</v>
      </c>
      <c r="AH89" s="128">
        <v>1</v>
      </c>
      <c r="AI89" s="128">
        <v>1</v>
      </c>
      <c r="AJ89" s="128">
        <v>1</v>
      </c>
      <c r="AK89" s="128">
        <v>1</v>
      </c>
      <c r="AL89" s="128">
        <v>1</v>
      </c>
      <c r="AM89" s="128">
        <v>1</v>
      </c>
      <c r="AN89" s="128">
        <v>1</v>
      </c>
      <c r="AO89" s="128">
        <v>1</v>
      </c>
      <c r="AP89" s="128">
        <v>1</v>
      </c>
      <c r="AQ89" s="128">
        <v>1</v>
      </c>
      <c r="AR89" s="128">
        <v>1</v>
      </c>
      <c r="AS89" s="128">
        <v>1</v>
      </c>
      <c r="AT89" s="128">
        <v>1</v>
      </c>
      <c r="AU89" s="128">
        <v>1</v>
      </c>
      <c r="AV89" s="128">
        <v>1</v>
      </c>
      <c r="AW89" s="128">
        <v>1</v>
      </c>
      <c r="AX89" s="128">
        <v>1</v>
      </c>
      <c r="AY89" s="128">
        <v>1</v>
      </c>
      <c r="AZ89" s="128">
        <v>1</v>
      </c>
      <c r="BA89" s="128">
        <v>1</v>
      </c>
      <c r="BB89" s="128">
        <v>1</v>
      </c>
      <c r="BC89" s="128">
        <v>1</v>
      </c>
      <c r="BD89" s="128">
        <v>1</v>
      </c>
      <c r="BE89" s="128">
        <v>1</v>
      </c>
      <c r="BF89" s="128">
        <v>1</v>
      </c>
      <c r="BG89" s="128">
        <v>1</v>
      </c>
      <c r="BH89" s="128">
        <v>1</v>
      </c>
      <c r="BI89" s="128">
        <v>1</v>
      </c>
      <c r="BJ89" s="128">
        <v>1</v>
      </c>
      <c r="BK89" s="128">
        <v>1</v>
      </c>
      <c r="BL89" s="128">
        <v>1</v>
      </c>
      <c r="BM89" s="128">
        <v>1</v>
      </c>
      <c r="BN89" s="128">
        <v>1</v>
      </c>
      <c r="BO89" s="128">
        <v>1</v>
      </c>
      <c r="BP89" s="128">
        <v>1</v>
      </c>
      <c r="BQ89" s="128">
        <v>1</v>
      </c>
      <c r="BR89" s="128">
        <v>1</v>
      </c>
      <c r="BS89" s="128">
        <v>1</v>
      </c>
      <c r="BT89" s="128">
        <v>1</v>
      </c>
      <c r="BU89" s="128">
        <v>1</v>
      </c>
      <c r="BV89" s="128">
        <v>1</v>
      </c>
      <c r="BW89" s="128">
        <v>1</v>
      </c>
      <c r="BX89" s="128">
        <v>1</v>
      </c>
      <c r="BY89" s="128">
        <v>1</v>
      </c>
      <c r="BZ89" s="128">
        <v>1</v>
      </c>
      <c r="CA89" s="128">
        <v>1</v>
      </c>
      <c r="CB89" s="128">
        <v>1</v>
      </c>
      <c r="CC89" s="128">
        <v>1</v>
      </c>
      <c r="CD89" s="128">
        <v>1</v>
      </c>
      <c r="CE89" s="128">
        <v>1</v>
      </c>
      <c r="CF89" s="128">
        <v>1</v>
      </c>
      <c r="CG89" s="128">
        <v>1</v>
      </c>
      <c r="CH89" s="128">
        <v>1</v>
      </c>
      <c r="CI89" s="128">
        <v>1</v>
      </c>
      <c r="CJ89" s="128">
        <v>1</v>
      </c>
      <c r="CK89" s="128">
        <v>1</v>
      </c>
      <c r="CL89" s="128">
        <v>1</v>
      </c>
      <c r="CM89" s="128">
        <v>1</v>
      </c>
      <c r="CN89" s="128">
        <v>1</v>
      </c>
      <c r="CO89" s="128">
        <v>1</v>
      </c>
      <c r="CP89" s="128">
        <v>1</v>
      </c>
      <c r="CQ89" s="128">
        <v>1</v>
      </c>
      <c r="CR89" s="128">
        <v>1</v>
      </c>
      <c r="CS89" s="128">
        <v>1</v>
      </c>
      <c r="CT89" s="128">
        <v>1</v>
      </c>
      <c r="CU89" s="128">
        <v>1</v>
      </c>
      <c r="CV89" s="128">
        <v>1</v>
      </c>
      <c r="CW89" s="128">
        <v>1</v>
      </c>
      <c r="CX89" s="128">
        <v>1</v>
      </c>
      <c r="CZ89" s="126">
        <f>SUMIF(MatrixF0[[1]:[2]],MatrixF0[[#This Row],[Столбец1]])/MatrixF0[[#This Row],[Столбец1]]</f>
        <v>0</v>
      </c>
    </row>
    <row r="90" spans="1:104" ht="21" customHeight="1" x14ac:dyDescent="0.25">
      <c r="A90" s="127">
        <v>1.87</v>
      </c>
      <c r="B90" s="128">
        <v>1</v>
      </c>
      <c r="C90" s="128">
        <v>1</v>
      </c>
      <c r="D90" s="128">
        <v>1</v>
      </c>
      <c r="E90" s="128">
        <v>1</v>
      </c>
      <c r="F90" s="128">
        <v>1</v>
      </c>
      <c r="G90" s="128">
        <v>1</v>
      </c>
      <c r="H90" s="128">
        <v>1</v>
      </c>
      <c r="I90" s="128">
        <v>1</v>
      </c>
      <c r="J90" s="128">
        <v>1</v>
      </c>
      <c r="K90" s="128">
        <v>1</v>
      </c>
      <c r="L90" s="128">
        <v>1</v>
      </c>
      <c r="M90" s="128">
        <v>1</v>
      </c>
      <c r="N90" s="128">
        <v>1</v>
      </c>
      <c r="O90" s="128">
        <v>1</v>
      </c>
      <c r="P90" s="128">
        <v>1</v>
      </c>
      <c r="Q90" s="128">
        <v>1</v>
      </c>
      <c r="R90" s="128">
        <v>1</v>
      </c>
      <c r="S90" s="128">
        <v>1</v>
      </c>
      <c r="T90" s="128">
        <v>1</v>
      </c>
      <c r="U90" s="128">
        <v>1</v>
      </c>
      <c r="V90" s="128">
        <v>1</v>
      </c>
      <c r="W90" s="128">
        <v>1</v>
      </c>
      <c r="X90" s="128">
        <v>1</v>
      </c>
      <c r="Y90" s="128">
        <v>1</v>
      </c>
      <c r="Z90" s="128">
        <v>1</v>
      </c>
      <c r="AA90" s="128">
        <v>1</v>
      </c>
      <c r="AB90" s="128">
        <v>1</v>
      </c>
      <c r="AC90" s="128">
        <v>1</v>
      </c>
      <c r="AD90" s="128">
        <v>1</v>
      </c>
      <c r="AE90" s="128">
        <v>1</v>
      </c>
      <c r="AF90" s="128">
        <v>1</v>
      </c>
      <c r="AG90" s="128">
        <v>1</v>
      </c>
      <c r="AH90" s="128">
        <v>1</v>
      </c>
      <c r="AI90" s="128">
        <v>1</v>
      </c>
      <c r="AJ90" s="128">
        <v>1</v>
      </c>
      <c r="AK90" s="128">
        <v>1</v>
      </c>
      <c r="AL90" s="128">
        <v>1</v>
      </c>
      <c r="AM90" s="128">
        <v>1</v>
      </c>
      <c r="AN90" s="128">
        <v>1</v>
      </c>
      <c r="AO90" s="128">
        <v>1</v>
      </c>
      <c r="AP90" s="128">
        <v>1</v>
      </c>
      <c r="AQ90" s="128">
        <v>1</v>
      </c>
      <c r="AR90" s="128">
        <v>1</v>
      </c>
      <c r="AS90" s="128">
        <v>1</v>
      </c>
      <c r="AT90" s="128">
        <v>1</v>
      </c>
      <c r="AU90" s="128">
        <v>1</v>
      </c>
      <c r="AV90" s="128">
        <v>1</v>
      </c>
      <c r="AW90" s="128">
        <v>1</v>
      </c>
      <c r="AX90" s="128">
        <v>1</v>
      </c>
      <c r="AY90" s="128">
        <v>1</v>
      </c>
      <c r="AZ90" s="128">
        <v>1</v>
      </c>
      <c r="BA90" s="128">
        <v>1</v>
      </c>
      <c r="BB90" s="128">
        <v>1</v>
      </c>
      <c r="BC90" s="128">
        <v>1</v>
      </c>
      <c r="BD90" s="128">
        <v>1</v>
      </c>
      <c r="BE90" s="128">
        <v>1</v>
      </c>
      <c r="BF90" s="128">
        <v>1</v>
      </c>
      <c r="BG90" s="128">
        <v>1</v>
      </c>
      <c r="BH90" s="128">
        <v>1</v>
      </c>
      <c r="BI90" s="128">
        <v>1</v>
      </c>
      <c r="BJ90" s="128">
        <v>1</v>
      </c>
      <c r="BK90" s="128">
        <v>1</v>
      </c>
      <c r="BL90" s="128">
        <v>1</v>
      </c>
      <c r="BM90" s="128">
        <v>1</v>
      </c>
      <c r="BN90" s="128">
        <v>1</v>
      </c>
      <c r="BO90" s="128">
        <v>1</v>
      </c>
      <c r="BP90" s="128">
        <v>1</v>
      </c>
      <c r="BQ90" s="128">
        <v>1</v>
      </c>
      <c r="BR90" s="128">
        <v>1</v>
      </c>
      <c r="BS90" s="128">
        <v>1</v>
      </c>
      <c r="BT90" s="128">
        <v>1</v>
      </c>
      <c r="BU90" s="128">
        <v>1</v>
      </c>
      <c r="BV90" s="128">
        <v>1</v>
      </c>
      <c r="BW90" s="128">
        <v>1</v>
      </c>
      <c r="BX90" s="128">
        <v>1</v>
      </c>
      <c r="BY90" s="128">
        <v>1</v>
      </c>
      <c r="BZ90" s="128">
        <v>1</v>
      </c>
      <c r="CA90" s="128">
        <v>1</v>
      </c>
      <c r="CB90" s="128">
        <v>1</v>
      </c>
      <c r="CC90" s="128">
        <v>1</v>
      </c>
      <c r="CD90" s="128">
        <v>1</v>
      </c>
      <c r="CE90" s="128">
        <v>1</v>
      </c>
      <c r="CF90" s="128">
        <v>1</v>
      </c>
      <c r="CG90" s="128">
        <v>1</v>
      </c>
      <c r="CH90" s="128">
        <v>1</v>
      </c>
      <c r="CI90" s="128">
        <v>1</v>
      </c>
      <c r="CJ90" s="128">
        <v>1</v>
      </c>
      <c r="CK90" s="128">
        <v>1</v>
      </c>
      <c r="CL90" s="128">
        <v>1</v>
      </c>
      <c r="CM90" s="128">
        <v>1</v>
      </c>
      <c r="CN90" s="128">
        <v>1</v>
      </c>
      <c r="CO90" s="128">
        <v>1</v>
      </c>
      <c r="CP90" s="128">
        <v>1</v>
      </c>
      <c r="CQ90" s="128">
        <v>1</v>
      </c>
      <c r="CR90" s="128">
        <v>1</v>
      </c>
      <c r="CS90" s="128">
        <v>1</v>
      </c>
      <c r="CT90" s="128">
        <v>1</v>
      </c>
      <c r="CU90" s="128">
        <v>1</v>
      </c>
      <c r="CV90" s="128">
        <v>1</v>
      </c>
      <c r="CW90" s="128">
        <v>1</v>
      </c>
      <c r="CX90" s="128">
        <v>1</v>
      </c>
      <c r="CZ90" s="126">
        <f>SUMIF(MatrixF0[[1]:[2]],MatrixF0[[#This Row],[Столбец1]])/MatrixF0[[#This Row],[Столбец1]]</f>
        <v>0</v>
      </c>
    </row>
    <row r="91" spans="1:104" ht="21" customHeight="1" x14ac:dyDescent="0.25">
      <c r="A91" s="127">
        <v>1.88</v>
      </c>
      <c r="B91" s="128">
        <v>1</v>
      </c>
      <c r="C91" s="128">
        <v>1</v>
      </c>
      <c r="D91" s="128">
        <v>1</v>
      </c>
      <c r="E91" s="128">
        <v>1</v>
      </c>
      <c r="F91" s="128">
        <v>1</v>
      </c>
      <c r="G91" s="128">
        <v>1</v>
      </c>
      <c r="H91" s="128">
        <v>1</v>
      </c>
      <c r="I91" s="128">
        <v>1</v>
      </c>
      <c r="J91" s="128">
        <v>1</v>
      </c>
      <c r="K91" s="128">
        <v>1</v>
      </c>
      <c r="L91" s="128">
        <v>1</v>
      </c>
      <c r="M91" s="128">
        <v>1</v>
      </c>
      <c r="N91" s="128">
        <v>1</v>
      </c>
      <c r="O91" s="128">
        <v>1</v>
      </c>
      <c r="P91" s="128">
        <v>1</v>
      </c>
      <c r="Q91" s="128">
        <v>1</v>
      </c>
      <c r="R91" s="128">
        <v>1</v>
      </c>
      <c r="S91" s="128">
        <v>1</v>
      </c>
      <c r="T91" s="128">
        <v>1</v>
      </c>
      <c r="U91" s="128">
        <v>1</v>
      </c>
      <c r="V91" s="128">
        <v>1</v>
      </c>
      <c r="W91" s="128">
        <v>1</v>
      </c>
      <c r="X91" s="128">
        <v>1</v>
      </c>
      <c r="Y91" s="128">
        <v>1</v>
      </c>
      <c r="Z91" s="128">
        <v>1</v>
      </c>
      <c r="AA91" s="128">
        <v>1</v>
      </c>
      <c r="AB91" s="128">
        <v>1</v>
      </c>
      <c r="AC91" s="128">
        <v>1</v>
      </c>
      <c r="AD91" s="128">
        <v>1</v>
      </c>
      <c r="AE91" s="128">
        <v>1</v>
      </c>
      <c r="AF91" s="128">
        <v>1</v>
      </c>
      <c r="AG91" s="128">
        <v>1</v>
      </c>
      <c r="AH91" s="128">
        <v>1</v>
      </c>
      <c r="AI91" s="128">
        <v>1</v>
      </c>
      <c r="AJ91" s="128">
        <v>1</v>
      </c>
      <c r="AK91" s="128">
        <v>1</v>
      </c>
      <c r="AL91" s="128">
        <v>1</v>
      </c>
      <c r="AM91" s="128">
        <v>1</v>
      </c>
      <c r="AN91" s="128">
        <v>1</v>
      </c>
      <c r="AO91" s="128">
        <v>1</v>
      </c>
      <c r="AP91" s="128">
        <v>1</v>
      </c>
      <c r="AQ91" s="128">
        <v>1</v>
      </c>
      <c r="AR91" s="128">
        <v>1</v>
      </c>
      <c r="AS91" s="128">
        <v>1</v>
      </c>
      <c r="AT91" s="128">
        <v>1</v>
      </c>
      <c r="AU91" s="128">
        <v>1</v>
      </c>
      <c r="AV91" s="128">
        <v>1</v>
      </c>
      <c r="AW91" s="128">
        <v>1</v>
      </c>
      <c r="AX91" s="128">
        <v>1</v>
      </c>
      <c r="AY91" s="128">
        <v>1</v>
      </c>
      <c r="AZ91" s="128">
        <v>1</v>
      </c>
      <c r="BA91" s="128">
        <v>1</v>
      </c>
      <c r="BB91" s="128">
        <v>1</v>
      </c>
      <c r="BC91" s="128">
        <v>1</v>
      </c>
      <c r="BD91" s="128">
        <v>1</v>
      </c>
      <c r="BE91" s="128">
        <v>1</v>
      </c>
      <c r="BF91" s="128">
        <v>1</v>
      </c>
      <c r="BG91" s="128">
        <v>1</v>
      </c>
      <c r="BH91" s="128">
        <v>1</v>
      </c>
      <c r="BI91" s="128">
        <v>1</v>
      </c>
      <c r="BJ91" s="128">
        <v>1</v>
      </c>
      <c r="BK91" s="128">
        <v>1</v>
      </c>
      <c r="BL91" s="128">
        <v>1</v>
      </c>
      <c r="BM91" s="128">
        <v>1</v>
      </c>
      <c r="BN91" s="128">
        <v>1</v>
      </c>
      <c r="BO91" s="128">
        <v>1</v>
      </c>
      <c r="BP91" s="128">
        <v>1</v>
      </c>
      <c r="BQ91" s="128">
        <v>1</v>
      </c>
      <c r="BR91" s="128">
        <v>1</v>
      </c>
      <c r="BS91" s="128">
        <v>1</v>
      </c>
      <c r="BT91" s="128">
        <v>1</v>
      </c>
      <c r="BU91" s="128">
        <v>1</v>
      </c>
      <c r="BV91" s="128">
        <v>1</v>
      </c>
      <c r="BW91" s="128">
        <v>1</v>
      </c>
      <c r="BX91" s="128">
        <v>1</v>
      </c>
      <c r="BY91" s="128">
        <v>1</v>
      </c>
      <c r="BZ91" s="128">
        <v>1</v>
      </c>
      <c r="CA91" s="128">
        <v>1</v>
      </c>
      <c r="CB91" s="128">
        <v>1</v>
      </c>
      <c r="CC91" s="128">
        <v>1</v>
      </c>
      <c r="CD91" s="128">
        <v>1</v>
      </c>
      <c r="CE91" s="128">
        <v>1</v>
      </c>
      <c r="CF91" s="128">
        <v>1</v>
      </c>
      <c r="CG91" s="128">
        <v>1</v>
      </c>
      <c r="CH91" s="128">
        <v>1</v>
      </c>
      <c r="CI91" s="128">
        <v>1</v>
      </c>
      <c r="CJ91" s="128">
        <v>1</v>
      </c>
      <c r="CK91" s="128">
        <v>1</v>
      </c>
      <c r="CL91" s="128">
        <v>1</v>
      </c>
      <c r="CM91" s="128">
        <v>1</v>
      </c>
      <c r="CN91" s="128">
        <v>1</v>
      </c>
      <c r="CO91" s="128">
        <v>1</v>
      </c>
      <c r="CP91" s="128">
        <v>1</v>
      </c>
      <c r="CQ91" s="128">
        <v>1</v>
      </c>
      <c r="CR91" s="128">
        <v>1</v>
      </c>
      <c r="CS91" s="128">
        <v>1</v>
      </c>
      <c r="CT91" s="128">
        <v>1</v>
      </c>
      <c r="CU91" s="128">
        <v>1</v>
      </c>
      <c r="CV91" s="128">
        <v>1</v>
      </c>
      <c r="CW91" s="128">
        <v>1</v>
      </c>
      <c r="CX91" s="128">
        <v>1</v>
      </c>
      <c r="CZ91" s="126">
        <f>SUMIF(MatrixF0[[1]:[2]],MatrixF0[[#This Row],[Столбец1]])/MatrixF0[[#This Row],[Столбец1]]</f>
        <v>0</v>
      </c>
    </row>
    <row r="92" spans="1:104" ht="21" customHeight="1" x14ac:dyDescent="0.25">
      <c r="A92" s="127">
        <v>1.89</v>
      </c>
      <c r="B92" s="128">
        <v>1</v>
      </c>
      <c r="C92" s="128">
        <v>1</v>
      </c>
      <c r="D92" s="128">
        <v>1</v>
      </c>
      <c r="E92" s="128">
        <v>1</v>
      </c>
      <c r="F92" s="128">
        <v>1</v>
      </c>
      <c r="G92" s="128">
        <v>1</v>
      </c>
      <c r="H92" s="128">
        <v>1</v>
      </c>
      <c r="I92" s="128">
        <v>1</v>
      </c>
      <c r="J92" s="128">
        <v>1</v>
      </c>
      <c r="K92" s="128">
        <v>1</v>
      </c>
      <c r="L92" s="128">
        <v>1</v>
      </c>
      <c r="M92" s="128">
        <v>1</v>
      </c>
      <c r="N92" s="128">
        <v>1</v>
      </c>
      <c r="O92" s="128">
        <v>1</v>
      </c>
      <c r="P92" s="128">
        <v>1</v>
      </c>
      <c r="Q92" s="128">
        <v>1</v>
      </c>
      <c r="R92" s="128">
        <v>1</v>
      </c>
      <c r="S92" s="128">
        <v>1</v>
      </c>
      <c r="T92" s="128">
        <v>1</v>
      </c>
      <c r="U92" s="128">
        <v>1</v>
      </c>
      <c r="V92" s="128">
        <v>1</v>
      </c>
      <c r="W92" s="128">
        <v>1</v>
      </c>
      <c r="X92" s="128">
        <v>1</v>
      </c>
      <c r="Y92" s="128">
        <v>1</v>
      </c>
      <c r="Z92" s="128">
        <v>1</v>
      </c>
      <c r="AA92" s="128">
        <v>1</v>
      </c>
      <c r="AB92" s="128">
        <v>1</v>
      </c>
      <c r="AC92" s="128">
        <v>1</v>
      </c>
      <c r="AD92" s="128">
        <v>1</v>
      </c>
      <c r="AE92" s="128">
        <v>1</v>
      </c>
      <c r="AF92" s="128">
        <v>1</v>
      </c>
      <c r="AG92" s="128">
        <v>1</v>
      </c>
      <c r="AH92" s="128">
        <v>1</v>
      </c>
      <c r="AI92" s="128">
        <v>1</v>
      </c>
      <c r="AJ92" s="128">
        <v>1</v>
      </c>
      <c r="AK92" s="128">
        <v>1</v>
      </c>
      <c r="AL92" s="128">
        <v>1</v>
      </c>
      <c r="AM92" s="128">
        <v>1</v>
      </c>
      <c r="AN92" s="128">
        <v>1</v>
      </c>
      <c r="AO92" s="128">
        <v>1</v>
      </c>
      <c r="AP92" s="128">
        <v>1</v>
      </c>
      <c r="AQ92" s="128">
        <v>1</v>
      </c>
      <c r="AR92" s="128">
        <v>1</v>
      </c>
      <c r="AS92" s="128">
        <v>1</v>
      </c>
      <c r="AT92" s="128">
        <v>1</v>
      </c>
      <c r="AU92" s="128">
        <v>1</v>
      </c>
      <c r="AV92" s="128">
        <v>1</v>
      </c>
      <c r="AW92" s="128">
        <v>1</v>
      </c>
      <c r="AX92" s="128">
        <v>1</v>
      </c>
      <c r="AY92" s="128">
        <v>1</v>
      </c>
      <c r="AZ92" s="128">
        <v>1</v>
      </c>
      <c r="BA92" s="128">
        <v>1</v>
      </c>
      <c r="BB92" s="128">
        <v>1</v>
      </c>
      <c r="BC92" s="128">
        <v>1</v>
      </c>
      <c r="BD92" s="128">
        <v>1</v>
      </c>
      <c r="BE92" s="128">
        <v>1</v>
      </c>
      <c r="BF92" s="128">
        <v>1</v>
      </c>
      <c r="BG92" s="128">
        <v>1</v>
      </c>
      <c r="BH92" s="128">
        <v>1</v>
      </c>
      <c r="BI92" s="128">
        <v>1</v>
      </c>
      <c r="BJ92" s="128">
        <v>1</v>
      </c>
      <c r="BK92" s="128">
        <v>1</v>
      </c>
      <c r="BL92" s="128">
        <v>1</v>
      </c>
      <c r="BM92" s="128">
        <v>1</v>
      </c>
      <c r="BN92" s="128">
        <v>1</v>
      </c>
      <c r="BO92" s="128">
        <v>1</v>
      </c>
      <c r="BP92" s="128">
        <v>1</v>
      </c>
      <c r="BQ92" s="128">
        <v>1</v>
      </c>
      <c r="BR92" s="128">
        <v>1</v>
      </c>
      <c r="BS92" s="128">
        <v>1</v>
      </c>
      <c r="BT92" s="128">
        <v>1</v>
      </c>
      <c r="BU92" s="128">
        <v>1</v>
      </c>
      <c r="BV92" s="128">
        <v>1</v>
      </c>
      <c r="BW92" s="128">
        <v>1</v>
      </c>
      <c r="BX92" s="128">
        <v>1</v>
      </c>
      <c r="BY92" s="128">
        <v>1</v>
      </c>
      <c r="BZ92" s="128">
        <v>1</v>
      </c>
      <c r="CA92" s="128">
        <v>1</v>
      </c>
      <c r="CB92" s="128">
        <v>1</v>
      </c>
      <c r="CC92" s="128">
        <v>1</v>
      </c>
      <c r="CD92" s="128">
        <v>1</v>
      </c>
      <c r="CE92" s="128">
        <v>1</v>
      </c>
      <c r="CF92" s="128">
        <v>1</v>
      </c>
      <c r="CG92" s="128">
        <v>1</v>
      </c>
      <c r="CH92" s="128">
        <v>1</v>
      </c>
      <c r="CI92" s="128">
        <v>1</v>
      </c>
      <c r="CJ92" s="128">
        <v>1</v>
      </c>
      <c r="CK92" s="128">
        <v>1</v>
      </c>
      <c r="CL92" s="128">
        <v>1</v>
      </c>
      <c r="CM92" s="128">
        <v>1</v>
      </c>
      <c r="CN92" s="128">
        <v>1</v>
      </c>
      <c r="CO92" s="128">
        <v>1</v>
      </c>
      <c r="CP92" s="128">
        <v>1</v>
      </c>
      <c r="CQ92" s="128">
        <v>1</v>
      </c>
      <c r="CR92" s="128">
        <v>1</v>
      </c>
      <c r="CS92" s="128">
        <v>1</v>
      </c>
      <c r="CT92" s="128">
        <v>1</v>
      </c>
      <c r="CU92" s="128">
        <v>1</v>
      </c>
      <c r="CV92" s="128">
        <v>1</v>
      </c>
      <c r="CW92" s="128">
        <v>1</v>
      </c>
      <c r="CX92" s="128">
        <v>1</v>
      </c>
      <c r="CZ92" s="126">
        <f>SUMIF(MatrixF0[[1]:[2]],MatrixF0[[#This Row],[Столбец1]])/MatrixF0[[#This Row],[Столбец1]]</f>
        <v>0</v>
      </c>
    </row>
    <row r="93" spans="1:104" ht="21" customHeight="1" x14ac:dyDescent="0.25">
      <c r="A93" s="127">
        <v>1.9</v>
      </c>
      <c r="B93" s="128">
        <v>1</v>
      </c>
      <c r="C93" s="128">
        <v>1</v>
      </c>
      <c r="D93" s="128">
        <v>1</v>
      </c>
      <c r="E93" s="128">
        <v>1</v>
      </c>
      <c r="F93" s="128">
        <v>1</v>
      </c>
      <c r="G93" s="128">
        <v>1</v>
      </c>
      <c r="H93" s="128">
        <v>1</v>
      </c>
      <c r="I93" s="128">
        <v>1</v>
      </c>
      <c r="J93" s="128">
        <v>1</v>
      </c>
      <c r="K93" s="128">
        <v>1</v>
      </c>
      <c r="L93" s="128">
        <v>1</v>
      </c>
      <c r="M93" s="128">
        <v>1</v>
      </c>
      <c r="N93" s="128">
        <v>1</v>
      </c>
      <c r="O93" s="128">
        <v>1</v>
      </c>
      <c r="P93" s="128">
        <v>1</v>
      </c>
      <c r="Q93" s="128">
        <v>1</v>
      </c>
      <c r="R93" s="128">
        <v>1</v>
      </c>
      <c r="S93" s="128">
        <v>1</v>
      </c>
      <c r="T93" s="128">
        <v>1</v>
      </c>
      <c r="U93" s="128">
        <v>1</v>
      </c>
      <c r="V93" s="128">
        <v>1</v>
      </c>
      <c r="W93" s="128">
        <v>1</v>
      </c>
      <c r="X93" s="128">
        <v>1</v>
      </c>
      <c r="Y93" s="128">
        <v>1</v>
      </c>
      <c r="Z93" s="128">
        <v>1</v>
      </c>
      <c r="AA93" s="128">
        <v>1</v>
      </c>
      <c r="AB93" s="128">
        <v>1</v>
      </c>
      <c r="AC93" s="128">
        <v>1</v>
      </c>
      <c r="AD93" s="128">
        <v>1</v>
      </c>
      <c r="AE93" s="128">
        <v>1</v>
      </c>
      <c r="AF93" s="128">
        <v>1</v>
      </c>
      <c r="AG93" s="128">
        <v>1</v>
      </c>
      <c r="AH93" s="128">
        <v>1</v>
      </c>
      <c r="AI93" s="128">
        <v>1</v>
      </c>
      <c r="AJ93" s="128">
        <v>1</v>
      </c>
      <c r="AK93" s="128">
        <v>1</v>
      </c>
      <c r="AL93" s="128">
        <v>1</v>
      </c>
      <c r="AM93" s="128">
        <v>1</v>
      </c>
      <c r="AN93" s="128">
        <v>1</v>
      </c>
      <c r="AO93" s="128">
        <v>1</v>
      </c>
      <c r="AP93" s="128">
        <v>1</v>
      </c>
      <c r="AQ93" s="128">
        <v>1</v>
      </c>
      <c r="AR93" s="128">
        <v>1</v>
      </c>
      <c r="AS93" s="128">
        <v>1</v>
      </c>
      <c r="AT93" s="128">
        <v>1</v>
      </c>
      <c r="AU93" s="128">
        <v>1</v>
      </c>
      <c r="AV93" s="128">
        <v>1</v>
      </c>
      <c r="AW93" s="128">
        <v>1</v>
      </c>
      <c r="AX93" s="128">
        <v>1</v>
      </c>
      <c r="AY93" s="128">
        <v>1</v>
      </c>
      <c r="AZ93" s="128">
        <v>1</v>
      </c>
      <c r="BA93" s="128">
        <v>1</v>
      </c>
      <c r="BB93" s="128">
        <v>1</v>
      </c>
      <c r="BC93" s="128">
        <v>1</v>
      </c>
      <c r="BD93" s="128">
        <v>1</v>
      </c>
      <c r="BE93" s="128">
        <v>1</v>
      </c>
      <c r="BF93" s="128">
        <v>1</v>
      </c>
      <c r="BG93" s="128">
        <v>1</v>
      </c>
      <c r="BH93" s="128">
        <v>1</v>
      </c>
      <c r="BI93" s="128">
        <v>1</v>
      </c>
      <c r="BJ93" s="128">
        <v>1</v>
      </c>
      <c r="BK93" s="128">
        <v>1</v>
      </c>
      <c r="BL93" s="128">
        <v>1</v>
      </c>
      <c r="BM93" s="128">
        <v>1</v>
      </c>
      <c r="BN93" s="128">
        <v>1</v>
      </c>
      <c r="BO93" s="128">
        <v>1</v>
      </c>
      <c r="BP93" s="128">
        <v>1</v>
      </c>
      <c r="BQ93" s="128">
        <v>1</v>
      </c>
      <c r="BR93" s="128">
        <v>1</v>
      </c>
      <c r="BS93" s="128">
        <v>1</v>
      </c>
      <c r="BT93" s="128">
        <v>1</v>
      </c>
      <c r="BU93" s="128">
        <v>1</v>
      </c>
      <c r="BV93" s="128">
        <v>1</v>
      </c>
      <c r="BW93" s="128">
        <v>1</v>
      </c>
      <c r="BX93" s="128">
        <v>1</v>
      </c>
      <c r="BY93" s="128">
        <v>1</v>
      </c>
      <c r="BZ93" s="128">
        <v>1</v>
      </c>
      <c r="CA93" s="128">
        <v>1</v>
      </c>
      <c r="CB93" s="128">
        <v>1</v>
      </c>
      <c r="CC93" s="128">
        <v>1</v>
      </c>
      <c r="CD93" s="128">
        <v>1</v>
      </c>
      <c r="CE93" s="128">
        <v>1</v>
      </c>
      <c r="CF93" s="128">
        <v>1</v>
      </c>
      <c r="CG93" s="128">
        <v>1</v>
      </c>
      <c r="CH93" s="128">
        <v>1</v>
      </c>
      <c r="CI93" s="128">
        <v>1</v>
      </c>
      <c r="CJ93" s="128">
        <v>1</v>
      </c>
      <c r="CK93" s="128">
        <v>1</v>
      </c>
      <c r="CL93" s="128">
        <v>1</v>
      </c>
      <c r="CM93" s="128">
        <v>1</v>
      </c>
      <c r="CN93" s="128">
        <v>1</v>
      </c>
      <c r="CO93" s="128">
        <v>1</v>
      </c>
      <c r="CP93" s="128">
        <v>1</v>
      </c>
      <c r="CQ93" s="128">
        <v>1</v>
      </c>
      <c r="CR93" s="128">
        <v>1</v>
      </c>
      <c r="CS93" s="128">
        <v>1</v>
      </c>
      <c r="CT93" s="128">
        <v>1</v>
      </c>
      <c r="CU93" s="128">
        <v>1</v>
      </c>
      <c r="CV93" s="128">
        <v>1</v>
      </c>
      <c r="CW93" s="128">
        <v>1</v>
      </c>
      <c r="CX93" s="128">
        <v>1</v>
      </c>
      <c r="CZ93" s="126">
        <f>SUMIF(MatrixF0[[1]:[2]],MatrixF0[[#This Row],[Столбец1]])/MatrixF0[[#This Row],[Столбец1]]</f>
        <v>0</v>
      </c>
    </row>
    <row r="94" spans="1:104" ht="21" customHeight="1" x14ac:dyDescent="0.25">
      <c r="A94" s="127">
        <v>1.91</v>
      </c>
      <c r="B94" s="128">
        <v>1</v>
      </c>
      <c r="C94" s="128">
        <v>1</v>
      </c>
      <c r="D94" s="128">
        <v>1</v>
      </c>
      <c r="E94" s="128">
        <v>1</v>
      </c>
      <c r="F94" s="128">
        <v>1</v>
      </c>
      <c r="G94" s="128">
        <v>1</v>
      </c>
      <c r="H94" s="128">
        <v>1</v>
      </c>
      <c r="I94" s="128">
        <v>1</v>
      </c>
      <c r="J94" s="128">
        <v>1</v>
      </c>
      <c r="K94" s="128">
        <v>1</v>
      </c>
      <c r="L94" s="128">
        <v>1</v>
      </c>
      <c r="M94" s="128">
        <v>1</v>
      </c>
      <c r="N94" s="128">
        <v>1</v>
      </c>
      <c r="O94" s="128">
        <v>1</v>
      </c>
      <c r="P94" s="128">
        <v>1</v>
      </c>
      <c r="Q94" s="128">
        <v>1</v>
      </c>
      <c r="R94" s="128">
        <v>1</v>
      </c>
      <c r="S94" s="128">
        <v>1</v>
      </c>
      <c r="T94" s="128">
        <v>1</v>
      </c>
      <c r="U94" s="128">
        <v>1</v>
      </c>
      <c r="V94" s="128">
        <v>1</v>
      </c>
      <c r="W94" s="128">
        <v>1</v>
      </c>
      <c r="X94" s="128">
        <v>1</v>
      </c>
      <c r="Y94" s="128">
        <v>1</v>
      </c>
      <c r="Z94" s="128">
        <v>1</v>
      </c>
      <c r="AA94" s="128">
        <v>1</v>
      </c>
      <c r="AB94" s="128">
        <v>1</v>
      </c>
      <c r="AC94" s="128">
        <v>1</v>
      </c>
      <c r="AD94" s="128">
        <v>1</v>
      </c>
      <c r="AE94" s="128">
        <v>1</v>
      </c>
      <c r="AF94" s="128">
        <v>1</v>
      </c>
      <c r="AG94" s="128">
        <v>1</v>
      </c>
      <c r="AH94" s="128">
        <v>1</v>
      </c>
      <c r="AI94" s="128">
        <v>1</v>
      </c>
      <c r="AJ94" s="128">
        <v>1</v>
      </c>
      <c r="AK94" s="128">
        <v>1</v>
      </c>
      <c r="AL94" s="128">
        <v>1</v>
      </c>
      <c r="AM94" s="128">
        <v>1</v>
      </c>
      <c r="AN94" s="128">
        <v>1</v>
      </c>
      <c r="AO94" s="128">
        <v>1</v>
      </c>
      <c r="AP94" s="128">
        <v>1</v>
      </c>
      <c r="AQ94" s="128">
        <v>1</v>
      </c>
      <c r="AR94" s="128">
        <v>1</v>
      </c>
      <c r="AS94" s="128">
        <v>1</v>
      </c>
      <c r="AT94" s="128">
        <v>1</v>
      </c>
      <c r="AU94" s="128">
        <v>1</v>
      </c>
      <c r="AV94" s="128">
        <v>1</v>
      </c>
      <c r="AW94" s="128">
        <v>1</v>
      </c>
      <c r="AX94" s="128">
        <v>1</v>
      </c>
      <c r="AY94" s="128">
        <v>1</v>
      </c>
      <c r="AZ94" s="128">
        <v>1</v>
      </c>
      <c r="BA94" s="128">
        <v>1</v>
      </c>
      <c r="BB94" s="128">
        <v>1</v>
      </c>
      <c r="BC94" s="128">
        <v>1</v>
      </c>
      <c r="BD94" s="128">
        <v>1</v>
      </c>
      <c r="BE94" s="128">
        <v>1</v>
      </c>
      <c r="BF94" s="128">
        <v>1</v>
      </c>
      <c r="BG94" s="128">
        <v>1</v>
      </c>
      <c r="BH94" s="128">
        <v>1</v>
      </c>
      <c r="BI94" s="128">
        <v>1</v>
      </c>
      <c r="BJ94" s="128">
        <v>1</v>
      </c>
      <c r="BK94" s="128">
        <v>1</v>
      </c>
      <c r="BL94" s="128">
        <v>1</v>
      </c>
      <c r="BM94" s="128">
        <v>1</v>
      </c>
      <c r="BN94" s="128">
        <v>1</v>
      </c>
      <c r="BO94" s="128">
        <v>1</v>
      </c>
      <c r="BP94" s="128">
        <v>1</v>
      </c>
      <c r="BQ94" s="128">
        <v>1</v>
      </c>
      <c r="BR94" s="128">
        <v>1</v>
      </c>
      <c r="BS94" s="128">
        <v>1</v>
      </c>
      <c r="BT94" s="128">
        <v>1</v>
      </c>
      <c r="BU94" s="128">
        <v>1</v>
      </c>
      <c r="BV94" s="128">
        <v>1</v>
      </c>
      <c r="BW94" s="128">
        <v>1</v>
      </c>
      <c r="BX94" s="128">
        <v>1</v>
      </c>
      <c r="BY94" s="128">
        <v>1</v>
      </c>
      <c r="BZ94" s="128">
        <v>1</v>
      </c>
      <c r="CA94" s="128">
        <v>1</v>
      </c>
      <c r="CB94" s="128">
        <v>1</v>
      </c>
      <c r="CC94" s="128">
        <v>1</v>
      </c>
      <c r="CD94" s="128">
        <v>1</v>
      </c>
      <c r="CE94" s="128">
        <v>1</v>
      </c>
      <c r="CF94" s="128">
        <v>1</v>
      </c>
      <c r="CG94" s="128">
        <v>1</v>
      </c>
      <c r="CH94" s="128">
        <v>1</v>
      </c>
      <c r="CI94" s="128">
        <v>1</v>
      </c>
      <c r="CJ94" s="128">
        <v>1</v>
      </c>
      <c r="CK94" s="128">
        <v>1</v>
      </c>
      <c r="CL94" s="128">
        <v>1</v>
      </c>
      <c r="CM94" s="128">
        <v>1</v>
      </c>
      <c r="CN94" s="128">
        <v>1</v>
      </c>
      <c r="CO94" s="128">
        <v>1</v>
      </c>
      <c r="CP94" s="128">
        <v>1</v>
      </c>
      <c r="CQ94" s="128">
        <v>1</v>
      </c>
      <c r="CR94" s="128">
        <v>1</v>
      </c>
      <c r="CS94" s="128">
        <v>1</v>
      </c>
      <c r="CT94" s="128">
        <v>1</v>
      </c>
      <c r="CU94" s="128">
        <v>1</v>
      </c>
      <c r="CV94" s="128">
        <v>1</v>
      </c>
      <c r="CW94" s="128">
        <v>1</v>
      </c>
      <c r="CX94" s="128">
        <v>1</v>
      </c>
      <c r="CZ94" s="126">
        <f>SUMIF(MatrixF0[[1]:[2]],MatrixF0[[#This Row],[Столбец1]])/MatrixF0[[#This Row],[Столбец1]]</f>
        <v>0</v>
      </c>
    </row>
    <row r="95" spans="1:104" ht="21" customHeight="1" x14ac:dyDescent="0.25">
      <c r="A95" s="127">
        <v>1.92</v>
      </c>
      <c r="B95" s="128">
        <v>1</v>
      </c>
      <c r="C95" s="128">
        <v>1</v>
      </c>
      <c r="D95" s="128">
        <v>1</v>
      </c>
      <c r="E95" s="128">
        <v>1</v>
      </c>
      <c r="F95" s="128">
        <v>1</v>
      </c>
      <c r="G95" s="128">
        <v>1</v>
      </c>
      <c r="H95" s="128">
        <v>1</v>
      </c>
      <c r="I95" s="128">
        <v>1</v>
      </c>
      <c r="J95" s="128">
        <v>1</v>
      </c>
      <c r="K95" s="128">
        <v>1</v>
      </c>
      <c r="L95" s="128">
        <v>1</v>
      </c>
      <c r="M95" s="128">
        <v>1</v>
      </c>
      <c r="N95" s="128">
        <v>1</v>
      </c>
      <c r="O95" s="128">
        <v>1</v>
      </c>
      <c r="P95" s="128">
        <v>1</v>
      </c>
      <c r="Q95" s="128">
        <v>1</v>
      </c>
      <c r="R95" s="128">
        <v>1</v>
      </c>
      <c r="S95" s="128">
        <v>1</v>
      </c>
      <c r="T95" s="128">
        <v>1</v>
      </c>
      <c r="U95" s="128">
        <v>1</v>
      </c>
      <c r="V95" s="128">
        <v>1</v>
      </c>
      <c r="W95" s="128">
        <v>1</v>
      </c>
      <c r="X95" s="128">
        <v>1</v>
      </c>
      <c r="Y95" s="128">
        <v>1</v>
      </c>
      <c r="Z95" s="128">
        <v>1</v>
      </c>
      <c r="AA95" s="128">
        <v>1</v>
      </c>
      <c r="AB95" s="128">
        <v>1</v>
      </c>
      <c r="AC95" s="128">
        <v>1</v>
      </c>
      <c r="AD95" s="128">
        <v>1</v>
      </c>
      <c r="AE95" s="128">
        <v>1</v>
      </c>
      <c r="AF95" s="128">
        <v>1</v>
      </c>
      <c r="AG95" s="128">
        <v>1</v>
      </c>
      <c r="AH95" s="128">
        <v>1</v>
      </c>
      <c r="AI95" s="128">
        <v>1</v>
      </c>
      <c r="AJ95" s="128">
        <v>1</v>
      </c>
      <c r="AK95" s="128">
        <v>1</v>
      </c>
      <c r="AL95" s="128">
        <v>1</v>
      </c>
      <c r="AM95" s="128">
        <v>1</v>
      </c>
      <c r="AN95" s="128">
        <v>1</v>
      </c>
      <c r="AO95" s="128">
        <v>1</v>
      </c>
      <c r="AP95" s="128">
        <v>1</v>
      </c>
      <c r="AQ95" s="128">
        <v>1</v>
      </c>
      <c r="AR95" s="128">
        <v>1</v>
      </c>
      <c r="AS95" s="128">
        <v>1</v>
      </c>
      <c r="AT95" s="128">
        <v>1</v>
      </c>
      <c r="AU95" s="128">
        <v>1</v>
      </c>
      <c r="AV95" s="128">
        <v>1</v>
      </c>
      <c r="AW95" s="128">
        <v>1</v>
      </c>
      <c r="AX95" s="128">
        <v>1</v>
      </c>
      <c r="AY95" s="128">
        <v>1</v>
      </c>
      <c r="AZ95" s="128">
        <v>1</v>
      </c>
      <c r="BA95" s="128">
        <v>1</v>
      </c>
      <c r="BB95" s="128">
        <v>1</v>
      </c>
      <c r="BC95" s="128">
        <v>1</v>
      </c>
      <c r="BD95" s="128">
        <v>1</v>
      </c>
      <c r="BE95" s="128">
        <v>1</v>
      </c>
      <c r="BF95" s="128">
        <v>1</v>
      </c>
      <c r="BG95" s="128">
        <v>1</v>
      </c>
      <c r="BH95" s="128">
        <v>1</v>
      </c>
      <c r="BI95" s="128">
        <v>1</v>
      </c>
      <c r="BJ95" s="128">
        <v>1</v>
      </c>
      <c r="BK95" s="128">
        <v>1</v>
      </c>
      <c r="BL95" s="128">
        <v>1</v>
      </c>
      <c r="BM95" s="128">
        <v>1</v>
      </c>
      <c r="BN95" s="128">
        <v>1</v>
      </c>
      <c r="BO95" s="128">
        <v>1</v>
      </c>
      <c r="BP95" s="128">
        <v>1</v>
      </c>
      <c r="BQ95" s="128">
        <v>1</v>
      </c>
      <c r="BR95" s="128">
        <v>1</v>
      </c>
      <c r="BS95" s="128">
        <v>1</v>
      </c>
      <c r="BT95" s="128">
        <v>1</v>
      </c>
      <c r="BU95" s="128">
        <v>1</v>
      </c>
      <c r="BV95" s="128">
        <v>1</v>
      </c>
      <c r="BW95" s="128">
        <v>1</v>
      </c>
      <c r="BX95" s="128">
        <v>1</v>
      </c>
      <c r="BY95" s="128">
        <v>1</v>
      </c>
      <c r="BZ95" s="128">
        <v>1</v>
      </c>
      <c r="CA95" s="128">
        <v>1</v>
      </c>
      <c r="CB95" s="128">
        <v>1</v>
      </c>
      <c r="CC95" s="128">
        <v>1</v>
      </c>
      <c r="CD95" s="128">
        <v>1</v>
      </c>
      <c r="CE95" s="128">
        <v>1</v>
      </c>
      <c r="CF95" s="128">
        <v>1</v>
      </c>
      <c r="CG95" s="128">
        <v>1</v>
      </c>
      <c r="CH95" s="128">
        <v>1</v>
      </c>
      <c r="CI95" s="128">
        <v>1</v>
      </c>
      <c r="CJ95" s="128">
        <v>1</v>
      </c>
      <c r="CK95" s="128">
        <v>1</v>
      </c>
      <c r="CL95" s="128">
        <v>1</v>
      </c>
      <c r="CM95" s="128">
        <v>1</v>
      </c>
      <c r="CN95" s="128">
        <v>1</v>
      </c>
      <c r="CO95" s="128">
        <v>1</v>
      </c>
      <c r="CP95" s="128">
        <v>1</v>
      </c>
      <c r="CQ95" s="128">
        <v>1</v>
      </c>
      <c r="CR95" s="128">
        <v>1</v>
      </c>
      <c r="CS95" s="128">
        <v>1</v>
      </c>
      <c r="CT95" s="128">
        <v>1</v>
      </c>
      <c r="CU95" s="128">
        <v>1</v>
      </c>
      <c r="CV95" s="128">
        <v>1</v>
      </c>
      <c r="CW95" s="128">
        <v>1</v>
      </c>
      <c r="CX95" s="128">
        <v>1</v>
      </c>
      <c r="CZ95" s="126">
        <f>SUMIF(MatrixF0[[1]:[2]],MatrixF0[[#This Row],[Столбец1]])/MatrixF0[[#This Row],[Столбец1]]</f>
        <v>0</v>
      </c>
    </row>
    <row r="96" spans="1:104" ht="21" customHeight="1" x14ac:dyDescent="0.25">
      <c r="A96" s="127">
        <v>1.93</v>
      </c>
      <c r="B96" s="128">
        <v>1</v>
      </c>
      <c r="C96" s="128">
        <v>1</v>
      </c>
      <c r="D96" s="128">
        <v>1</v>
      </c>
      <c r="E96" s="128">
        <v>1</v>
      </c>
      <c r="F96" s="128">
        <v>1</v>
      </c>
      <c r="G96" s="128">
        <v>1</v>
      </c>
      <c r="H96" s="128">
        <v>1</v>
      </c>
      <c r="I96" s="128">
        <v>1</v>
      </c>
      <c r="J96" s="128">
        <v>1</v>
      </c>
      <c r="K96" s="128">
        <v>1</v>
      </c>
      <c r="L96" s="128">
        <v>1</v>
      </c>
      <c r="M96" s="128">
        <v>1</v>
      </c>
      <c r="N96" s="128">
        <v>1</v>
      </c>
      <c r="O96" s="128">
        <v>1</v>
      </c>
      <c r="P96" s="128">
        <v>1</v>
      </c>
      <c r="Q96" s="128">
        <v>1</v>
      </c>
      <c r="R96" s="128">
        <v>1</v>
      </c>
      <c r="S96" s="128">
        <v>1</v>
      </c>
      <c r="T96" s="128">
        <v>1</v>
      </c>
      <c r="U96" s="128">
        <v>1</v>
      </c>
      <c r="V96" s="128">
        <v>1</v>
      </c>
      <c r="W96" s="128">
        <v>1</v>
      </c>
      <c r="X96" s="128">
        <v>1</v>
      </c>
      <c r="Y96" s="128">
        <v>1</v>
      </c>
      <c r="Z96" s="128">
        <v>1</v>
      </c>
      <c r="AA96" s="128">
        <v>1</v>
      </c>
      <c r="AB96" s="128">
        <v>1</v>
      </c>
      <c r="AC96" s="128">
        <v>1</v>
      </c>
      <c r="AD96" s="128">
        <v>1</v>
      </c>
      <c r="AE96" s="128">
        <v>1</v>
      </c>
      <c r="AF96" s="128">
        <v>1</v>
      </c>
      <c r="AG96" s="128">
        <v>1</v>
      </c>
      <c r="AH96" s="128">
        <v>1</v>
      </c>
      <c r="AI96" s="128">
        <v>1</v>
      </c>
      <c r="AJ96" s="128">
        <v>1</v>
      </c>
      <c r="AK96" s="128">
        <v>1</v>
      </c>
      <c r="AL96" s="128">
        <v>1</v>
      </c>
      <c r="AM96" s="128">
        <v>1</v>
      </c>
      <c r="AN96" s="128">
        <v>1</v>
      </c>
      <c r="AO96" s="128">
        <v>1</v>
      </c>
      <c r="AP96" s="128">
        <v>1</v>
      </c>
      <c r="AQ96" s="128">
        <v>1</v>
      </c>
      <c r="AR96" s="128">
        <v>1</v>
      </c>
      <c r="AS96" s="128">
        <v>1</v>
      </c>
      <c r="AT96" s="128">
        <v>1</v>
      </c>
      <c r="AU96" s="128">
        <v>1</v>
      </c>
      <c r="AV96" s="128">
        <v>1</v>
      </c>
      <c r="AW96" s="128">
        <v>1</v>
      </c>
      <c r="AX96" s="128">
        <v>1</v>
      </c>
      <c r="AY96" s="128">
        <v>1</v>
      </c>
      <c r="AZ96" s="128">
        <v>1</v>
      </c>
      <c r="BA96" s="128">
        <v>1</v>
      </c>
      <c r="BB96" s="128">
        <v>1</v>
      </c>
      <c r="BC96" s="128">
        <v>1</v>
      </c>
      <c r="BD96" s="128">
        <v>1</v>
      </c>
      <c r="BE96" s="128">
        <v>1</v>
      </c>
      <c r="BF96" s="128">
        <v>1</v>
      </c>
      <c r="BG96" s="128">
        <v>1</v>
      </c>
      <c r="BH96" s="128">
        <v>1</v>
      </c>
      <c r="BI96" s="128">
        <v>1</v>
      </c>
      <c r="BJ96" s="128">
        <v>1</v>
      </c>
      <c r="BK96" s="128">
        <v>1</v>
      </c>
      <c r="BL96" s="128">
        <v>1</v>
      </c>
      <c r="BM96" s="128">
        <v>1</v>
      </c>
      <c r="BN96" s="128">
        <v>1</v>
      </c>
      <c r="BO96" s="128">
        <v>1</v>
      </c>
      <c r="BP96" s="128">
        <v>1</v>
      </c>
      <c r="BQ96" s="128">
        <v>1</v>
      </c>
      <c r="BR96" s="128">
        <v>1</v>
      </c>
      <c r="BS96" s="128">
        <v>1</v>
      </c>
      <c r="BT96" s="128">
        <v>1</v>
      </c>
      <c r="BU96" s="128">
        <v>1</v>
      </c>
      <c r="BV96" s="128">
        <v>1</v>
      </c>
      <c r="BW96" s="128">
        <v>1</v>
      </c>
      <c r="BX96" s="128">
        <v>1</v>
      </c>
      <c r="BY96" s="128">
        <v>1</v>
      </c>
      <c r="BZ96" s="128">
        <v>1</v>
      </c>
      <c r="CA96" s="128">
        <v>1</v>
      </c>
      <c r="CB96" s="128">
        <v>1</v>
      </c>
      <c r="CC96" s="128">
        <v>1</v>
      </c>
      <c r="CD96" s="128">
        <v>1</v>
      </c>
      <c r="CE96" s="128">
        <v>1</v>
      </c>
      <c r="CF96" s="128">
        <v>1</v>
      </c>
      <c r="CG96" s="128">
        <v>1</v>
      </c>
      <c r="CH96" s="128">
        <v>1</v>
      </c>
      <c r="CI96" s="128">
        <v>1</v>
      </c>
      <c r="CJ96" s="128">
        <v>1</v>
      </c>
      <c r="CK96" s="128">
        <v>1</v>
      </c>
      <c r="CL96" s="128">
        <v>1</v>
      </c>
      <c r="CM96" s="128">
        <v>1</v>
      </c>
      <c r="CN96" s="128">
        <v>1</v>
      </c>
      <c r="CO96" s="128">
        <v>1</v>
      </c>
      <c r="CP96" s="128">
        <v>1</v>
      </c>
      <c r="CQ96" s="128">
        <v>1</v>
      </c>
      <c r="CR96" s="128">
        <v>1</v>
      </c>
      <c r="CS96" s="128">
        <v>1</v>
      </c>
      <c r="CT96" s="128">
        <v>1</v>
      </c>
      <c r="CU96" s="128">
        <v>1</v>
      </c>
      <c r="CV96" s="128">
        <v>1</v>
      </c>
      <c r="CW96" s="128">
        <v>1</v>
      </c>
      <c r="CX96" s="128">
        <v>1</v>
      </c>
      <c r="CZ96" s="126">
        <f>SUMIF(MatrixF0[[1]:[2]],MatrixF0[[#This Row],[Столбец1]])/MatrixF0[[#This Row],[Столбец1]]</f>
        <v>0</v>
      </c>
    </row>
    <row r="97" spans="1:104" ht="21" customHeight="1" x14ac:dyDescent="0.25">
      <c r="A97" s="127">
        <v>1.94</v>
      </c>
      <c r="B97" s="128">
        <v>1</v>
      </c>
      <c r="C97" s="128">
        <v>1</v>
      </c>
      <c r="D97" s="128">
        <v>1</v>
      </c>
      <c r="E97" s="128">
        <v>1</v>
      </c>
      <c r="F97" s="128">
        <v>1</v>
      </c>
      <c r="G97" s="128">
        <v>1</v>
      </c>
      <c r="H97" s="128">
        <v>1</v>
      </c>
      <c r="I97" s="128">
        <v>1</v>
      </c>
      <c r="J97" s="128">
        <v>1</v>
      </c>
      <c r="K97" s="128">
        <v>1</v>
      </c>
      <c r="L97" s="128">
        <v>1</v>
      </c>
      <c r="M97" s="128">
        <v>1</v>
      </c>
      <c r="N97" s="128">
        <v>1</v>
      </c>
      <c r="O97" s="128">
        <v>1</v>
      </c>
      <c r="P97" s="128">
        <v>1</v>
      </c>
      <c r="Q97" s="128">
        <v>1</v>
      </c>
      <c r="R97" s="128">
        <v>1</v>
      </c>
      <c r="S97" s="128">
        <v>1</v>
      </c>
      <c r="T97" s="128">
        <v>1</v>
      </c>
      <c r="U97" s="128">
        <v>1</v>
      </c>
      <c r="V97" s="128">
        <v>1</v>
      </c>
      <c r="W97" s="128">
        <v>1</v>
      </c>
      <c r="X97" s="128">
        <v>1</v>
      </c>
      <c r="Y97" s="128">
        <v>1</v>
      </c>
      <c r="Z97" s="128">
        <v>1</v>
      </c>
      <c r="AA97" s="128">
        <v>1</v>
      </c>
      <c r="AB97" s="128">
        <v>1</v>
      </c>
      <c r="AC97" s="128">
        <v>1</v>
      </c>
      <c r="AD97" s="128">
        <v>1</v>
      </c>
      <c r="AE97" s="128">
        <v>1</v>
      </c>
      <c r="AF97" s="128">
        <v>1</v>
      </c>
      <c r="AG97" s="128">
        <v>1</v>
      </c>
      <c r="AH97" s="128">
        <v>1</v>
      </c>
      <c r="AI97" s="128">
        <v>1</v>
      </c>
      <c r="AJ97" s="128">
        <v>1</v>
      </c>
      <c r="AK97" s="128">
        <v>1</v>
      </c>
      <c r="AL97" s="128">
        <v>1</v>
      </c>
      <c r="AM97" s="128">
        <v>1</v>
      </c>
      <c r="AN97" s="128">
        <v>1</v>
      </c>
      <c r="AO97" s="128">
        <v>1</v>
      </c>
      <c r="AP97" s="128">
        <v>1</v>
      </c>
      <c r="AQ97" s="128">
        <v>1</v>
      </c>
      <c r="AR97" s="128">
        <v>1</v>
      </c>
      <c r="AS97" s="128">
        <v>1</v>
      </c>
      <c r="AT97" s="128">
        <v>1</v>
      </c>
      <c r="AU97" s="128">
        <v>1</v>
      </c>
      <c r="AV97" s="128">
        <v>1</v>
      </c>
      <c r="AW97" s="128">
        <v>1</v>
      </c>
      <c r="AX97" s="128">
        <v>1</v>
      </c>
      <c r="AY97" s="128">
        <v>1</v>
      </c>
      <c r="AZ97" s="128">
        <v>1</v>
      </c>
      <c r="BA97" s="128">
        <v>1</v>
      </c>
      <c r="BB97" s="128">
        <v>1</v>
      </c>
      <c r="BC97" s="128">
        <v>1</v>
      </c>
      <c r="BD97" s="128">
        <v>1</v>
      </c>
      <c r="BE97" s="128">
        <v>1</v>
      </c>
      <c r="BF97" s="128">
        <v>1</v>
      </c>
      <c r="BG97" s="128">
        <v>1</v>
      </c>
      <c r="BH97" s="128">
        <v>1</v>
      </c>
      <c r="BI97" s="128">
        <v>1</v>
      </c>
      <c r="BJ97" s="128">
        <v>1</v>
      </c>
      <c r="BK97" s="128">
        <v>1</v>
      </c>
      <c r="BL97" s="128">
        <v>1</v>
      </c>
      <c r="BM97" s="128">
        <v>1</v>
      </c>
      <c r="BN97" s="128">
        <v>1</v>
      </c>
      <c r="BO97" s="128">
        <v>1</v>
      </c>
      <c r="BP97" s="128">
        <v>1</v>
      </c>
      <c r="BQ97" s="128">
        <v>1</v>
      </c>
      <c r="BR97" s="128">
        <v>1</v>
      </c>
      <c r="BS97" s="128">
        <v>1</v>
      </c>
      <c r="BT97" s="128">
        <v>1</v>
      </c>
      <c r="BU97" s="128">
        <v>1</v>
      </c>
      <c r="BV97" s="128">
        <v>1</v>
      </c>
      <c r="BW97" s="128">
        <v>1</v>
      </c>
      <c r="BX97" s="128">
        <v>1</v>
      </c>
      <c r="BY97" s="128">
        <v>1</v>
      </c>
      <c r="BZ97" s="128">
        <v>1</v>
      </c>
      <c r="CA97" s="128">
        <v>1</v>
      </c>
      <c r="CB97" s="128">
        <v>1</v>
      </c>
      <c r="CC97" s="128">
        <v>1</v>
      </c>
      <c r="CD97" s="128">
        <v>1</v>
      </c>
      <c r="CE97" s="128">
        <v>1</v>
      </c>
      <c r="CF97" s="128">
        <v>1</v>
      </c>
      <c r="CG97" s="128">
        <v>1</v>
      </c>
      <c r="CH97" s="128">
        <v>1</v>
      </c>
      <c r="CI97" s="128">
        <v>1</v>
      </c>
      <c r="CJ97" s="128">
        <v>1</v>
      </c>
      <c r="CK97" s="128">
        <v>1</v>
      </c>
      <c r="CL97" s="128">
        <v>1</v>
      </c>
      <c r="CM97" s="128">
        <v>1</v>
      </c>
      <c r="CN97" s="128">
        <v>1</v>
      </c>
      <c r="CO97" s="128">
        <v>1</v>
      </c>
      <c r="CP97" s="128">
        <v>1</v>
      </c>
      <c r="CQ97" s="128">
        <v>1</v>
      </c>
      <c r="CR97" s="128">
        <v>1</v>
      </c>
      <c r="CS97" s="128">
        <v>1</v>
      </c>
      <c r="CT97" s="128">
        <v>1</v>
      </c>
      <c r="CU97" s="128">
        <v>1</v>
      </c>
      <c r="CV97" s="128">
        <v>1</v>
      </c>
      <c r="CW97" s="128">
        <v>1</v>
      </c>
      <c r="CX97" s="128">
        <v>1</v>
      </c>
      <c r="CZ97" s="126">
        <f>SUMIF(MatrixF0[[1]:[2]],MatrixF0[[#This Row],[Столбец1]])/MatrixF0[[#This Row],[Столбец1]]</f>
        <v>0</v>
      </c>
    </row>
    <row r="98" spans="1:104" ht="21" customHeight="1" x14ac:dyDescent="0.25">
      <c r="A98" s="127">
        <v>1.95</v>
      </c>
      <c r="B98" s="128">
        <v>1</v>
      </c>
      <c r="C98" s="128">
        <v>1</v>
      </c>
      <c r="D98" s="128">
        <v>1</v>
      </c>
      <c r="E98" s="128">
        <v>1</v>
      </c>
      <c r="F98" s="128">
        <v>1</v>
      </c>
      <c r="G98" s="128">
        <v>1</v>
      </c>
      <c r="H98" s="128">
        <v>1</v>
      </c>
      <c r="I98" s="128">
        <v>1</v>
      </c>
      <c r="J98" s="128">
        <v>1</v>
      </c>
      <c r="K98" s="128">
        <v>1</v>
      </c>
      <c r="L98" s="128">
        <v>1</v>
      </c>
      <c r="M98" s="128">
        <v>1</v>
      </c>
      <c r="N98" s="128">
        <v>1</v>
      </c>
      <c r="O98" s="128">
        <v>1</v>
      </c>
      <c r="P98" s="128">
        <v>1</v>
      </c>
      <c r="Q98" s="128">
        <v>1</v>
      </c>
      <c r="R98" s="128">
        <v>1</v>
      </c>
      <c r="S98" s="128">
        <v>1</v>
      </c>
      <c r="T98" s="128">
        <v>1</v>
      </c>
      <c r="U98" s="128">
        <v>1</v>
      </c>
      <c r="V98" s="128">
        <v>1</v>
      </c>
      <c r="W98" s="128">
        <v>1</v>
      </c>
      <c r="X98" s="128">
        <v>1</v>
      </c>
      <c r="Y98" s="128">
        <v>1</v>
      </c>
      <c r="Z98" s="128">
        <v>1</v>
      </c>
      <c r="AA98" s="128">
        <v>1</v>
      </c>
      <c r="AB98" s="128">
        <v>1</v>
      </c>
      <c r="AC98" s="128">
        <v>1</v>
      </c>
      <c r="AD98" s="128">
        <v>1</v>
      </c>
      <c r="AE98" s="128">
        <v>1</v>
      </c>
      <c r="AF98" s="128">
        <v>1</v>
      </c>
      <c r="AG98" s="128">
        <v>1</v>
      </c>
      <c r="AH98" s="128">
        <v>1</v>
      </c>
      <c r="AI98" s="128">
        <v>1</v>
      </c>
      <c r="AJ98" s="128">
        <v>1</v>
      </c>
      <c r="AK98" s="128">
        <v>1</v>
      </c>
      <c r="AL98" s="128">
        <v>1</v>
      </c>
      <c r="AM98" s="128">
        <v>1</v>
      </c>
      <c r="AN98" s="128">
        <v>1</v>
      </c>
      <c r="AO98" s="128">
        <v>1</v>
      </c>
      <c r="AP98" s="128">
        <v>1</v>
      </c>
      <c r="AQ98" s="128">
        <v>1</v>
      </c>
      <c r="AR98" s="128">
        <v>1</v>
      </c>
      <c r="AS98" s="128">
        <v>1</v>
      </c>
      <c r="AT98" s="128">
        <v>1</v>
      </c>
      <c r="AU98" s="128">
        <v>1</v>
      </c>
      <c r="AV98" s="128">
        <v>1</v>
      </c>
      <c r="AW98" s="128">
        <v>1</v>
      </c>
      <c r="AX98" s="128">
        <v>1</v>
      </c>
      <c r="AY98" s="128">
        <v>1</v>
      </c>
      <c r="AZ98" s="128">
        <v>1</v>
      </c>
      <c r="BA98" s="128">
        <v>1</v>
      </c>
      <c r="BB98" s="128">
        <v>1</v>
      </c>
      <c r="BC98" s="128">
        <v>1</v>
      </c>
      <c r="BD98" s="128">
        <v>1</v>
      </c>
      <c r="BE98" s="128">
        <v>1</v>
      </c>
      <c r="BF98" s="128">
        <v>1</v>
      </c>
      <c r="BG98" s="128">
        <v>1</v>
      </c>
      <c r="BH98" s="128">
        <v>1</v>
      </c>
      <c r="BI98" s="128">
        <v>1</v>
      </c>
      <c r="BJ98" s="128">
        <v>1</v>
      </c>
      <c r="BK98" s="128">
        <v>1</v>
      </c>
      <c r="BL98" s="128">
        <v>1</v>
      </c>
      <c r="BM98" s="128">
        <v>1</v>
      </c>
      <c r="BN98" s="128">
        <v>1</v>
      </c>
      <c r="BO98" s="128">
        <v>1</v>
      </c>
      <c r="BP98" s="128">
        <v>1</v>
      </c>
      <c r="BQ98" s="128">
        <v>1</v>
      </c>
      <c r="BR98" s="128">
        <v>1</v>
      </c>
      <c r="BS98" s="128">
        <v>1</v>
      </c>
      <c r="BT98" s="128">
        <v>1</v>
      </c>
      <c r="BU98" s="128">
        <v>1</v>
      </c>
      <c r="BV98" s="128">
        <v>1</v>
      </c>
      <c r="BW98" s="128">
        <v>1</v>
      </c>
      <c r="BX98" s="128">
        <v>1</v>
      </c>
      <c r="BY98" s="128">
        <v>1</v>
      </c>
      <c r="BZ98" s="128">
        <v>1</v>
      </c>
      <c r="CA98" s="128">
        <v>1</v>
      </c>
      <c r="CB98" s="128">
        <v>1</v>
      </c>
      <c r="CC98" s="128">
        <v>1</v>
      </c>
      <c r="CD98" s="128">
        <v>1</v>
      </c>
      <c r="CE98" s="128">
        <v>1</v>
      </c>
      <c r="CF98" s="128">
        <v>1</v>
      </c>
      <c r="CG98" s="128">
        <v>1</v>
      </c>
      <c r="CH98" s="128">
        <v>1</v>
      </c>
      <c r="CI98" s="128">
        <v>1</v>
      </c>
      <c r="CJ98" s="128">
        <v>1</v>
      </c>
      <c r="CK98" s="128">
        <v>1</v>
      </c>
      <c r="CL98" s="128">
        <v>1</v>
      </c>
      <c r="CM98" s="128">
        <v>1</v>
      </c>
      <c r="CN98" s="128">
        <v>1</v>
      </c>
      <c r="CO98" s="128">
        <v>1</v>
      </c>
      <c r="CP98" s="128">
        <v>1</v>
      </c>
      <c r="CQ98" s="128">
        <v>1</v>
      </c>
      <c r="CR98" s="128">
        <v>1</v>
      </c>
      <c r="CS98" s="128">
        <v>1</v>
      </c>
      <c r="CT98" s="128">
        <v>1</v>
      </c>
      <c r="CU98" s="128">
        <v>1</v>
      </c>
      <c r="CV98" s="128">
        <v>1</v>
      </c>
      <c r="CW98" s="128">
        <v>1</v>
      </c>
      <c r="CX98" s="128">
        <v>1</v>
      </c>
      <c r="CZ98" s="126">
        <f>SUMIF(MatrixF0[[1]:[2]],MatrixF0[[#This Row],[Столбец1]])/MatrixF0[[#This Row],[Столбец1]]</f>
        <v>0</v>
      </c>
    </row>
    <row r="99" spans="1:104" ht="21" customHeight="1" x14ac:dyDescent="0.25">
      <c r="A99" s="127">
        <v>1.96</v>
      </c>
      <c r="B99" s="128">
        <v>1</v>
      </c>
      <c r="C99" s="128">
        <v>1</v>
      </c>
      <c r="D99" s="128">
        <v>1</v>
      </c>
      <c r="E99" s="128">
        <v>1</v>
      </c>
      <c r="F99" s="128">
        <v>1</v>
      </c>
      <c r="G99" s="128">
        <v>1</v>
      </c>
      <c r="H99" s="128">
        <v>1</v>
      </c>
      <c r="I99" s="128">
        <v>1</v>
      </c>
      <c r="J99" s="128">
        <v>1</v>
      </c>
      <c r="K99" s="128">
        <v>1</v>
      </c>
      <c r="L99" s="128">
        <v>1</v>
      </c>
      <c r="M99" s="128">
        <v>1</v>
      </c>
      <c r="N99" s="128">
        <v>1</v>
      </c>
      <c r="O99" s="128">
        <v>1</v>
      </c>
      <c r="P99" s="128">
        <v>1</v>
      </c>
      <c r="Q99" s="128">
        <v>1</v>
      </c>
      <c r="R99" s="128">
        <v>1</v>
      </c>
      <c r="S99" s="128">
        <v>1</v>
      </c>
      <c r="T99" s="128">
        <v>1</v>
      </c>
      <c r="U99" s="128">
        <v>1</v>
      </c>
      <c r="V99" s="128">
        <v>1</v>
      </c>
      <c r="W99" s="128">
        <v>1</v>
      </c>
      <c r="X99" s="128">
        <v>1</v>
      </c>
      <c r="Y99" s="128">
        <v>1</v>
      </c>
      <c r="Z99" s="128">
        <v>1</v>
      </c>
      <c r="AA99" s="128">
        <v>1</v>
      </c>
      <c r="AB99" s="128">
        <v>1</v>
      </c>
      <c r="AC99" s="128">
        <v>1</v>
      </c>
      <c r="AD99" s="128">
        <v>1</v>
      </c>
      <c r="AE99" s="128">
        <v>1</v>
      </c>
      <c r="AF99" s="128">
        <v>1</v>
      </c>
      <c r="AG99" s="128">
        <v>1</v>
      </c>
      <c r="AH99" s="128">
        <v>1</v>
      </c>
      <c r="AI99" s="128">
        <v>1</v>
      </c>
      <c r="AJ99" s="128">
        <v>1</v>
      </c>
      <c r="AK99" s="128">
        <v>1</v>
      </c>
      <c r="AL99" s="128">
        <v>1</v>
      </c>
      <c r="AM99" s="128">
        <v>1</v>
      </c>
      <c r="AN99" s="128">
        <v>1</v>
      </c>
      <c r="AO99" s="128">
        <v>1</v>
      </c>
      <c r="AP99" s="128">
        <v>1</v>
      </c>
      <c r="AQ99" s="128">
        <v>1</v>
      </c>
      <c r="AR99" s="128">
        <v>1</v>
      </c>
      <c r="AS99" s="128">
        <v>1</v>
      </c>
      <c r="AT99" s="128">
        <v>1</v>
      </c>
      <c r="AU99" s="128">
        <v>1</v>
      </c>
      <c r="AV99" s="128">
        <v>1</v>
      </c>
      <c r="AW99" s="128">
        <v>1</v>
      </c>
      <c r="AX99" s="128">
        <v>1</v>
      </c>
      <c r="AY99" s="128">
        <v>1</v>
      </c>
      <c r="AZ99" s="128">
        <v>1</v>
      </c>
      <c r="BA99" s="128">
        <v>1</v>
      </c>
      <c r="BB99" s="128">
        <v>1</v>
      </c>
      <c r="BC99" s="128">
        <v>1</v>
      </c>
      <c r="BD99" s="128">
        <v>1</v>
      </c>
      <c r="BE99" s="128">
        <v>1</v>
      </c>
      <c r="BF99" s="128">
        <v>1</v>
      </c>
      <c r="BG99" s="128">
        <v>1</v>
      </c>
      <c r="BH99" s="128">
        <v>1</v>
      </c>
      <c r="BI99" s="128">
        <v>1</v>
      </c>
      <c r="BJ99" s="128">
        <v>1</v>
      </c>
      <c r="BK99" s="128">
        <v>1</v>
      </c>
      <c r="BL99" s="128">
        <v>1</v>
      </c>
      <c r="BM99" s="128">
        <v>1</v>
      </c>
      <c r="BN99" s="128">
        <v>1</v>
      </c>
      <c r="BO99" s="128">
        <v>1</v>
      </c>
      <c r="BP99" s="128">
        <v>1</v>
      </c>
      <c r="BQ99" s="128">
        <v>1</v>
      </c>
      <c r="BR99" s="128">
        <v>1</v>
      </c>
      <c r="BS99" s="128">
        <v>1</v>
      </c>
      <c r="BT99" s="128">
        <v>1</v>
      </c>
      <c r="BU99" s="128">
        <v>1</v>
      </c>
      <c r="BV99" s="128">
        <v>1</v>
      </c>
      <c r="BW99" s="128">
        <v>1</v>
      </c>
      <c r="BX99" s="128">
        <v>1</v>
      </c>
      <c r="BY99" s="128">
        <v>1</v>
      </c>
      <c r="BZ99" s="128">
        <v>1</v>
      </c>
      <c r="CA99" s="128">
        <v>1</v>
      </c>
      <c r="CB99" s="128">
        <v>1</v>
      </c>
      <c r="CC99" s="128">
        <v>1</v>
      </c>
      <c r="CD99" s="128">
        <v>1</v>
      </c>
      <c r="CE99" s="128">
        <v>1</v>
      </c>
      <c r="CF99" s="128">
        <v>1</v>
      </c>
      <c r="CG99" s="128">
        <v>1</v>
      </c>
      <c r="CH99" s="128">
        <v>1</v>
      </c>
      <c r="CI99" s="128">
        <v>1</v>
      </c>
      <c r="CJ99" s="128">
        <v>1</v>
      </c>
      <c r="CK99" s="128">
        <v>1</v>
      </c>
      <c r="CL99" s="128">
        <v>1</v>
      </c>
      <c r="CM99" s="128">
        <v>1</v>
      </c>
      <c r="CN99" s="128">
        <v>1</v>
      </c>
      <c r="CO99" s="128">
        <v>1</v>
      </c>
      <c r="CP99" s="128">
        <v>1</v>
      </c>
      <c r="CQ99" s="128">
        <v>1</v>
      </c>
      <c r="CR99" s="128">
        <v>1</v>
      </c>
      <c r="CS99" s="128">
        <v>1</v>
      </c>
      <c r="CT99" s="128">
        <v>1</v>
      </c>
      <c r="CU99" s="128">
        <v>1</v>
      </c>
      <c r="CV99" s="128">
        <v>1</v>
      </c>
      <c r="CW99" s="128">
        <v>1</v>
      </c>
      <c r="CX99" s="128">
        <v>1</v>
      </c>
      <c r="CZ99" s="126">
        <f>SUMIF(MatrixF0[[1]:[2]],MatrixF0[[#This Row],[Столбец1]])/MatrixF0[[#This Row],[Столбец1]]</f>
        <v>0</v>
      </c>
    </row>
    <row r="100" spans="1:104" ht="21" customHeight="1" x14ac:dyDescent="0.25">
      <c r="A100" s="127">
        <v>1.97</v>
      </c>
      <c r="B100" s="128">
        <v>1</v>
      </c>
      <c r="C100" s="128">
        <v>1</v>
      </c>
      <c r="D100" s="128">
        <v>1</v>
      </c>
      <c r="E100" s="128">
        <v>1</v>
      </c>
      <c r="F100" s="128">
        <v>1</v>
      </c>
      <c r="G100" s="128">
        <v>1</v>
      </c>
      <c r="H100" s="128">
        <v>1</v>
      </c>
      <c r="I100" s="128">
        <v>1</v>
      </c>
      <c r="J100" s="128">
        <v>1</v>
      </c>
      <c r="K100" s="128">
        <v>1</v>
      </c>
      <c r="L100" s="128">
        <v>1</v>
      </c>
      <c r="M100" s="128">
        <v>1</v>
      </c>
      <c r="N100" s="128">
        <v>1</v>
      </c>
      <c r="O100" s="128">
        <v>1</v>
      </c>
      <c r="P100" s="128">
        <v>1</v>
      </c>
      <c r="Q100" s="128">
        <v>1</v>
      </c>
      <c r="R100" s="128">
        <v>1</v>
      </c>
      <c r="S100" s="128">
        <v>1</v>
      </c>
      <c r="T100" s="128">
        <v>1</v>
      </c>
      <c r="U100" s="128">
        <v>1</v>
      </c>
      <c r="V100" s="128">
        <v>1</v>
      </c>
      <c r="W100" s="128">
        <v>1</v>
      </c>
      <c r="X100" s="128">
        <v>1</v>
      </c>
      <c r="Y100" s="128">
        <v>1</v>
      </c>
      <c r="Z100" s="128">
        <v>1</v>
      </c>
      <c r="AA100" s="128">
        <v>1</v>
      </c>
      <c r="AB100" s="128">
        <v>1</v>
      </c>
      <c r="AC100" s="128">
        <v>1</v>
      </c>
      <c r="AD100" s="128">
        <v>1</v>
      </c>
      <c r="AE100" s="128">
        <v>1</v>
      </c>
      <c r="AF100" s="128">
        <v>1</v>
      </c>
      <c r="AG100" s="128">
        <v>1</v>
      </c>
      <c r="AH100" s="128">
        <v>1</v>
      </c>
      <c r="AI100" s="128">
        <v>1</v>
      </c>
      <c r="AJ100" s="128">
        <v>1</v>
      </c>
      <c r="AK100" s="128">
        <v>1</v>
      </c>
      <c r="AL100" s="128">
        <v>1</v>
      </c>
      <c r="AM100" s="128">
        <v>1</v>
      </c>
      <c r="AN100" s="128">
        <v>1</v>
      </c>
      <c r="AO100" s="128">
        <v>1</v>
      </c>
      <c r="AP100" s="128">
        <v>1</v>
      </c>
      <c r="AQ100" s="128">
        <v>1</v>
      </c>
      <c r="AR100" s="128">
        <v>1</v>
      </c>
      <c r="AS100" s="128">
        <v>1</v>
      </c>
      <c r="AT100" s="128">
        <v>1</v>
      </c>
      <c r="AU100" s="128">
        <v>1</v>
      </c>
      <c r="AV100" s="128">
        <v>1</v>
      </c>
      <c r="AW100" s="128">
        <v>1</v>
      </c>
      <c r="AX100" s="128">
        <v>1</v>
      </c>
      <c r="AY100" s="128">
        <v>1</v>
      </c>
      <c r="AZ100" s="128">
        <v>1</v>
      </c>
      <c r="BA100" s="128">
        <v>1</v>
      </c>
      <c r="BB100" s="128">
        <v>1</v>
      </c>
      <c r="BC100" s="128">
        <v>1</v>
      </c>
      <c r="BD100" s="128">
        <v>1</v>
      </c>
      <c r="BE100" s="128">
        <v>1</v>
      </c>
      <c r="BF100" s="128">
        <v>1</v>
      </c>
      <c r="BG100" s="128">
        <v>1</v>
      </c>
      <c r="BH100" s="128">
        <v>1</v>
      </c>
      <c r="BI100" s="128">
        <v>1</v>
      </c>
      <c r="BJ100" s="128">
        <v>1</v>
      </c>
      <c r="BK100" s="128">
        <v>1</v>
      </c>
      <c r="BL100" s="128">
        <v>1</v>
      </c>
      <c r="BM100" s="128">
        <v>1</v>
      </c>
      <c r="BN100" s="128">
        <v>1</v>
      </c>
      <c r="BO100" s="128">
        <v>1</v>
      </c>
      <c r="BP100" s="128">
        <v>1</v>
      </c>
      <c r="BQ100" s="128">
        <v>1</v>
      </c>
      <c r="BR100" s="128">
        <v>1</v>
      </c>
      <c r="BS100" s="128">
        <v>1</v>
      </c>
      <c r="BT100" s="128">
        <v>1</v>
      </c>
      <c r="BU100" s="128">
        <v>1</v>
      </c>
      <c r="BV100" s="128">
        <v>1</v>
      </c>
      <c r="BW100" s="128">
        <v>1</v>
      </c>
      <c r="BX100" s="128">
        <v>1</v>
      </c>
      <c r="BY100" s="128">
        <v>1</v>
      </c>
      <c r="BZ100" s="128">
        <v>1</v>
      </c>
      <c r="CA100" s="128">
        <v>1</v>
      </c>
      <c r="CB100" s="128">
        <v>1</v>
      </c>
      <c r="CC100" s="128">
        <v>1</v>
      </c>
      <c r="CD100" s="128">
        <v>1</v>
      </c>
      <c r="CE100" s="128">
        <v>1</v>
      </c>
      <c r="CF100" s="128">
        <v>1</v>
      </c>
      <c r="CG100" s="128">
        <v>1</v>
      </c>
      <c r="CH100" s="128">
        <v>1</v>
      </c>
      <c r="CI100" s="128">
        <v>1</v>
      </c>
      <c r="CJ100" s="128">
        <v>1</v>
      </c>
      <c r="CK100" s="128">
        <v>1</v>
      </c>
      <c r="CL100" s="128">
        <v>1</v>
      </c>
      <c r="CM100" s="128">
        <v>1</v>
      </c>
      <c r="CN100" s="128">
        <v>1</v>
      </c>
      <c r="CO100" s="128">
        <v>1</v>
      </c>
      <c r="CP100" s="128">
        <v>1</v>
      </c>
      <c r="CQ100" s="128">
        <v>1</v>
      </c>
      <c r="CR100" s="128">
        <v>1</v>
      </c>
      <c r="CS100" s="128">
        <v>1</v>
      </c>
      <c r="CT100" s="128">
        <v>1</v>
      </c>
      <c r="CU100" s="128">
        <v>1</v>
      </c>
      <c r="CV100" s="128">
        <v>1</v>
      </c>
      <c r="CW100" s="128">
        <v>1</v>
      </c>
      <c r="CX100" s="128">
        <v>1</v>
      </c>
      <c r="CZ100" s="126">
        <f>SUMIF(MatrixF0[[1]:[2]],MatrixF0[[#This Row],[Столбец1]])/MatrixF0[[#This Row],[Столбец1]]</f>
        <v>0</v>
      </c>
    </row>
    <row r="101" spans="1:104" ht="21" customHeight="1" x14ac:dyDescent="0.25">
      <c r="A101" s="127">
        <v>1.98</v>
      </c>
      <c r="B101" s="128">
        <v>1</v>
      </c>
      <c r="C101" s="128">
        <v>1</v>
      </c>
      <c r="D101" s="128">
        <v>1</v>
      </c>
      <c r="E101" s="128">
        <v>1</v>
      </c>
      <c r="F101" s="128">
        <v>1</v>
      </c>
      <c r="G101" s="128">
        <v>1</v>
      </c>
      <c r="H101" s="128">
        <v>1</v>
      </c>
      <c r="I101" s="128">
        <v>1</v>
      </c>
      <c r="J101" s="128">
        <v>1</v>
      </c>
      <c r="K101" s="128">
        <v>1</v>
      </c>
      <c r="L101" s="128">
        <v>1</v>
      </c>
      <c r="M101" s="128">
        <v>1</v>
      </c>
      <c r="N101" s="128">
        <v>1</v>
      </c>
      <c r="O101" s="128">
        <v>1</v>
      </c>
      <c r="P101" s="128">
        <v>1</v>
      </c>
      <c r="Q101" s="128">
        <v>1</v>
      </c>
      <c r="R101" s="128">
        <v>1</v>
      </c>
      <c r="S101" s="128">
        <v>1</v>
      </c>
      <c r="T101" s="128">
        <v>1</v>
      </c>
      <c r="U101" s="128">
        <v>1</v>
      </c>
      <c r="V101" s="128">
        <v>1</v>
      </c>
      <c r="W101" s="128">
        <v>1</v>
      </c>
      <c r="X101" s="128">
        <v>1</v>
      </c>
      <c r="Y101" s="128">
        <v>1</v>
      </c>
      <c r="Z101" s="128">
        <v>1</v>
      </c>
      <c r="AA101" s="128">
        <v>1</v>
      </c>
      <c r="AB101" s="128">
        <v>1</v>
      </c>
      <c r="AC101" s="128">
        <v>1</v>
      </c>
      <c r="AD101" s="128">
        <v>1</v>
      </c>
      <c r="AE101" s="128">
        <v>1</v>
      </c>
      <c r="AF101" s="128">
        <v>1</v>
      </c>
      <c r="AG101" s="128">
        <v>1</v>
      </c>
      <c r="AH101" s="128">
        <v>1</v>
      </c>
      <c r="AI101" s="128">
        <v>1</v>
      </c>
      <c r="AJ101" s="128">
        <v>1</v>
      </c>
      <c r="AK101" s="128">
        <v>1</v>
      </c>
      <c r="AL101" s="128">
        <v>1</v>
      </c>
      <c r="AM101" s="128">
        <v>1</v>
      </c>
      <c r="AN101" s="128">
        <v>1</v>
      </c>
      <c r="AO101" s="128">
        <v>1</v>
      </c>
      <c r="AP101" s="128">
        <v>1</v>
      </c>
      <c r="AQ101" s="128">
        <v>1</v>
      </c>
      <c r="AR101" s="128">
        <v>1</v>
      </c>
      <c r="AS101" s="128">
        <v>1</v>
      </c>
      <c r="AT101" s="128">
        <v>1</v>
      </c>
      <c r="AU101" s="128">
        <v>1</v>
      </c>
      <c r="AV101" s="128">
        <v>1</v>
      </c>
      <c r="AW101" s="128">
        <v>1</v>
      </c>
      <c r="AX101" s="128">
        <v>1</v>
      </c>
      <c r="AY101" s="128">
        <v>1</v>
      </c>
      <c r="AZ101" s="128">
        <v>1</v>
      </c>
      <c r="BA101" s="128">
        <v>1</v>
      </c>
      <c r="BB101" s="128">
        <v>1</v>
      </c>
      <c r="BC101" s="128">
        <v>1</v>
      </c>
      <c r="BD101" s="128">
        <v>1</v>
      </c>
      <c r="BE101" s="128">
        <v>1</v>
      </c>
      <c r="BF101" s="128">
        <v>1</v>
      </c>
      <c r="BG101" s="128">
        <v>1</v>
      </c>
      <c r="BH101" s="128">
        <v>1</v>
      </c>
      <c r="BI101" s="128">
        <v>1</v>
      </c>
      <c r="BJ101" s="128">
        <v>1</v>
      </c>
      <c r="BK101" s="128">
        <v>1</v>
      </c>
      <c r="BL101" s="128">
        <v>1</v>
      </c>
      <c r="BM101" s="128">
        <v>1</v>
      </c>
      <c r="BN101" s="128">
        <v>1</v>
      </c>
      <c r="BO101" s="128">
        <v>1</v>
      </c>
      <c r="BP101" s="128">
        <v>1</v>
      </c>
      <c r="BQ101" s="128">
        <v>1</v>
      </c>
      <c r="BR101" s="128">
        <v>1</v>
      </c>
      <c r="BS101" s="128">
        <v>1</v>
      </c>
      <c r="BT101" s="128">
        <v>1</v>
      </c>
      <c r="BU101" s="128">
        <v>1</v>
      </c>
      <c r="BV101" s="128">
        <v>1</v>
      </c>
      <c r="BW101" s="128">
        <v>1</v>
      </c>
      <c r="BX101" s="128">
        <v>1</v>
      </c>
      <c r="BY101" s="128">
        <v>1</v>
      </c>
      <c r="BZ101" s="128">
        <v>1</v>
      </c>
      <c r="CA101" s="128">
        <v>1</v>
      </c>
      <c r="CB101" s="128">
        <v>1</v>
      </c>
      <c r="CC101" s="128">
        <v>1</v>
      </c>
      <c r="CD101" s="128">
        <v>1</v>
      </c>
      <c r="CE101" s="128">
        <v>1</v>
      </c>
      <c r="CF101" s="128">
        <v>1</v>
      </c>
      <c r="CG101" s="128">
        <v>1</v>
      </c>
      <c r="CH101" s="128">
        <v>1</v>
      </c>
      <c r="CI101" s="128">
        <v>1</v>
      </c>
      <c r="CJ101" s="128">
        <v>1</v>
      </c>
      <c r="CK101" s="128">
        <v>1</v>
      </c>
      <c r="CL101" s="128">
        <v>1</v>
      </c>
      <c r="CM101" s="128">
        <v>1</v>
      </c>
      <c r="CN101" s="128">
        <v>1</v>
      </c>
      <c r="CO101" s="128">
        <v>1</v>
      </c>
      <c r="CP101" s="128">
        <v>1</v>
      </c>
      <c r="CQ101" s="128">
        <v>1</v>
      </c>
      <c r="CR101" s="128">
        <v>1</v>
      </c>
      <c r="CS101" s="128">
        <v>1</v>
      </c>
      <c r="CT101" s="128">
        <v>1</v>
      </c>
      <c r="CU101" s="128">
        <v>1</v>
      </c>
      <c r="CV101" s="128">
        <v>1</v>
      </c>
      <c r="CW101" s="128">
        <v>1</v>
      </c>
      <c r="CX101" s="128">
        <v>1</v>
      </c>
      <c r="CZ101" s="126">
        <f>SUMIF(MatrixF0[[1]:[2]],MatrixF0[[#This Row],[Столбец1]])/MatrixF0[[#This Row],[Столбец1]]</f>
        <v>0</v>
      </c>
    </row>
    <row r="102" spans="1:104" ht="21" customHeight="1" x14ac:dyDescent="0.25">
      <c r="A102" s="127">
        <v>1.99</v>
      </c>
      <c r="B102" s="128">
        <v>1</v>
      </c>
      <c r="C102" s="128">
        <v>1</v>
      </c>
      <c r="D102" s="128">
        <v>1</v>
      </c>
      <c r="E102" s="128">
        <v>1</v>
      </c>
      <c r="F102" s="128">
        <v>1</v>
      </c>
      <c r="G102" s="128">
        <v>1</v>
      </c>
      <c r="H102" s="128">
        <v>1</v>
      </c>
      <c r="I102" s="128">
        <v>1</v>
      </c>
      <c r="J102" s="128">
        <v>1</v>
      </c>
      <c r="K102" s="128">
        <v>1</v>
      </c>
      <c r="L102" s="128">
        <v>1</v>
      </c>
      <c r="M102" s="128">
        <v>1</v>
      </c>
      <c r="N102" s="128">
        <v>1</v>
      </c>
      <c r="O102" s="128">
        <v>1</v>
      </c>
      <c r="P102" s="128">
        <v>1</v>
      </c>
      <c r="Q102" s="128">
        <v>1</v>
      </c>
      <c r="R102" s="128">
        <v>1</v>
      </c>
      <c r="S102" s="128">
        <v>1</v>
      </c>
      <c r="T102" s="128">
        <v>1</v>
      </c>
      <c r="U102" s="128">
        <v>1</v>
      </c>
      <c r="V102" s="128">
        <v>1</v>
      </c>
      <c r="W102" s="128">
        <v>1</v>
      </c>
      <c r="X102" s="128">
        <v>1</v>
      </c>
      <c r="Y102" s="128">
        <v>1</v>
      </c>
      <c r="Z102" s="128">
        <v>1</v>
      </c>
      <c r="AA102" s="128">
        <v>1</v>
      </c>
      <c r="AB102" s="128">
        <v>1</v>
      </c>
      <c r="AC102" s="128">
        <v>1</v>
      </c>
      <c r="AD102" s="128">
        <v>1</v>
      </c>
      <c r="AE102" s="128">
        <v>1</v>
      </c>
      <c r="AF102" s="128">
        <v>1</v>
      </c>
      <c r="AG102" s="128">
        <v>1</v>
      </c>
      <c r="AH102" s="128">
        <v>1</v>
      </c>
      <c r="AI102" s="128">
        <v>1</v>
      </c>
      <c r="AJ102" s="128">
        <v>1</v>
      </c>
      <c r="AK102" s="128">
        <v>1</v>
      </c>
      <c r="AL102" s="128">
        <v>1</v>
      </c>
      <c r="AM102" s="128">
        <v>1</v>
      </c>
      <c r="AN102" s="128">
        <v>1</v>
      </c>
      <c r="AO102" s="128">
        <v>1</v>
      </c>
      <c r="AP102" s="128">
        <v>1</v>
      </c>
      <c r="AQ102" s="128">
        <v>1</v>
      </c>
      <c r="AR102" s="128">
        <v>1</v>
      </c>
      <c r="AS102" s="128">
        <v>1</v>
      </c>
      <c r="AT102" s="128">
        <v>1</v>
      </c>
      <c r="AU102" s="128">
        <v>1</v>
      </c>
      <c r="AV102" s="128">
        <v>1</v>
      </c>
      <c r="AW102" s="128">
        <v>1</v>
      </c>
      <c r="AX102" s="128">
        <v>1</v>
      </c>
      <c r="AY102" s="128">
        <v>1</v>
      </c>
      <c r="AZ102" s="128">
        <v>1</v>
      </c>
      <c r="BA102" s="128">
        <v>1</v>
      </c>
      <c r="BB102" s="128">
        <v>1</v>
      </c>
      <c r="BC102" s="128">
        <v>1</v>
      </c>
      <c r="BD102" s="128">
        <v>1</v>
      </c>
      <c r="BE102" s="128">
        <v>1</v>
      </c>
      <c r="BF102" s="128">
        <v>1</v>
      </c>
      <c r="BG102" s="128">
        <v>1</v>
      </c>
      <c r="BH102" s="128">
        <v>1</v>
      </c>
      <c r="BI102" s="128">
        <v>1</v>
      </c>
      <c r="BJ102" s="128">
        <v>1</v>
      </c>
      <c r="BK102" s="128">
        <v>1</v>
      </c>
      <c r="BL102" s="128">
        <v>1</v>
      </c>
      <c r="BM102" s="128">
        <v>1</v>
      </c>
      <c r="BN102" s="128">
        <v>1</v>
      </c>
      <c r="BO102" s="128">
        <v>1</v>
      </c>
      <c r="BP102" s="128">
        <v>1</v>
      </c>
      <c r="BQ102" s="128">
        <v>1</v>
      </c>
      <c r="BR102" s="128">
        <v>1</v>
      </c>
      <c r="BS102" s="128">
        <v>1</v>
      </c>
      <c r="BT102" s="128">
        <v>1</v>
      </c>
      <c r="BU102" s="128">
        <v>1</v>
      </c>
      <c r="BV102" s="128">
        <v>1</v>
      </c>
      <c r="BW102" s="128">
        <v>1</v>
      </c>
      <c r="BX102" s="128">
        <v>1</v>
      </c>
      <c r="BY102" s="128">
        <v>1</v>
      </c>
      <c r="BZ102" s="128">
        <v>1</v>
      </c>
      <c r="CA102" s="128">
        <v>1</v>
      </c>
      <c r="CB102" s="128">
        <v>1</v>
      </c>
      <c r="CC102" s="128">
        <v>1</v>
      </c>
      <c r="CD102" s="128">
        <v>1</v>
      </c>
      <c r="CE102" s="128">
        <v>1</v>
      </c>
      <c r="CF102" s="128">
        <v>1</v>
      </c>
      <c r="CG102" s="128">
        <v>1</v>
      </c>
      <c r="CH102" s="128">
        <v>1</v>
      </c>
      <c r="CI102" s="128">
        <v>1</v>
      </c>
      <c r="CJ102" s="128">
        <v>1</v>
      </c>
      <c r="CK102" s="128">
        <v>1</v>
      </c>
      <c r="CL102" s="128">
        <v>1</v>
      </c>
      <c r="CM102" s="128">
        <v>1</v>
      </c>
      <c r="CN102" s="128">
        <v>1</v>
      </c>
      <c r="CO102" s="128">
        <v>1</v>
      </c>
      <c r="CP102" s="128">
        <v>1</v>
      </c>
      <c r="CQ102" s="128">
        <v>1</v>
      </c>
      <c r="CR102" s="128">
        <v>1</v>
      </c>
      <c r="CS102" s="128">
        <v>1</v>
      </c>
      <c r="CT102" s="128">
        <v>1</v>
      </c>
      <c r="CU102" s="128">
        <v>1</v>
      </c>
      <c r="CV102" s="128">
        <v>1</v>
      </c>
      <c r="CW102" s="128">
        <v>1</v>
      </c>
      <c r="CX102" s="128">
        <v>1</v>
      </c>
      <c r="CZ102" s="126">
        <f>SUMIF(MatrixF0[[1]:[2]],MatrixF0[[#This Row],[Столбец1]])/MatrixF0[[#This Row],[Столбец1]]</f>
        <v>0</v>
      </c>
    </row>
    <row r="103" spans="1:104" s="1" customFormat="1" ht="21" customHeight="1" thickBot="1" x14ac:dyDescent="0.3">
      <c r="A103" s="127">
        <v>2</v>
      </c>
      <c r="B103" s="128">
        <v>1</v>
      </c>
      <c r="C103" s="128">
        <v>1</v>
      </c>
      <c r="D103" s="128">
        <v>1</v>
      </c>
      <c r="E103" s="128">
        <v>1</v>
      </c>
      <c r="F103" s="128">
        <v>1</v>
      </c>
      <c r="G103" s="128">
        <v>1</v>
      </c>
      <c r="H103" s="128">
        <v>1</v>
      </c>
      <c r="I103" s="128">
        <v>1</v>
      </c>
      <c r="J103" s="128">
        <v>1</v>
      </c>
      <c r="K103" s="128">
        <v>1</v>
      </c>
      <c r="L103" s="128">
        <v>1</v>
      </c>
      <c r="M103" s="128">
        <v>1</v>
      </c>
      <c r="N103" s="128">
        <v>1</v>
      </c>
      <c r="O103" s="128">
        <v>1</v>
      </c>
      <c r="P103" s="128">
        <v>1</v>
      </c>
      <c r="Q103" s="128">
        <v>1</v>
      </c>
      <c r="R103" s="128">
        <v>1</v>
      </c>
      <c r="S103" s="128">
        <v>1</v>
      </c>
      <c r="T103" s="128">
        <v>1</v>
      </c>
      <c r="U103" s="128">
        <v>1</v>
      </c>
      <c r="V103" s="128">
        <v>1</v>
      </c>
      <c r="W103" s="128">
        <v>1</v>
      </c>
      <c r="X103" s="128">
        <v>1</v>
      </c>
      <c r="Y103" s="128">
        <v>1</v>
      </c>
      <c r="Z103" s="128">
        <v>1</v>
      </c>
      <c r="AA103" s="128">
        <v>1</v>
      </c>
      <c r="AB103" s="128">
        <v>1</v>
      </c>
      <c r="AC103" s="128">
        <v>1</v>
      </c>
      <c r="AD103" s="128">
        <v>1</v>
      </c>
      <c r="AE103" s="128">
        <v>1</v>
      </c>
      <c r="AF103" s="128">
        <v>1</v>
      </c>
      <c r="AG103" s="128">
        <v>1</v>
      </c>
      <c r="AH103" s="128">
        <v>1</v>
      </c>
      <c r="AI103" s="128">
        <v>1</v>
      </c>
      <c r="AJ103" s="128">
        <v>1</v>
      </c>
      <c r="AK103" s="128">
        <v>1</v>
      </c>
      <c r="AL103" s="128">
        <v>1</v>
      </c>
      <c r="AM103" s="128">
        <v>1</v>
      </c>
      <c r="AN103" s="128">
        <v>1</v>
      </c>
      <c r="AO103" s="128">
        <v>1</v>
      </c>
      <c r="AP103" s="128">
        <v>1</v>
      </c>
      <c r="AQ103" s="128">
        <v>1</v>
      </c>
      <c r="AR103" s="128">
        <v>1</v>
      </c>
      <c r="AS103" s="128">
        <v>1</v>
      </c>
      <c r="AT103" s="128">
        <v>1</v>
      </c>
      <c r="AU103" s="128">
        <v>1</v>
      </c>
      <c r="AV103" s="128">
        <v>1</v>
      </c>
      <c r="AW103" s="128">
        <v>1</v>
      </c>
      <c r="AX103" s="128">
        <v>1</v>
      </c>
      <c r="AY103" s="128">
        <v>1</v>
      </c>
      <c r="AZ103" s="128">
        <v>1</v>
      </c>
      <c r="BA103" s="128">
        <v>1</v>
      </c>
      <c r="BB103" s="128">
        <v>1</v>
      </c>
      <c r="BC103" s="128">
        <v>1</v>
      </c>
      <c r="BD103" s="128">
        <v>1</v>
      </c>
      <c r="BE103" s="128">
        <v>1</v>
      </c>
      <c r="BF103" s="128">
        <v>1</v>
      </c>
      <c r="BG103" s="128">
        <v>1</v>
      </c>
      <c r="BH103" s="128">
        <v>1</v>
      </c>
      <c r="BI103" s="128">
        <v>1</v>
      </c>
      <c r="BJ103" s="128">
        <v>1</v>
      </c>
      <c r="BK103" s="128">
        <v>1</v>
      </c>
      <c r="BL103" s="128">
        <v>1</v>
      </c>
      <c r="BM103" s="128">
        <v>1</v>
      </c>
      <c r="BN103" s="128">
        <v>1</v>
      </c>
      <c r="BO103" s="128">
        <v>1</v>
      </c>
      <c r="BP103" s="128">
        <v>1</v>
      </c>
      <c r="BQ103" s="128">
        <v>1</v>
      </c>
      <c r="BR103" s="128">
        <v>1</v>
      </c>
      <c r="BS103" s="128">
        <v>1</v>
      </c>
      <c r="BT103" s="128">
        <v>1</v>
      </c>
      <c r="BU103" s="128">
        <v>1</v>
      </c>
      <c r="BV103" s="128">
        <v>1</v>
      </c>
      <c r="BW103" s="128">
        <v>1</v>
      </c>
      <c r="BX103" s="128">
        <v>1</v>
      </c>
      <c r="BY103" s="128">
        <v>1</v>
      </c>
      <c r="BZ103" s="128">
        <v>1</v>
      </c>
      <c r="CA103" s="128">
        <v>1</v>
      </c>
      <c r="CB103" s="128">
        <v>1</v>
      </c>
      <c r="CC103" s="128">
        <v>1</v>
      </c>
      <c r="CD103" s="128">
        <v>1</v>
      </c>
      <c r="CE103" s="128">
        <v>1</v>
      </c>
      <c r="CF103" s="128">
        <v>1</v>
      </c>
      <c r="CG103" s="128">
        <v>1</v>
      </c>
      <c r="CH103" s="128">
        <v>1</v>
      </c>
      <c r="CI103" s="128">
        <v>1</v>
      </c>
      <c r="CJ103" s="128">
        <v>1</v>
      </c>
      <c r="CK103" s="128">
        <v>1</v>
      </c>
      <c r="CL103" s="128">
        <v>1</v>
      </c>
      <c r="CM103" s="128">
        <v>1</v>
      </c>
      <c r="CN103" s="128">
        <v>1</v>
      </c>
      <c r="CO103" s="128">
        <v>1</v>
      </c>
      <c r="CP103" s="128">
        <v>1</v>
      </c>
      <c r="CQ103" s="128">
        <v>1</v>
      </c>
      <c r="CR103" s="128">
        <v>1</v>
      </c>
      <c r="CS103" s="128">
        <v>1</v>
      </c>
      <c r="CT103" s="128">
        <v>1</v>
      </c>
      <c r="CU103" s="128">
        <v>1</v>
      </c>
      <c r="CV103" s="128">
        <v>1</v>
      </c>
      <c r="CW103" s="128">
        <v>1</v>
      </c>
      <c r="CX103" s="128">
        <v>1</v>
      </c>
      <c r="CZ103" s="126">
        <f>SUMIF(MatrixF0[[1]:[2]],MatrixF0[[#This Row],[Столбец1]])/MatrixF0[[#This Row],[Столбец1]]</f>
        <v>0</v>
      </c>
    </row>
    <row r="105" spans="1:104" s="126" customFormat="1" ht="21" customHeight="1" x14ac:dyDescent="0.25">
      <c r="B105" s="126">
        <f>SUMIF(MatrixF0[[1]:[2]],MatrixF0[[#Headers],[1]])/MatrixF0[[#Headers],[1]]</f>
        <v>10201</v>
      </c>
      <c r="C105" s="126">
        <f>SUMIF(MatrixF0[[1]:[2]],MatrixF0[[#Headers],[1,01]])/MatrixF0[[#Headers],[1,01]]</f>
        <v>0</v>
      </c>
      <c r="D105" s="126">
        <f>SUMIF(MatrixF0[[1]:[2]],MatrixF0[[#Headers],[1,02]])/MatrixF0[[#Headers],[1,02]]</f>
        <v>0</v>
      </c>
      <c r="E105" s="126">
        <f>SUMIF(MatrixF0[[1]:[2]],MatrixF0[[#Headers],[1,03]])/MatrixF0[[#Headers],[1,03]]</f>
        <v>0</v>
      </c>
      <c r="F105" s="126">
        <f>SUMIF(MatrixF0[[1]:[2]],MatrixF0[[#Headers],[1,04]])/MatrixF0[[#Headers],[1,04]]</f>
        <v>0</v>
      </c>
      <c r="G105" s="126">
        <f>SUMIF(MatrixF0[[1]:[2]],MatrixF0[[#Headers],[1,05]])/MatrixF0[[#Headers],[1,05]]</f>
        <v>0</v>
      </c>
      <c r="H105" s="126">
        <f>SUMIF(MatrixF0[[1]:[2]],MatrixF0[[#Headers],[1,06]])/MatrixF0[[#Headers],[1,06]]</f>
        <v>0</v>
      </c>
      <c r="I105" s="126">
        <f>SUMIF(MatrixF0[[1]:[2]],MatrixF0[[#Headers],[1,07]])/MatrixF0[[#Headers],[1,07]]</f>
        <v>0</v>
      </c>
      <c r="J105" s="126">
        <f>SUMIF(MatrixF0[[1]:[2]],MatrixF0[[#Headers],[1,08]])/MatrixF0[[#Headers],[1,08]]</f>
        <v>0</v>
      </c>
      <c r="K105" s="126">
        <f>SUMIF(MatrixF0[[1]:[2]],MatrixF0[[#Headers],[1,09]])/MatrixF0[[#Headers],[1,09]]</f>
        <v>0</v>
      </c>
      <c r="L105" s="126">
        <f>SUMIF(MatrixF0[[1]:[2]],MatrixF0[[#Headers],[1,1]])/MatrixF0[[#Headers],[1,1]]</f>
        <v>0</v>
      </c>
      <c r="M105" s="126">
        <f>SUMIF(MatrixF0[[1]:[2]],MatrixF0[[#Headers],[1,11]])/MatrixF0[[#Headers],[1,11]]</f>
        <v>0</v>
      </c>
      <c r="N105" s="126">
        <f>SUMIF(MatrixF0[[1]:[2]],MatrixF0[[#Headers],[1,12]])/MatrixF0[[#Headers],[1,12]]</f>
        <v>0</v>
      </c>
      <c r="O105" s="126">
        <f>SUMIF(MatrixF0[[1]:[2]],MatrixF0[[#Headers],[1,13]])/MatrixF0[[#Headers],[1,13]]</f>
        <v>0</v>
      </c>
      <c r="P105" s="126">
        <f>SUMIF(MatrixF0[[1]:[2]],MatrixF0[[#Headers],[1,14]])/MatrixF0[[#Headers],[1,14]]</f>
        <v>0</v>
      </c>
      <c r="Q105" s="126">
        <f>SUMIF(MatrixF0[[1]:[2]],MatrixF0[[#Headers],[1,15]])/MatrixF0[[#Headers],[1,15]]</f>
        <v>0</v>
      </c>
      <c r="R105" s="126">
        <f>SUMIF(MatrixF0[[1]:[2]],MatrixF0[[#Headers],[1,16]])/MatrixF0[[#Headers],[1,16]]</f>
        <v>0</v>
      </c>
      <c r="S105" s="126">
        <f>SUMIF(MatrixF0[[1]:[2]],MatrixF0[[#Headers],[1,17]])/MatrixF0[[#Headers],[1,17]]</f>
        <v>0</v>
      </c>
      <c r="T105" s="126">
        <f>SUMIF(MatrixF0[[1]:[2]],MatrixF0[[#Headers],[1,18]])/MatrixF0[[#Headers],[1,18]]</f>
        <v>0</v>
      </c>
      <c r="U105" s="126">
        <f>SUMIF(MatrixF0[[1]:[2]],MatrixF0[[#Headers],[1,19]])/MatrixF0[[#Headers],[1,19]]</f>
        <v>0</v>
      </c>
      <c r="V105" s="126">
        <f>SUMIF(MatrixF0[[1]:[2]],MatrixF0[[#Headers],[1,2]])/MatrixF0[[#Headers],[1,2]]</f>
        <v>0</v>
      </c>
      <c r="W105" s="126">
        <f>SUMIF(MatrixF0[[1]:[2]],MatrixF0[[#Headers],[1,21]])/MatrixF0[[#Headers],[1,21]]</f>
        <v>0</v>
      </c>
      <c r="X105" s="126">
        <f>SUMIF(MatrixF0[[1]:[2]],MatrixF0[[#Headers],[1,22]])/MatrixF0[[#Headers],[1,22]]</f>
        <v>0</v>
      </c>
      <c r="Y105" s="126">
        <f>SUMIF(MatrixF0[[1]:[2]],MatrixF0[[#Headers],[1,23]])/MatrixF0[[#Headers],[1,23]]</f>
        <v>0</v>
      </c>
      <c r="Z105" s="126">
        <f>SUMIF(MatrixF0[[1]:[2]],MatrixF0[[#Headers],[1,24]])/MatrixF0[[#Headers],[1,24]]</f>
        <v>0</v>
      </c>
      <c r="AA105" s="126">
        <f>SUMIF(MatrixF0[[1]:[2]],MatrixF0[[#Headers],[1,25]])/MatrixF0[[#Headers],[1,25]]</f>
        <v>0</v>
      </c>
      <c r="AB105" s="126">
        <f>SUMIF(MatrixF0[[1]:[2]],MatrixF0[[#Headers],[1,26]])/MatrixF0[[#Headers],[1,26]]</f>
        <v>0</v>
      </c>
      <c r="AC105" s="126">
        <f>SUMIF(MatrixF0[[1]:[2]],MatrixF0[[#Headers],[1,27]])/MatrixF0[[#Headers],[1,27]]</f>
        <v>0</v>
      </c>
      <c r="AD105" s="126">
        <f>SUMIF(MatrixF0[[1]:[2]],MatrixF0[[#Headers],[1,28]])/MatrixF0[[#Headers],[1,28]]</f>
        <v>0</v>
      </c>
      <c r="AE105" s="126">
        <f>SUMIF(MatrixF0[[1]:[2]],MatrixF0[[#Headers],[1,29]])/MatrixF0[[#Headers],[1,29]]</f>
        <v>0</v>
      </c>
      <c r="AF105" s="126">
        <f>SUMIF(MatrixF0[[1]:[2]],MatrixF0[[#Headers],[1,3]])/MatrixF0[[#Headers],[1,3]]</f>
        <v>0</v>
      </c>
      <c r="AG105" s="126">
        <f>SUMIF(MatrixF0[[1]:[2]],MatrixF0[[#Headers],[1,31]])/MatrixF0[[#Headers],[1,31]]</f>
        <v>0</v>
      </c>
      <c r="AH105" s="126">
        <f>SUMIF(MatrixF0[[1]:[2]],MatrixF0[[#Headers],[1,32]])/MatrixF0[[#Headers],[1,32]]</f>
        <v>0</v>
      </c>
      <c r="AI105" s="126">
        <f>SUMIF(MatrixF0[[1]:[2]],MatrixF0[[#Headers],[1,33]])/MatrixF0[[#Headers],[1,33]]</f>
        <v>0</v>
      </c>
      <c r="AJ105" s="126">
        <f>SUMIF(MatrixF0[[1]:[2]],MatrixF0[[#Headers],[1,34]])/MatrixF0[[#Headers],[1,34]]</f>
        <v>0</v>
      </c>
      <c r="AK105" s="126">
        <f>SUMIF(MatrixF0[[1]:[2]],MatrixF0[[#Headers],[1,35]])/MatrixF0[[#Headers],[1,35]]</f>
        <v>0</v>
      </c>
      <c r="AL105" s="126">
        <f>SUMIF(MatrixF0[[1]:[2]],MatrixF0[[#Headers],[1,36]])/MatrixF0[[#Headers],[1,36]]</f>
        <v>0</v>
      </c>
      <c r="AM105" s="126">
        <f>SUMIF(MatrixF0[[1]:[2]],MatrixF0[[#Headers],[1,37]])/MatrixF0[[#Headers],[1,37]]</f>
        <v>0</v>
      </c>
      <c r="AN105" s="126">
        <f>SUMIF(MatrixF0[[1]:[2]],MatrixF0[[#Headers],[1,38]])/MatrixF0[[#Headers],[1,38]]</f>
        <v>0</v>
      </c>
      <c r="AO105" s="126">
        <f>SUMIF(MatrixF0[[1]:[2]],MatrixF0[[#Headers],[1,39]])/MatrixF0[[#Headers],[1,39]]</f>
        <v>0</v>
      </c>
      <c r="AP105" s="126">
        <f>SUMIF(MatrixF0[[1]:[2]],MatrixF0[[#Headers],[1,4]])/MatrixF0[[#Headers],[1,4]]</f>
        <v>0</v>
      </c>
      <c r="AQ105" s="126">
        <f>SUMIF(MatrixF0[[1]:[2]],MatrixF0[[#Headers],[1,41]])/MatrixF0[[#Headers],[1,41]]</f>
        <v>0</v>
      </c>
      <c r="AR105" s="126">
        <f>SUMIF(MatrixF0[[1]:[2]],MatrixF0[[#Headers],[1,42]])/MatrixF0[[#Headers],[1,42]]</f>
        <v>0</v>
      </c>
      <c r="AS105" s="126">
        <f>SUMIF(MatrixF0[[1]:[2]],MatrixF0[[#Headers],[1,43]])/MatrixF0[[#Headers],[1,43]]</f>
        <v>0</v>
      </c>
      <c r="AT105" s="126">
        <f>SUMIF(MatrixF0[[1]:[2]],MatrixF0[[#Headers],[1,44]])/MatrixF0[[#Headers],[1,44]]</f>
        <v>0</v>
      </c>
      <c r="AU105" s="126">
        <f>SUMIF(MatrixF0[[1]:[2]],MatrixF0[[#Headers],[1,45]])/MatrixF0[[#Headers],[1,45]]</f>
        <v>0</v>
      </c>
      <c r="AV105" s="126">
        <f>SUMIF(MatrixF0[[1]:[2]],MatrixF0[[#Headers],[1,46]])/MatrixF0[[#Headers],[1,46]]</f>
        <v>0</v>
      </c>
      <c r="AW105" s="126">
        <f>SUMIF(MatrixF0[[1]:[2]],MatrixF0[[#Headers],[1,47]])/MatrixF0[[#Headers],[1,47]]</f>
        <v>0</v>
      </c>
      <c r="AX105" s="126">
        <f>SUMIF(MatrixF0[[1]:[2]],MatrixF0[[#Headers],[1,48]])/MatrixF0[[#Headers],[1,48]]</f>
        <v>0</v>
      </c>
      <c r="AY105" s="126">
        <f>SUMIF(MatrixF0[[1]:[2]],MatrixF0[[#Headers],[1,49]])/MatrixF0[[#Headers],[1,49]]</f>
        <v>0</v>
      </c>
      <c r="AZ105" s="126">
        <f>SUMIF(MatrixF0[[1]:[2]],MatrixF0[[#Headers],[1,5]])/MatrixF0[[#Headers],[1,5]]</f>
        <v>0</v>
      </c>
      <c r="BA105" s="126">
        <f>SUMIF(MatrixF0[[1]:[2]],MatrixF0[[#Headers],[1,51]])/MatrixF0[[#Headers],[1,51]]</f>
        <v>0</v>
      </c>
      <c r="BB105" s="126">
        <f>SUMIF(MatrixF0[[1]:[2]],MatrixF0[[#Headers],[1,52]])/MatrixF0[[#Headers],[1,52]]</f>
        <v>0</v>
      </c>
      <c r="BC105" s="126">
        <f>SUMIF(MatrixF0[[1]:[2]],MatrixF0[[#Headers],[1,53]])/MatrixF0[[#Headers],[1,53]]</f>
        <v>0</v>
      </c>
      <c r="BD105" s="126">
        <f>SUMIF(MatrixF0[[1]:[2]],MatrixF0[[#Headers],[1,54]])/MatrixF0[[#Headers],[1,54]]</f>
        <v>0</v>
      </c>
      <c r="BE105" s="126">
        <f>SUMIF(MatrixF0[[1]:[2]],MatrixF0[[#Headers],[1,55]])/MatrixF0[[#Headers],[1,55]]</f>
        <v>0</v>
      </c>
      <c r="BF105" s="126">
        <f>SUMIF(MatrixF0[[1]:[2]],MatrixF0[[#Headers],[1,56]])/MatrixF0[[#Headers],[1,56]]</f>
        <v>0</v>
      </c>
      <c r="BG105" s="126">
        <f>SUMIF(MatrixF0[[1]:[2]],MatrixF0[[#Headers],[1,57]])/MatrixF0[[#Headers],[1,57]]</f>
        <v>0</v>
      </c>
      <c r="BH105" s="126">
        <f>SUMIF(MatrixF0[[1]:[2]],MatrixF0[[#Headers],[1,58]])/MatrixF0[[#Headers],[1,58]]</f>
        <v>0</v>
      </c>
      <c r="BI105" s="126">
        <f>SUMIF(MatrixF0[[1]:[2]],MatrixF0[[#Headers],[1,59]])/MatrixF0[[#Headers],[1,59]]</f>
        <v>0</v>
      </c>
      <c r="BJ105" s="126">
        <f>SUMIF(MatrixF0[[1]:[2]],MatrixF0[[#Headers],[1,6]])/MatrixF0[[#Headers],[1,6]]</f>
        <v>0</v>
      </c>
      <c r="BK105" s="126">
        <f>SUMIF(MatrixF0[[1]:[2]],MatrixF0[[#Headers],[1,61]])/MatrixF0[[#Headers],[1,61]]</f>
        <v>0</v>
      </c>
      <c r="BL105" s="126">
        <f>SUMIF(MatrixF0[[1]:[2]],MatrixF0[[#Headers],[1,62]])/MatrixF0[[#Headers],[1,62]]</f>
        <v>0</v>
      </c>
      <c r="BM105" s="126">
        <f>SUMIF(MatrixF0[[1]:[2]],MatrixF0[[#Headers],[1,63]])/MatrixF0[[#Headers],[1,63]]</f>
        <v>0</v>
      </c>
      <c r="BN105" s="126">
        <f>SUMIF(MatrixF0[[1]:[2]],MatrixF0[[#Headers],[1,64]])/MatrixF0[[#Headers],[1,64]]</f>
        <v>0</v>
      </c>
      <c r="BO105" s="126">
        <f>SUMIF(MatrixF0[[1]:[2]],MatrixF0[[#Headers],[1,65]])/MatrixF0[[#Headers],[1,65]]</f>
        <v>0</v>
      </c>
      <c r="BP105" s="126">
        <f>SUMIF(MatrixF0[[1]:[2]],MatrixF0[[#Headers],[1,66]])/MatrixF0[[#Headers],[1,66]]</f>
        <v>0</v>
      </c>
      <c r="BQ105" s="126">
        <f>SUMIF(MatrixF0[[1]:[2]],MatrixF0[[#Headers],[1,67]])/MatrixF0[[#Headers],[1,67]]</f>
        <v>0</v>
      </c>
      <c r="BR105" s="126">
        <f>SUMIF(MatrixF0[[1]:[2]],MatrixF0[[#Headers],[1,68]])/MatrixF0[[#Headers],[1,68]]</f>
        <v>0</v>
      </c>
      <c r="BS105" s="126">
        <f>SUMIF(MatrixF0[[1]:[2]],MatrixF0[[#Headers],[1,69]])/MatrixF0[[#Headers],[1,69]]</f>
        <v>0</v>
      </c>
      <c r="BT105" s="126">
        <f>SUMIF(MatrixF0[[1]:[2]],MatrixF0[[#Headers],[1,7]])/MatrixF0[[#Headers],[1,7]]</f>
        <v>0</v>
      </c>
      <c r="BU105" s="126">
        <f>SUMIF(MatrixF0[[1]:[2]],MatrixF0[[#Headers],[1,71]])/MatrixF0[[#Headers],[1,71]]</f>
        <v>0</v>
      </c>
      <c r="BV105" s="126">
        <f>SUMIF(MatrixF0[[1]:[2]],MatrixF0[[#Headers],[1,72]])/MatrixF0[[#Headers],[1,72]]</f>
        <v>0</v>
      </c>
      <c r="BW105" s="126">
        <f>SUMIF(MatrixF0[[1]:[2]],MatrixF0[[#Headers],[1,73]])/MatrixF0[[#Headers],[1,73]]</f>
        <v>0</v>
      </c>
      <c r="BX105" s="126">
        <f>SUMIF(MatrixF0[[1]:[2]],MatrixF0[[#Headers],[1,74]])/MatrixF0[[#Headers],[1,74]]</f>
        <v>0</v>
      </c>
      <c r="BY105" s="126">
        <f>SUMIF(MatrixF0[[1]:[2]],MatrixF0[[#Headers],[1,75]])/MatrixF0[[#Headers],[1,75]]</f>
        <v>0</v>
      </c>
      <c r="BZ105" s="126">
        <f>SUMIF(MatrixF0[[1]:[2]],MatrixF0[[#Headers],[1,76]])/MatrixF0[[#Headers],[1,76]]</f>
        <v>0</v>
      </c>
      <c r="CA105" s="126">
        <f>SUMIF(MatrixF0[[1]:[2]],MatrixF0[[#Headers],[1,77]])/MatrixF0[[#Headers],[1,77]]</f>
        <v>0</v>
      </c>
      <c r="CB105" s="126">
        <f>SUMIF(MatrixF0[[1]:[2]],MatrixF0[[#Headers],[1,78]])/MatrixF0[[#Headers],[1,78]]</f>
        <v>0</v>
      </c>
      <c r="CC105" s="126">
        <f>SUMIF(MatrixF0[[1]:[2]],MatrixF0[[#Headers],[1,79]])/MatrixF0[[#Headers],[1,79]]</f>
        <v>0</v>
      </c>
      <c r="CD105" s="126">
        <f>SUMIF(MatrixF0[[1]:[2]],MatrixF0[[#Headers],[1,8]])/MatrixF0[[#Headers],[1,8]]</f>
        <v>0</v>
      </c>
      <c r="CE105" s="126">
        <f>SUMIF(MatrixF0[[1]:[2]],MatrixF0[[#Headers],[1,81]])/MatrixF0[[#Headers],[1,81]]</f>
        <v>0</v>
      </c>
      <c r="CF105" s="126">
        <f>SUMIF(MatrixF0[[1]:[2]],MatrixF0[[#Headers],[1,82]])/MatrixF0[[#Headers],[1,82]]</f>
        <v>0</v>
      </c>
      <c r="CG105" s="126">
        <f>SUMIF(MatrixF0[[1]:[2]],MatrixF0[[#Headers],[1,83]])/MatrixF0[[#Headers],[1,83]]</f>
        <v>0</v>
      </c>
      <c r="CH105" s="126">
        <f>SUMIF(MatrixF0[[1]:[2]],MatrixF0[[#Headers],[1,84]])/MatrixF0[[#Headers],[1,84]]</f>
        <v>0</v>
      </c>
      <c r="CI105" s="126">
        <f>SUMIF(MatrixF0[[1]:[2]],MatrixF0[[#Headers],[1,85]])/MatrixF0[[#Headers],[1,85]]</f>
        <v>0</v>
      </c>
      <c r="CJ105" s="126">
        <f>SUMIF(MatrixF0[[1]:[2]],MatrixF0[[#Headers],[1,86]])/MatrixF0[[#Headers],[1,86]]</f>
        <v>0</v>
      </c>
      <c r="CK105" s="126">
        <f>SUMIF(MatrixF0[[1]:[2]],MatrixF0[[#Headers],[1,87]])/MatrixF0[[#Headers],[1,87]]</f>
        <v>0</v>
      </c>
      <c r="CL105" s="126">
        <f>SUMIF(MatrixF0[[1]:[2]],MatrixF0[[#Headers],[1,88]])/MatrixF0[[#Headers],[1,88]]</f>
        <v>0</v>
      </c>
      <c r="CM105" s="126">
        <f>SUMIF(MatrixF0[[1]:[2]],MatrixF0[[#Headers],[1,89]])/MatrixF0[[#Headers],[1,89]]</f>
        <v>0</v>
      </c>
      <c r="CN105" s="126">
        <f>SUMIF(MatrixF0[[1]:[2]],MatrixF0[[#Headers],[1,9]])/MatrixF0[[#Headers],[1,9]]</f>
        <v>0</v>
      </c>
      <c r="CO105" s="126">
        <f>SUMIF(MatrixF0[[1]:[2]],MatrixF0[[#Headers],[1,91]])/MatrixF0[[#Headers],[1,91]]</f>
        <v>0</v>
      </c>
      <c r="CP105" s="126">
        <f>SUMIF(MatrixF0[[1]:[2]],MatrixF0[[#Headers],[1,92]])/MatrixF0[[#Headers],[1,92]]</f>
        <v>0</v>
      </c>
      <c r="CQ105" s="126">
        <f>SUMIF(MatrixF0[[1]:[2]],MatrixF0[[#Headers],[1,93]])/MatrixF0[[#Headers],[1,93]]</f>
        <v>0</v>
      </c>
      <c r="CR105" s="126">
        <f>SUMIF(MatrixF0[[1]:[2]],MatrixF0[[#Headers],[1,94]])/MatrixF0[[#Headers],[1,94]]</f>
        <v>0</v>
      </c>
      <c r="CS105" s="126">
        <f>SUMIF(MatrixF0[[1]:[2]],MatrixF0[[#Headers],[1,95]])/MatrixF0[[#Headers],[1,95]]</f>
        <v>0</v>
      </c>
      <c r="CT105" s="126">
        <f>SUMIF(MatrixF0[[1]:[2]],MatrixF0[[#Headers],[1,96]])/MatrixF0[[#Headers],[1,96]]</f>
        <v>0</v>
      </c>
      <c r="CU105" s="126">
        <f>SUMIF(MatrixF0[[1]:[2]],MatrixF0[[#Headers],[1,97]])/MatrixF0[[#Headers],[1,97]]</f>
        <v>0</v>
      </c>
      <c r="CV105" s="126">
        <f>SUMIF(MatrixF0[[1]:[2]],MatrixF0[[#Headers],[1,98]])/MatrixF0[[#Headers],[1,98]]</f>
        <v>0</v>
      </c>
      <c r="CW105" s="126">
        <f>SUMIF(MatrixF0[[1]:[2]],MatrixF0[[#Headers],[1,99]])/MatrixF0[[#Headers],[1,99]]</f>
        <v>0</v>
      </c>
      <c r="CX105" s="126">
        <f>SUMIF(MatrixF0[[1]:[2]],MatrixF0[[#Headers],[2]])/MatrixF0[[#Headers],[2]]</f>
        <v>0</v>
      </c>
      <c r="CZ105" s="126">
        <f>SUM(CZ3:CZ103)</f>
        <v>10201</v>
      </c>
    </row>
  </sheetData>
  <mergeCells count="1">
    <mergeCell ref="A1:C1"/>
  </mergeCells>
  <conditionalFormatting sqref="B3:CX103">
    <cfRule type="colorScale" priority="1">
      <colorScale>
        <cfvo type="min"/>
        <cfvo type="percentile" val="50"/>
        <cfvo type="max"/>
        <color rgb="FFF8696B"/>
        <color rgb="FFFFEB84"/>
        <color rgb="FF63BE7B"/>
      </colorScale>
    </cfRule>
  </conditionalFormatting>
  <hyperlinks>
    <hyperlink ref="A1:C1" location="Содержание!A1" display="&lt;&lt;НАЗАД" xr:uid="{00000000-0004-0000-0C00-000000000000}"/>
  </hyperlinks>
  <pageMargins left="0.7" right="0.7" top="0.75" bottom="0.75" header="0.3" footer="0.3"/>
  <pageSetup paperSize="9"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Лист611"/>
  <dimension ref="A1:CZ105"/>
  <sheetViews>
    <sheetView zoomScale="25" zoomScaleNormal="25" workbookViewId="0">
      <pane xSplit="1" ySplit="2" topLeftCell="I3" activePane="bottomRight" state="frozen"/>
      <selection pane="topRight" activeCell="B1" sqref="B1"/>
      <selection pane="bottomLeft" activeCell="A3" sqref="A3"/>
      <selection pane="bottomRight" activeCell="BG94" activeCellId="2" sqref="BG61:BG93 BG60:CX60 BG94:BG103"/>
    </sheetView>
  </sheetViews>
  <sheetFormatPr defaultColWidth="4.7109375" defaultRowHeight="21" customHeight="1" x14ac:dyDescent="0.25"/>
  <cols>
    <col min="1" max="102" width="4.7109375" style="2" customWidth="1"/>
    <col min="103" max="103" width="4.7109375" style="2"/>
    <col min="104" max="104" width="4.7109375" style="126" customWidth="1"/>
    <col min="105" max="16384" width="4.7109375" style="2"/>
  </cols>
  <sheetData>
    <row r="1" spans="1:104" ht="21" customHeight="1" x14ac:dyDescent="0.25">
      <c r="A1" s="261" t="s">
        <v>109</v>
      </c>
      <c r="B1" s="261"/>
      <c r="C1" s="261"/>
      <c r="E1" s="205">
        <v>1.57</v>
      </c>
      <c r="F1" s="206" t="s">
        <v>614</v>
      </c>
      <c r="G1" s="205">
        <f>COUNTIF(MatrixF1[[1]:[2]],"="&amp;E1)</f>
        <v>87</v>
      </c>
    </row>
    <row r="2" spans="1:104" ht="21" customHeight="1" x14ac:dyDescent="0.25">
      <c r="A2" s="2" t="s">
        <v>99</v>
      </c>
      <c r="B2" s="5" t="s">
        <v>100</v>
      </c>
      <c r="C2" s="5" t="s">
        <v>0</v>
      </c>
      <c r="D2" s="5" t="s">
        <v>1</v>
      </c>
      <c r="E2" s="5" t="s">
        <v>2</v>
      </c>
      <c r="F2" s="5" t="s">
        <v>3</v>
      </c>
      <c r="G2" s="5" t="s">
        <v>4</v>
      </c>
      <c r="H2" s="5" t="s">
        <v>5</v>
      </c>
      <c r="I2" s="5" t="s">
        <v>6</v>
      </c>
      <c r="J2" s="5" t="s">
        <v>7</v>
      </c>
      <c r="K2" s="5" t="s">
        <v>8</v>
      </c>
      <c r="L2" s="5" t="s">
        <v>9</v>
      </c>
      <c r="M2" s="5" t="s">
        <v>10</v>
      </c>
      <c r="N2" s="5" t="s">
        <v>11</v>
      </c>
      <c r="O2" s="5" t="s">
        <v>12</v>
      </c>
      <c r="P2" s="5" t="s">
        <v>13</v>
      </c>
      <c r="Q2" s="5" t="s">
        <v>14</v>
      </c>
      <c r="R2" s="5" t="s">
        <v>15</v>
      </c>
      <c r="S2" s="5" t="s">
        <v>16</v>
      </c>
      <c r="T2" s="5" t="s">
        <v>17</v>
      </c>
      <c r="U2" s="5" t="s">
        <v>18</v>
      </c>
      <c r="V2" s="5" t="s">
        <v>19</v>
      </c>
      <c r="W2" s="5" t="s">
        <v>20</v>
      </c>
      <c r="X2" s="5" t="s">
        <v>21</v>
      </c>
      <c r="Y2" s="5" t="s">
        <v>22</v>
      </c>
      <c r="Z2" s="5" t="s">
        <v>23</v>
      </c>
      <c r="AA2" s="5" t="s">
        <v>24</v>
      </c>
      <c r="AB2" s="5" t="s">
        <v>25</v>
      </c>
      <c r="AC2" s="5" t="s">
        <v>26</v>
      </c>
      <c r="AD2" s="5" t="s">
        <v>27</v>
      </c>
      <c r="AE2" s="5" t="s">
        <v>28</v>
      </c>
      <c r="AF2" s="5" t="s">
        <v>29</v>
      </c>
      <c r="AG2" s="5" t="s">
        <v>30</v>
      </c>
      <c r="AH2" s="5" t="s">
        <v>31</v>
      </c>
      <c r="AI2" s="5" t="s">
        <v>32</v>
      </c>
      <c r="AJ2" s="5" t="s">
        <v>33</v>
      </c>
      <c r="AK2" s="5" t="s">
        <v>34</v>
      </c>
      <c r="AL2" s="5" t="s">
        <v>35</v>
      </c>
      <c r="AM2" s="5" t="s">
        <v>36</v>
      </c>
      <c r="AN2" s="5" t="s">
        <v>37</v>
      </c>
      <c r="AO2" s="5" t="s">
        <v>38</v>
      </c>
      <c r="AP2" s="5" t="s">
        <v>39</v>
      </c>
      <c r="AQ2" s="5" t="s">
        <v>40</v>
      </c>
      <c r="AR2" s="5" t="s">
        <v>41</v>
      </c>
      <c r="AS2" s="5" t="s">
        <v>42</v>
      </c>
      <c r="AT2" s="5" t="s">
        <v>43</v>
      </c>
      <c r="AU2" s="5" t="s">
        <v>44</v>
      </c>
      <c r="AV2" s="5" t="s">
        <v>45</v>
      </c>
      <c r="AW2" s="5" t="s">
        <v>46</v>
      </c>
      <c r="AX2" s="5" t="s">
        <v>47</v>
      </c>
      <c r="AY2" s="5" t="s">
        <v>48</v>
      </c>
      <c r="AZ2" s="5" t="s">
        <v>49</v>
      </c>
      <c r="BA2" s="5" t="s">
        <v>50</v>
      </c>
      <c r="BB2" s="5" t="s">
        <v>51</v>
      </c>
      <c r="BC2" s="5" t="s">
        <v>52</v>
      </c>
      <c r="BD2" s="5" t="s">
        <v>53</v>
      </c>
      <c r="BE2" s="5" t="s">
        <v>54</v>
      </c>
      <c r="BF2" s="5" t="s">
        <v>55</v>
      </c>
      <c r="BG2" s="5" t="s">
        <v>56</v>
      </c>
      <c r="BH2" s="5" t="s">
        <v>57</v>
      </c>
      <c r="BI2" s="5" t="s">
        <v>58</v>
      </c>
      <c r="BJ2" s="5" t="s">
        <v>59</v>
      </c>
      <c r="BK2" s="5" t="s">
        <v>60</v>
      </c>
      <c r="BL2" s="5" t="s">
        <v>61</v>
      </c>
      <c r="BM2" s="5" t="s">
        <v>62</v>
      </c>
      <c r="BN2" s="5" t="s">
        <v>63</v>
      </c>
      <c r="BO2" s="5" t="s">
        <v>64</v>
      </c>
      <c r="BP2" s="5" t="s">
        <v>65</v>
      </c>
      <c r="BQ2" s="5" t="s">
        <v>66</v>
      </c>
      <c r="BR2" s="5" t="s">
        <v>67</v>
      </c>
      <c r="BS2" s="5" t="s">
        <v>68</v>
      </c>
      <c r="BT2" s="5" t="s">
        <v>69</v>
      </c>
      <c r="BU2" s="5" t="s">
        <v>70</v>
      </c>
      <c r="BV2" s="5" t="s">
        <v>71</v>
      </c>
      <c r="BW2" s="5" t="s">
        <v>72</v>
      </c>
      <c r="BX2" s="5" t="s">
        <v>73</v>
      </c>
      <c r="BY2" s="5" t="s">
        <v>74</v>
      </c>
      <c r="BZ2" s="5" t="s">
        <v>75</v>
      </c>
      <c r="CA2" s="5" t="s">
        <v>76</v>
      </c>
      <c r="CB2" s="5" t="s">
        <v>77</v>
      </c>
      <c r="CC2" s="5" t="s">
        <v>78</v>
      </c>
      <c r="CD2" s="5" t="s">
        <v>79</v>
      </c>
      <c r="CE2" s="5" t="s">
        <v>80</v>
      </c>
      <c r="CF2" s="5" t="s">
        <v>81</v>
      </c>
      <c r="CG2" s="5" t="s">
        <v>82</v>
      </c>
      <c r="CH2" s="5" t="s">
        <v>83</v>
      </c>
      <c r="CI2" s="5" t="s">
        <v>84</v>
      </c>
      <c r="CJ2" s="5" t="s">
        <v>85</v>
      </c>
      <c r="CK2" s="5" t="s">
        <v>86</v>
      </c>
      <c r="CL2" s="5" t="s">
        <v>87</v>
      </c>
      <c r="CM2" s="5" t="s">
        <v>88</v>
      </c>
      <c r="CN2" s="5" t="s">
        <v>89</v>
      </c>
      <c r="CO2" s="5" t="s">
        <v>90</v>
      </c>
      <c r="CP2" s="5" t="s">
        <v>91</v>
      </c>
      <c r="CQ2" s="5" t="s">
        <v>92</v>
      </c>
      <c r="CR2" s="5" t="s">
        <v>93</v>
      </c>
      <c r="CS2" s="5" t="s">
        <v>94</v>
      </c>
      <c r="CT2" s="5" t="s">
        <v>95</v>
      </c>
      <c r="CU2" s="5" t="s">
        <v>96</v>
      </c>
      <c r="CV2" s="5" t="s">
        <v>97</v>
      </c>
      <c r="CW2" s="5" t="s">
        <v>98</v>
      </c>
      <c r="CX2" s="5" t="s">
        <v>101</v>
      </c>
    </row>
    <row r="3" spans="1:104" ht="21" customHeight="1" x14ac:dyDescent="0.25">
      <c r="A3" s="127">
        <v>1</v>
      </c>
      <c r="B3" s="128">
        <v>1</v>
      </c>
      <c r="C3" s="128">
        <v>1</v>
      </c>
      <c r="D3" s="128">
        <v>1</v>
      </c>
      <c r="E3" s="128">
        <v>1</v>
      </c>
      <c r="F3" s="128">
        <v>1</v>
      </c>
      <c r="G3" s="128">
        <v>1</v>
      </c>
      <c r="H3" s="128">
        <v>1</v>
      </c>
      <c r="I3" s="128">
        <v>1</v>
      </c>
      <c r="J3" s="128">
        <v>1</v>
      </c>
      <c r="K3" s="128">
        <v>1</v>
      </c>
      <c r="L3" s="128">
        <v>1</v>
      </c>
      <c r="M3" s="128">
        <v>1</v>
      </c>
      <c r="N3" s="128">
        <v>1</v>
      </c>
      <c r="O3" s="128">
        <v>1</v>
      </c>
      <c r="P3" s="128">
        <v>1</v>
      </c>
      <c r="Q3" s="128">
        <v>1</v>
      </c>
      <c r="R3" s="128">
        <v>1</v>
      </c>
      <c r="S3" s="128">
        <v>1</v>
      </c>
      <c r="T3" s="128">
        <v>1</v>
      </c>
      <c r="U3" s="128">
        <v>1</v>
      </c>
      <c r="V3" s="128">
        <v>1</v>
      </c>
      <c r="W3" s="128">
        <v>1</v>
      </c>
      <c r="X3" s="128">
        <v>1</v>
      </c>
      <c r="Y3" s="128">
        <v>1</v>
      </c>
      <c r="Z3" s="128">
        <v>1</v>
      </c>
      <c r="AA3" s="128">
        <v>1</v>
      </c>
      <c r="AB3" s="128">
        <v>1</v>
      </c>
      <c r="AC3" s="128">
        <v>1</v>
      </c>
      <c r="AD3" s="128">
        <v>1</v>
      </c>
      <c r="AE3" s="128">
        <v>1</v>
      </c>
      <c r="AF3" s="128">
        <v>1</v>
      </c>
      <c r="AG3" s="128">
        <v>1</v>
      </c>
      <c r="AH3" s="128">
        <v>1</v>
      </c>
      <c r="AI3" s="128">
        <v>1</v>
      </c>
      <c r="AJ3" s="128">
        <v>1</v>
      </c>
      <c r="AK3" s="128">
        <v>1</v>
      </c>
      <c r="AL3" s="128">
        <v>1</v>
      </c>
      <c r="AM3" s="128">
        <v>1</v>
      </c>
      <c r="AN3" s="128">
        <v>1</v>
      </c>
      <c r="AO3" s="128">
        <v>1</v>
      </c>
      <c r="AP3" s="128">
        <v>1</v>
      </c>
      <c r="AQ3" s="128">
        <v>1</v>
      </c>
      <c r="AR3" s="128">
        <v>1</v>
      </c>
      <c r="AS3" s="128">
        <v>1</v>
      </c>
      <c r="AT3" s="128">
        <v>1</v>
      </c>
      <c r="AU3" s="128">
        <v>1</v>
      </c>
      <c r="AV3" s="128">
        <v>1</v>
      </c>
      <c r="AW3" s="128">
        <v>1</v>
      </c>
      <c r="AX3" s="128">
        <v>1</v>
      </c>
      <c r="AY3" s="128">
        <v>1</v>
      </c>
      <c r="AZ3" s="128">
        <v>1</v>
      </c>
      <c r="BA3" s="128">
        <v>1</v>
      </c>
      <c r="BB3" s="128">
        <v>1</v>
      </c>
      <c r="BC3" s="128">
        <v>1</v>
      </c>
      <c r="BD3" s="128">
        <v>1</v>
      </c>
      <c r="BE3" s="128">
        <v>1</v>
      </c>
      <c r="BF3" s="128">
        <v>1</v>
      </c>
      <c r="BG3" s="128">
        <v>1</v>
      </c>
      <c r="BH3" s="128">
        <v>1</v>
      </c>
      <c r="BI3" s="128">
        <v>1</v>
      </c>
      <c r="BJ3" s="128">
        <v>1</v>
      </c>
      <c r="BK3" s="128">
        <v>1</v>
      </c>
      <c r="BL3" s="128">
        <v>1</v>
      </c>
      <c r="BM3" s="128">
        <v>1</v>
      </c>
      <c r="BN3" s="128">
        <v>1</v>
      </c>
      <c r="BO3" s="128">
        <v>1</v>
      </c>
      <c r="BP3" s="128">
        <v>1</v>
      </c>
      <c r="BQ3" s="128">
        <v>1</v>
      </c>
      <c r="BR3" s="128">
        <v>1</v>
      </c>
      <c r="BS3" s="128">
        <v>1</v>
      </c>
      <c r="BT3" s="128">
        <v>1</v>
      </c>
      <c r="BU3" s="128">
        <v>1</v>
      </c>
      <c r="BV3" s="128">
        <v>1</v>
      </c>
      <c r="BW3" s="128">
        <v>1</v>
      </c>
      <c r="BX3" s="128">
        <v>1</v>
      </c>
      <c r="BY3" s="128">
        <v>1</v>
      </c>
      <c r="BZ3" s="128">
        <v>1</v>
      </c>
      <c r="CA3" s="128">
        <v>1</v>
      </c>
      <c r="CB3" s="128">
        <v>1</v>
      </c>
      <c r="CC3" s="128">
        <v>1</v>
      </c>
      <c r="CD3" s="128">
        <v>1</v>
      </c>
      <c r="CE3" s="128">
        <v>1</v>
      </c>
      <c r="CF3" s="128">
        <v>1</v>
      </c>
      <c r="CG3" s="128">
        <v>1</v>
      </c>
      <c r="CH3" s="128">
        <v>1</v>
      </c>
      <c r="CI3" s="128">
        <v>1</v>
      </c>
      <c r="CJ3" s="128">
        <v>1</v>
      </c>
      <c r="CK3" s="128">
        <v>1</v>
      </c>
      <c r="CL3" s="128">
        <v>1</v>
      </c>
      <c r="CM3" s="128">
        <v>1</v>
      </c>
      <c r="CN3" s="128">
        <v>1</v>
      </c>
      <c r="CO3" s="128">
        <v>1</v>
      </c>
      <c r="CP3" s="128">
        <v>1</v>
      </c>
      <c r="CQ3" s="128">
        <v>1</v>
      </c>
      <c r="CR3" s="128">
        <v>1</v>
      </c>
      <c r="CS3" s="128">
        <v>1</v>
      </c>
      <c r="CT3" s="128">
        <v>1</v>
      </c>
      <c r="CU3" s="128">
        <v>1</v>
      </c>
      <c r="CV3" s="128">
        <v>1</v>
      </c>
      <c r="CW3" s="128">
        <v>1</v>
      </c>
      <c r="CX3" s="128">
        <v>1</v>
      </c>
      <c r="CZ3" s="126">
        <f>SUMIF(MatrixF1[[1]:[2]],MatrixF1[[#This Row],[Столбец1]])/MatrixF1[[#This Row],[Столбец1]]</f>
        <v>201</v>
      </c>
    </row>
    <row r="4" spans="1:104" ht="21" customHeight="1" x14ac:dyDescent="0.25">
      <c r="A4" s="127">
        <v>1.01</v>
      </c>
      <c r="B4" s="128">
        <v>1</v>
      </c>
      <c r="C4" s="128">
        <v>1.01</v>
      </c>
      <c r="D4" s="128">
        <v>1.01</v>
      </c>
      <c r="E4" s="128">
        <v>1.01</v>
      </c>
      <c r="F4" s="128">
        <v>1.01</v>
      </c>
      <c r="G4" s="128">
        <v>1.01</v>
      </c>
      <c r="H4" s="128">
        <v>1.01</v>
      </c>
      <c r="I4" s="128">
        <v>1.01</v>
      </c>
      <c r="J4" s="128">
        <v>1.01</v>
      </c>
      <c r="K4" s="128">
        <v>1.01</v>
      </c>
      <c r="L4" s="128">
        <v>1.01</v>
      </c>
      <c r="M4" s="128">
        <v>1.01</v>
      </c>
      <c r="N4" s="128">
        <v>1.01</v>
      </c>
      <c r="O4" s="128">
        <v>1.01</v>
      </c>
      <c r="P4" s="128">
        <v>1.01</v>
      </c>
      <c r="Q4" s="128">
        <v>1.01</v>
      </c>
      <c r="R4" s="128">
        <v>1.01</v>
      </c>
      <c r="S4" s="128">
        <v>1.01</v>
      </c>
      <c r="T4" s="128">
        <v>1.01</v>
      </c>
      <c r="U4" s="128">
        <v>1.01</v>
      </c>
      <c r="V4" s="128">
        <v>1.01</v>
      </c>
      <c r="W4" s="128">
        <v>1.01</v>
      </c>
      <c r="X4" s="128">
        <v>1.01</v>
      </c>
      <c r="Y4" s="128">
        <v>1.01</v>
      </c>
      <c r="Z4" s="128">
        <v>1.01</v>
      </c>
      <c r="AA4" s="128">
        <v>1.01</v>
      </c>
      <c r="AB4" s="128">
        <v>1.01</v>
      </c>
      <c r="AC4" s="128">
        <v>1.01</v>
      </c>
      <c r="AD4" s="128">
        <v>1.01</v>
      </c>
      <c r="AE4" s="128">
        <v>1.01</v>
      </c>
      <c r="AF4" s="128">
        <v>1.01</v>
      </c>
      <c r="AG4" s="128">
        <v>1.01</v>
      </c>
      <c r="AH4" s="128">
        <v>1.01</v>
      </c>
      <c r="AI4" s="128">
        <v>1.01</v>
      </c>
      <c r="AJ4" s="128">
        <v>1.01</v>
      </c>
      <c r="AK4" s="128">
        <v>1.02</v>
      </c>
      <c r="AL4" s="128">
        <v>1.02</v>
      </c>
      <c r="AM4" s="128">
        <v>1.02</v>
      </c>
      <c r="AN4" s="128">
        <v>1.02</v>
      </c>
      <c r="AO4" s="128">
        <v>1.02</v>
      </c>
      <c r="AP4" s="128">
        <v>1.02</v>
      </c>
      <c r="AQ4" s="128">
        <v>1.02</v>
      </c>
      <c r="AR4" s="128">
        <v>1.02</v>
      </c>
      <c r="AS4" s="128">
        <v>1.02</v>
      </c>
      <c r="AT4" s="128">
        <v>1.02</v>
      </c>
      <c r="AU4" s="128">
        <v>1.02</v>
      </c>
      <c r="AV4" s="128">
        <v>1.02</v>
      </c>
      <c r="AW4" s="128">
        <v>1.02</v>
      </c>
      <c r="AX4" s="128">
        <v>1.02</v>
      </c>
      <c r="AY4" s="128">
        <v>1.02</v>
      </c>
      <c r="AZ4" s="128">
        <v>1.02</v>
      </c>
      <c r="BA4" s="128">
        <v>1.02</v>
      </c>
      <c r="BB4" s="128">
        <v>1.02</v>
      </c>
      <c r="BC4" s="128">
        <v>1.02</v>
      </c>
      <c r="BD4" s="128">
        <v>1.02</v>
      </c>
      <c r="BE4" s="128">
        <v>1.02</v>
      </c>
      <c r="BF4" s="128">
        <v>1.02</v>
      </c>
      <c r="BG4" s="128">
        <v>1.02</v>
      </c>
      <c r="BH4" s="128">
        <v>1.02</v>
      </c>
      <c r="BI4" s="128">
        <v>1.02</v>
      </c>
      <c r="BJ4" s="128">
        <v>1.02</v>
      </c>
      <c r="BK4" s="128">
        <v>1.02</v>
      </c>
      <c r="BL4" s="128">
        <v>1.02</v>
      </c>
      <c r="BM4" s="128">
        <v>1.02</v>
      </c>
      <c r="BN4" s="128">
        <v>1.02</v>
      </c>
      <c r="BO4" s="128">
        <v>1.02</v>
      </c>
      <c r="BP4" s="128">
        <v>1.01</v>
      </c>
      <c r="BQ4" s="128">
        <v>1.01</v>
      </c>
      <c r="BR4" s="128">
        <v>1.01</v>
      </c>
      <c r="BS4" s="128">
        <v>1.01</v>
      </c>
      <c r="BT4" s="128">
        <v>1.01</v>
      </c>
      <c r="BU4" s="128">
        <v>1.01</v>
      </c>
      <c r="BV4" s="128">
        <v>1.01</v>
      </c>
      <c r="BW4" s="128">
        <v>1.01</v>
      </c>
      <c r="BX4" s="128">
        <v>1.01</v>
      </c>
      <c r="BY4" s="128">
        <v>1.01</v>
      </c>
      <c r="BZ4" s="128">
        <v>1.01</v>
      </c>
      <c r="CA4" s="128">
        <v>1.01</v>
      </c>
      <c r="CB4" s="128">
        <v>1.01</v>
      </c>
      <c r="CC4" s="128">
        <v>1.01</v>
      </c>
      <c r="CD4" s="128">
        <v>1.01</v>
      </c>
      <c r="CE4" s="128">
        <v>1.01</v>
      </c>
      <c r="CF4" s="128">
        <v>1.01</v>
      </c>
      <c r="CG4" s="128">
        <v>1.01</v>
      </c>
      <c r="CH4" s="128">
        <v>1.01</v>
      </c>
      <c r="CI4" s="128">
        <v>1.01</v>
      </c>
      <c r="CJ4" s="128">
        <v>1.01</v>
      </c>
      <c r="CK4" s="128">
        <v>1.01</v>
      </c>
      <c r="CL4" s="128">
        <v>1.01</v>
      </c>
      <c r="CM4" s="128">
        <v>1.01</v>
      </c>
      <c r="CN4" s="128">
        <v>1.01</v>
      </c>
      <c r="CO4" s="128">
        <v>1.01</v>
      </c>
      <c r="CP4" s="128">
        <v>1.01</v>
      </c>
      <c r="CQ4" s="128">
        <v>1.01</v>
      </c>
      <c r="CR4" s="128">
        <v>1.01</v>
      </c>
      <c r="CS4" s="128">
        <v>1.01</v>
      </c>
      <c r="CT4" s="128">
        <v>1.01</v>
      </c>
      <c r="CU4" s="128">
        <v>1.01</v>
      </c>
      <c r="CV4" s="128">
        <v>1.01</v>
      </c>
      <c r="CW4" s="128">
        <v>1.01</v>
      </c>
      <c r="CX4" s="128">
        <v>1.01</v>
      </c>
      <c r="CZ4" s="126">
        <f>SUMIF(MatrixF1[[1]:[2]],MatrixF1[[#This Row],[Столбец1]])/MatrixF1[[#This Row],[Столбец1]]</f>
        <v>137.00000000000017</v>
      </c>
    </row>
    <row r="5" spans="1:104" ht="21" customHeight="1" x14ac:dyDescent="0.25">
      <c r="A5" s="127">
        <v>1.02</v>
      </c>
      <c r="B5" s="128">
        <v>1</v>
      </c>
      <c r="C5" s="128">
        <v>1.01</v>
      </c>
      <c r="D5" s="128">
        <v>1.02</v>
      </c>
      <c r="E5" s="128">
        <v>1.02</v>
      </c>
      <c r="F5" s="128">
        <v>1.02</v>
      </c>
      <c r="G5" s="128">
        <v>1.02</v>
      </c>
      <c r="H5" s="128">
        <v>1.02</v>
      </c>
      <c r="I5" s="128">
        <v>1.02</v>
      </c>
      <c r="J5" s="128">
        <v>1.02</v>
      </c>
      <c r="K5" s="128">
        <v>1.02</v>
      </c>
      <c r="L5" s="128">
        <v>1.02</v>
      </c>
      <c r="M5" s="128">
        <v>1.02</v>
      </c>
      <c r="N5" s="128">
        <v>1.02</v>
      </c>
      <c r="O5" s="128">
        <v>1.02</v>
      </c>
      <c r="P5" s="128">
        <v>1.02</v>
      </c>
      <c r="Q5" s="128">
        <v>1.02</v>
      </c>
      <c r="R5" s="128">
        <v>1.02</v>
      </c>
      <c r="S5" s="128">
        <v>1.02</v>
      </c>
      <c r="T5" s="128">
        <v>1.02</v>
      </c>
      <c r="U5" s="128">
        <v>1.02</v>
      </c>
      <c r="V5" s="128">
        <v>1.02</v>
      </c>
      <c r="W5" s="128">
        <v>1.02</v>
      </c>
      <c r="X5" s="128">
        <v>1.03</v>
      </c>
      <c r="Y5" s="128">
        <v>1.03</v>
      </c>
      <c r="Z5" s="128">
        <v>1.03</v>
      </c>
      <c r="AA5" s="128">
        <v>1.03</v>
      </c>
      <c r="AB5" s="128">
        <v>1.03</v>
      </c>
      <c r="AC5" s="128">
        <v>1.03</v>
      </c>
      <c r="AD5" s="128">
        <v>1.03</v>
      </c>
      <c r="AE5" s="128">
        <v>1.03</v>
      </c>
      <c r="AF5" s="128">
        <v>1.03</v>
      </c>
      <c r="AG5" s="128">
        <v>1.03</v>
      </c>
      <c r="AH5" s="128">
        <v>1.03</v>
      </c>
      <c r="AI5" s="128">
        <v>1.03</v>
      </c>
      <c r="AJ5" s="128">
        <v>1.03</v>
      </c>
      <c r="AK5" s="128">
        <v>1.03</v>
      </c>
      <c r="AL5" s="128">
        <v>1.03</v>
      </c>
      <c r="AM5" s="128">
        <v>1.03</v>
      </c>
      <c r="AN5" s="128">
        <v>1.03</v>
      </c>
      <c r="AO5" s="128">
        <v>1.03</v>
      </c>
      <c r="AP5" s="128">
        <v>1.03</v>
      </c>
      <c r="AQ5" s="128">
        <v>1.03</v>
      </c>
      <c r="AR5" s="128">
        <v>1.03</v>
      </c>
      <c r="AS5" s="128">
        <v>1.03</v>
      </c>
      <c r="AT5" s="128">
        <v>1.03</v>
      </c>
      <c r="AU5" s="128">
        <v>1.04</v>
      </c>
      <c r="AV5" s="128">
        <v>1.04</v>
      </c>
      <c r="AW5" s="128">
        <v>1.04</v>
      </c>
      <c r="AX5" s="128">
        <v>1.04</v>
      </c>
      <c r="AY5" s="128">
        <v>1.04</v>
      </c>
      <c r="AZ5" s="128">
        <v>1.04</v>
      </c>
      <c r="BA5" s="128">
        <v>1.04</v>
      </c>
      <c r="BB5" s="128">
        <v>1.04</v>
      </c>
      <c r="BC5" s="128">
        <v>1.04</v>
      </c>
      <c r="BD5" s="128">
        <v>1.04</v>
      </c>
      <c r="BE5" s="128">
        <v>1.04</v>
      </c>
      <c r="BF5" s="128">
        <v>1.03</v>
      </c>
      <c r="BG5" s="128">
        <v>1.03</v>
      </c>
      <c r="BH5" s="128">
        <v>1.03</v>
      </c>
      <c r="BI5" s="128">
        <v>1.03</v>
      </c>
      <c r="BJ5" s="128">
        <v>1.03</v>
      </c>
      <c r="BK5" s="128">
        <v>1.03</v>
      </c>
      <c r="BL5" s="128">
        <v>1.03</v>
      </c>
      <c r="BM5" s="128">
        <v>1.03</v>
      </c>
      <c r="BN5" s="128">
        <v>1.03</v>
      </c>
      <c r="BO5" s="128">
        <v>1.03</v>
      </c>
      <c r="BP5" s="128">
        <v>1.03</v>
      </c>
      <c r="BQ5" s="128">
        <v>1.03</v>
      </c>
      <c r="BR5" s="128">
        <v>1.03</v>
      </c>
      <c r="BS5" s="128">
        <v>1.03</v>
      </c>
      <c r="BT5" s="128">
        <v>1.03</v>
      </c>
      <c r="BU5" s="128">
        <v>1.03</v>
      </c>
      <c r="BV5" s="128">
        <v>1.03</v>
      </c>
      <c r="BW5" s="128">
        <v>1.03</v>
      </c>
      <c r="BX5" s="128">
        <v>1.03</v>
      </c>
      <c r="BY5" s="128">
        <v>1.03</v>
      </c>
      <c r="BZ5" s="128">
        <v>1.03</v>
      </c>
      <c r="CA5" s="128">
        <v>1.03</v>
      </c>
      <c r="CB5" s="128">
        <v>1.03</v>
      </c>
      <c r="CC5" s="128">
        <v>1.02</v>
      </c>
      <c r="CD5" s="128">
        <v>1.02</v>
      </c>
      <c r="CE5" s="128">
        <v>1.02</v>
      </c>
      <c r="CF5" s="128">
        <v>1.02</v>
      </c>
      <c r="CG5" s="128">
        <v>1.02</v>
      </c>
      <c r="CH5" s="128">
        <v>1.02</v>
      </c>
      <c r="CI5" s="128">
        <v>1.02</v>
      </c>
      <c r="CJ5" s="128">
        <v>1.02</v>
      </c>
      <c r="CK5" s="128">
        <v>1.02</v>
      </c>
      <c r="CL5" s="128">
        <v>1.02</v>
      </c>
      <c r="CM5" s="128">
        <v>1.02</v>
      </c>
      <c r="CN5" s="128">
        <v>1.02</v>
      </c>
      <c r="CO5" s="128">
        <v>1.02</v>
      </c>
      <c r="CP5" s="128">
        <v>1.02</v>
      </c>
      <c r="CQ5" s="128">
        <v>1.02</v>
      </c>
      <c r="CR5" s="128">
        <v>1.02</v>
      </c>
      <c r="CS5" s="128">
        <v>1.02</v>
      </c>
      <c r="CT5" s="128">
        <v>1.02</v>
      </c>
      <c r="CU5" s="128">
        <v>1.02</v>
      </c>
      <c r="CV5" s="128">
        <v>1.02</v>
      </c>
      <c r="CW5" s="128">
        <v>1.02</v>
      </c>
      <c r="CX5" s="128">
        <v>1.02</v>
      </c>
      <c r="CZ5" s="126">
        <f>SUMIF(MatrixF1[[1]:[2]],MatrixF1[[#This Row],[Столбец1]])/MatrixF1[[#This Row],[Столбец1]]</f>
        <v>145.00000000000003</v>
      </c>
    </row>
    <row r="6" spans="1:104" ht="21" customHeight="1" x14ac:dyDescent="0.25">
      <c r="A6" s="127">
        <v>1.03</v>
      </c>
      <c r="B6" s="128">
        <v>1</v>
      </c>
      <c r="C6" s="128">
        <v>1.01</v>
      </c>
      <c r="D6" s="128">
        <v>1.02</v>
      </c>
      <c r="E6" s="128">
        <v>1.03</v>
      </c>
      <c r="F6" s="128">
        <v>1.03</v>
      </c>
      <c r="G6" s="128">
        <v>1.03</v>
      </c>
      <c r="H6" s="128">
        <v>1.03</v>
      </c>
      <c r="I6" s="128">
        <v>1.03</v>
      </c>
      <c r="J6" s="128">
        <v>1.03</v>
      </c>
      <c r="K6" s="128">
        <v>1.03</v>
      </c>
      <c r="L6" s="128">
        <v>1.03</v>
      </c>
      <c r="M6" s="128">
        <v>1.03</v>
      </c>
      <c r="N6" s="128">
        <v>1.03</v>
      </c>
      <c r="O6" s="128">
        <v>1.03</v>
      </c>
      <c r="P6" s="128">
        <v>1.03</v>
      </c>
      <c r="Q6" s="128">
        <v>1.03</v>
      </c>
      <c r="R6" s="128">
        <v>1.03</v>
      </c>
      <c r="S6" s="128">
        <v>1.03</v>
      </c>
      <c r="T6" s="128">
        <v>1.04</v>
      </c>
      <c r="U6" s="128">
        <v>1.04</v>
      </c>
      <c r="V6" s="128">
        <v>1.04</v>
      </c>
      <c r="W6" s="128">
        <v>1.04</v>
      </c>
      <c r="X6" s="128">
        <v>1.04</v>
      </c>
      <c r="Y6" s="128">
        <v>1.04</v>
      </c>
      <c r="Z6" s="128">
        <v>1.04</v>
      </c>
      <c r="AA6" s="128">
        <v>1.04</v>
      </c>
      <c r="AB6" s="128">
        <v>1.04</v>
      </c>
      <c r="AC6" s="128">
        <v>1.04</v>
      </c>
      <c r="AD6" s="128">
        <v>1.04</v>
      </c>
      <c r="AE6" s="128">
        <v>1.04</v>
      </c>
      <c r="AF6" s="128">
        <v>1.04</v>
      </c>
      <c r="AG6" s="128">
        <v>1.04</v>
      </c>
      <c r="AH6" s="128">
        <v>1.04</v>
      </c>
      <c r="AI6" s="128">
        <v>1.04</v>
      </c>
      <c r="AJ6" s="128">
        <v>1.04</v>
      </c>
      <c r="AK6" s="128">
        <v>1.04</v>
      </c>
      <c r="AL6" s="128">
        <v>1.04</v>
      </c>
      <c r="AM6" s="128">
        <v>1.05</v>
      </c>
      <c r="AN6" s="128">
        <v>1.05</v>
      </c>
      <c r="AO6" s="128">
        <v>1.05</v>
      </c>
      <c r="AP6" s="128">
        <v>1.05</v>
      </c>
      <c r="AQ6" s="128">
        <v>1.05</v>
      </c>
      <c r="AR6" s="128">
        <v>1.05</v>
      </c>
      <c r="AS6" s="128">
        <v>1.05</v>
      </c>
      <c r="AT6" s="128">
        <v>1.05</v>
      </c>
      <c r="AU6" s="128">
        <v>1.05</v>
      </c>
      <c r="AV6" s="128">
        <v>1.05</v>
      </c>
      <c r="AW6" s="128">
        <v>1.05</v>
      </c>
      <c r="AX6" s="128">
        <v>1.05</v>
      </c>
      <c r="AY6" s="128">
        <v>1.06</v>
      </c>
      <c r="AZ6" s="128">
        <v>1.06</v>
      </c>
      <c r="BA6" s="128">
        <v>1.06</v>
      </c>
      <c r="BB6" s="128">
        <v>1.05</v>
      </c>
      <c r="BC6" s="128">
        <v>1.05</v>
      </c>
      <c r="BD6" s="128">
        <v>1.05</v>
      </c>
      <c r="BE6" s="128">
        <v>1.05</v>
      </c>
      <c r="BF6" s="128">
        <v>1.05</v>
      </c>
      <c r="BG6" s="128">
        <v>1.05</v>
      </c>
      <c r="BH6" s="128">
        <v>1.05</v>
      </c>
      <c r="BI6" s="128">
        <v>1.05</v>
      </c>
      <c r="BJ6" s="128">
        <v>1.05</v>
      </c>
      <c r="BK6" s="128">
        <v>1.05</v>
      </c>
      <c r="BL6" s="128">
        <v>1.05</v>
      </c>
      <c r="BM6" s="128">
        <v>1.05</v>
      </c>
      <c r="BN6" s="128">
        <v>1.04</v>
      </c>
      <c r="BO6" s="128">
        <v>1.04</v>
      </c>
      <c r="BP6" s="128">
        <v>1.04</v>
      </c>
      <c r="BQ6" s="128">
        <v>1.04</v>
      </c>
      <c r="BR6" s="128">
        <v>1.04</v>
      </c>
      <c r="BS6" s="128">
        <v>1.04</v>
      </c>
      <c r="BT6" s="128">
        <v>1.04</v>
      </c>
      <c r="BU6" s="128">
        <v>1.04</v>
      </c>
      <c r="BV6" s="128">
        <v>1.04</v>
      </c>
      <c r="BW6" s="128">
        <v>1.04</v>
      </c>
      <c r="BX6" s="128">
        <v>1.04</v>
      </c>
      <c r="BY6" s="128">
        <v>1.04</v>
      </c>
      <c r="BZ6" s="128">
        <v>1.04</v>
      </c>
      <c r="CA6" s="128">
        <v>1.04</v>
      </c>
      <c r="CB6" s="128">
        <v>1.04</v>
      </c>
      <c r="CC6" s="128">
        <v>1.04</v>
      </c>
      <c r="CD6" s="128">
        <v>1.04</v>
      </c>
      <c r="CE6" s="128">
        <v>1.04</v>
      </c>
      <c r="CF6" s="128">
        <v>1.04</v>
      </c>
      <c r="CG6" s="128">
        <v>1.03</v>
      </c>
      <c r="CH6" s="128">
        <v>1.03</v>
      </c>
      <c r="CI6" s="128">
        <v>1.03</v>
      </c>
      <c r="CJ6" s="128">
        <v>1.03</v>
      </c>
      <c r="CK6" s="128">
        <v>1.03</v>
      </c>
      <c r="CL6" s="128">
        <v>1.03</v>
      </c>
      <c r="CM6" s="128">
        <v>1.03</v>
      </c>
      <c r="CN6" s="128">
        <v>1.03</v>
      </c>
      <c r="CO6" s="128">
        <v>1.03</v>
      </c>
      <c r="CP6" s="128">
        <v>1.03</v>
      </c>
      <c r="CQ6" s="128">
        <v>1.03</v>
      </c>
      <c r="CR6" s="128">
        <v>1.03</v>
      </c>
      <c r="CS6" s="128">
        <v>1.03</v>
      </c>
      <c r="CT6" s="128">
        <v>1.03</v>
      </c>
      <c r="CU6" s="128">
        <v>1.03</v>
      </c>
      <c r="CV6" s="128">
        <v>1.03</v>
      </c>
      <c r="CW6" s="128">
        <v>1.03</v>
      </c>
      <c r="CX6" s="128">
        <v>1.03</v>
      </c>
      <c r="CZ6" s="126">
        <f>SUMIF(MatrixF1[[1]:[2]],MatrixF1[[#This Row],[Столбец1]])/MatrixF1[[#This Row],[Столбец1]]</f>
        <v>157.00000000000014</v>
      </c>
    </row>
    <row r="7" spans="1:104" ht="21" customHeight="1" x14ac:dyDescent="0.25">
      <c r="A7" s="127">
        <v>1.04</v>
      </c>
      <c r="B7" s="128">
        <v>1</v>
      </c>
      <c r="C7" s="128">
        <v>1.01</v>
      </c>
      <c r="D7" s="128">
        <v>1.02</v>
      </c>
      <c r="E7" s="128">
        <v>1.03</v>
      </c>
      <c r="F7" s="128">
        <v>1.04</v>
      </c>
      <c r="G7" s="128">
        <v>1.04</v>
      </c>
      <c r="H7" s="128">
        <v>1.04</v>
      </c>
      <c r="I7" s="128">
        <v>1.04</v>
      </c>
      <c r="J7" s="128">
        <v>1.04</v>
      </c>
      <c r="K7" s="128">
        <v>1.04</v>
      </c>
      <c r="L7" s="128">
        <v>1.04</v>
      </c>
      <c r="M7" s="128">
        <v>1.04</v>
      </c>
      <c r="N7" s="128">
        <v>1.04</v>
      </c>
      <c r="O7" s="128">
        <v>1.04</v>
      </c>
      <c r="P7" s="128">
        <v>1.04</v>
      </c>
      <c r="Q7" s="128">
        <v>1.04</v>
      </c>
      <c r="R7" s="128">
        <v>1.05</v>
      </c>
      <c r="S7" s="128">
        <v>1.05</v>
      </c>
      <c r="T7" s="128">
        <v>1.05</v>
      </c>
      <c r="U7" s="128">
        <v>1.05</v>
      </c>
      <c r="V7" s="128">
        <v>1.05</v>
      </c>
      <c r="W7" s="128">
        <v>1.05</v>
      </c>
      <c r="X7" s="128">
        <v>1.05</v>
      </c>
      <c r="Y7" s="128">
        <v>1.05</v>
      </c>
      <c r="Z7" s="128">
        <v>1.05</v>
      </c>
      <c r="AA7" s="128">
        <v>1.05</v>
      </c>
      <c r="AB7" s="128">
        <v>1.05</v>
      </c>
      <c r="AC7" s="128">
        <v>1.05</v>
      </c>
      <c r="AD7" s="128">
        <v>1.05</v>
      </c>
      <c r="AE7" s="128">
        <v>1.05</v>
      </c>
      <c r="AF7" s="128">
        <v>1.05</v>
      </c>
      <c r="AG7" s="128">
        <v>1.05</v>
      </c>
      <c r="AH7" s="128">
        <v>1.06</v>
      </c>
      <c r="AI7" s="128">
        <v>1.06</v>
      </c>
      <c r="AJ7" s="128">
        <v>1.06</v>
      </c>
      <c r="AK7" s="128">
        <v>1.06</v>
      </c>
      <c r="AL7" s="128">
        <v>1.06</v>
      </c>
      <c r="AM7" s="128">
        <v>1.06</v>
      </c>
      <c r="AN7" s="128">
        <v>1.06</v>
      </c>
      <c r="AO7" s="128">
        <v>1.06</v>
      </c>
      <c r="AP7" s="128">
        <v>1.06</v>
      </c>
      <c r="AQ7" s="128">
        <v>1.06</v>
      </c>
      <c r="AR7" s="128">
        <v>1.06</v>
      </c>
      <c r="AS7" s="128">
        <v>1.07</v>
      </c>
      <c r="AT7" s="128">
        <v>1.07</v>
      </c>
      <c r="AU7" s="128">
        <v>1.07</v>
      </c>
      <c r="AV7" s="128">
        <v>1.07</v>
      </c>
      <c r="AW7" s="128">
        <v>1.07</v>
      </c>
      <c r="AX7" s="128">
        <v>1.07</v>
      </c>
      <c r="AY7" s="128">
        <v>1.07</v>
      </c>
      <c r="AZ7" s="128">
        <v>1.07</v>
      </c>
      <c r="BA7" s="128">
        <v>1.07</v>
      </c>
      <c r="BB7" s="128">
        <v>1.07</v>
      </c>
      <c r="BC7" s="128">
        <v>1.07</v>
      </c>
      <c r="BD7" s="128">
        <v>1.07</v>
      </c>
      <c r="BE7" s="128">
        <v>1.07</v>
      </c>
      <c r="BF7" s="128">
        <v>1.07</v>
      </c>
      <c r="BG7" s="128">
        <v>1.07</v>
      </c>
      <c r="BH7" s="128">
        <v>1.06</v>
      </c>
      <c r="BI7" s="128">
        <v>1.06</v>
      </c>
      <c r="BJ7" s="128">
        <v>1.06</v>
      </c>
      <c r="BK7" s="128">
        <v>1.06</v>
      </c>
      <c r="BL7" s="128">
        <v>1.06</v>
      </c>
      <c r="BM7" s="128">
        <v>1.06</v>
      </c>
      <c r="BN7" s="128">
        <v>1.06</v>
      </c>
      <c r="BO7" s="128">
        <v>1.06</v>
      </c>
      <c r="BP7" s="128">
        <v>1.06</v>
      </c>
      <c r="BQ7" s="128">
        <v>1.06</v>
      </c>
      <c r="BR7" s="128">
        <v>1.06</v>
      </c>
      <c r="BS7" s="128">
        <v>1.05</v>
      </c>
      <c r="BT7" s="128">
        <v>1.05</v>
      </c>
      <c r="BU7" s="128">
        <v>1.05</v>
      </c>
      <c r="BV7" s="128">
        <v>1.05</v>
      </c>
      <c r="BW7" s="128">
        <v>1.05</v>
      </c>
      <c r="BX7" s="128">
        <v>1.05</v>
      </c>
      <c r="BY7" s="128">
        <v>1.05</v>
      </c>
      <c r="BZ7" s="128">
        <v>1.05</v>
      </c>
      <c r="CA7" s="128">
        <v>1.05</v>
      </c>
      <c r="CB7" s="128">
        <v>1.05</v>
      </c>
      <c r="CC7" s="128">
        <v>1.05</v>
      </c>
      <c r="CD7" s="128">
        <v>1.05</v>
      </c>
      <c r="CE7" s="128">
        <v>1.05</v>
      </c>
      <c r="CF7" s="128">
        <v>1.05</v>
      </c>
      <c r="CG7" s="128">
        <v>1.05</v>
      </c>
      <c r="CH7" s="128">
        <v>1.05</v>
      </c>
      <c r="CI7" s="128">
        <v>1.04</v>
      </c>
      <c r="CJ7" s="128">
        <v>1.04</v>
      </c>
      <c r="CK7" s="128">
        <v>1.04</v>
      </c>
      <c r="CL7" s="128">
        <v>1.04</v>
      </c>
      <c r="CM7" s="128">
        <v>1.04</v>
      </c>
      <c r="CN7" s="128">
        <v>1.04</v>
      </c>
      <c r="CO7" s="128">
        <v>1.04</v>
      </c>
      <c r="CP7" s="128">
        <v>1.04</v>
      </c>
      <c r="CQ7" s="128">
        <v>1.04</v>
      </c>
      <c r="CR7" s="128">
        <v>1.04</v>
      </c>
      <c r="CS7" s="128">
        <v>1.04</v>
      </c>
      <c r="CT7" s="128">
        <v>1.04</v>
      </c>
      <c r="CU7" s="128">
        <v>1.04</v>
      </c>
      <c r="CV7" s="128">
        <v>1.04</v>
      </c>
      <c r="CW7" s="128">
        <v>1.04</v>
      </c>
      <c r="CX7" s="128">
        <v>1.04</v>
      </c>
      <c r="CZ7" s="126">
        <f>SUMIF(MatrixF1[[1]:[2]],MatrixF1[[#This Row],[Столбец1]])/MatrixF1[[#This Row],[Столбец1]]</f>
        <v>153.00000000000011</v>
      </c>
    </row>
    <row r="8" spans="1:104" ht="21" customHeight="1" x14ac:dyDescent="0.25">
      <c r="A8" s="127">
        <v>1.05</v>
      </c>
      <c r="B8" s="128">
        <v>1</v>
      </c>
      <c r="C8" s="128">
        <v>1.01</v>
      </c>
      <c r="D8" s="128">
        <v>1.02</v>
      </c>
      <c r="E8" s="128">
        <v>1.03</v>
      </c>
      <c r="F8" s="128">
        <v>1.04</v>
      </c>
      <c r="G8" s="128">
        <v>1.05</v>
      </c>
      <c r="H8" s="128">
        <v>1.05</v>
      </c>
      <c r="I8" s="128">
        <v>1.05</v>
      </c>
      <c r="J8" s="128">
        <v>1.05</v>
      </c>
      <c r="K8" s="128">
        <v>1.05</v>
      </c>
      <c r="L8" s="128">
        <v>1.05</v>
      </c>
      <c r="M8" s="128">
        <v>1.05</v>
      </c>
      <c r="N8" s="128">
        <v>1.05</v>
      </c>
      <c r="O8" s="128">
        <v>1.05</v>
      </c>
      <c r="P8" s="128">
        <v>1.05</v>
      </c>
      <c r="Q8" s="128">
        <v>1.06</v>
      </c>
      <c r="R8" s="128">
        <v>1.06</v>
      </c>
      <c r="S8" s="128">
        <v>1.06</v>
      </c>
      <c r="T8" s="128">
        <v>1.06</v>
      </c>
      <c r="U8" s="128">
        <v>1.06</v>
      </c>
      <c r="V8" s="128">
        <v>1.06</v>
      </c>
      <c r="W8" s="128">
        <v>1.06</v>
      </c>
      <c r="X8" s="128">
        <v>1.06</v>
      </c>
      <c r="Y8" s="128">
        <v>1.06</v>
      </c>
      <c r="Z8" s="128">
        <v>1.06</v>
      </c>
      <c r="AA8" s="128">
        <v>1.06</v>
      </c>
      <c r="AB8" s="128">
        <v>1.06</v>
      </c>
      <c r="AC8" s="128">
        <v>1.06</v>
      </c>
      <c r="AD8" s="128">
        <v>1.06</v>
      </c>
      <c r="AE8" s="128">
        <v>1.07</v>
      </c>
      <c r="AF8" s="128">
        <v>1.07</v>
      </c>
      <c r="AG8" s="128">
        <v>1.07</v>
      </c>
      <c r="AH8" s="128">
        <v>1.07</v>
      </c>
      <c r="AI8" s="128">
        <v>1.07</v>
      </c>
      <c r="AJ8" s="128">
        <v>1.07</v>
      </c>
      <c r="AK8" s="128">
        <v>1.07</v>
      </c>
      <c r="AL8" s="128">
        <v>1.07</v>
      </c>
      <c r="AM8" s="128">
        <v>1.07</v>
      </c>
      <c r="AN8" s="128">
        <v>1.07</v>
      </c>
      <c r="AO8" s="128">
        <v>1.08</v>
      </c>
      <c r="AP8" s="128">
        <v>1.08</v>
      </c>
      <c r="AQ8" s="128">
        <v>1.08</v>
      </c>
      <c r="AR8" s="128">
        <v>1.08</v>
      </c>
      <c r="AS8" s="128">
        <v>1.08</v>
      </c>
      <c r="AT8" s="128">
        <v>1.08</v>
      </c>
      <c r="AU8" s="128">
        <v>1.08</v>
      </c>
      <c r="AV8" s="128">
        <v>1.08</v>
      </c>
      <c r="AW8" s="128">
        <v>1.0900000000000001</v>
      </c>
      <c r="AX8" s="128">
        <v>1.0900000000000001</v>
      </c>
      <c r="AY8" s="128">
        <v>1.0900000000000001</v>
      </c>
      <c r="AZ8" s="128">
        <v>1.0900000000000001</v>
      </c>
      <c r="BA8" s="128">
        <v>1.0900000000000001</v>
      </c>
      <c r="BB8" s="128">
        <v>1.0900000000000001</v>
      </c>
      <c r="BC8" s="128">
        <v>1.0900000000000001</v>
      </c>
      <c r="BD8" s="128">
        <v>1.08</v>
      </c>
      <c r="BE8" s="128">
        <v>1.08</v>
      </c>
      <c r="BF8" s="128">
        <v>1.08</v>
      </c>
      <c r="BG8" s="128">
        <v>1.08</v>
      </c>
      <c r="BH8" s="128">
        <v>1.08</v>
      </c>
      <c r="BI8" s="128">
        <v>1.08</v>
      </c>
      <c r="BJ8" s="128">
        <v>1.08</v>
      </c>
      <c r="BK8" s="128">
        <v>1.08</v>
      </c>
      <c r="BL8" s="128">
        <v>1.07</v>
      </c>
      <c r="BM8" s="128">
        <v>1.07</v>
      </c>
      <c r="BN8" s="128">
        <v>1.07</v>
      </c>
      <c r="BO8" s="128">
        <v>1.07</v>
      </c>
      <c r="BP8" s="128">
        <v>1.07</v>
      </c>
      <c r="BQ8" s="128">
        <v>1.07</v>
      </c>
      <c r="BR8" s="128">
        <v>1.07</v>
      </c>
      <c r="BS8" s="128">
        <v>1.07</v>
      </c>
      <c r="BT8" s="128">
        <v>1.07</v>
      </c>
      <c r="BU8" s="128">
        <v>1.07</v>
      </c>
      <c r="BV8" s="128">
        <v>1.06</v>
      </c>
      <c r="BW8" s="128">
        <v>1.06</v>
      </c>
      <c r="BX8" s="128">
        <v>1.06</v>
      </c>
      <c r="BY8" s="128">
        <v>1.06</v>
      </c>
      <c r="BZ8" s="128">
        <v>1.06</v>
      </c>
      <c r="CA8" s="128">
        <v>1.06</v>
      </c>
      <c r="CB8" s="128">
        <v>1.06</v>
      </c>
      <c r="CC8" s="128">
        <v>1.06</v>
      </c>
      <c r="CD8" s="128">
        <v>1.06</v>
      </c>
      <c r="CE8" s="128">
        <v>1.06</v>
      </c>
      <c r="CF8" s="128">
        <v>1.06</v>
      </c>
      <c r="CG8" s="128">
        <v>1.06</v>
      </c>
      <c r="CH8" s="128">
        <v>1.06</v>
      </c>
      <c r="CI8" s="128">
        <v>1.06</v>
      </c>
      <c r="CJ8" s="128">
        <v>1.05</v>
      </c>
      <c r="CK8" s="128">
        <v>1.05</v>
      </c>
      <c r="CL8" s="128">
        <v>1.05</v>
      </c>
      <c r="CM8" s="128">
        <v>1.05</v>
      </c>
      <c r="CN8" s="128">
        <v>1.05</v>
      </c>
      <c r="CO8" s="128">
        <v>1.05</v>
      </c>
      <c r="CP8" s="128">
        <v>1.05</v>
      </c>
      <c r="CQ8" s="128">
        <v>1.05</v>
      </c>
      <c r="CR8" s="128">
        <v>1.05</v>
      </c>
      <c r="CS8" s="128">
        <v>1.05</v>
      </c>
      <c r="CT8" s="128">
        <v>1.05</v>
      </c>
      <c r="CU8" s="128">
        <v>1.05</v>
      </c>
      <c r="CV8" s="128">
        <v>1.05</v>
      </c>
      <c r="CW8" s="128">
        <v>1.05</v>
      </c>
      <c r="CX8" s="128">
        <v>1.05</v>
      </c>
      <c r="CZ8" s="126">
        <f>SUMIF(MatrixF1[[1]:[2]],MatrixF1[[#This Row],[Столбец1]])/MatrixF1[[#This Row],[Столбец1]]</f>
        <v>161.0000000000002</v>
      </c>
    </row>
    <row r="9" spans="1:104" ht="21" customHeight="1" x14ac:dyDescent="0.25">
      <c r="A9" s="127">
        <v>1.06</v>
      </c>
      <c r="B9" s="128">
        <v>1</v>
      </c>
      <c r="C9" s="128">
        <v>1.01</v>
      </c>
      <c r="D9" s="128">
        <v>1.02</v>
      </c>
      <c r="E9" s="128">
        <v>1.03</v>
      </c>
      <c r="F9" s="128">
        <v>1.04</v>
      </c>
      <c r="G9" s="128">
        <v>1.05</v>
      </c>
      <c r="H9" s="128">
        <v>1.06</v>
      </c>
      <c r="I9" s="128">
        <v>1.06</v>
      </c>
      <c r="J9" s="128">
        <v>1.06</v>
      </c>
      <c r="K9" s="128">
        <v>1.06</v>
      </c>
      <c r="L9" s="128">
        <v>1.06</v>
      </c>
      <c r="M9" s="128">
        <v>1.06</v>
      </c>
      <c r="N9" s="128">
        <v>1.06</v>
      </c>
      <c r="O9" s="128">
        <v>1.06</v>
      </c>
      <c r="P9" s="128">
        <v>1.07</v>
      </c>
      <c r="Q9" s="128">
        <v>1.07</v>
      </c>
      <c r="R9" s="128">
        <v>1.07</v>
      </c>
      <c r="S9" s="128">
        <v>1.07</v>
      </c>
      <c r="T9" s="128">
        <v>1.07</v>
      </c>
      <c r="U9" s="128">
        <v>1.07</v>
      </c>
      <c r="V9" s="128">
        <v>1.07</v>
      </c>
      <c r="W9" s="128">
        <v>1.07</v>
      </c>
      <c r="X9" s="128">
        <v>1.07</v>
      </c>
      <c r="Y9" s="128">
        <v>1.07</v>
      </c>
      <c r="Z9" s="128">
        <v>1.07</v>
      </c>
      <c r="AA9" s="128">
        <v>1.07</v>
      </c>
      <c r="AB9" s="128">
        <v>1.08</v>
      </c>
      <c r="AC9" s="128">
        <v>1.08</v>
      </c>
      <c r="AD9" s="128">
        <v>1.08</v>
      </c>
      <c r="AE9" s="128">
        <v>1.08</v>
      </c>
      <c r="AF9" s="128">
        <v>1.08</v>
      </c>
      <c r="AG9" s="128">
        <v>1.08</v>
      </c>
      <c r="AH9" s="128">
        <v>1.08</v>
      </c>
      <c r="AI9" s="128">
        <v>1.08</v>
      </c>
      <c r="AJ9" s="128">
        <v>1.08</v>
      </c>
      <c r="AK9" s="128">
        <v>1.08</v>
      </c>
      <c r="AL9" s="128">
        <v>1.0900000000000001</v>
      </c>
      <c r="AM9" s="128">
        <v>1.0900000000000001</v>
      </c>
      <c r="AN9" s="128">
        <v>1.0900000000000001</v>
      </c>
      <c r="AO9" s="128">
        <v>1.0900000000000001</v>
      </c>
      <c r="AP9" s="128">
        <v>1.0900000000000001</v>
      </c>
      <c r="AQ9" s="128">
        <v>1.0900000000000001</v>
      </c>
      <c r="AR9" s="128">
        <v>1.0900000000000001</v>
      </c>
      <c r="AS9" s="128">
        <v>1.1000000000000001</v>
      </c>
      <c r="AT9" s="128">
        <v>1.1000000000000001</v>
      </c>
      <c r="AU9" s="128">
        <v>1.1000000000000001</v>
      </c>
      <c r="AV9" s="128">
        <v>1.1000000000000001</v>
      </c>
      <c r="AW9" s="128">
        <v>1.1000000000000001</v>
      </c>
      <c r="AX9" s="128">
        <v>1.1000000000000001</v>
      </c>
      <c r="AY9" s="128">
        <v>1.1100000000000001</v>
      </c>
      <c r="AZ9" s="128">
        <v>1.1100000000000001</v>
      </c>
      <c r="BA9" s="128">
        <v>1.1100000000000001</v>
      </c>
      <c r="BB9" s="128">
        <v>1.1000000000000001</v>
      </c>
      <c r="BC9" s="128">
        <v>1.1000000000000001</v>
      </c>
      <c r="BD9" s="128">
        <v>1.1000000000000001</v>
      </c>
      <c r="BE9" s="128">
        <v>1.1000000000000001</v>
      </c>
      <c r="BF9" s="128">
        <v>1.1000000000000001</v>
      </c>
      <c r="BG9" s="128">
        <v>1.1000000000000001</v>
      </c>
      <c r="BH9" s="128">
        <v>1.0900000000000001</v>
      </c>
      <c r="BI9" s="128">
        <v>1.0900000000000001</v>
      </c>
      <c r="BJ9" s="128">
        <v>1.0900000000000001</v>
      </c>
      <c r="BK9" s="128">
        <v>1.0900000000000001</v>
      </c>
      <c r="BL9" s="128">
        <v>1.0900000000000001</v>
      </c>
      <c r="BM9" s="128">
        <v>1.0900000000000001</v>
      </c>
      <c r="BN9" s="128">
        <v>1.0900000000000001</v>
      </c>
      <c r="BO9" s="128">
        <v>1.08</v>
      </c>
      <c r="BP9" s="128">
        <v>1.08</v>
      </c>
      <c r="BQ9" s="128">
        <v>1.08</v>
      </c>
      <c r="BR9" s="128">
        <v>1.08</v>
      </c>
      <c r="BS9" s="128">
        <v>1.08</v>
      </c>
      <c r="BT9" s="128">
        <v>1.08</v>
      </c>
      <c r="BU9" s="128">
        <v>1.08</v>
      </c>
      <c r="BV9" s="128">
        <v>1.08</v>
      </c>
      <c r="BW9" s="128">
        <v>1.08</v>
      </c>
      <c r="BX9" s="128">
        <v>1.08</v>
      </c>
      <c r="BY9" s="128">
        <v>1.07</v>
      </c>
      <c r="BZ9" s="128">
        <v>1.07</v>
      </c>
      <c r="CA9" s="128">
        <v>1.07</v>
      </c>
      <c r="CB9" s="128">
        <v>1.07</v>
      </c>
      <c r="CC9" s="128">
        <v>1.07</v>
      </c>
      <c r="CD9" s="128">
        <v>1.07</v>
      </c>
      <c r="CE9" s="128">
        <v>1.07</v>
      </c>
      <c r="CF9" s="128">
        <v>1.07</v>
      </c>
      <c r="CG9" s="128">
        <v>1.07</v>
      </c>
      <c r="CH9" s="128">
        <v>1.07</v>
      </c>
      <c r="CI9" s="128">
        <v>1.07</v>
      </c>
      <c r="CJ9" s="128">
        <v>1.07</v>
      </c>
      <c r="CK9" s="128">
        <v>1.06</v>
      </c>
      <c r="CL9" s="128">
        <v>1.06</v>
      </c>
      <c r="CM9" s="128">
        <v>1.06</v>
      </c>
      <c r="CN9" s="128">
        <v>1.06</v>
      </c>
      <c r="CO9" s="128">
        <v>1.06</v>
      </c>
      <c r="CP9" s="128">
        <v>1.06</v>
      </c>
      <c r="CQ9" s="128">
        <v>1.06</v>
      </c>
      <c r="CR9" s="128">
        <v>1.06</v>
      </c>
      <c r="CS9" s="128">
        <v>1.06</v>
      </c>
      <c r="CT9" s="128">
        <v>1.06</v>
      </c>
      <c r="CU9" s="128">
        <v>1.06</v>
      </c>
      <c r="CV9" s="128">
        <v>1.06</v>
      </c>
      <c r="CW9" s="128">
        <v>1.06</v>
      </c>
      <c r="CX9" s="128">
        <v>1.06</v>
      </c>
      <c r="CZ9" s="126">
        <f>SUMIF(MatrixF1[[1]:[2]],MatrixF1[[#This Row],[Столбец1]])/MatrixF1[[#This Row],[Столбец1]]</f>
        <v>149.00000000000023</v>
      </c>
    </row>
    <row r="10" spans="1:104" ht="21" customHeight="1" x14ac:dyDescent="0.25">
      <c r="A10" s="127">
        <v>1.07</v>
      </c>
      <c r="B10" s="128">
        <v>1</v>
      </c>
      <c r="C10" s="128">
        <v>1.01</v>
      </c>
      <c r="D10" s="128">
        <v>1.02</v>
      </c>
      <c r="E10" s="128">
        <v>1.03</v>
      </c>
      <c r="F10" s="128">
        <v>1.04</v>
      </c>
      <c r="G10" s="128">
        <v>1.05</v>
      </c>
      <c r="H10" s="128">
        <v>1.06</v>
      </c>
      <c r="I10" s="128">
        <v>1.07</v>
      </c>
      <c r="J10" s="128">
        <v>1.07</v>
      </c>
      <c r="K10" s="128">
        <v>1.07</v>
      </c>
      <c r="L10" s="128">
        <v>1.07</v>
      </c>
      <c r="M10" s="128">
        <v>1.07</v>
      </c>
      <c r="N10" s="128">
        <v>1.07</v>
      </c>
      <c r="O10" s="128">
        <v>1.07</v>
      </c>
      <c r="P10" s="128">
        <v>1.08</v>
      </c>
      <c r="Q10" s="128">
        <v>1.08</v>
      </c>
      <c r="R10" s="128">
        <v>1.08</v>
      </c>
      <c r="S10" s="128">
        <v>1.08</v>
      </c>
      <c r="T10" s="128">
        <v>1.08</v>
      </c>
      <c r="U10" s="128">
        <v>1.08</v>
      </c>
      <c r="V10" s="128">
        <v>1.08</v>
      </c>
      <c r="W10" s="128">
        <v>1.08</v>
      </c>
      <c r="X10" s="128">
        <v>1.08</v>
      </c>
      <c r="Y10" s="128">
        <v>1.08</v>
      </c>
      <c r="Z10" s="128">
        <v>1.08</v>
      </c>
      <c r="AA10" s="128">
        <v>1.0900000000000001</v>
      </c>
      <c r="AB10" s="128">
        <v>1.0900000000000001</v>
      </c>
      <c r="AC10" s="128">
        <v>1.0900000000000001</v>
      </c>
      <c r="AD10" s="128">
        <v>1.0900000000000001</v>
      </c>
      <c r="AE10" s="128">
        <v>1.0900000000000001</v>
      </c>
      <c r="AF10" s="128">
        <v>1.0900000000000001</v>
      </c>
      <c r="AG10" s="128">
        <v>1.0900000000000001</v>
      </c>
      <c r="AH10" s="128">
        <v>1.0900000000000001</v>
      </c>
      <c r="AI10" s="128">
        <v>1.0900000000000001</v>
      </c>
      <c r="AJ10" s="128">
        <v>1.1000000000000001</v>
      </c>
      <c r="AK10" s="128">
        <v>1.1000000000000001</v>
      </c>
      <c r="AL10" s="128">
        <v>1.1000000000000001</v>
      </c>
      <c r="AM10" s="128">
        <v>1.1000000000000001</v>
      </c>
      <c r="AN10" s="128">
        <v>1.1000000000000001</v>
      </c>
      <c r="AO10" s="128">
        <v>1.1000000000000001</v>
      </c>
      <c r="AP10" s="128">
        <v>1.1000000000000001</v>
      </c>
      <c r="AQ10" s="128">
        <v>1.1100000000000001</v>
      </c>
      <c r="AR10" s="128">
        <v>1.1100000000000001</v>
      </c>
      <c r="AS10" s="128">
        <v>1.1100000000000001</v>
      </c>
      <c r="AT10" s="128">
        <v>1.1100000000000001</v>
      </c>
      <c r="AU10" s="128">
        <v>1.1100000000000001</v>
      </c>
      <c r="AV10" s="128">
        <v>1.1100000000000001</v>
      </c>
      <c r="AW10" s="128">
        <v>1.1200000000000001</v>
      </c>
      <c r="AX10" s="128">
        <v>1.1200000000000001</v>
      </c>
      <c r="AY10" s="128">
        <v>1.1200000000000001</v>
      </c>
      <c r="AZ10" s="128">
        <v>1.1200000000000001</v>
      </c>
      <c r="BA10" s="128">
        <v>1.1200000000000001</v>
      </c>
      <c r="BB10" s="128">
        <v>1.1200000000000001</v>
      </c>
      <c r="BC10" s="128">
        <v>1.1200000000000001</v>
      </c>
      <c r="BD10" s="128">
        <v>1.1100000000000001</v>
      </c>
      <c r="BE10" s="128">
        <v>1.1100000000000001</v>
      </c>
      <c r="BF10" s="128">
        <v>1.1100000000000001</v>
      </c>
      <c r="BG10" s="128">
        <v>1.1100000000000001</v>
      </c>
      <c r="BH10" s="128">
        <v>1.1100000000000001</v>
      </c>
      <c r="BI10" s="128">
        <v>1.1100000000000001</v>
      </c>
      <c r="BJ10" s="128">
        <v>1.1000000000000001</v>
      </c>
      <c r="BK10" s="128">
        <v>1.1000000000000001</v>
      </c>
      <c r="BL10" s="128">
        <v>1.1000000000000001</v>
      </c>
      <c r="BM10" s="128">
        <v>1.1000000000000001</v>
      </c>
      <c r="BN10" s="128">
        <v>1.1000000000000001</v>
      </c>
      <c r="BO10" s="128">
        <v>1.1000000000000001</v>
      </c>
      <c r="BP10" s="128">
        <v>1.1000000000000001</v>
      </c>
      <c r="BQ10" s="128">
        <v>1.0900000000000001</v>
      </c>
      <c r="BR10" s="128">
        <v>1.0900000000000001</v>
      </c>
      <c r="BS10" s="128">
        <v>1.0900000000000001</v>
      </c>
      <c r="BT10" s="128">
        <v>1.0900000000000001</v>
      </c>
      <c r="BU10" s="128">
        <v>1.0900000000000001</v>
      </c>
      <c r="BV10" s="128">
        <v>1.0900000000000001</v>
      </c>
      <c r="BW10" s="128">
        <v>1.0900000000000001</v>
      </c>
      <c r="BX10" s="128">
        <v>1.0900000000000001</v>
      </c>
      <c r="BY10" s="128">
        <v>1.0900000000000001</v>
      </c>
      <c r="BZ10" s="128">
        <v>1.08</v>
      </c>
      <c r="CA10" s="128">
        <v>1.08</v>
      </c>
      <c r="CB10" s="128">
        <v>1.08</v>
      </c>
      <c r="CC10" s="128">
        <v>1.08</v>
      </c>
      <c r="CD10" s="128">
        <v>1.08</v>
      </c>
      <c r="CE10" s="128">
        <v>1.08</v>
      </c>
      <c r="CF10" s="128">
        <v>1.08</v>
      </c>
      <c r="CG10" s="128">
        <v>1.08</v>
      </c>
      <c r="CH10" s="128">
        <v>1.08</v>
      </c>
      <c r="CI10" s="128">
        <v>1.08</v>
      </c>
      <c r="CJ10" s="128">
        <v>1.08</v>
      </c>
      <c r="CK10" s="128">
        <v>1.07</v>
      </c>
      <c r="CL10" s="128">
        <v>1.07</v>
      </c>
      <c r="CM10" s="128">
        <v>1.07</v>
      </c>
      <c r="CN10" s="128">
        <v>1.07</v>
      </c>
      <c r="CO10" s="128">
        <v>1.07</v>
      </c>
      <c r="CP10" s="128">
        <v>1.07</v>
      </c>
      <c r="CQ10" s="128">
        <v>1.07</v>
      </c>
      <c r="CR10" s="128">
        <v>1.07</v>
      </c>
      <c r="CS10" s="128">
        <v>1.07</v>
      </c>
      <c r="CT10" s="128">
        <v>1.07</v>
      </c>
      <c r="CU10" s="128">
        <v>1.07</v>
      </c>
      <c r="CV10" s="128">
        <v>1.07</v>
      </c>
      <c r="CW10" s="128">
        <v>1.07</v>
      </c>
      <c r="CX10" s="128">
        <v>1.07</v>
      </c>
      <c r="CZ10" s="126">
        <f>SUMIF(MatrixF1[[1]:[2]],MatrixF1[[#This Row],[Столбец1]])/MatrixF1[[#This Row],[Столбец1]]</f>
        <v>158.99999999999937</v>
      </c>
    </row>
    <row r="11" spans="1:104" ht="21" customHeight="1" x14ac:dyDescent="0.25">
      <c r="A11" s="127">
        <v>1.08</v>
      </c>
      <c r="B11" s="128">
        <v>1</v>
      </c>
      <c r="C11" s="128">
        <v>1.01</v>
      </c>
      <c r="D11" s="128">
        <v>1.02</v>
      </c>
      <c r="E11" s="128">
        <v>1.03</v>
      </c>
      <c r="F11" s="128">
        <v>1.04</v>
      </c>
      <c r="G11" s="128">
        <v>1.05</v>
      </c>
      <c r="H11" s="128">
        <v>1.06</v>
      </c>
      <c r="I11" s="128">
        <v>1.07</v>
      </c>
      <c r="J11" s="128">
        <v>1.08</v>
      </c>
      <c r="K11" s="128">
        <v>1.08</v>
      </c>
      <c r="L11" s="128">
        <v>1.08</v>
      </c>
      <c r="M11" s="128">
        <v>1.08</v>
      </c>
      <c r="N11" s="128">
        <v>1.08</v>
      </c>
      <c r="O11" s="128">
        <v>1.08</v>
      </c>
      <c r="P11" s="128">
        <v>1.0900000000000001</v>
      </c>
      <c r="Q11" s="128">
        <v>1.0900000000000001</v>
      </c>
      <c r="R11" s="128">
        <v>1.0900000000000001</v>
      </c>
      <c r="S11" s="128">
        <v>1.0900000000000001</v>
      </c>
      <c r="T11" s="128">
        <v>1.0900000000000001</v>
      </c>
      <c r="U11" s="128">
        <v>1.0900000000000001</v>
      </c>
      <c r="V11" s="128">
        <v>1.0900000000000001</v>
      </c>
      <c r="W11" s="128">
        <v>1.0900000000000001</v>
      </c>
      <c r="X11" s="128">
        <v>1.0900000000000001</v>
      </c>
      <c r="Y11" s="128">
        <v>1.0900000000000001</v>
      </c>
      <c r="Z11" s="128">
        <v>1.1000000000000001</v>
      </c>
      <c r="AA11" s="128">
        <v>1.1000000000000001</v>
      </c>
      <c r="AB11" s="128">
        <v>1.1000000000000001</v>
      </c>
      <c r="AC11" s="128">
        <v>1.1000000000000001</v>
      </c>
      <c r="AD11" s="128">
        <v>1.1000000000000001</v>
      </c>
      <c r="AE11" s="128">
        <v>1.1000000000000001</v>
      </c>
      <c r="AF11" s="128">
        <v>1.1000000000000001</v>
      </c>
      <c r="AG11" s="128">
        <v>1.1000000000000001</v>
      </c>
      <c r="AH11" s="128">
        <v>1.1100000000000001</v>
      </c>
      <c r="AI11" s="128">
        <v>1.1100000000000001</v>
      </c>
      <c r="AJ11" s="128">
        <v>1.1100000000000001</v>
      </c>
      <c r="AK11" s="128">
        <v>1.1100000000000001</v>
      </c>
      <c r="AL11" s="128">
        <v>1.1100000000000001</v>
      </c>
      <c r="AM11" s="128">
        <v>1.1100000000000001</v>
      </c>
      <c r="AN11" s="128">
        <v>1.1100000000000001</v>
      </c>
      <c r="AO11" s="128">
        <v>1.1200000000000001</v>
      </c>
      <c r="AP11" s="128">
        <v>1.1200000000000001</v>
      </c>
      <c r="AQ11" s="128">
        <v>1.1200000000000001</v>
      </c>
      <c r="AR11" s="128">
        <v>1.1200000000000001</v>
      </c>
      <c r="AS11" s="128">
        <v>1.1200000000000001</v>
      </c>
      <c r="AT11" s="128">
        <v>1.1299999999999999</v>
      </c>
      <c r="AU11" s="128">
        <v>1.1299999999999999</v>
      </c>
      <c r="AV11" s="128">
        <v>1.1299999999999999</v>
      </c>
      <c r="AW11" s="128">
        <v>1.1299999999999999</v>
      </c>
      <c r="AX11" s="128">
        <v>1.1299999999999999</v>
      </c>
      <c r="AY11" s="128">
        <v>1.1399999999999999</v>
      </c>
      <c r="AZ11" s="128">
        <v>1.1399999999999999</v>
      </c>
      <c r="BA11" s="128">
        <v>1.1399999999999999</v>
      </c>
      <c r="BB11" s="128">
        <v>1.1299999999999999</v>
      </c>
      <c r="BC11" s="128">
        <v>1.1299999999999999</v>
      </c>
      <c r="BD11" s="128">
        <v>1.1299999999999999</v>
      </c>
      <c r="BE11" s="128">
        <v>1.1299999999999999</v>
      </c>
      <c r="BF11" s="128">
        <v>1.1299999999999999</v>
      </c>
      <c r="BG11" s="128">
        <v>1.1200000000000001</v>
      </c>
      <c r="BH11" s="128">
        <v>1.1200000000000001</v>
      </c>
      <c r="BI11" s="128">
        <v>1.1200000000000001</v>
      </c>
      <c r="BJ11" s="128">
        <v>1.1200000000000001</v>
      </c>
      <c r="BK11" s="128">
        <v>1.1200000000000001</v>
      </c>
      <c r="BL11" s="128">
        <v>1.1100000000000001</v>
      </c>
      <c r="BM11" s="128">
        <v>1.1100000000000001</v>
      </c>
      <c r="BN11" s="128">
        <v>1.1100000000000001</v>
      </c>
      <c r="BO11" s="128">
        <v>1.1100000000000001</v>
      </c>
      <c r="BP11" s="128">
        <v>1.1100000000000001</v>
      </c>
      <c r="BQ11" s="128">
        <v>1.1100000000000001</v>
      </c>
      <c r="BR11" s="128">
        <v>1.1100000000000001</v>
      </c>
      <c r="BS11" s="128">
        <v>1.1000000000000001</v>
      </c>
      <c r="BT11" s="128">
        <v>1.1000000000000001</v>
      </c>
      <c r="BU11" s="128">
        <v>1.1000000000000001</v>
      </c>
      <c r="BV11" s="128">
        <v>1.1000000000000001</v>
      </c>
      <c r="BW11" s="128">
        <v>1.1000000000000001</v>
      </c>
      <c r="BX11" s="128">
        <v>1.1000000000000001</v>
      </c>
      <c r="BY11" s="128">
        <v>1.1000000000000001</v>
      </c>
      <c r="BZ11" s="128">
        <v>1.1000000000000001</v>
      </c>
      <c r="CA11" s="128">
        <v>1.0900000000000001</v>
      </c>
      <c r="CB11" s="128">
        <v>1.0900000000000001</v>
      </c>
      <c r="CC11" s="128">
        <v>1.0900000000000001</v>
      </c>
      <c r="CD11" s="128">
        <v>1.0900000000000001</v>
      </c>
      <c r="CE11" s="128">
        <v>1.0900000000000001</v>
      </c>
      <c r="CF11" s="128">
        <v>1.0900000000000001</v>
      </c>
      <c r="CG11" s="128">
        <v>1.0900000000000001</v>
      </c>
      <c r="CH11" s="128">
        <v>1.0900000000000001</v>
      </c>
      <c r="CI11" s="128">
        <v>1.0900000000000001</v>
      </c>
      <c r="CJ11" s="128">
        <v>1.0900000000000001</v>
      </c>
      <c r="CK11" s="128">
        <v>1.08</v>
      </c>
      <c r="CL11" s="128">
        <v>1.08</v>
      </c>
      <c r="CM11" s="128">
        <v>1.08</v>
      </c>
      <c r="CN11" s="128">
        <v>1.08</v>
      </c>
      <c r="CO11" s="128">
        <v>1.08</v>
      </c>
      <c r="CP11" s="128">
        <v>1.08</v>
      </c>
      <c r="CQ11" s="128">
        <v>1.08</v>
      </c>
      <c r="CR11" s="128">
        <v>1.08</v>
      </c>
      <c r="CS11" s="128">
        <v>1.08</v>
      </c>
      <c r="CT11" s="128">
        <v>1.08</v>
      </c>
      <c r="CU11" s="128">
        <v>1.08</v>
      </c>
      <c r="CV11" s="128">
        <v>1.08</v>
      </c>
      <c r="CW11" s="128">
        <v>1.08</v>
      </c>
      <c r="CX11" s="128">
        <v>1.08</v>
      </c>
      <c r="CZ11" s="126">
        <f>SUMIF(MatrixF1[[1]:[2]],MatrixF1[[#This Row],[Столбец1]])/MatrixF1[[#This Row],[Столбец1]]</f>
        <v>155.00000000000026</v>
      </c>
    </row>
    <row r="12" spans="1:104" ht="21" customHeight="1" x14ac:dyDescent="0.25">
      <c r="A12" s="127">
        <v>1.0900000000000001</v>
      </c>
      <c r="B12" s="128">
        <v>1</v>
      </c>
      <c r="C12" s="128">
        <v>1.01</v>
      </c>
      <c r="D12" s="128">
        <v>1.02</v>
      </c>
      <c r="E12" s="128">
        <v>1.03</v>
      </c>
      <c r="F12" s="128">
        <v>1.04</v>
      </c>
      <c r="G12" s="128">
        <v>1.05</v>
      </c>
      <c r="H12" s="128">
        <v>1.06</v>
      </c>
      <c r="I12" s="128">
        <v>1.07</v>
      </c>
      <c r="J12" s="128">
        <v>1.08</v>
      </c>
      <c r="K12" s="128">
        <v>1.0900000000000001</v>
      </c>
      <c r="L12" s="128">
        <v>1.0900000000000001</v>
      </c>
      <c r="M12" s="128">
        <v>1.0900000000000001</v>
      </c>
      <c r="N12" s="128">
        <v>1.0900000000000001</v>
      </c>
      <c r="O12" s="128">
        <v>1.0900000000000001</v>
      </c>
      <c r="P12" s="128">
        <v>1.0900000000000001</v>
      </c>
      <c r="Q12" s="128">
        <v>1.1000000000000001</v>
      </c>
      <c r="R12" s="128">
        <v>1.1000000000000001</v>
      </c>
      <c r="S12" s="128">
        <v>1.1000000000000001</v>
      </c>
      <c r="T12" s="128">
        <v>1.1000000000000001</v>
      </c>
      <c r="U12" s="128">
        <v>1.1000000000000001</v>
      </c>
      <c r="V12" s="128">
        <v>1.1000000000000001</v>
      </c>
      <c r="W12" s="128">
        <v>1.1000000000000001</v>
      </c>
      <c r="X12" s="128">
        <v>1.1000000000000001</v>
      </c>
      <c r="Y12" s="128">
        <v>1.1000000000000001</v>
      </c>
      <c r="Z12" s="128">
        <v>1.1100000000000001</v>
      </c>
      <c r="AA12" s="128">
        <v>1.1100000000000001</v>
      </c>
      <c r="AB12" s="128">
        <v>1.1100000000000001</v>
      </c>
      <c r="AC12" s="128">
        <v>1.1100000000000001</v>
      </c>
      <c r="AD12" s="128">
        <v>1.1100000000000001</v>
      </c>
      <c r="AE12" s="128">
        <v>1.1100000000000001</v>
      </c>
      <c r="AF12" s="128">
        <v>1.1100000000000001</v>
      </c>
      <c r="AG12" s="128">
        <v>1.1200000000000001</v>
      </c>
      <c r="AH12" s="128">
        <v>1.1200000000000001</v>
      </c>
      <c r="AI12" s="128">
        <v>1.1200000000000001</v>
      </c>
      <c r="AJ12" s="128">
        <v>1.1200000000000001</v>
      </c>
      <c r="AK12" s="128">
        <v>1.1200000000000001</v>
      </c>
      <c r="AL12" s="128">
        <v>1.1200000000000001</v>
      </c>
      <c r="AM12" s="128">
        <v>1.1200000000000001</v>
      </c>
      <c r="AN12" s="128">
        <v>1.1299999999999999</v>
      </c>
      <c r="AO12" s="128">
        <v>1.1299999999999999</v>
      </c>
      <c r="AP12" s="128">
        <v>1.1299999999999999</v>
      </c>
      <c r="AQ12" s="128">
        <v>1.1299999999999999</v>
      </c>
      <c r="AR12" s="128">
        <v>1.1299999999999999</v>
      </c>
      <c r="AS12" s="128">
        <v>1.1399999999999999</v>
      </c>
      <c r="AT12" s="128">
        <v>1.1399999999999999</v>
      </c>
      <c r="AU12" s="128">
        <v>1.1399999999999999</v>
      </c>
      <c r="AV12" s="128">
        <v>1.1399999999999999</v>
      </c>
      <c r="AW12" s="128">
        <v>1.1499999999999999</v>
      </c>
      <c r="AX12" s="128">
        <v>1.1499999999999999</v>
      </c>
      <c r="AY12" s="128">
        <v>1.1499999999999999</v>
      </c>
      <c r="AZ12" s="128">
        <v>1.1499999999999999</v>
      </c>
      <c r="BA12" s="128">
        <v>1.1499999999999999</v>
      </c>
      <c r="BB12" s="128">
        <v>1.1499999999999999</v>
      </c>
      <c r="BC12" s="128">
        <v>1.1499999999999999</v>
      </c>
      <c r="BD12" s="128">
        <v>1.1399999999999999</v>
      </c>
      <c r="BE12" s="128">
        <v>1.1399999999999999</v>
      </c>
      <c r="BF12" s="128">
        <v>1.1399999999999999</v>
      </c>
      <c r="BG12" s="128">
        <v>1.1399999999999999</v>
      </c>
      <c r="BH12" s="128">
        <v>1.1299999999999999</v>
      </c>
      <c r="BI12" s="128">
        <v>1.1299999999999999</v>
      </c>
      <c r="BJ12" s="128">
        <v>1.1299999999999999</v>
      </c>
      <c r="BK12" s="128">
        <v>1.1299999999999999</v>
      </c>
      <c r="BL12" s="128">
        <v>1.1299999999999999</v>
      </c>
      <c r="BM12" s="128">
        <v>1.1200000000000001</v>
      </c>
      <c r="BN12" s="128">
        <v>1.1200000000000001</v>
      </c>
      <c r="BO12" s="128">
        <v>1.1200000000000001</v>
      </c>
      <c r="BP12" s="128">
        <v>1.1200000000000001</v>
      </c>
      <c r="BQ12" s="128">
        <v>1.1200000000000001</v>
      </c>
      <c r="BR12" s="128">
        <v>1.1200000000000001</v>
      </c>
      <c r="BS12" s="128">
        <v>1.1200000000000001</v>
      </c>
      <c r="BT12" s="128">
        <v>1.1100000000000001</v>
      </c>
      <c r="BU12" s="128">
        <v>1.1100000000000001</v>
      </c>
      <c r="BV12" s="128">
        <v>1.1100000000000001</v>
      </c>
      <c r="BW12" s="128">
        <v>1.1100000000000001</v>
      </c>
      <c r="BX12" s="128">
        <v>1.1100000000000001</v>
      </c>
      <c r="BY12" s="128">
        <v>1.1100000000000001</v>
      </c>
      <c r="BZ12" s="128">
        <v>1.1100000000000001</v>
      </c>
      <c r="CA12" s="128">
        <v>1.1000000000000001</v>
      </c>
      <c r="CB12" s="128">
        <v>1.1000000000000001</v>
      </c>
      <c r="CC12" s="128">
        <v>1.1000000000000001</v>
      </c>
      <c r="CD12" s="128">
        <v>1.1000000000000001</v>
      </c>
      <c r="CE12" s="128">
        <v>1.1000000000000001</v>
      </c>
      <c r="CF12" s="128">
        <v>1.1000000000000001</v>
      </c>
      <c r="CG12" s="128">
        <v>1.1000000000000001</v>
      </c>
      <c r="CH12" s="128">
        <v>1.1000000000000001</v>
      </c>
      <c r="CI12" s="128">
        <v>1.1000000000000001</v>
      </c>
      <c r="CJ12" s="128">
        <v>1.0900000000000001</v>
      </c>
      <c r="CK12" s="128">
        <v>1.0900000000000001</v>
      </c>
      <c r="CL12" s="128">
        <v>1.0900000000000001</v>
      </c>
      <c r="CM12" s="128">
        <v>1.0900000000000001</v>
      </c>
      <c r="CN12" s="128">
        <v>1.0900000000000001</v>
      </c>
      <c r="CO12" s="128">
        <v>1.0900000000000001</v>
      </c>
      <c r="CP12" s="128">
        <v>1.0900000000000001</v>
      </c>
      <c r="CQ12" s="128">
        <v>1.0900000000000001</v>
      </c>
      <c r="CR12" s="128">
        <v>1.0900000000000001</v>
      </c>
      <c r="CS12" s="128">
        <v>1.0900000000000001</v>
      </c>
      <c r="CT12" s="128">
        <v>1.0900000000000001</v>
      </c>
      <c r="CU12" s="128">
        <v>1.0900000000000001</v>
      </c>
      <c r="CV12" s="128">
        <v>1.0900000000000001</v>
      </c>
      <c r="CW12" s="128">
        <v>1.0900000000000001</v>
      </c>
      <c r="CX12" s="128">
        <v>1.0900000000000001</v>
      </c>
      <c r="CZ12" s="126">
        <f>SUMIF(MatrixF1[[1]:[2]],MatrixF1[[#This Row],[Столбец1]])/MatrixF1[[#This Row],[Столбец1]]</f>
        <v>159.00000000000037</v>
      </c>
    </row>
    <row r="13" spans="1:104" ht="21" customHeight="1" x14ac:dyDescent="0.25">
      <c r="A13" s="127">
        <v>1.1000000000000001</v>
      </c>
      <c r="B13" s="128">
        <v>1</v>
      </c>
      <c r="C13" s="128">
        <v>1.01</v>
      </c>
      <c r="D13" s="128">
        <v>1.02</v>
      </c>
      <c r="E13" s="128">
        <v>1.03</v>
      </c>
      <c r="F13" s="128">
        <v>1.04</v>
      </c>
      <c r="G13" s="128">
        <v>1.05</v>
      </c>
      <c r="H13" s="128">
        <v>1.06</v>
      </c>
      <c r="I13" s="128">
        <v>1.07</v>
      </c>
      <c r="J13" s="128">
        <v>1.08</v>
      </c>
      <c r="K13" s="128">
        <v>1.0900000000000001</v>
      </c>
      <c r="L13" s="128">
        <v>1.1000000000000001</v>
      </c>
      <c r="M13" s="128">
        <v>1.1000000000000001</v>
      </c>
      <c r="N13" s="128">
        <v>1.1000000000000001</v>
      </c>
      <c r="O13" s="128">
        <v>1.1000000000000001</v>
      </c>
      <c r="P13" s="128">
        <v>1.1000000000000001</v>
      </c>
      <c r="Q13" s="128">
        <v>1.1100000000000001</v>
      </c>
      <c r="R13" s="128">
        <v>1.1100000000000001</v>
      </c>
      <c r="S13" s="128">
        <v>1.1100000000000001</v>
      </c>
      <c r="T13" s="128">
        <v>1.1100000000000001</v>
      </c>
      <c r="U13" s="128">
        <v>1.1100000000000001</v>
      </c>
      <c r="V13" s="128">
        <v>1.1100000000000001</v>
      </c>
      <c r="W13" s="128">
        <v>1.1100000000000001</v>
      </c>
      <c r="X13" s="128">
        <v>1.1100000000000001</v>
      </c>
      <c r="Y13" s="128">
        <v>1.1100000000000001</v>
      </c>
      <c r="Z13" s="128">
        <v>1.1200000000000001</v>
      </c>
      <c r="AA13" s="128">
        <v>1.1200000000000001</v>
      </c>
      <c r="AB13" s="128">
        <v>1.1200000000000001</v>
      </c>
      <c r="AC13" s="128">
        <v>1.1200000000000001</v>
      </c>
      <c r="AD13" s="128">
        <v>1.1200000000000001</v>
      </c>
      <c r="AE13" s="128">
        <v>1.1200000000000001</v>
      </c>
      <c r="AF13" s="128">
        <v>1.1200000000000001</v>
      </c>
      <c r="AG13" s="128">
        <v>1.1299999999999999</v>
      </c>
      <c r="AH13" s="128">
        <v>1.1299999999999999</v>
      </c>
      <c r="AI13" s="128">
        <v>1.1299999999999999</v>
      </c>
      <c r="AJ13" s="128">
        <v>1.1299999999999999</v>
      </c>
      <c r="AK13" s="128">
        <v>1.1299999999999999</v>
      </c>
      <c r="AL13" s="128">
        <v>1.1399999999999999</v>
      </c>
      <c r="AM13" s="128">
        <v>1.1399999999999999</v>
      </c>
      <c r="AN13" s="128">
        <v>1.1399999999999999</v>
      </c>
      <c r="AO13" s="128">
        <v>1.1399999999999999</v>
      </c>
      <c r="AP13" s="128">
        <v>1.1399999999999999</v>
      </c>
      <c r="AQ13" s="128">
        <v>1.1399999999999999</v>
      </c>
      <c r="AR13" s="128">
        <v>1.1499999999999999</v>
      </c>
      <c r="AS13" s="128">
        <v>1.1499999999999999</v>
      </c>
      <c r="AT13" s="128">
        <v>1.1499999999999999</v>
      </c>
      <c r="AU13" s="128">
        <v>1.1499999999999999</v>
      </c>
      <c r="AV13" s="128">
        <v>1.1599999999999999</v>
      </c>
      <c r="AW13" s="128">
        <v>1.1599999999999999</v>
      </c>
      <c r="AX13" s="128">
        <v>1.1599999999999999</v>
      </c>
      <c r="AY13" s="128">
        <v>1.1599999999999999</v>
      </c>
      <c r="AZ13" s="128">
        <v>1.17</v>
      </c>
      <c r="BA13" s="128">
        <v>1.1599999999999999</v>
      </c>
      <c r="BB13" s="128">
        <v>1.1599999999999999</v>
      </c>
      <c r="BC13" s="128">
        <v>1.1599999999999999</v>
      </c>
      <c r="BD13" s="128">
        <v>1.1599999999999999</v>
      </c>
      <c r="BE13" s="128">
        <v>1.1499999999999999</v>
      </c>
      <c r="BF13" s="128">
        <v>1.1499999999999999</v>
      </c>
      <c r="BG13" s="128">
        <v>1.1499999999999999</v>
      </c>
      <c r="BH13" s="128">
        <v>1.1499999999999999</v>
      </c>
      <c r="BI13" s="128">
        <v>1.1399999999999999</v>
      </c>
      <c r="BJ13" s="128">
        <v>1.1399999999999999</v>
      </c>
      <c r="BK13" s="128">
        <v>1.1399999999999999</v>
      </c>
      <c r="BL13" s="128">
        <v>1.1399999999999999</v>
      </c>
      <c r="BM13" s="128">
        <v>1.1399999999999999</v>
      </c>
      <c r="BN13" s="128">
        <v>1.1399999999999999</v>
      </c>
      <c r="BO13" s="128">
        <v>1.1299999999999999</v>
      </c>
      <c r="BP13" s="128">
        <v>1.1299999999999999</v>
      </c>
      <c r="BQ13" s="128">
        <v>1.1299999999999999</v>
      </c>
      <c r="BR13" s="128">
        <v>1.1299999999999999</v>
      </c>
      <c r="BS13" s="128">
        <v>1.1299999999999999</v>
      </c>
      <c r="BT13" s="128">
        <v>1.1200000000000001</v>
      </c>
      <c r="BU13" s="128">
        <v>1.1200000000000001</v>
      </c>
      <c r="BV13" s="128">
        <v>1.1200000000000001</v>
      </c>
      <c r="BW13" s="128">
        <v>1.1200000000000001</v>
      </c>
      <c r="BX13" s="128">
        <v>1.1200000000000001</v>
      </c>
      <c r="BY13" s="128">
        <v>1.1200000000000001</v>
      </c>
      <c r="BZ13" s="128">
        <v>1.1200000000000001</v>
      </c>
      <c r="CA13" s="128">
        <v>1.1100000000000001</v>
      </c>
      <c r="CB13" s="128">
        <v>1.1100000000000001</v>
      </c>
      <c r="CC13" s="128">
        <v>1.1100000000000001</v>
      </c>
      <c r="CD13" s="128">
        <v>1.1100000000000001</v>
      </c>
      <c r="CE13" s="128">
        <v>1.1100000000000001</v>
      </c>
      <c r="CF13" s="128">
        <v>1.1100000000000001</v>
      </c>
      <c r="CG13" s="128">
        <v>1.1100000000000001</v>
      </c>
      <c r="CH13" s="128">
        <v>1.1100000000000001</v>
      </c>
      <c r="CI13" s="128">
        <v>1.1100000000000001</v>
      </c>
      <c r="CJ13" s="128">
        <v>1.1000000000000001</v>
      </c>
      <c r="CK13" s="128">
        <v>1.1000000000000001</v>
      </c>
      <c r="CL13" s="128">
        <v>1.1000000000000001</v>
      </c>
      <c r="CM13" s="128">
        <v>1.1000000000000001</v>
      </c>
      <c r="CN13" s="128">
        <v>1.1000000000000001</v>
      </c>
      <c r="CO13" s="128">
        <v>1.1000000000000001</v>
      </c>
      <c r="CP13" s="128">
        <v>1.1000000000000001</v>
      </c>
      <c r="CQ13" s="128">
        <v>1.1000000000000001</v>
      </c>
      <c r="CR13" s="128">
        <v>1.1000000000000001</v>
      </c>
      <c r="CS13" s="128">
        <v>1.1000000000000001</v>
      </c>
      <c r="CT13" s="128">
        <v>1.1000000000000001</v>
      </c>
      <c r="CU13" s="128">
        <v>1.1000000000000001</v>
      </c>
      <c r="CV13" s="128">
        <v>1.1000000000000001</v>
      </c>
      <c r="CW13" s="128">
        <v>1.1000000000000001</v>
      </c>
      <c r="CX13" s="128">
        <v>1.1000000000000001</v>
      </c>
      <c r="CZ13" s="126">
        <f>SUMIF(MatrixF1[[1]:[2]],MatrixF1[[#This Row],[Столбец1]])/MatrixF1[[#This Row],[Столбец1]]</f>
        <v>158.99999999999952</v>
      </c>
    </row>
    <row r="14" spans="1:104" ht="21" customHeight="1" x14ac:dyDescent="0.25">
      <c r="A14" s="127">
        <v>1.1100000000000001</v>
      </c>
      <c r="B14" s="128">
        <v>1</v>
      </c>
      <c r="C14" s="128">
        <v>1.01</v>
      </c>
      <c r="D14" s="128">
        <v>1.02</v>
      </c>
      <c r="E14" s="128">
        <v>1.03</v>
      </c>
      <c r="F14" s="128">
        <v>1.04</v>
      </c>
      <c r="G14" s="128">
        <v>1.05</v>
      </c>
      <c r="H14" s="128">
        <v>1.06</v>
      </c>
      <c r="I14" s="128">
        <v>1.07</v>
      </c>
      <c r="J14" s="128">
        <v>1.08</v>
      </c>
      <c r="K14" s="128">
        <v>1.0900000000000001</v>
      </c>
      <c r="L14" s="128">
        <v>1.1000000000000001</v>
      </c>
      <c r="M14" s="128">
        <v>1.1100000000000001</v>
      </c>
      <c r="N14" s="128">
        <v>1.1100000000000001</v>
      </c>
      <c r="O14" s="128">
        <v>1.1100000000000001</v>
      </c>
      <c r="P14" s="128">
        <v>1.1100000000000001</v>
      </c>
      <c r="Q14" s="128">
        <v>1.1100000000000001</v>
      </c>
      <c r="R14" s="128">
        <v>1.1200000000000001</v>
      </c>
      <c r="S14" s="128">
        <v>1.1200000000000001</v>
      </c>
      <c r="T14" s="128">
        <v>1.1200000000000001</v>
      </c>
      <c r="U14" s="128">
        <v>1.1200000000000001</v>
      </c>
      <c r="V14" s="128">
        <v>1.1200000000000001</v>
      </c>
      <c r="W14" s="128">
        <v>1.1200000000000001</v>
      </c>
      <c r="X14" s="128">
        <v>1.1200000000000001</v>
      </c>
      <c r="Y14" s="128">
        <v>1.1200000000000001</v>
      </c>
      <c r="Z14" s="128">
        <v>1.1299999999999999</v>
      </c>
      <c r="AA14" s="128">
        <v>1.1299999999999999</v>
      </c>
      <c r="AB14" s="128">
        <v>1.1299999999999999</v>
      </c>
      <c r="AC14" s="128">
        <v>1.1299999999999999</v>
      </c>
      <c r="AD14" s="128">
        <v>1.1299999999999999</v>
      </c>
      <c r="AE14" s="128">
        <v>1.1299999999999999</v>
      </c>
      <c r="AF14" s="128">
        <v>1.1399999999999999</v>
      </c>
      <c r="AG14" s="128">
        <v>1.1399999999999999</v>
      </c>
      <c r="AH14" s="128">
        <v>1.1399999999999999</v>
      </c>
      <c r="AI14" s="128">
        <v>1.1399999999999999</v>
      </c>
      <c r="AJ14" s="128">
        <v>1.1399999999999999</v>
      </c>
      <c r="AK14" s="128">
        <v>1.1399999999999999</v>
      </c>
      <c r="AL14" s="128">
        <v>1.1499999999999999</v>
      </c>
      <c r="AM14" s="128">
        <v>1.1499999999999999</v>
      </c>
      <c r="AN14" s="128">
        <v>1.1499999999999999</v>
      </c>
      <c r="AO14" s="128">
        <v>1.1499999999999999</v>
      </c>
      <c r="AP14" s="128">
        <v>1.1499999999999999</v>
      </c>
      <c r="AQ14" s="128">
        <v>1.1599999999999999</v>
      </c>
      <c r="AR14" s="128">
        <v>1.1599999999999999</v>
      </c>
      <c r="AS14" s="128">
        <v>1.1599999999999999</v>
      </c>
      <c r="AT14" s="128">
        <v>1.1599999999999999</v>
      </c>
      <c r="AU14" s="128">
        <v>1.17</v>
      </c>
      <c r="AV14" s="128">
        <v>1.17</v>
      </c>
      <c r="AW14" s="128">
        <v>1.17</v>
      </c>
      <c r="AX14" s="128">
        <v>1.17</v>
      </c>
      <c r="AY14" s="128">
        <v>1.18</v>
      </c>
      <c r="AZ14" s="128">
        <v>1.18</v>
      </c>
      <c r="BA14" s="128">
        <v>1.18</v>
      </c>
      <c r="BB14" s="128">
        <v>1.17</v>
      </c>
      <c r="BC14" s="128">
        <v>1.17</v>
      </c>
      <c r="BD14" s="128">
        <v>1.17</v>
      </c>
      <c r="BE14" s="128">
        <v>1.17</v>
      </c>
      <c r="BF14" s="128">
        <v>1.1599999999999999</v>
      </c>
      <c r="BG14" s="128">
        <v>1.1599999999999999</v>
      </c>
      <c r="BH14" s="128">
        <v>1.1599999999999999</v>
      </c>
      <c r="BI14" s="128">
        <v>1.1599999999999999</v>
      </c>
      <c r="BJ14" s="128">
        <v>1.1499999999999999</v>
      </c>
      <c r="BK14" s="128">
        <v>1.1499999999999999</v>
      </c>
      <c r="BL14" s="128">
        <v>1.1499999999999999</v>
      </c>
      <c r="BM14" s="128">
        <v>1.1499999999999999</v>
      </c>
      <c r="BN14" s="128">
        <v>1.1499999999999999</v>
      </c>
      <c r="BO14" s="128">
        <v>1.1399999999999999</v>
      </c>
      <c r="BP14" s="128">
        <v>1.1399999999999999</v>
      </c>
      <c r="BQ14" s="128">
        <v>1.1399999999999999</v>
      </c>
      <c r="BR14" s="128">
        <v>1.1399999999999999</v>
      </c>
      <c r="BS14" s="128">
        <v>1.1399999999999999</v>
      </c>
      <c r="BT14" s="128">
        <v>1.1399999999999999</v>
      </c>
      <c r="BU14" s="128">
        <v>1.1299999999999999</v>
      </c>
      <c r="BV14" s="128">
        <v>1.1299999999999999</v>
      </c>
      <c r="BW14" s="128">
        <v>1.1299999999999999</v>
      </c>
      <c r="BX14" s="128">
        <v>1.1299999999999999</v>
      </c>
      <c r="BY14" s="128">
        <v>1.1299999999999999</v>
      </c>
      <c r="BZ14" s="128">
        <v>1.1299999999999999</v>
      </c>
      <c r="CA14" s="128">
        <v>1.1200000000000001</v>
      </c>
      <c r="CB14" s="128">
        <v>1.1200000000000001</v>
      </c>
      <c r="CC14" s="128">
        <v>1.1200000000000001</v>
      </c>
      <c r="CD14" s="128">
        <v>1.1200000000000001</v>
      </c>
      <c r="CE14" s="128">
        <v>1.1200000000000001</v>
      </c>
      <c r="CF14" s="128">
        <v>1.1200000000000001</v>
      </c>
      <c r="CG14" s="128">
        <v>1.1200000000000001</v>
      </c>
      <c r="CH14" s="128">
        <v>1.1200000000000001</v>
      </c>
      <c r="CI14" s="128">
        <v>1.1100000000000001</v>
      </c>
      <c r="CJ14" s="128">
        <v>1.1100000000000001</v>
      </c>
      <c r="CK14" s="128">
        <v>1.1100000000000001</v>
      </c>
      <c r="CL14" s="128">
        <v>1.1100000000000001</v>
      </c>
      <c r="CM14" s="128">
        <v>1.1100000000000001</v>
      </c>
      <c r="CN14" s="128">
        <v>1.1100000000000001</v>
      </c>
      <c r="CO14" s="128">
        <v>1.1100000000000001</v>
      </c>
      <c r="CP14" s="128">
        <v>1.1100000000000001</v>
      </c>
      <c r="CQ14" s="128">
        <v>1.1100000000000001</v>
      </c>
      <c r="CR14" s="128">
        <v>1.1100000000000001</v>
      </c>
      <c r="CS14" s="128">
        <v>1.1100000000000001</v>
      </c>
      <c r="CT14" s="128">
        <v>1.1100000000000001</v>
      </c>
      <c r="CU14" s="128">
        <v>1.1100000000000001</v>
      </c>
      <c r="CV14" s="128">
        <v>1.1100000000000001</v>
      </c>
      <c r="CW14" s="128">
        <v>1.1100000000000001</v>
      </c>
      <c r="CX14" s="128">
        <v>1.1100000000000001</v>
      </c>
      <c r="CZ14" s="126">
        <f>SUMIF(MatrixF1[[1]:[2]],MatrixF1[[#This Row],[Столбец1]])/MatrixF1[[#This Row],[Столбец1]]</f>
        <v>163.00000000000054</v>
      </c>
    </row>
    <row r="15" spans="1:104" ht="21" customHeight="1" x14ac:dyDescent="0.25">
      <c r="A15" s="127">
        <v>1.1200000000000001</v>
      </c>
      <c r="B15" s="128">
        <v>1</v>
      </c>
      <c r="C15" s="128">
        <v>1.01</v>
      </c>
      <c r="D15" s="128">
        <v>1.02</v>
      </c>
      <c r="E15" s="128">
        <v>1.03</v>
      </c>
      <c r="F15" s="128">
        <v>1.04</v>
      </c>
      <c r="G15" s="128">
        <v>1.05</v>
      </c>
      <c r="H15" s="128">
        <v>1.06</v>
      </c>
      <c r="I15" s="128">
        <v>1.07</v>
      </c>
      <c r="J15" s="128">
        <v>1.08</v>
      </c>
      <c r="K15" s="128">
        <v>1.0900000000000001</v>
      </c>
      <c r="L15" s="128">
        <v>1.1000000000000001</v>
      </c>
      <c r="M15" s="128">
        <v>1.1100000000000001</v>
      </c>
      <c r="N15" s="128">
        <v>1.1200000000000001</v>
      </c>
      <c r="O15" s="128">
        <v>1.1200000000000001</v>
      </c>
      <c r="P15" s="128">
        <v>1.1200000000000001</v>
      </c>
      <c r="Q15" s="128">
        <v>1.1200000000000001</v>
      </c>
      <c r="R15" s="128">
        <v>1.1200000000000001</v>
      </c>
      <c r="S15" s="128">
        <v>1.1299999999999999</v>
      </c>
      <c r="T15" s="128">
        <v>1.1299999999999999</v>
      </c>
      <c r="U15" s="128">
        <v>1.1299999999999999</v>
      </c>
      <c r="V15" s="128">
        <v>1.1299999999999999</v>
      </c>
      <c r="W15" s="128">
        <v>1.1299999999999999</v>
      </c>
      <c r="X15" s="128">
        <v>1.1299999999999999</v>
      </c>
      <c r="Y15" s="128">
        <v>1.1299999999999999</v>
      </c>
      <c r="Z15" s="128">
        <v>1.1399999999999999</v>
      </c>
      <c r="AA15" s="128">
        <v>1.1399999999999999</v>
      </c>
      <c r="AB15" s="128">
        <v>1.1399999999999999</v>
      </c>
      <c r="AC15" s="128">
        <v>1.1399999999999999</v>
      </c>
      <c r="AD15" s="128">
        <v>1.1399999999999999</v>
      </c>
      <c r="AE15" s="128">
        <v>1.1399999999999999</v>
      </c>
      <c r="AF15" s="128">
        <v>1.1499999999999999</v>
      </c>
      <c r="AG15" s="128">
        <v>1.1499999999999999</v>
      </c>
      <c r="AH15" s="128">
        <v>1.1499999999999999</v>
      </c>
      <c r="AI15" s="128">
        <v>1.1499999999999999</v>
      </c>
      <c r="AJ15" s="128">
        <v>1.1499999999999999</v>
      </c>
      <c r="AK15" s="128">
        <v>1.1599999999999999</v>
      </c>
      <c r="AL15" s="128">
        <v>1.1599999999999999</v>
      </c>
      <c r="AM15" s="128">
        <v>1.1599999999999999</v>
      </c>
      <c r="AN15" s="128">
        <v>1.1599999999999999</v>
      </c>
      <c r="AO15" s="128">
        <v>1.1599999999999999</v>
      </c>
      <c r="AP15" s="128">
        <v>1.17</v>
      </c>
      <c r="AQ15" s="128">
        <v>1.17</v>
      </c>
      <c r="AR15" s="128">
        <v>1.17</v>
      </c>
      <c r="AS15" s="128">
        <v>1.17</v>
      </c>
      <c r="AT15" s="128">
        <v>1.18</v>
      </c>
      <c r="AU15" s="128">
        <v>1.18</v>
      </c>
      <c r="AV15" s="128">
        <v>1.18</v>
      </c>
      <c r="AW15" s="128">
        <v>1.18</v>
      </c>
      <c r="AX15" s="128">
        <v>1.19</v>
      </c>
      <c r="AY15" s="128">
        <v>1.19</v>
      </c>
      <c r="AZ15" s="128">
        <v>1.19</v>
      </c>
      <c r="BA15" s="128">
        <v>1.19</v>
      </c>
      <c r="BB15" s="128">
        <v>1.19</v>
      </c>
      <c r="BC15" s="128">
        <v>1.18</v>
      </c>
      <c r="BD15" s="128">
        <v>1.18</v>
      </c>
      <c r="BE15" s="128">
        <v>1.18</v>
      </c>
      <c r="BF15" s="128">
        <v>1.18</v>
      </c>
      <c r="BG15" s="128">
        <v>1.17</v>
      </c>
      <c r="BH15" s="128">
        <v>1.17</v>
      </c>
      <c r="BI15" s="128">
        <v>1.17</v>
      </c>
      <c r="BJ15" s="128">
        <v>1.17</v>
      </c>
      <c r="BK15" s="128">
        <v>1.1599999999999999</v>
      </c>
      <c r="BL15" s="128">
        <v>1.1599999999999999</v>
      </c>
      <c r="BM15" s="128">
        <v>1.1599999999999999</v>
      </c>
      <c r="BN15" s="128">
        <v>1.1599999999999999</v>
      </c>
      <c r="BO15" s="128">
        <v>1.1599999999999999</v>
      </c>
      <c r="BP15" s="128">
        <v>1.1499999999999999</v>
      </c>
      <c r="BQ15" s="128">
        <v>1.1499999999999999</v>
      </c>
      <c r="BR15" s="128">
        <v>1.1499999999999999</v>
      </c>
      <c r="BS15" s="128">
        <v>1.1499999999999999</v>
      </c>
      <c r="BT15" s="128">
        <v>1.1499999999999999</v>
      </c>
      <c r="BU15" s="128">
        <v>1.1399999999999999</v>
      </c>
      <c r="BV15" s="128">
        <v>1.1399999999999999</v>
      </c>
      <c r="BW15" s="128">
        <v>1.1399999999999999</v>
      </c>
      <c r="BX15" s="128">
        <v>1.1399999999999999</v>
      </c>
      <c r="BY15" s="128">
        <v>1.1399999999999999</v>
      </c>
      <c r="BZ15" s="128">
        <v>1.1399999999999999</v>
      </c>
      <c r="CA15" s="128">
        <v>1.1299999999999999</v>
      </c>
      <c r="CB15" s="128">
        <v>1.1299999999999999</v>
      </c>
      <c r="CC15" s="128">
        <v>1.1299999999999999</v>
      </c>
      <c r="CD15" s="128">
        <v>1.1299999999999999</v>
      </c>
      <c r="CE15" s="128">
        <v>1.1299999999999999</v>
      </c>
      <c r="CF15" s="128">
        <v>1.1299999999999999</v>
      </c>
      <c r="CG15" s="128">
        <v>1.1299999999999999</v>
      </c>
      <c r="CH15" s="128">
        <v>1.1200000000000001</v>
      </c>
      <c r="CI15" s="128">
        <v>1.1200000000000001</v>
      </c>
      <c r="CJ15" s="128">
        <v>1.1200000000000001</v>
      </c>
      <c r="CK15" s="128">
        <v>1.1200000000000001</v>
      </c>
      <c r="CL15" s="128">
        <v>1.1200000000000001</v>
      </c>
      <c r="CM15" s="128">
        <v>1.1200000000000001</v>
      </c>
      <c r="CN15" s="128">
        <v>1.1200000000000001</v>
      </c>
      <c r="CO15" s="128">
        <v>1.1200000000000001</v>
      </c>
      <c r="CP15" s="128">
        <v>1.1200000000000001</v>
      </c>
      <c r="CQ15" s="128">
        <v>1.1200000000000001</v>
      </c>
      <c r="CR15" s="128">
        <v>1.1200000000000001</v>
      </c>
      <c r="CS15" s="128">
        <v>1.1200000000000001</v>
      </c>
      <c r="CT15" s="128">
        <v>1.1200000000000001</v>
      </c>
      <c r="CU15" s="128">
        <v>1.1200000000000001</v>
      </c>
      <c r="CV15" s="128">
        <v>1.1200000000000001</v>
      </c>
      <c r="CW15" s="128">
        <v>1.1200000000000001</v>
      </c>
      <c r="CX15" s="128">
        <v>1.1200000000000001</v>
      </c>
      <c r="CZ15" s="126">
        <f>SUMIF(MatrixF1[[1]:[2]],MatrixF1[[#This Row],[Столбец1]])/MatrixF1[[#This Row],[Столбец1]]</f>
        <v>165.00000000000037</v>
      </c>
    </row>
    <row r="16" spans="1:104" ht="21" customHeight="1" x14ac:dyDescent="0.25">
      <c r="A16" s="127">
        <v>1.1299999999999999</v>
      </c>
      <c r="B16" s="128">
        <v>1</v>
      </c>
      <c r="C16" s="128">
        <v>1.01</v>
      </c>
      <c r="D16" s="128">
        <v>1.02</v>
      </c>
      <c r="E16" s="128">
        <v>1.03</v>
      </c>
      <c r="F16" s="128">
        <v>1.04</v>
      </c>
      <c r="G16" s="128">
        <v>1.05</v>
      </c>
      <c r="H16" s="128">
        <v>1.06</v>
      </c>
      <c r="I16" s="128">
        <v>1.07</v>
      </c>
      <c r="J16" s="128">
        <v>1.08</v>
      </c>
      <c r="K16" s="128">
        <v>1.0900000000000001</v>
      </c>
      <c r="L16" s="128">
        <v>1.1000000000000001</v>
      </c>
      <c r="M16" s="128">
        <v>1.1100000000000001</v>
      </c>
      <c r="N16" s="128">
        <v>1.1200000000000001</v>
      </c>
      <c r="O16" s="128">
        <v>1.1299999999999999</v>
      </c>
      <c r="P16" s="128">
        <v>1.1299999999999999</v>
      </c>
      <c r="Q16" s="128">
        <v>1.1299999999999999</v>
      </c>
      <c r="R16" s="128">
        <v>1.1299999999999999</v>
      </c>
      <c r="S16" s="128">
        <v>1.1399999999999999</v>
      </c>
      <c r="T16" s="128">
        <v>1.1399999999999999</v>
      </c>
      <c r="U16" s="128">
        <v>1.1399999999999999</v>
      </c>
      <c r="V16" s="128">
        <v>1.1399999999999999</v>
      </c>
      <c r="W16" s="128">
        <v>1.1399999999999999</v>
      </c>
      <c r="X16" s="128">
        <v>1.1399999999999999</v>
      </c>
      <c r="Y16" s="128">
        <v>1.1399999999999999</v>
      </c>
      <c r="Z16" s="128">
        <v>1.1499999999999999</v>
      </c>
      <c r="AA16" s="128">
        <v>1.1499999999999999</v>
      </c>
      <c r="AB16" s="128">
        <v>1.1499999999999999</v>
      </c>
      <c r="AC16" s="128">
        <v>1.1499999999999999</v>
      </c>
      <c r="AD16" s="128">
        <v>1.1499999999999999</v>
      </c>
      <c r="AE16" s="128">
        <v>1.1499999999999999</v>
      </c>
      <c r="AF16" s="128">
        <v>1.1599999999999999</v>
      </c>
      <c r="AG16" s="128">
        <v>1.1599999999999999</v>
      </c>
      <c r="AH16" s="128">
        <v>1.1599999999999999</v>
      </c>
      <c r="AI16" s="128">
        <v>1.1599999999999999</v>
      </c>
      <c r="AJ16" s="128">
        <v>1.1599999999999999</v>
      </c>
      <c r="AK16" s="128">
        <v>1.17</v>
      </c>
      <c r="AL16" s="128">
        <v>1.17</v>
      </c>
      <c r="AM16" s="128">
        <v>1.17</v>
      </c>
      <c r="AN16" s="128">
        <v>1.17</v>
      </c>
      <c r="AO16" s="128">
        <v>1.18</v>
      </c>
      <c r="AP16" s="128">
        <v>1.18</v>
      </c>
      <c r="AQ16" s="128">
        <v>1.18</v>
      </c>
      <c r="AR16" s="128">
        <v>1.18</v>
      </c>
      <c r="AS16" s="128">
        <v>1.19</v>
      </c>
      <c r="AT16" s="128">
        <v>1.19</v>
      </c>
      <c r="AU16" s="128">
        <v>1.19</v>
      </c>
      <c r="AV16" s="128">
        <v>1.19</v>
      </c>
      <c r="AW16" s="128">
        <v>1.2</v>
      </c>
      <c r="AX16" s="128">
        <v>1.2</v>
      </c>
      <c r="AY16" s="128">
        <v>1.2</v>
      </c>
      <c r="AZ16" s="128">
        <v>1.21</v>
      </c>
      <c r="BA16" s="128">
        <v>1.2</v>
      </c>
      <c r="BB16" s="128">
        <v>1.2</v>
      </c>
      <c r="BC16" s="128">
        <v>1.2</v>
      </c>
      <c r="BD16" s="128">
        <v>1.19</v>
      </c>
      <c r="BE16" s="128">
        <v>1.19</v>
      </c>
      <c r="BF16" s="128">
        <v>1.19</v>
      </c>
      <c r="BG16" s="128">
        <v>1.19</v>
      </c>
      <c r="BH16" s="128">
        <v>1.18</v>
      </c>
      <c r="BI16" s="128">
        <v>1.18</v>
      </c>
      <c r="BJ16" s="128">
        <v>1.18</v>
      </c>
      <c r="BK16" s="128">
        <v>1.18</v>
      </c>
      <c r="BL16" s="128">
        <v>1.17</v>
      </c>
      <c r="BM16" s="128">
        <v>1.17</v>
      </c>
      <c r="BN16" s="128">
        <v>1.17</v>
      </c>
      <c r="BO16" s="128">
        <v>1.17</v>
      </c>
      <c r="BP16" s="128">
        <v>1.1599999999999999</v>
      </c>
      <c r="BQ16" s="128">
        <v>1.1599999999999999</v>
      </c>
      <c r="BR16" s="128">
        <v>1.1599999999999999</v>
      </c>
      <c r="BS16" s="128">
        <v>1.1599999999999999</v>
      </c>
      <c r="BT16" s="128">
        <v>1.1599999999999999</v>
      </c>
      <c r="BU16" s="128">
        <v>1.1499999999999999</v>
      </c>
      <c r="BV16" s="128">
        <v>1.1499999999999999</v>
      </c>
      <c r="BW16" s="128">
        <v>1.1499999999999999</v>
      </c>
      <c r="BX16" s="128">
        <v>1.1499999999999999</v>
      </c>
      <c r="BY16" s="128">
        <v>1.1499999999999999</v>
      </c>
      <c r="BZ16" s="128">
        <v>1.1499999999999999</v>
      </c>
      <c r="CA16" s="128">
        <v>1.1399999999999999</v>
      </c>
      <c r="CB16" s="128">
        <v>1.1399999999999999</v>
      </c>
      <c r="CC16" s="128">
        <v>1.1399999999999999</v>
      </c>
      <c r="CD16" s="128">
        <v>1.1399999999999999</v>
      </c>
      <c r="CE16" s="128">
        <v>1.1399999999999999</v>
      </c>
      <c r="CF16" s="128">
        <v>1.1399999999999999</v>
      </c>
      <c r="CG16" s="128">
        <v>1.1399999999999999</v>
      </c>
      <c r="CH16" s="128">
        <v>1.1299999999999999</v>
      </c>
      <c r="CI16" s="128">
        <v>1.1299999999999999</v>
      </c>
      <c r="CJ16" s="128">
        <v>1.1299999999999999</v>
      </c>
      <c r="CK16" s="128">
        <v>1.1299999999999999</v>
      </c>
      <c r="CL16" s="128">
        <v>1.1299999999999999</v>
      </c>
      <c r="CM16" s="128">
        <v>1.1299999999999999</v>
      </c>
      <c r="CN16" s="128">
        <v>1.1299999999999999</v>
      </c>
      <c r="CO16" s="128">
        <v>1.1299999999999999</v>
      </c>
      <c r="CP16" s="128">
        <v>1.1299999999999999</v>
      </c>
      <c r="CQ16" s="128">
        <v>1.1299999999999999</v>
      </c>
      <c r="CR16" s="128">
        <v>1.1299999999999999</v>
      </c>
      <c r="CS16" s="128">
        <v>1.1299999999999999</v>
      </c>
      <c r="CT16" s="128">
        <v>1.1299999999999999</v>
      </c>
      <c r="CU16" s="128">
        <v>1.1299999999999999</v>
      </c>
      <c r="CV16" s="128">
        <v>1.1299999999999999</v>
      </c>
      <c r="CW16" s="128">
        <v>1.1299999999999999</v>
      </c>
      <c r="CX16" s="128">
        <v>1.1299999999999999</v>
      </c>
      <c r="CZ16" s="126">
        <f>SUMIF(MatrixF1[[1]:[2]],MatrixF1[[#This Row],[Столбец1]])/MatrixF1[[#This Row],[Столбец1]]</f>
        <v>152.99999999999969</v>
      </c>
    </row>
    <row r="17" spans="1:104" ht="21" customHeight="1" x14ac:dyDescent="0.25">
      <c r="A17" s="127">
        <v>1.1399999999999999</v>
      </c>
      <c r="B17" s="128">
        <v>1</v>
      </c>
      <c r="C17" s="128">
        <v>1.01</v>
      </c>
      <c r="D17" s="128">
        <v>1.02</v>
      </c>
      <c r="E17" s="128">
        <v>1.03</v>
      </c>
      <c r="F17" s="128">
        <v>1.04</v>
      </c>
      <c r="G17" s="128">
        <v>1.05</v>
      </c>
      <c r="H17" s="128">
        <v>1.07</v>
      </c>
      <c r="I17" s="128">
        <v>1.08</v>
      </c>
      <c r="J17" s="128">
        <v>1.0900000000000001</v>
      </c>
      <c r="K17" s="128">
        <v>1.0900000000000001</v>
      </c>
      <c r="L17" s="128">
        <v>1.1000000000000001</v>
      </c>
      <c r="M17" s="128">
        <v>1.1100000000000001</v>
      </c>
      <c r="N17" s="128">
        <v>1.1200000000000001</v>
      </c>
      <c r="O17" s="128">
        <v>1.1299999999999999</v>
      </c>
      <c r="P17" s="128">
        <v>1.1399999999999999</v>
      </c>
      <c r="Q17" s="128">
        <v>1.1399999999999999</v>
      </c>
      <c r="R17" s="128">
        <v>1.1399999999999999</v>
      </c>
      <c r="S17" s="128">
        <v>1.1399999999999999</v>
      </c>
      <c r="T17" s="128">
        <v>1.1499999999999999</v>
      </c>
      <c r="U17" s="128">
        <v>1.1499999999999999</v>
      </c>
      <c r="V17" s="128">
        <v>1.1499999999999999</v>
      </c>
      <c r="W17" s="128">
        <v>1.1499999999999999</v>
      </c>
      <c r="X17" s="128">
        <v>1.1499999999999999</v>
      </c>
      <c r="Y17" s="128">
        <v>1.1499999999999999</v>
      </c>
      <c r="Z17" s="128">
        <v>1.1599999999999999</v>
      </c>
      <c r="AA17" s="128">
        <v>1.1599999999999999</v>
      </c>
      <c r="AB17" s="128">
        <v>1.1599999999999999</v>
      </c>
      <c r="AC17" s="128">
        <v>1.1599999999999999</v>
      </c>
      <c r="AD17" s="128">
        <v>1.1599999999999999</v>
      </c>
      <c r="AE17" s="128">
        <v>1.1599999999999999</v>
      </c>
      <c r="AF17" s="128">
        <v>1.17</v>
      </c>
      <c r="AG17" s="128">
        <v>1.17</v>
      </c>
      <c r="AH17" s="128">
        <v>1.17</v>
      </c>
      <c r="AI17" s="128">
        <v>1.17</v>
      </c>
      <c r="AJ17" s="128">
        <v>1.18</v>
      </c>
      <c r="AK17" s="128">
        <v>1.18</v>
      </c>
      <c r="AL17" s="128">
        <v>1.18</v>
      </c>
      <c r="AM17" s="128">
        <v>1.18</v>
      </c>
      <c r="AN17" s="128">
        <v>1.18</v>
      </c>
      <c r="AO17" s="128">
        <v>1.19</v>
      </c>
      <c r="AP17" s="128">
        <v>1.19</v>
      </c>
      <c r="AQ17" s="128">
        <v>1.19</v>
      </c>
      <c r="AR17" s="128">
        <v>1.19</v>
      </c>
      <c r="AS17" s="128">
        <v>1.2</v>
      </c>
      <c r="AT17" s="128">
        <v>1.2</v>
      </c>
      <c r="AU17" s="128">
        <v>1.2</v>
      </c>
      <c r="AV17" s="128">
        <v>1.21</v>
      </c>
      <c r="AW17" s="128">
        <v>1.21</v>
      </c>
      <c r="AX17" s="128">
        <v>1.21</v>
      </c>
      <c r="AY17" s="128">
        <v>1.22</v>
      </c>
      <c r="AZ17" s="128">
        <v>1.22</v>
      </c>
      <c r="BA17" s="128">
        <v>1.22</v>
      </c>
      <c r="BB17" s="128">
        <v>1.21</v>
      </c>
      <c r="BC17" s="128">
        <v>1.21</v>
      </c>
      <c r="BD17" s="128">
        <v>1.21</v>
      </c>
      <c r="BE17" s="128">
        <v>1.2</v>
      </c>
      <c r="BF17" s="128">
        <v>1.2</v>
      </c>
      <c r="BG17" s="128">
        <v>1.2</v>
      </c>
      <c r="BH17" s="128">
        <v>1.19</v>
      </c>
      <c r="BI17" s="128">
        <v>1.19</v>
      </c>
      <c r="BJ17" s="128">
        <v>1.19</v>
      </c>
      <c r="BK17" s="128">
        <v>1.19</v>
      </c>
      <c r="BL17" s="128">
        <v>1.18</v>
      </c>
      <c r="BM17" s="128">
        <v>1.18</v>
      </c>
      <c r="BN17" s="128">
        <v>1.18</v>
      </c>
      <c r="BO17" s="128">
        <v>1.18</v>
      </c>
      <c r="BP17" s="128">
        <v>1.18</v>
      </c>
      <c r="BQ17" s="128">
        <v>1.17</v>
      </c>
      <c r="BR17" s="128">
        <v>1.17</v>
      </c>
      <c r="BS17" s="128">
        <v>1.17</v>
      </c>
      <c r="BT17" s="128">
        <v>1.17</v>
      </c>
      <c r="BU17" s="128">
        <v>1.1599999999999999</v>
      </c>
      <c r="BV17" s="128">
        <v>1.1599999999999999</v>
      </c>
      <c r="BW17" s="128">
        <v>1.1599999999999999</v>
      </c>
      <c r="BX17" s="128">
        <v>1.1599999999999999</v>
      </c>
      <c r="BY17" s="128">
        <v>1.1599999999999999</v>
      </c>
      <c r="BZ17" s="128">
        <v>1.1599999999999999</v>
      </c>
      <c r="CA17" s="128">
        <v>1.1499999999999999</v>
      </c>
      <c r="CB17" s="128">
        <v>1.1499999999999999</v>
      </c>
      <c r="CC17" s="128">
        <v>1.1499999999999999</v>
      </c>
      <c r="CD17" s="128">
        <v>1.1499999999999999</v>
      </c>
      <c r="CE17" s="128">
        <v>1.1499999999999999</v>
      </c>
      <c r="CF17" s="128">
        <v>1.1499999999999999</v>
      </c>
      <c r="CG17" s="128">
        <v>1.1399999999999999</v>
      </c>
      <c r="CH17" s="128">
        <v>1.1399999999999999</v>
      </c>
      <c r="CI17" s="128">
        <v>1.1399999999999999</v>
      </c>
      <c r="CJ17" s="128">
        <v>1.1399999999999999</v>
      </c>
      <c r="CK17" s="128">
        <v>1.1399999999999999</v>
      </c>
      <c r="CL17" s="128">
        <v>1.1399999999999999</v>
      </c>
      <c r="CM17" s="128">
        <v>1.1399999999999999</v>
      </c>
      <c r="CN17" s="128">
        <v>1.1399999999999999</v>
      </c>
      <c r="CO17" s="128">
        <v>1.1399999999999999</v>
      </c>
      <c r="CP17" s="128">
        <v>1.1399999999999999</v>
      </c>
      <c r="CQ17" s="128">
        <v>1.1399999999999999</v>
      </c>
      <c r="CR17" s="128">
        <v>1.1399999999999999</v>
      </c>
      <c r="CS17" s="128">
        <v>1.1399999999999999</v>
      </c>
      <c r="CT17" s="128">
        <v>1.1399999999999999</v>
      </c>
      <c r="CU17" s="128">
        <v>1.1399999999999999</v>
      </c>
      <c r="CV17" s="128">
        <v>1.1399999999999999</v>
      </c>
      <c r="CW17" s="128">
        <v>1.1399999999999999</v>
      </c>
      <c r="CX17" s="128">
        <v>1.1399999999999999</v>
      </c>
      <c r="CZ17" s="126">
        <f>SUMIF(MatrixF1[[1]:[2]],MatrixF1[[#This Row],[Столбец1]])/MatrixF1[[#This Row],[Столбец1]]</f>
        <v>164.99999999999943</v>
      </c>
    </row>
    <row r="18" spans="1:104" ht="21" customHeight="1" x14ac:dyDescent="0.25">
      <c r="A18" s="127">
        <v>1.1499999999999999</v>
      </c>
      <c r="B18" s="128">
        <v>1</v>
      </c>
      <c r="C18" s="128">
        <v>1.01</v>
      </c>
      <c r="D18" s="128">
        <v>1.02</v>
      </c>
      <c r="E18" s="128">
        <v>1.03</v>
      </c>
      <c r="F18" s="128">
        <v>1.04</v>
      </c>
      <c r="G18" s="128">
        <v>1.06</v>
      </c>
      <c r="H18" s="128">
        <v>1.07</v>
      </c>
      <c r="I18" s="128">
        <v>1.08</v>
      </c>
      <c r="J18" s="128">
        <v>1.0900000000000001</v>
      </c>
      <c r="K18" s="128">
        <v>1.1000000000000001</v>
      </c>
      <c r="L18" s="128">
        <v>1.1100000000000001</v>
      </c>
      <c r="M18" s="128">
        <v>1.1100000000000001</v>
      </c>
      <c r="N18" s="128">
        <v>1.1200000000000001</v>
      </c>
      <c r="O18" s="128">
        <v>1.1299999999999999</v>
      </c>
      <c r="P18" s="128">
        <v>1.1399999999999999</v>
      </c>
      <c r="Q18" s="128">
        <v>1.1499999999999999</v>
      </c>
      <c r="R18" s="128">
        <v>1.1499999999999999</v>
      </c>
      <c r="S18" s="128">
        <v>1.1499999999999999</v>
      </c>
      <c r="T18" s="128">
        <v>1.1499999999999999</v>
      </c>
      <c r="U18" s="128">
        <v>1.1599999999999999</v>
      </c>
      <c r="V18" s="128">
        <v>1.1599999999999999</v>
      </c>
      <c r="W18" s="128">
        <v>1.1599999999999999</v>
      </c>
      <c r="X18" s="128">
        <v>1.1599999999999999</v>
      </c>
      <c r="Y18" s="128">
        <v>1.1599999999999999</v>
      </c>
      <c r="Z18" s="128">
        <v>1.1599999999999999</v>
      </c>
      <c r="AA18" s="128">
        <v>1.17</v>
      </c>
      <c r="AB18" s="128">
        <v>1.17</v>
      </c>
      <c r="AC18" s="128">
        <v>1.17</v>
      </c>
      <c r="AD18" s="128">
        <v>1.17</v>
      </c>
      <c r="AE18" s="128">
        <v>1.17</v>
      </c>
      <c r="AF18" s="128">
        <v>1.18</v>
      </c>
      <c r="AG18" s="128">
        <v>1.18</v>
      </c>
      <c r="AH18" s="128">
        <v>1.18</v>
      </c>
      <c r="AI18" s="128">
        <v>1.18</v>
      </c>
      <c r="AJ18" s="128">
        <v>1.19</v>
      </c>
      <c r="AK18" s="128">
        <v>1.19</v>
      </c>
      <c r="AL18" s="128">
        <v>1.19</v>
      </c>
      <c r="AM18" s="128">
        <v>1.19</v>
      </c>
      <c r="AN18" s="128">
        <v>1.19</v>
      </c>
      <c r="AO18" s="128">
        <v>1.2</v>
      </c>
      <c r="AP18" s="128">
        <v>1.2</v>
      </c>
      <c r="AQ18" s="128">
        <v>1.2</v>
      </c>
      <c r="AR18" s="128">
        <v>1.21</v>
      </c>
      <c r="AS18" s="128">
        <v>1.21</v>
      </c>
      <c r="AT18" s="128">
        <v>1.21</v>
      </c>
      <c r="AU18" s="128">
        <v>1.21</v>
      </c>
      <c r="AV18" s="128">
        <v>1.22</v>
      </c>
      <c r="AW18" s="128">
        <v>1.22</v>
      </c>
      <c r="AX18" s="128">
        <v>1.22</v>
      </c>
      <c r="AY18" s="128">
        <v>1.23</v>
      </c>
      <c r="AZ18" s="128">
        <v>1.23</v>
      </c>
      <c r="BA18" s="128">
        <v>1.23</v>
      </c>
      <c r="BB18" s="128">
        <v>1.22</v>
      </c>
      <c r="BC18" s="128">
        <v>1.22</v>
      </c>
      <c r="BD18" s="128">
        <v>1.22</v>
      </c>
      <c r="BE18" s="128">
        <v>1.21</v>
      </c>
      <c r="BF18" s="128">
        <v>1.21</v>
      </c>
      <c r="BG18" s="128">
        <v>1.21</v>
      </c>
      <c r="BH18" s="128">
        <v>1.21</v>
      </c>
      <c r="BI18" s="128">
        <v>1.2</v>
      </c>
      <c r="BJ18" s="128">
        <v>1.2</v>
      </c>
      <c r="BK18" s="128">
        <v>1.2</v>
      </c>
      <c r="BL18" s="128">
        <v>1.19</v>
      </c>
      <c r="BM18" s="128">
        <v>1.19</v>
      </c>
      <c r="BN18" s="128">
        <v>1.19</v>
      </c>
      <c r="BO18" s="128">
        <v>1.19</v>
      </c>
      <c r="BP18" s="128">
        <v>1.19</v>
      </c>
      <c r="BQ18" s="128">
        <v>1.18</v>
      </c>
      <c r="BR18" s="128">
        <v>1.18</v>
      </c>
      <c r="BS18" s="128">
        <v>1.18</v>
      </c>
      <c r="BT18" s="128">
        <v>1.18</v>
      </c>
      <c r="BU18" s="128">
        <v>1.17</v>
      </c>
      <c r="BV18" s="128">
        <v>1.17</v>
      </c>
      <c r="BW18" s="128">
        <v>1.17</v>
      </c>
      <c r="BX18" s="128">
        <v>1.17</v>
      </c>
      <c r="BY18" s="128">
        <v>1.17</v>
      </c>
      <c r="BZ18" s="128">
        <v>1.1599999999999999</v>
      </c>
      <c r="CA18" s="128">
        <v>1.1599999999999999</v>
      </c>
      <c r="CB18" s="128">
        <v>1.1599999999999999</v>
      </c>
      <c r="CC18" s="128">
        <v>1.1599999999999999</v>
      </c>
      <c r="CD18" s="128">
        <v>1.1599999999999999</v>
      </c>
      <c r="CE18" s="128">
        <v>1.1599999999999999</v>
      </c>
      <c r="CF18" s="128">
        <v>1.1499999999999999</v>
      </c>
      <c r="CG18" s="128">
        <v>1.1499999999999999</v>
      </c>
      <c r="CH18" s="128">
        <v>1.1499999999999999</v>
      </c>
      <c r="CI18" s="128">
        <v>1.1499999999999999</v>
      </c>
      <c r="CJ18" s="128">
        <v>1.1499999999999999</v>
      </c>
      <c r="CK18" s="128">
        <v>1.1499999999999999</v>
      </c>
      <c r="CL18" s="128">
        <v>1.1499999999999999</v>
      </c>
      <c r="CM18" s="128">
        <v>1.1499999999999999</v>
      </c>
      <c r="CN18" s="128">
        <v>1.1499999999999999</v>
      </c>
      <c r="CO18" s="128">
        <v>1.1499999999999999</v>
      </c>
      <c r="CP18" s="128">
        <v>1.1499999999999999</v>
      </c>
      <c r="CQ18" s="128">
        <v>1.1499999999999999</v>
      </c>
      <c r="CR18" s="128">
        <v>1.1499999999999999</v>
      </c>
      <c r="CS18" s="128">
        <v>1.1499999999999999</v>
      </c>
      <c r="CT18" s="128">
        <v>1.1499999999999999</v>
      </c>
      <c r="CU18" s="128">
        <v>1.1499999999999999</v>
      </c>
      <c r="CV18" s="128">
        <v>1.1499999999999999</v>
      </c>
      <c r="CW18" s="128">
        <v>1.1499999999999999</v>
      </c>
      <c r="CX18" s="128">
        <v>1.1499999999999999</v>
      </c>
      <c r="CZ18" s="126">
        <f>SUMIF(MatrixF1[[1]:[2]],MatrixF1[[#This Row],[Столбец1]])/MatrixF1[[#This Row],[Столбец1]]</f>
        <v>163.00000000000048</v>
      </c>
    </row>
    <row r="19" spans="1:104" ht="21" customHeight="1" x14ac:dyDescent="0.25">
      <c r="A19" s="127">
        <v>1.1599999999999999</v>
      </c>
      <c r="B19" s="128">
        <v>1</v>
      </c>
      <c r="C19" s="128">
        <v>1.01</v>
      </c>
      <c r="D19" s="128">
        <v>1.02</v>
      </c>
      <c r="E19" s="128">
        <v>1.03</v>
      </c>
      <c r="F19" s="128">
        <v>1.05</v>
      </c>
      <c r="G19" s="128">
        <v>1.06</v>
      </c>
      <c r="H19" s="128">
        <v>1.07</v>
      </c>
      <c r="I19" s="128">
        <v>1.08</v>
      </c>
      <c r="J19" s="128">
        <v>1.0900000000000001</v>
      </c>
      <c r="K19" s="128">
        <v>1.1000000000000001</v>
      </c>
      <c r="L19" s="128">
        <v>1.1100000000000001</v>
      </c>
      <c r="M19" s="128">
        <v>1.1200000000000001</v>
      </c>
      <c r="N19" s="128">
        <v>1.1200000000000001</v>
      </c>
      <c r="O19" s="128">
        <v>1.1299999999999999</v>
      </c>
      <c r="P19" s="128">
        <v>1.1399999999999999</v>
      </c>
      <c r="Q19" s="128">
        <v>1.1499999999999999</v>
      </c>
      <c r="R19" s="128">
        <v>1.1599999999999999</v>
      </c>
      <c r="S19" s="128">
        <v>1.1599999999999999</v>
      </c>
      <c r="T19" s="128">
        <v>1.1599999999999999</v>
      </c>
      <c r="U19" s="128">
        <v>1.1599999999999999</v>
      </c>
      <c r="V19" s="128">
        <v>1.17</v>
      </c>
      <c r="W19" s="128">
        <v>1.17</v>
      </c>
      <c r="X19" s="128">
        <v>1.17</v>
      </c>
      <c r="Y19" s="128">
        <v>1.17</v>
      </c>
      <c r="Z19" s="128">
        <v>1.17</v>
      </c>
      <c r="AA19" s="128">
        <v>1.18</v>
      </c>
      <c r="AB19" s="128">
        <v>1.18</v>
      </c>
      <c r="AC19" s="128">
        <v>1.18</v>
      </c>
      <c r="AD19" s="128">
        <v>1.18</v>
      </c>
      <c r="AE19" s="128">
        <v>1.18</v>
      </c>
      <c r="AF19" s="128">
        <v>1.19</v>
      </c>
      <c r="AG19" s="128">
        <v>1.19</v>
      </c>
      <c r="AH19" s="128">
        <v>1.19</v>
      </c>
      <c r="AI19" s="128">
        <v>1.19</v>
      </c>
      <c r="AJ19" s="128">
        <v>1.2</v>
      </c>
      <c r="AK19" s="128">
        <v>1.2</v>
      </c>
      <c r="AL19" s="128">
        <v>1.2</v>
      </c>
      <c r="AM19" s="128">
        <v>1.2</v>
      </c>
      <c r="AN19" s="128">
        <v>1.21</v>
      </c>
      <c r="AO19" s="128">
        <v>1.21</v>
      </c>
      <c r="AP19" s="128">
        <v>1.21</v>
      </c>
      <c r="AQ19" s="128">
        <v>1.21</v>
      </c>
      <c r="AR19" s="128">
        <v>1.22</v>
      </c>
      <c r="AS19" s="128">
        <v>1.22</v>
      </c>
      <c r="AT19" s="128">
        <v>1.22</v>
      </c>
      <c r="AU19" s="128">
        <v>1.23</v>
      </c>
      <c r="AV19" s="128">
        <v>1.23</v>
      </c>
      <c r="AW19" s="128">
        <v>1.23</v>
      </c>
      <c r="AX19" s="128">
        <v>1.24</v>
      </c>
      <c r="AY19" s="128">
        <v>1.24</v>
      </c>
      <c r="AZ19" s="128">
        <v>1.24</v>
      </c>
      <c r="BA19" s="128">
        <v>1.24</v>
      </c>
      <c r="BB19" s="128">
        <v>1.24</v>
      </c>
      <c r="BC19" s="128">
        <v>1.23</v>
      </c>
      <c r="BD19" s="128">
        <v>1.23</v>
      </c>
      <c r="BE19" s="128">
        <v>1.23</v>
      </c>
      <c r="BF19" s="128">
        <v>1.22</v>
      </c>
      <c r="BG19" s="128">
        <v>1.22</v>
      </c>
      <c r="BH19" s="128">
        <v>1.22</v>
      </c>
      <c r="BI19" s="128">
        <v>1.21</v>
      </c>
      <c r="BJ19" s="128">
        <v>1.21</v>
      </c>
      <c r="BK19" s="128">
        <v>1.21</v>
      </c>
      <c r="BL19" s="128">
        <v>1.21</v>
      </c>
      <c r="BM19" s="128">
        <v>1.2</v>
      </c>
      <c r="BN19" s="128">
        <v>1.2</v>
      </c>
      <c r="BO19" s="128">
        <v>1.2</v>
      </c>
      <c r="BP19" s="128">
        <v>1.2</v>
      </c>
      <c r="BQ19" s="128">
        <v>1.19</v>
      </c>
      <c r="BR19" s="128">
        <v>1.19</v>
      </c>
      <c r="BS19" s="128">
        <v>1.19</v>
      </c>
      <c r="BT19" s="128">
        <v>1.19</v>
      </c>
      <c r="BU19" s="128">
        <v>1.18</v>
      </c>
      <c r="BV19" s="128">
        <v>1.18</v>
      </c>
      <c r="BW19" s="128">
        <v>1.18</v>
      </c>
      <c r="BX19" s="128">
        <v>1.18</v>
      </c>
      <c r="BY19" s="128">
        <v>1.18</v>
      </c>
      <c r="BZ19" s="128">
        <v>1.17</v>
      </c>
      <c r="CA19" s="128">
        <v>1.17</v>
      </c>
      <c r="CB19" s="128">
        <v>1.17</v>
      </c>
      <c r="CC19" s="128">
        <v>1.17</v>
      </c>
      <c r="CD19" s="128">
        <v>1.17</v>
      </c>
      <c r="CE19" s="128">
        <v>1.1599999999999999</v>
      </c>
      <c r="CF19" s="128">
        <v>1.1599999999999999</v>
      </c>
      <c r="CG19" s="128">
        <v>1.1599999999999999</v>
      </c>
      <c r="CH19" s="128">
        <v>1.1599999999999999</v>
      </c>
      <c r="CI19" s="128">
        <v>1.1599999999999999</v>
      </c>
      <c r="CJ19" s="128">
        <v>1.1599999999999999</v>
      </c>
      <c r="CK19" s="128">
        <v>1.1599999999999999</v>
      </c>
      <c r="CL19" s="128">
        <v>1.1599999999999999</v>
      </c>
      <c r="CM19" s="128">
        <v>1.1599999999999999</v>
      </c>
      <c r="CN19" s="128">
        <v>1.1599999999999999</v>
      </c>
      <c r="CO19" s="128">
        <v>1.1599999999999999</v>
      </c>
      <c r="CP19" s="128">
        <v>1.1599999999999999</v>
      </c>
      <c r="CQ19" s="128">
        <v>1.1599999999999999</v>
      </c>
      <c r="CR19" s="128">
        <v>1.1599999999999999</v>
      </c>
      <c r="CS19" s="128">
        <v>1.1599999999999999</v>
      </c>
      <c r="CT19" s="128">
        <v>1.1599999999999999</v>
      </c>
      <c r="CU19" s="128">
        <v>1.1599999999999999</v>
      </c>
      <c r="CV19" s="128">
        <v>1.1599999999999999</v>
      </c>
      <c r="CW19" s="128">
        <v>1.1599999999999999</v>
      </c>
      <c r="CX19" s="128">
        <v>1.1599999999999999</v>
      </c>
      <c r="CZ19" s="126">
        <f>SUMIF(MatrixF1[[1]:[2]],MatrixF1[[#This Row],[Столбец1]])/MatrixF1[[#This Row],[Столбец1]]</f>
        <v>166.99999999999963</v>
      </c>
    </row>
    <row r="20" spans="1:104" ht="21" customHeight="1" x14ac:dyDescent="0.25">
      <c r="A20" s="127">
        <v>1.17</v>
      </c>
      <c r="B20" s="128">
        <v>1</v>
      </c>
      <c r="C20" s="128">
        <v>1.01</v>
      </c>
      <c r="D20" s="128">
        <v>1.02</v>
      </c>
      <c r="E20" s="128">
        <v>1.03</v>
      </c>
      <c r="F20" s="128">
        <v>1.05</v>
      </c>
      <c r="G20" s="128">
        <v>1.06</v>
      </c>
      <c r="H20" s="128">
        <v>1.07</v>
      </c>
      <c r="I20" s="128">
        <v>1.08</v>
      </c>
      <c r="J20" s="128">
        <v>1.0900000000000001</v>
      </c>
      <c r="K20" s="128">
        <v>1.1000000000000001</v>
      </c>
      <c r="L20" s="128">
        <v>1.1100000000000001</v>
      </c>
      <c r="M20" s="128">
        <v>1.1200000000000001</v>
      </c>
      <c r="N20" s="128">
        <v>1.1299999999999999</v>
      </c>
      <c r="O20" s="128">
        <v>1.1399999999999999</v>
      </c>
      <c r="P20" s="128">
        <v>1.1399999999999999</v>
      </c>
      <c r="Q20" s="128">
        <v>1.1499999999999999</v>
      </c>
      <c r="R20" s="128">
        <v>1.1599999999999999</v>
      </c>
      <c r="S20" s="128">
        <v>1.17</v>
      </c>
      <c r="T20" s="128">
        <v>1.17</v>
      </c>
      <c r="U20" s="128">
        <v>1.17</v>
      </c>
      <c r="V20" s="128">
        <v>1.18</v>
      </c>
      <c r="W20" s="128">
        <v>1.18</v>
      </c>
      <c r="X20" s="128">
        <v>1.18</v>
      </c>
      <c r="Y20" s="128">
        <v>1.18</v>
      </c>
      <c r="Z20" s="128">
        <v>1.18</v>
      </c>
      <c r="AA20" s="128">
        <v>1.18</v>
      </c>
      <c r="AB20" s="128">
        <v>1.19</v>
      </c>
      <c r="AC20" s="128">
        <v>1.19</v>
      </c>
      <c r="AD20" s="128">
        <v>1.19</v>
      </c>
      <c r="AE20" s="128">
        <v>1.19</v>
      </c>
      <c r="AF20" s="128">
        <v>1.2</v>
      </c>
      <c r="AG20" s="128">
        <v>1.2</v>
      </c>
      <c r="AH20" s="128">
        <v>1.2</v>
      </c>
      <c r="AI20" s="128">
        <v>1.2</v>
      </c>
      <c r="AJ20" s="128">
        <v>1.2</v>
      </c>
      <c r="AK20" s="128">
        <v>1.21</v>
      </c>
      <c r="AL20" s="128">
        <v>1.21</v>
      </c>
      <c r="AM20" s="128">
        <v>1.21</v>
      </c>
      <c r="AN20" s="128">
        <v>1.22</v>
      </c>
      <c r="AO20" s="128">
        <v>1.22</v>
      </c>
      <c r="AP20" s="128">
        <v>1.22</v>
      </c>
      <c r="AQ20" s="128">
        <v>1.22</v>
      </c>
      <c r="AR20" s="128">
        <v>1.23</v>
      </c>
      <c r="AS20" s="128">
        <v>1.23</v>
      </c>
      <c r="AT20" s="128">
        <v>1.23</v>
      </c>
      <c r="AU20" s="128">
        <v>1.24</v>
      </c>
      <c r="AV20" s="128">
        <v>1.24</v>
      </c>
      <c r="AW20" s="128">
        <v>1.24</v>
      </c>
      <c r="AX20" s="128">
        <v>1.25</v>
      </c>
      <c r="AY20" s="128">
        <v>1.25</v>
      </c>
      <c r="AZ20" s="128">
        <v>1.25</v>
      </c>
      <c r="BA20" s="128">
        <v>1.25</v>
      </c>
      <c r="BB20" s="128">
        <v>1.25</v>
      </c>
      <c r="BC20" s="128">
        <v>1.24</v>
      </c>
      <c r="BD20" s="128">
        <v>1.24</v>
      </c>
      <c r="BE20" s="128">
        <v>1.24</v>
      </c>
      <c r="BF20" s="128">
        <v>1.23</v>
      </c>
      <c r="BG20" s="128">
        <v>1.23</v>
      </c>
      <c r="BH20" s="128">
        <v>1.23</v>
      </c>
      <c r="BI20" s="128">
        <v>1.22</v>
      </c>
      <c r="BJ20" s="128">
        <v>1.22</v>
      </c>
      <c r="BK20" s="128">
        <v>1.22</v>
      </c>
      <c r="BL20" s="128">
        <v>1.22</v>
      </c>
      <c r="BM20" s="128">
        <v>1.21</v>
      </c>
      <c r="BN20" s="128">
        <v>1.21</v>
      </c>
      <c r="BO20" s="128">
        <v>1.21</v>
      </c>
      <c r="BP20" s="128">
        <v>1.2</v>
      </c>
      <c r="BQ20" s="128">
        <v>1.2</v>
      </c>
      <c r="BR20" s="128">
        <v>1.2</v>
      </c>
      <c r="BS20" s="128">
        <v>1.2</v>
      </c>
      <c r="BT20" s="128">
        <v>1.2</v>
      </c>
      <c r="BU20" s="128">
        <v>1.19</v>
      </c>
      <c r="BV20" s="128">
        <v>1.19</v>
      </c>
      <c r="BW20" s="128">
        <v>1.19</v>
      </c>
      <c r="BX20" s="128">
        <v>1.19</v>
      </c>
      <c r="BY20" s="128">
        <v>1.18</v>
      </c>
      <c r="BZ20" s="128">
        <v>1.18</v>
      </c>
      <c r="CA20" s="128">
        <v>1.18</v>
      </c>
      <c r="CB20" s="128">
        <v>1.18</v>
      </c>
      <c r="CC20" s="128">
        <v>1.18</v>
      </c>
      <c r="CD20" s="128">
        <v>1.18</v>
      </c>
      <c r="CE20" s="128">
        <v>1.17</v>
      </c>
      <c r="CF20" s="128">
        <v>1.17</v>
      </c>
      <c r="CG20" s="128">
        <v>1.17</v>
      </c>
      <c r="CH20" s="128">
        <v>1.17</v>
      </c>
      <c r="CI20" s="128">
        <v>1.17</v>
      </c>
      <c r="CJ20" s="128">
        <v>1.17</v>
      </c>
      <c r="CK20" s="128">
        <v>1.17</v>
      </c>
      <c r="CL20" s="128">
        <v>1.17</v>
      </c>
      <c r="CM20" s="128">
        <v>1.17</v>
      </c>
      <c r="CN20" s="128">
        <v>1.17</v>
      </c>
      <c r="CO20" s="128">
        <v>1.17</v>
      </c>
      <c r="CP20" s="128">
        <v>1.17</v>
      </c>
      <c r="CQ20" s="128">
        <v>1.17</v>
      </c>
      <c r="CR20" s="128">
        <v>1.17</v>
      </c>
      <c r="CS20" s="128">
        <v>1.17</v>
      </c>
      <c r="CT20" s="128">
        <v>1.17</v>
      </c>
      <c r="CU20" s="128">
        <v>1.17</v>
      </c>
      <c r="CV20" s="128">
        <v>1.17</v>
      </c>
      <c r="CW20" s="128">
        <v>1.17</v>
      </c>
      <c r="CX20" s="128">
        <v>1.17</v>
      </c>
      <c r="CZ20" s="126">
        <f>SUMIF(MatrixF1[[1]:[2]],MatrixF1[[#This Row],[Столбец1]])/MatrixF1[[#This Row],[Столбец1]]</f>
        <v>150.99999999999972</v>
      </c>
    </row>
    <row r="21" spans="1:104" ht="21" customHeight="1" x14ac:dyDescent="0.25">
      <c r="A21" s="127">
        <v>1.18</v>
      </c>
      <c r="B21" s="128">
        <v>1</v>
      </c>
      <c r="C21" s="128">
        <v>1.01</v>
      </c>
      <c r="D21" s="128">
        <v>1.02</v>
      </c>
      <c r="E21" s="128">
        <v>1.04</v>
      </c>
      <c r="F21" s="128">
        <v>1.05</v>
      </c>
      <c r="G21" s="128">
        <v>1.06</v>
      </c>
      <c r="H21" s="128">
        <v>1.07</v>
      </c>
      <c r="I21" s="128">
        <v>1.08</v>
      </c>
      <c r="J21" s="128">
        <v>1.0900000000000001</v>
      </c>
      <c r="K21" s="128">
        <v>1.1000000000000001</v>
      </c>
      <c r="L21" s="128">
        <v>1.1100000000000001</v>
      </c>
      <c r="M21" s="128">
        <v>1.1200000000000001</v>
      </c>
      <c r="N21" s="128">
        <v>1.1299999999999999</v>
      </c>
      <c r="O21" s="128">
        <v>1.1399999999999999</v>
      </c>
      <c r="P21" s="128">
        <v>1.1499999999999999</v>
      </c>
      <c r="Q21" s="128">
        <v>1.1499999999999999</v>
      </c>
      <c r="R21" s="128">
        <v>1.1599999999999999</v>
      </c>
      <c r="S21" s="128">
        <v>1.17</v>
      </c>
      <c r="T21" s="128">
        <v>1.18</v>
      </c>
      <c r="U21" s="128">
        <v>1.18</v>
      </c>
      <c r="V21" s="128">
        <v>1.18</v>
      </c>
      <c r="W21" s="128">
        <v>1.19</v>
      </c>
      <c r="X21" s="128">
        <v>1.19</v>
      </c>
      <c r="Y21" s="128">
        <v>1.19</v>
      </c>
      <c r="Z21" s="128">
        <v>1.19</v>
      </c>
      <c r="AA21" s="128">
        <v>1.19</v>
      </c>
      <c r="AB21" s="128">
        <v>1.2</v>
      </c>
      <c r="AC21" s="128">
        <v>1.2</v>
      </c>
      <c r="AD21" s="128">
        <v>1.2</v>
      </c>
      <c r="AE21" s="128">
        <v>1.2</v>
      </c>
      <c r="AF21" s="128">
        <v>1.2</v>
      </c>
      <c r="AG21" s="128">
        <v>1.21</v>
      </c>
      <c r="AH21" s="128">
        <v>1.21</v>
      </c>
      <c r="AI21" s="128">
        <v>1.21</v>
      </c>
      <c r="AJ21" s="128">
        <v>1.21</v>
      </c>
      <c r="AK21" s="128">
        <v>1.22</v>
      </c>
      <c r="AL21" s="128">
        <v>1.22</v>
      </c>
      <c r="AM21" s="128">
        <v>1.22</v>
      </c>
      <c r="AN21" s="128">
        <v>1.22</v>
      </c>
      <c r="AO21" s="128">
        <v>1.23</v>
      </c>
      <c r="AP21" s="128">
        <v>1.23</v>
      </c>
      <c r="AQ21" s="128">
        <v>1.23</v>
      </c>
      <c r="AR21" s="128">
        <v>1.24</v>
      </c>
      <c r="AS21" s="128">
        <v>1.24</v>
      </c>
      <c r="AT21" s="128">
        <v>1.24</v>
      </c>
      <c r="AU21" s="128">
        <v>1.25</v>
      </c>
      <c r="AV21" s="128">
        <v>1.25</v>
      </c>
      <c r="AW21" s="128">
        <v>1.25</v>
      </c>
      <c r="AX21" s="128">
        <v>1.26</v>
      </c>
      <c r="AY21" s="128">
        <v>1.26</v>
      </c>
      <c r="AZ21" s="128">
        <v>1.26</v>
      </c>
      <c r="BA21" s="128">
        <v>1.26</v>
      </c>
      <c r="BB21" s="128">
        <v>1.26</v>
      </c>
      <c r="BC21" s="128">
        <v>1.25</v>
      </c>
      <c r="BD21" s="128">
        <v>1.25</v>
      </c>
      <c r="BE21" s="128">
        <v>1.25</v>
      </c>
      <c r="BF21" s="128">
        <v>1.24</v>
      </c>
      <c r="BG21" s="128">
        <v>1.24</v>
      </c>
      <c r="BH21" s="128">
        <v>1.24</v>
      </c>
      <c r="BI21" s="128">
        <v>1.23</v>
      </c>
      <c r="BJ21" s="128">
        <v>1.23</v>
      </c>
      <c r="BK21" s="128">
        <v>1.23</v>
      </c>
      <c r="BL21" s="128">
        <v>1.22</v>
      </c>
      <c r="BM21" s="128">
        <v>1.22</v>
      </c>
      <c r="BN21" s="128">
        <v>1.22</v>
      </c>
      <c r="BO21" s="128">
        <v>1.22</v>
      </c>
      <c r="BP21" s="128">
        <v>1.21</v>
      </c>
      <c r="BQ21" s="128">
        <v>1.21</v>
      </c>
      <c r="BR21" s="128">
        <v>1.21</v>
      </c>
      <c r="BS21" s="128">
        <v>1.21</v>
      </c>
      <c r="BT21" s="128">
        <v>1.2</v>
      </c>
      <c r="BU21" s="128">
        <v>1.2</v>
      </c>
      <c r="BV21" s="128">
        <v>1.2</v>
      </c>
      <c r="BW21" s="128">
        <v>1.2</v>
      </c>
      <c r="BX21" s="128">
        <v>1.2</v>
      </c>
      <c r="BY21" s="128">
        <v>1.19</v>
      </c>
      <c r="BZ21" s="128">
        <v>1.19</v>
      </c>
      <c r="CA21" s="128">
        <v>1.19</v>
      </c>
      <c r="CB21" s="128">
        <v>1.19</v>
      </c>
      <c r="CC21" s="128">
        <v>1.19</v>
      </c>
      <c r="CD21" s="128">
        <v>1.18</v>
      </c>
      <c r="CE21" s="128">
        <v>1.18</v>
      </c>
      <c r="CF21" s="128">
        <v>1.18</v>
      </c>
      <c r="CG21" s="128">
        <v>1.18</v>
      </c>
      <c r="CH21" s="128">
        <v>1.18</v>
      </c>
      <c r="CI21" s="128">
        <v>1.18</v>
      </c>
      <c r="CJ21" s="128">
        <v>1.18</v>
      </c>
      <c r="CK21" s="128">
        <v>1.18</v>
      </c>
      <c r="CL21" s="128">
        <v>1.18</v>
      </c>
      <c r="CM21" s="128">
        <v>1.18</v>
      </c>
      <c r="CN21" s="128">
        <v>1.18</v>
      </c>
      <c r="CO21" s="128">
        <v>1.18</v>
      </c>
      <c r="CP21" s="128">
        <v>1.18</v>
      </c>
      <c r="CQ21" s="128">
        <v>1.18</v>
      </c>
      <c r="CR21" s="128">
        <v>1.18</v>
      </c>
      <c r="CS21" s="128">
        <v>1.18</v>
      </c>
      <c r="CT21" s="128">
        <v>1.18</v>
      </c>
      <c r="CU21" s="128">
        <v>1.18</v>
      </c>
      <c r="CV21" s="128">
        <v>1.18</v>
      </c>
      <c r="CW21" s="128">
        <v>1.18</v>
      </c>
      <c r="CX21" s="128">
        <v>1.18</v>
      </c>
      <c r="CZ21" s="126">
        <f>SUMIF(MatrixF1[[1]:[2]],MatrixF1[[#This Row],[Столбец1]])/MatrixF1[[#This Row],[Столбец1]]</f>
        <v>165.00000000000063</v>
      </c>
    </row>
    <row r="22" spans="1:104" ht="21" customHeight="1" x14ac:dyDescent="0.25">
      <c r="A22" s="127">
        <v>1.19</v>
      </c>
      <c r="B22" s="128">
        <v>1</v>
      </c>
      <c r="C22" s="128">
        <v>1.01</v>
      </c>
      <c r="D22" s="128">
        <v>1.02</v>
      </c>
      <c r="E22" s="128">
        <v>1.04</v>
      </c>
      <c r="F22" s="128">
        <v>1.05</v>
      </c>
      <c r="G22" s="128">
        <v>1.06</v>
      </c>
      <c r="H22" s="128">
        <v>1.07</v>
      </c>
      <c r="I22" s="128">
        <v>1.08</v>
      </c>
      <c r="J22" s="128">
        <v>1.0900000000000001</v>
      </c>
      <c r="K22" s="128">
        <v>1.1000000000000001</v>
      </c>
      <c r="L22" s="128">
        <v>1.1100000000000001</v>
      </c>
      <c r="M22" s="128">
        <v>1.1200000000000001</v>
      </c>
      <c r="N22" s="128">
        <v>1.1299999999999999</v>
      </c>
      <c r="O22" s="128">
        <v>1.1399999999999999</v>
      </c>
      <c r="P22" s="128">
        <v>1.1499999999999999</v>
      </c>
      <c r="Q22" s="128">
        <v>1.1599999999999999</v>
      </c>
      <c r="R22" s="128">
        <v>1.1599999999999999</v>
      </c>
      <c r="S22" s="128">
        <v>1.17</v>
      </c>
      <c r="T22" s="128">
        <v>1.18</v>
      </c>
      <c r="U22" s="128">
        <v>1.19</v>
      </c>
      <c r="V22" s="128">
        <v>1.19</v>
      </c>
      <c r="W22" s="128">
        <v>1.19</v>
      </c>
      <c r="X22" s="128">
        <v>1.2</v>
      </c>
      <c r="Y22" s="128">
        <v>1.2</v>
      </c>
      <c r="Z22" s="128">
        <v>1.2</v>
      </c>
      <c r="AA22" s="128">
        <v>1.2</v>
      </c>
      <c r="AB22" s="128">
        <v>1.2</v>
      </c>
      <c r="AC22" s="128">
        <v>1.21</v>
      </c>
      <c r="AD22" s="128">
        <v>1.21</v>
      </c>
      <c r="AE22" s="128">
        <v>1.21</v>
      </c>
      <c r="AF22" s="128">
        <v>1.21</v>
      </c>
      <c r="AG22" s="128">
        <v>1.22</v>
      </c>
      <c r="AH22" s="128">
        <v>1.22</v>
      </c>
      <c r="AI22" s="128">
        <v>1.22</v>
      </c>
      <c r="AJ22" s="128">
        <v>1.22</v>
      </c>
      <c r="AK22" s="128">
        <v>1.23</v>
      </c>
      <c r="AL22" s="128">
        <v>1.23</v>
      </c>
      <c r="AM22" s="128">
        <v>1.23</v>
      </c>
      <c r="AN22" s="128">
        <v>1.23</v>
      </c>
      <c r="AO22" s="128">
        <v>1.24</v>
      </c>
      <c r="AP22" s="128">
        <v>1.24</v>
      </c>
      <c r="AQ22" s="128">
        <v>1.24</v>
      </c>
      <c r="AR22" s="128">
        <v>1.25</v>
      </c>
      <c r="AS22" s="128">
        <v>1.25</v>
      </c>
      <c r="AT22" s="128">
        <v>1.25</v>
      </c>
      <c r="AU22" s="128">
        <v>1.26</v>
      </c>
      <c r="AV22" s="128">
        <v>1.26</v>
      </c>
      <c r="AW22" s="128">
        <v>1.26</v>
      </c>
      <c r="AX22" s="128">
        <v>1.27</v>
      </c>
      <c r="AY22" s="128">
        <v>1.27</v>
      </c>
      <c r="AZ22" s="128">
        <v>1.28</v>
      </c>
      <c r="BA22" s="128">
        <v>1.27</v>
      </c>
      <c r="BB22" s="128">
        <v>1.27</v>
      </c>
      <c r="BC22" s="128">
        <v>1.26</v>
      </c>
      <c r="BD22" s="128">
        <v>1.26</v>
      </c>
      <c r="BE22" s="128">
        <v>1.26</v>
      </c>
      <c r="BF22" s="128">
        <v>1.25</v>
      </c>
      <c r="BG22" s="128">
        <v>1.25</v>
      </c>
      <c r="BH22" s="128">
        <v>1.25</v>
      </c>
      <c r="BI22" s="128">
        <v>1.24</v>
      </c>
      <c r="BJ22" s="128">
        <v>1.24</v>
      </c>
      <c r="BK22" s="128">
        <v>1.24</v>
      </c>
      <c r="BL22" s="128">
        <v>1.23</v>
      </c>
      <c r="BM22" s="128">
        <v>1.23</v>
      </c>
      <c r="BN22" s="128">
        <v>1.23</v>
      </c>
      <c r="BO22" s="128">
        <v>1.23</v>
      </c>
      <c r="BP22" s="128">
        <v>1.22</v>
      </c>
      <c r="BQ22" s="128">
        <v>1.22</v>
      </c>
      <c r="BR22" s="128">
        <v>1.22</v>
      </c>
      <c r="BS22" s="128">
        <v>1.22</v>
      </c>
      <c r="BT22" s="128">
        <v>1.21</v>
      </c>
      <c r="BU22" s="128">
        <v>1.21</v>
      </c>
      <c r="BV22" s="128">
        <v>1.21</v>
      </c>
      <c r="BW22" s="128">
        <v>1.21</v>
      </c>
      <c r="BX22" s="128">
        <v>1.2</v>
      </c>
      <c r="BY22" s="128">
        <v>1.2</v>
      </c>
      <c r="BZ22" s="128">
        <v>1.2</v>
      </c>
      <c r="CA22" s="128">
        <v>1.2</v>
      </c>
      <c r="CB22" s="128">
        <v>1.2</v>
      </c>
      <c r="CC22" s="128">
        <v>1.19</v>
      </c>
      <c r="CD22" s="128">
        <v>1.19</v>
      </c>
      <c r="CE22" s="128">
        <v>1.19</v>
      </c>
      <c r="CF22" s="128">
        <v>1.19</v>
      </c>
      <c r="CG22" s="128">
        <v>1.19</v>
      </c>
      <c r="CH22" s="128">
        <v>1.19</v>
      </c>
      <c r="CI22" s="128">
        <v>1.19</v>
      </c>
      <c r="CJ22" s="128">
        <v>1.19</v>
      </c>
      <c r="CK22" s="128">
        <v>1.19</v>
      </c>
      <c r="CL22" s="128">
        <v>1.19</v>
      </c>
      <c r="CM22" s="128">
        <v>1.19</v>
      </c>
      <c r="CN22" s="128">
        <v>1.19</v>
      </c>
      <c r="CO22" s="128">
        <v>1.19</v>
      </c>
      <c r="CP22" s="128">
        <v>1.19</v>
      </c>
      <c r="CQ22" s="128">
        <v>1.19</v>
      </c>
      <c r="CR22" s="128">
        <v>1.19</v>
      </c>
      <c r="CS22" s="128">
        <v>1.19</v>
      </c>
      <c r="CT22" s="128">
        <v>1.19</v>
      </c>
      <c r="CU22" s="128">
        <v>1.19</v>
      </c>
      <c r="CV22" s="128">
        <v>1.19</v>
      </c>
      <c r="CW22" s="128">
        <v>1.19</v>
      </c>
      <c r="CX22" s="128">
        <v>1.19</v>
      </c>
      <c r="CZ22" s="126">
        <f>SUMIF(MatrixF1[[1]:[2]],MatrixF1[[#This Row],[Столбец1]])/MatrixF1[[#This Row],[Столбец1]]</f>
        <v>162.99999999999977</v>
      </c>
    </row>
    <row r="23" spans="1:104" ht="21" customHeight="1" x14ac:dyDescent="0.25">
      <c r="A23" s="127">
        <v>1.2</v>
      </c>
      <c r="B23" s="128">
        <v>1</v>
      </c>
      <c r="C23" s="128">
        <v>1.01</v>
      </c>
      <c r="D23" s="128">
        <v>1.02</v>
      </c>
      <c r="E23" s="128">
        <v>1.04</v>
      </c>
      <c r="F23" s="128">
        <v>1.05</v>
      </c>
      <c r="G23" s="128">
        <v>1.06</v>
      </c>
      <c r="H23" s="128">
        <v>1.07</v>
      </c>
      <c r="I23" s="128">
        <v>1.08</v>
      </c>
      <c r="J23" s="128">
        <v>1.0900000000000001</v>
      </c>
      <c r="K23" s="128">
        <v>1.1000000000000001</v>
      </c>
      <c r="L23" s="128">
        <v>1.1100000000000001</v>
      </c>
      <c r="M23" s="128">
        <v>1.1200000000000001</v>
      </c>
      <c r="N23" s="128">
        <v>1.1299999999999999</v>
      </c>
      <c r="O23" s="128">
        <v>1.1399999999999999</v>
      </c>
      <c r="P23" s="128">
        <v>1.1499999999999999</v>
      </c>
      <c r="Q23" s="128">
        <v>1.1599999999999999</v>
      </c>
      <c r="R23" s="128">
        <v>1.17</v>
      </c>
      <c r="S23" s="128">
        <v>1.18</v>
      </c>
      <c r="T23" s="128">
        <v>1.18</v>
      </c>
      <c r="U23" s="128">
        <v>1.19</v>
      </c>
      <c r="V23" s="128">
        <v>1.2</v>
      </c>
      <c r="W23" s="128">
        <v>1.2</v>
      </c>
      <c r="X23" s="128">
        <v>1.2</v>
      </c>
      <c r="Y23" s="128">
        <v>1.21</v>
      </c>
      <c r="Z23" s="128">
        <v>1.21</v>
      </c>
      <c r="AA23" s="128">
        <v>1.21</v>
      </c>
      <c r="AB23" s="128">
        <v>1.21</v>
      </c>
      <c r="AC23" s="128">
        <v>1.22</v>
      </c>
      <c r="AD23" s="128">
        <v>1.22</v>
      </c>
      <c r="AE23" s="128">
        <v>1.22</v>
      </c>
      <c r="AF23" s="128">
        <v>1.22</v>
      </c>
      <c r="AG23" s="128">
        <v>1.22</v>
      </c>
      <c r="AH23" s="128">
        <v>1.23</v>
      </c>
      <c r="AI23" s="128">
        <v>1.23</v>
      </c>
      <c r="AJ23" s="128">
        <v>1.23</v>
      </c>
      <c r="AK23" s="128">
        <v>1.24</v>
      </c>
      <c r="AL23" s="128">
        <v>1.24</v>
      </c>
      <c r="AM23" s="128">
        <v>1.24</v>
      </c>
      <c r="AN23" s="128">
        <v>1.24</v>
      </c>
      <c r="AO23" s="128">
        <v>1.25</v>
      </c>
      <c r="AP23" s="128">
        <v>1.25</v>
      </c>
      <c r="AQ23" s="128">
        <v>1.25</v>
      </c>
      <c r="AR23" s="128">
        <v>1.26</v>
      </c>
      <c r="AS23" s="128">
        <v>1.26</v>
      </c>
      <c r="AT23" s="128">
        <v>1.26</v>
      </c>
      <c r="AU23" s="128">
        <v>1.27</v>
      </c>
      <c r="AV23" s="128">
        <v>1.27</v>
      </c>
      <c r="AW23" s="128">
        <v>1.27</v>
      </c>
      <c r="AX23" s="128">
        <v>1.28</v>
      </c>
      <c r="AY23" s="128">
        <v>1.28</v>
      </c>
      <c r="AZ23" s="128">
        <v>1.29</v>
      </c>
      <c r="BA23" s="128">
        <v>1.28</v>
      </c>
      <c r="BB23" s="128">
        <v>1.28</v>
      </c>
      <c r="BC23" s="128">
        <v>1.27</v>
      </c>
      <c r="BD23" s="128">
        <v>1.27</v>
      </c>
      <c r="BE23" s="128">
        <v>1.27</v>
      </c>
      <c r="BF23" s="128">
        <v>1.26</v>
      </c>
      <c r="BG23" s="128">
        <v>1.26</v>
      </c>
      <c r="BH23" s="128">
        <v>1.26</v>
      </c>
      <c r="BI23" s="128">
        <v>1.25</v>
      </c>
      <c r="BJ23" s="128">
        <v>1.25</v>
      </c>
      <c r="BK23" s="128">
        <v>1.25</v>
      </c>
      <c r="BL23" s="128">
        <v>1.24</v>
      </c>
      <c r="BM23" s="128">
        <v>1.24</v>
      </c>
      <c r="BN23" s="128">
        <v>1.24</v>
      </c>
      <c r="BO23" s="128">
        <v>1.24</v>
      </c>
      <c r="BP23" s="128">
        <v>1.23</v>
      </c>
      <c r="BQ23" s="128">
        <v>1.23</v>
      </c>
      <c r="BR23" s="128">
        <v>1.23</v>
      </c>
      <c r="BS23" s="128">
        <v>1.22</v>
      </c>
      <c r="BT23" s="128">
        <v>1.22</v>
      </c>
      <c r="BU23" s="128">
        <v>1.22</v>
      </c>
      <c r="BV23" s="128">
        <v>1.22</v>
      </c>
      <c r="BW23" s="128">
        <v>1.22</v>
      </c>
      <c r="BX23" s="128">
        <v>1.21</v>
      </c>
      <c r="BY23" s="128">
        <v>1.21</v>
      </c>
      <c r="BZ23" s="128">
        <v>1.21</v>
      </c>
      <c r="CA23" s="128">
        <v>1.21</v>
      </c>
      <c r="CB23" s="128">
        <v>1.2</v>
      </c>
      <c r="CC23" s="128">
        <v>1.2</v>
      </c>
      <c r="CD23" s="128">
        <v>1.2</v>
      </c>
      <c r="CE23" s="128">
        <v>1.2</v>
      </c>
      <c r="CF23" s="128">
        <v>1.2</v>
      </c>
      <c r="CG23" s="128">
        <v>1.2</v>
      </c>
      <c r="CH23" s="128">
        <v>1.2</v>
      </c>
      <c r="CI23" s="128">
        <v>1.2</v>
      </c>
      <c r="CJ23" s="128">
        <v>1.2</v>
      </c>
      <c r="CK23" s="128">
        <v>1.2</v>
      </c>
      <c r="CL23" s="128">
        <v>1.2</v>
      </c>
      <c r="CM23" s="128">
        <v>1.2</v>
      </c>
      <c r="CN23" s="128">
        <v>1.2</v>
      </c>
      <c r="CO23" s="128">
        <v>1.2</v>
      </c>
      <c r="CP23" s="128">
        <v>1.2</v>
      </c>
      <c r="CQ23" s="128">
        <v>1.2</v>
      </c>
      <c r="CR23" s="128">
        <v>1.2</v>
      </c>
      <c r="CS23" s="128">
        <v>1.2</v>
      </c>
      <c r="CT23" s="128">
        <v>1.2</v>
      </c>
      <c r="CU23" s="128">
        <v>1.2</v>
      </c>
      <c r="CV23" s="128">
        <v>1.2</v>
      </c>
      <c r="CW23" s="128">
        <v>1.2</v>
      </c>
      <c r="CX23" s="128">
        <v>1.2</v>
      </c>
      <c r="CZ23" s="126">
        <f>SUMIF(MatrixF1[[1]:[2]],MatrixF1[[#This Row],[Столбец1]])/MatrixF1[[#This Row],[Столбец1]]</f>
        <v>162.99999999999966</v>
      </c>
    </row>
    <row r="24" spans="1:104" ht="21" customHeight="1" x14ac:dyDescent="0.25">
      <c r="A24" s="127">
        <v>1.21</v>
      </c>
      <c r="B24" s="128">
        <v>1</v>
      </c>
      <c r="C24" s="128">
        <v>1.01</v>
      </c>
      <c r="D24" s="128">
        <v>1.02</v>
      </c>
      <c r="E24" s="128">
        <v>1.04</v>
      </c>
      <c r="F24" s="128">
        <v>1.05</v>
      </c>
      <c r="G24" s="128">
        <v>1.06</v>
      </c>
      <c r="H24" s="128">
        <v>1.07</v>
      </c>
      <c r="I24" s="128">
        <v>1.08</v>
      </c>
      <c r="J24" s="128">
        <v>1.0900000000000001</v>
      </c>
      <c r="K24" s="128">
        <v>1.1000000000000001</v>
      </c>
      <c r="L24" s="128">
        <v>1.1100000000000001</v>
      </c>
      <c r="M24" s="128">
        <v>1.1200000000000001</v>
      </c>
      <c r="N24" s="128">
        <v>1.1299999999999999</v>
      </c>
      <c r="O24" s="128">
        <v>1.1399999999999999</v>
      </c>
      <c r="P24" s="128">
        <v>1.1499999999999999</v>
      </c>
      <c r="Q24" s="128">
        <v>1.1599999999999999</v>
      </c>
      <c r="R24" s="128">
        <v>1.17</v>
      </c>
      <c r="S24" s="128">
        <v>1.18</v>
      </c>
      <c r="T24" s="128">
        <v>1.19</v>
      </c>
      <c r="U24" s="128">
        <v>1.19</v>
      </c>
      <c r="V24" s="128">
        <v>1.2</v>
      </c>
      <c r="W24" s="128">
        <v>1.21</v>
      </c>
      <c r="X24" s="128">
        <v>1.21</v>
      </c>
      <c r="Y24" s="128">
        <v>1.21</v>
      </c>
      <c r="Z24" s="128">
        <v>1.22</v>
      </c>
      <c r="AA24" s="128">
        <v>1.22</v>
      </c>
      <c r="AB24" s="128">
        <v>1.22</v>
      </c>
      <c r="AC24" s="128">
        <v>1.22</v>
      </c>
      <c r="AD24" s="128">
        <v>1.23</v>
      </c>
      <c r="AE24" s="128">
        <v>1.23</v>
      </c>
      <c r="AF24" s="128">
        <v>1.23</v>
      </c>
      <c r="AG24" s="128">
        <v>1.23</v>
      </c>
      <c r="AH24" s="128">
        <v>1.24</v>
      </c>
      <c r="AI24" s="128">
        <v>1.24</v>
      </c>
      <c r="AJ24" s="128">
        <v>1.24</v>
      </c>
      <c r="AK24" s="128">
        <v>1.24</v>
      </c>
      <c r="AL24" s="128">
        <v>1.25</v>
      </c>
      <c r="AM24" s="128">
        <v>1.25</v>
      </c>
      <c r="AN24" s="128">
        <v>1.25</v>
      </c>
      <c r="AO24" s="128">
        <v>1.26</v>
      </c>
      <c r="AP24" s="128">
        <v>1.26</v>
      </c>
      <c r="AQ24" s="128">
        <v>1.26</v>
      </c>
      <c r="AR24" s="128">
        <v>1.27</v>
      </c>
      <c r="AS24" s="128">
        <v>1.27</v>
      </c>
      <c r="AT24" s="128">
        <v>1.27</v>
      </c>
      <c r="AU24" s="128">
        <v>1.28</v>
      </c>
      <c r="AV24" s="128">
        <v>1.28</v>
      </c>
      <c r="AW24" s="128">
        <v>1.28</v>
      </c>
      <c r="AX24" s="128">
        <v>1.29</v>
      </c>
      <c r="AY24" s="128">
        <v>1.29</v>
      </c>
      <c r="AZ24" s="128">
        <v>1.3</v>
      </c>
      <c r="BA24" s="128">
        <v>1.29</v>
      </c>
      <c r="BB24" s="128">
        <v>1.29</v>
      </c>
      <c r="BC24" s="128">
        <v>1.28</v>
      </c>
      <c r="BD24" s="128">
        <v>1.28</v>
      </c>
      <c r="BE24" s="128">
        <v>1.28</v>
      </c>
      <c r="BF24" s="128">
        <v>1.27</v>
      </c>
      <c r="BG24" s="128">
        <v>1.27</v>
      </c>
      <c r="BH24" s="128">
        <v>1.27</v>
      </c>
      <c r="BI24" s="128">
        <v>1.26</v>
      </c>
      <c r="BJ24" s="128">
        <v>1.26</v>
      </c>
      <c r="BK24" s="128">
        <v>1.26</v>
      </c>
      <c r="BL24" s="128">
        <v>1.25</v>
      </c>
      <c r="BM24" s="128">
        <v>1.25</v>
      </c>
      <c r="BN24" s="128">
        <v>1.25</v>
      </c>
      <c r="BO24" s="128">
        <v>1.24</v>
      </c>
      <c r="BP24" s="128">
        <v>1.24</v>
      </c>
      <c r="BQ24" s="128">
        <v>1.24</v>
      </c>
      <c r="BR24" s="128">
        <v>1.24</v>
      </c>
      <c r="BS24" s="128">
        <v>1.23</v>
      </c>
      <c r="BT24" s="128">
        <v>1.23</v>
      </c>
      <c r="BU24" s="128">
        <v>1.23</v>
      </c>
      <c r="BV24" s="128">
        <v>1.23</v>
      </c>
      <c r="BW24" s="128">
        <v>1.22</v>
      </c>
      <c r="BX24" s="128">
        <v>1.22</v>
      </c>
      <c r="BY24" s="128">
        <v>1.22</v>
      </c>
      <c r="BZ24" s="128">
        <v>1.22</v>
      </c>
      <c r="CA24" s="128">
        <v>1.21</v>
      </c>
      <c r="CB24" s="128">
        <v>1.21</v>
      </c>
      <c r="CC24" s="128">
        <v>1.21</v>
      </c>
      <c r="CD24" s="128">
        <v>1.21</v>
      </c>
      <c r="CE24" s="128">
        <v>1.21</v>
      </c>
      <c r="CF24" s="128">
        <v>1.21</v>
      </c>
      <c r="CG24" s="128">
        <v>1.21</v>
      </c>
      <c r="CH24" s="128">
        <v>1.21</v>
      </c>
      <c r="CI24" s="128">
        <v>1.21</v>
      </c>
      <c r="CJ24" s="128">
        <v>1.21</v>
      </c>
      <c r="CK24" s="128">
        <v>1.21</v>
      </c>
      <c r="CL24" s="128">
        <v>1.21</v>
      </c>
      <c r="CM24" s="128">
        <v>1.21</v>
      </c>
      <c r="CN24" s="128">
        <v>1.21</v>
      </c>
      <c r="CO24" s="128">
        <v>1.21</v>
      </c>
      <c r="CP24" s="128">
        <v>1.21</v>
      </c>
      <c r="CQ24" s="128">
        <v>1.21</v>
      </c>
      <c r="CR24" s="128">
        <v>1.21</v>
      </c>
      <c r="CS24" s="128">
        <v>1.21</v>
      </c>
      <c r="CT24" s="128">
        <v>1.21</v>
      </c>
      <c r="CU24" s="128">
        <v>1.21</v>
      </c>
      <c r="CV24" s="128">
        <v>1.21</v>
      </c>
      <c r="CW24" s="128">
        <v>1.21</v>
      </c>
      <c r="CX24" s="128">
        <v>1.21</v>
      </c>
      <c r="CZ24" s="126">
        <f>SUMIF(MatrixF1[[1]:[2]],MatrixF1[[#This Row],[Столбец1]])/MatrixF1[[#This Row],[Столбец1]]</f>
        <v>159.00000000000011</v>
      </c>
    </row>
    <row r="25" spans="1:104" ht="21" customHeight="1" x14ac:dyDescent="0.25">
      <c r="A25" s="127">
        <v>1.22</v>
      </c>
      <c r="B25" s="128">
        <v>1</v>
      </c>
      <c r="C25" s="128">
        <v>1.01</v>
      </c>
      <c r="D25" s="128">
        <v>1.03</v>
      </c>
      <c r="E25" s="128">
        <v>1.04</v>
      </c>
      <c r="F25" s="128">
        <v>1.05</v>
      </c>
      <c r="G25" s="128">
        <v>1.06</v>
      </c>
      <c r="H25" s="128">
        <v>1.07</v>
      </c>
      <c r="I25" s="128">
        <v>1.08</v>
      </c>
      <c r="J25" s="128">
        <v>1.0900000000000001</v>
      </c>
      <c r="K25" s="128">
        <v>1.1000000000000001</v>
      </c>
      <c r="L25" s="128">
        <v>1.1100000000000001</v>
      </c>
      <c r="M25" s="128">
        <v>1.1200000000000001</v>
      </c>
      <c r="N25" s="128">
        <v>1.1299999999999999</v>
      </c>
      <c r="O25" s="128">
        <v>1.1399999999999999</v>
      </c>
      <c r="P25" s="128">
        <v>1.1499999999999999</v>
      </c>
      <c r="Q25" s="128">
        <v>1.1599999999999999</v>
      </c>
      <c r="R25" s="128">
        <v>1.17</v>
      </c>
      <c r="S25" s="128">
        <v>1.18</v>
      </c>
      <c r="T25" s="128">
        <v>1.19</v>
      </c>
      <c r="U25" s="128">
        <v>1.2</v>
      </c>
      <c r="V25" s="128">
        <v>1.2</v>
      </c>
      <c r="W25" s="128">
        <v>1.21</v>
      </c>
      <c r="X25" s="128">
        <v>1.22</v>
      </c>
      <c r="Y25" s="128">
        <v>1.22</v>
      </c>
      <c r="Z25" s="128">
        <v>1.22</v>
      </c>
      <c r="AA25" s="128">
        <v>1.23</v>
      </c>
      <c r="AB25" s="128">
        <v>1.23</v>
      </c>
      <c r="AC25" s="128">
        <v>1.23</v>
      </c>
      <c r="AD25" s="128">
        <v>1.23</v>
      </c>
      <c r="AE25" s="128">
        <v>1.24</v>
      </c>
      <c r="AF25" s="128">
        <v>1.24</v>
      </c>
      <c r="AG25" s="128">
        <v>1.24</v>
      </c>
      <c r="AH25" s="128">
        <v>1.24</v>
      </c>
      <c r="AI25" s="128">
        <v>1.25</v>
      </c>
      <c r="AJ25" s="128">
        <v>1.25</v>
      </c>
      <c r="AK25" s="128">
        <v>1.25</v>
      </c>
      <c r="AL25" s="128">
        <v>1.26</v>
      </c>
      <c r="AM25" s="128">
        <v>1.26</v>
      </c>
      <c r="AN25" s="128">
        <v>1.26</v>
      </c>
      <c r="AO25" s="128">
        <v>1.27</v>
      </c>
      <c r="AP25" s="128">
        <v>1.27</v>
      </c>
      <c r="AQ25" s="128">
        <v>1.27</v>
      </c>
      <c r="AR25" s="128">
        <v>1.28</v>
      </c>
      <c r="AS25" s="128">
        <v>1.28</v>
      </c>
      <c r="AT25" s="128">
        <v>1.28</v>
      </c>
      <c r="AU25" s="128">
        <v>1.29</v>
      </c>
      <c r="AV25" s="128">
        <v>1.29</v>
      </c>
      <c r="AW25" s="128">
        <v>1.29</v>
      </c>
      <c r="AX25" s="128">
        <v>1.3</v>
      </c>
      <c r="AY25" s="128">
        <v>1.3</v>
      </c>
      <c r="AZ25" s="128">
        <v>1.31</v>
      </c>
      <c r="BA25" s="128">
        <v>1.3</v>
      </c>
      <c r="BB25" s="128">
        <v>1.3</v>
      </c>
      <c r="BC25" s="128">
        <v>1.29</v>
      </c>
      <c r="BD25" s="128">
        <v>1.29</v>
      </c>
      <c r="BE25" s="128">
        <v>1.29</v>
      </c>
      <c r="BF25" s="128">
        <v>1.28</v>
      </c>
      <c r="BG25" s="128">
        <v>1.28</v>
      </c>
      <c r="BH25" s="128">
        <v>1.28</v>
      </c>
      <c r="BI25" s="128">
        <v>1.27</v>
      </c>
      <c r="BJ25" s="128">
        <v>1.27</v>
      </c>
      <c r="BK25" s="128">
        <v>1.27</v>
      </c>
      <c r="BL25" s="128">
        <v>1.26</v>
      </c>
      <c r="BM25" s="128">
        <v>1.26</v>
      </c>
      <c r="BN25" s="128">
        <v>1.26</v>
      </c>
      <c r="BO25" s="128">
        <v>1.25</v>
      </c>
      <c r="BP25" s="128">
        <v>1.25</v>
      </c>
      <c r="BQ25" s="128">
        <v>1.25</v>
      </c>
      <c r="BR25" s="128">
        <v>1.24</v>
      </c>
      <c r="BS25" s="128">
        <v>1.24</v>
      </c>
      <c r="BT25" s="128">
        <v>1.24</v>
      </c>
      <c r="BU25" s="128">
        <v>1.24</v>
      </c>
      <c r="BV25" s="128">
        <v>1.23</v>
      </c>
      <c r="BW25" s="128">
        <v>1.23</v>
      </c>
      <c r="BX25" s="128">
        <v>1.23</v>
      </c>
      <c r="BY25" s="128">
        <v>1.23</v>
      </c>
      <c r="BZ25" s="128">
        <v>1.22</v>
      </c>
      <c r="CA25" s="128">
        <v>1.22</v>
      </c>
      <c r="CB25" s="128">
        <v>1.22</v>
      </c>
      <c r="CC25" s="128">
        <v>1.22</v>
      </c>
      <c r="CD25" s="128">
        <v>1.22</v>
      </c>
      <c r="CE25" s="128">
        <v>1.22</v>
      </c>
      <c r="CF25" s="128">
        <v>1.22</v>
      </c>
      <c r="CG25" s="128">
        <v>1.22</v>
      </c>
      <c r="CH25" s="128">
        <v>1.22</v>
      </c>
      <c r="CI25" s="128">
        <v>1.22</v>
      </c>
      <c r="CJ25" s="128">
        <v>1.22</v>
      </c>
      <c r="CK25" s="128">
        <v>1.22</v>
      </c>
      <c r="CL25" s="128">
        <v>1.22</v>
      </c>
      <c r="CM25" s="128">
        <v>1.22</v>
      </c>
      <c r="CN25" s="128">
        <v>1.22</v>
      </c>
      <c r="CO25" s="128">
        <v>1.22</v>
      </c>
      <c r="CP25" s="128">
        <v>1.22</v>
      </c>
      <c r="CQ25" s="128">
        <v>1.22</v>
      </c>
      <c r="CR25" s="128">
        <v>1.22</v>
      </c>
      <c r="CS25" s="128">
        <v>1.22</v>
      </c>
      <c r="CT25" s="128">
        <v>1.22</v>
      </c>
      <c r="CU25" s="128">
        <v>1.22</v>
      </c>
      <c r="CV25" s="128">
        <v>1.22</v>
      </c>
      <c r="CW25" s="128">
        <v>1.22</v>
      </c>
      <c r="CX25" s="128">
        <v>1.22</v>
      </c>
      <c r="CZ25" s="126">
        <f>SUMIF(MatrixF1[[1]:[2]],MatrixF1[[#This Row],[Столбец1]])/MatrixF1[[#This Row],[Столбец1]]</f>
        <v>168.99999999999986</v>
      </c>
    </row>
    <row r="26" spans="1:104" ht="21" customHeight="1" x14ac:dyDescent="0.25">
      <c r="A26" s="127">
        <v>1.23</v>
      </c>
      <c r="B26" s="128">
        <v>1</v>
      </c>
      <c r="C26" s="128">
        <v>1.01</v>
      </c>
      <c r="D26" s="128">
        <v>1.03</v>
      </c>
      <c r="E26" s="128">
        <v>1.04</v>
      </c>
      <c r="F26" s="128">
        <v>1.05</v>
      </c>
      <c r="G26" s="128">
        <v>1.06</v>
      </c>
      <c r="H26" s="128">
        <v>1.07</v>
      </c>
      <c r="I26" s="128">
        <v>1.08</v>
      </c>
      <c r="J26" s="128">
        <v>1.0900000000000001</v>
      </c>
      <c r="K26" s="128">
        <v>1.1000000000000001</v>
      </c>
      <c r="L26" s="128">
        <v>1.1100000000000001</v>
      </c>
      <c r="M26" s="128">
        <v>1.1200000000000001</v>
      </c>
      <c r="N26" s="128">
        <v>1.1299999999999999</v>
      </c>
      <c r="O26" s="128">
        <v>1.1399999999999999</v>
      </c>
      <c r="P26" s="128">
        <v>1.1499999999999999</v>
      </c>
      <c r="Q26" s="128">
        <v>1.1599999999999999</v>
      </c>
      <c r="R26" s="128">
        <v>1.17</v>
      </c>
      <c r="S26" s="128">
        <v>1.18</v>
      </c>
      <c r="T26" s="128">
        <v>1.19</v>
      </c>
      <c r="U26" s="128">
        <v>1.2</v>
      </c>
      <c r="V26" s="128">
        <v>1.21</v>
      </c>
      <c r="W26" s="128">
        <v>1.21</v>
      </c>
      <c r="X26" s="128">
        <v>1.22</v>
      </c>
      <c r="Y26" s="128">
        <v>1.23</v>
      </c>
      <c r="Z26" s="128">
        <v>1.23</v>
      </c>
      <c r="AA26" s="128">
        <v>1.23</v>
      </c>
      <c r="AB26" s="128">
        <v>1.24</v>
      </c>
      <c r="AC26" s="128">
        <v>1.24</v>
      </c>
      <c r="AD26" s="128">
        <v>1.24</v>
      </c>
      <c r="AE26" s="128">
        <v>1.24</v>
      </c>
      <c r="AF26" s="128">
        <v>1.25</v>
      </c>
      <c r="AG26" s="128">
        <v>1.25</v>
      </c>
      <c r="AH26" s="128">
        <v>1.25</v>
      </c>
      <c r="AI26" s="128">
        <v>1.26</v>
      </c>
      <c r="AJ26" s="128">
        <v>1.26</v>
      </c>
      <c r="AK26" s="128">
        <v>1.26</v>
      </c>
      <c r="AL26" s="128">
        <v>1.26</v>
      </c>
      <c r="AM26" s="128">
        <v>1.27</v>
      </c>
      <c r="AN26" s="128">
        <v>1.27</v>
      </c>
      <c r="AO26" s="128">
        <v>1.27</v>
      </c>
      <c r="AP26" s="128">
        <v>1.28</v>
      </c>
      <c r="AQ26" s="128">
        <v>1.28</v>
      </c>
      <c r="AR26" s="128">
        <v>1.28</v>
      </c>
      <c r="AS26" s="128">
        <v>1.29</v>
      </c>
      <c r="AT26" s="128">
        <v>1.29</v>
      </c>
      <c r="AU26" s="128">
        <v>1.29</v>
      </c>
      <c r="AV26" s="128">
        <v>1.3</v>
      </c>
      <c r="AW26" s="128">
        <v>1.3</v>
      </c>
      <c r="AX26" s="128">
        <v>1.31</v>
      </c>
      <c r="AY26" s="128">
        <v>1.31</v>
      </c>
      <c r="AZ26" s="128">
        <v>1.32</v>
      </c>
      <c r="BA26" s="128">
        <v>1.31</v>
      </c>
      <c r="BB26" s="128">
        <v>1.31</v>
      </c>
      <c r="BC26" s="128">
        <v>1.3</v>
      </c>
      <c r="BD26" s="128">
        <v>1.3</v>
      </c>
      <c r="BE26" s="128">
        <v>1.29</v>
      </c>
      <c r="BF26" s="128">
        <v>1.29</v>
      </c>
      <c r="BG26" s="128">
        <v>1.29</v>
      </c>
      <c r="BH26" s="128">
        <v>1.28</v>
      </c>
      <c r="BI26" s="128">
        <v>1.28</v>
      </c>
      <c r="BJ26" s="128">
        <v>1.28</v>
      </c>
      <c r="BK26" s="128">
        <v>1.27</v>
      </c>
      <c r="BL26" s="128">
        <v>1.27</v>
      </c>
      <c r="BM26" s="128">
        <v>1.27</v>
      </c>
      <c r="BN26" s="128">
        <v>1.26</v>
      </c>
      <c r="BO26" s="128">
        <v>1.26</v>
      </c>
      <c r="BP26" s="128">
        <v>1.26</v>
      </c>
      <c r="BQ26" s="128">
        <v>1.26</v>
      </c>
      <c r="BR26" s="128">
        <v>1.25</v>
      </c>
      <c r="BS26" s="128">
        <v>1.25</v>
      </c>
      <c r="BT26" s="128">
        <v>1.25</v>
      </c>
      <c r="BU26" s="128">
        <v>1.24</v>
      </c>
      <c r="BV26" s="128">
        <v>1.24</v>
      </c>
      <c r="BW26" s="128">
        <v>1.24</v>
      </c>
      <c r="BX26" s="128">
        <v>1.24</v>
      </c>
      <c r="BY26" s="128">
        <v>1.23</v>
      </c>
      <c r="BZ26" s="128">
        <v>1.23</v>
      </c>
      <c r="CA26" s="128">
        <v>1.23</v>
      </c>
      <c r="CB26" s="128">
        <v>1.23</v>
      </c>
      <c r="CC26" s="128">
        <v>1.23</v>
      </c>
      <c r="CD26" s="128">
        <v>1.23</v>
      </c>
      <c r="CE26" s="128">
        <v>1.23</v>
      </c>
      <c r="CF26" s="128">
        <v>1.23</v>
      </c>
      <c r="CG26" s="128">
        <v>1.23</v>
      </c>
      <c r="CH26" s="128">
        <v>1.23</v>
      </c>
      <c r="CI26" s="128">
        <v>1.23</v>
      </c>
      <c r="CJ26" s="128">
        <v>1.23</v>
      </c>
      <c r="CK26" s="128">
        <v>1.23</v>
      </c>
      <c r="CL26" s="128">
        <v>1.23</v>
      </c>
      <c r="CM26" s="128">
        <v>1.23</v>
      </c>
      <c r="CN26" s="128">
        <v>1.23</v>
      </c>
      <c r="CO26" s="128">
        <v>1.23</v>
      </c>
      <c r="CP26" s="128">
        <v>1.23</v>
      </c>
      <c r="CQ26" s="128">
        <v>1.23</v>
      </c>
      <c r="CR26" s="128">
        <v>1.23</v>
      </c>
      <c r="CS26" s="128">
        <v>1.23</v>
      </c>
      <c r="CT26" s="128">
        <v>1.23</v>
      </c>
      <c r="CU26" s="128">
        <v>1.23</v>
      </c>
      <c r="CV26" s="128">
        <v>1.23</v>
      </c>
      <c r="CW26" s="128">
        <v>1.23</v>
      </c>
      <c r="CX26" s="128">
        <v>1.23</v>
      </c>
      <c r="CZ26" s="126">
        <f>SUMIF(MatrixF1[[1]:[2]],MatrixF1[[#This Row],[Столбец1]])/MatrixF1[[#This Row],[Столбец1]]</f>
        <v>158.99999999999966</v>
      </c>
    </row>
    <row r="27" spans="1:104" ht="21" customHeight="1" x14ac:dyDescent="0.25">
      <c r="A27" s="127">
        <v>1.24</v>
      </c>
      <c r="B27" s="128">
        <v>1</v>
      </c>
      <c r="C27" s="128">
        <v>1.01</v>
      </c>
      <c r="D27" s="128">
        <v>1.03</v>
      </c>
      <c r="E27" s="128">
        <v>1.04</v>
      </c>
      <c r="F27" s="128">
        <v>1.05</v>
      </c>
      <c r="G27" s="128">
        <v>1.06</v>
      </c>
      <c r="H27" s="128">
        <v>1.07</v>
      </c>
      <c r="I27" s="128">
        <v>1.08</v>
      </c>
      <c r="J27" s="128">
        <v>1.1000000000000001</v>
      </c>
      <c r="K27" s="128">
        <v>1.1100000000000001</v>
      </c>
      <c r="L27" s="128">
        <v>1.1200000000000001</v>
      </c>
      <c r="M27" s="128">
        <v>1.1299999999999999</v>
      </c>
      <c r="N27" s="128">
        <v>1.1399999999999999</v>
      </c>
      <c r="O27" s="128">
        <v>1.1499999999999999</v>
      </c>
      <c r="P27" s="128">
        <v>1.1599999999999999</v>
      </c>
      <c r="Q27" s="128">
        <v>1.1599999999999999</v>
      </c>
      <c r="R27" s="128">
        <v>1.17</v>
      </c>
      <c r="S27" s="128">
        <v>1.18</v>
      </c>
      <c r="T27" s="128">
        <v>1.19</v>
      </c>
      <c r="U27" s="128">
        <v>1.2</v>
      </c>
      <c r="V27" s="128">
        <v>1.21</v>
      </c>
      <c r="W27" s="128">
        <v>1.22</v>
      </c>
      <c r="X27" s="128">
        <v>1.22</v>
      </c>
      <c r="Y27" s="128">
        <v>1.23</v>
      </c>
      <c r="Z27" s="128">
        <v>1.24</v>
      </c>
      <c r="AA27" s="128">
        <v>1.24</v>
      </c>
      <c r="AB27" s="128">
        <v>1.24</v>
      </c>
      <c r="AC27" s="128">
        <v>1.25</v>
      </c>
      <c r="AD27" s="128">
        <v>1.25</v>
      </c>
      <c r="AE27" s="128">
        <v>1.25</v>
      </c>
      <c r="AF27" s="128">
        <v>1.26</v>
      </c>
      <c r="AG27" s="128">
        <v>1.26</v>
      </c>
      <c r="AH27" s="128">
        <v>1.26</v>
      </c>
      <c r="AI27" s="128">
        <v>1.26</v>
      </c>
      <c r="AJ27" s="128">
        <v>1.27</v>
      </c>
      <c r="AK27" s="128">
        <v>1.27</v>
      </c>
      <c r="AL27" s="128">
        <v>1.27</v>
      </c>
      <c r="AM27" s="128">
        <v>1.28</v>
      </c>
      <c r="AN27" s="128">
        <v>1.28</v>
      </c>
      <c r="AO27" s="128">
        <v>1.28</v>
      </c>
      <c r="AP27" s="128">
        <v>1.29</v>
      </c>
      <c r="AQ27" s="128">
        <v>1.29</v>
      </c>
      <c r="AR27" s="128">
        <v>1.29</v>
      </c>
      <c r="AS27" s="128">
        <v>1.3</v>
      </c>
      <c r="AT27" s="128">
        <v>1.3</v>
      </c>
      <c r="AU27" s="128">
        <v>1.3</v>
      </c>
      <c r="AV27" s="128">
        <v>1.31</v>
      </c>
      <c r="AW27" s="128">
        <v>1.31</v>
      </c>
      <c r="AX27" s="128">
        <v>1.32</v>
      </c>
      <c r="AY27" s="128">
        <v>1.32</v>
      </c>
      <c r="AZ27" s="128">
        <v>1.32</v>
      </c>
      <c r="BA27" s="128">
        <v>1.32</v>
      </c>
      <c r="BB27" s="128">
        <v>1.32</v>
      </c>
      <c r="BC27" s="128">
        <v>1.31</v>
      </c>
      <c r="BD27" s="128">
        <v>1.31</v>
      </c>
      <c r="BE27" s="128">
        <v>1.3</v>
      </c>
      <c r="BF27" s="128">
        <v>1.3</v>
      </c>
      <c r="BG27" s="128">
        <v>1.3</v>
      </c>
      <c r="BH27" s="128">
        <v>1.29</v>
      </c>
      <c r="BI27" s="128">
        <v>1.29</v>
      </c>
      <c r="BJ27" s="128">
        <v>1.29</v>
      </c>
      <c r="BK27" s="128">
        <v>1.28</v>
      </c>
      <c r="BL27" s="128">
        <v>1.28</v>
      </c>
      <c r="BM27" s="128">
        <v>1.28</v>
      </c>
      <c r="BN27" s="128">
        <v>1.27</v>
      </c>
      <c r="BO27" s="128">
        <v>1.27</v>
      </c>
      <c r="BP27" s="128">
        <v>1.27</v>
      </c>
      <c r="BQ27" s="128">
        <v>1.26</v>
      </c>
      <c r="BR27" s="128">
        <v>1.26</v>
      </c>
      <c r="BS27" s="128">
        <v>1.26</v>
      </c>
      <c r="BT27" s="128">
        <v>1.26</v>
      </c>
      <c r="BU27" s="128">
        <v>1.25</v>
      </c>
      <c r="BV27" s="128">
        <v>1.25</v>
      </c>
      <c r="BW27" s="128">
        <v>1.25</v>
      </c>
      <c r="BX27" s="128">
        <v>1.24</v>
      </c>
      <c r="BY27" s="128">
        <v>1.24</v>
      </c>
      <c r="BZ27" s="128">
        <v>1.24</v>
      </c>
      <c r="CA27" s="128">
        <v>1.24</v>
      </c>
      <c r="CB27" s="128">
        <v>1.24</v>
      </c>
      <c r="CC27" s="128">
        <v>1.24</v>
      </c>
      <c r="CD27" s="128">
        <v>1.24</v>
      </c>
      <c r="CE27" s="128">
        <v>1.24</v>
      </c>
      <c r="CF27" s="128">
        <v>1.24</v>
      </c>
      <c r="CG27" s="128">
        <v>1.24</v>
      </c>
      <c r="CH27" s="128">
        <v>1.24</v>
      </c>
      <c r="CI27" s="128">
        <v>1.24</v>
      </c>
      <c r="CJ27" s="128">
        <v>1.24</v>
      </c>
      <c r="CK27" s="128">
        <v>1.24</v>
      </c>
      <c r="CL27" s="128">
        <v>1.24</v>
      </c>
      <c r="CM27" s="128">
        <v>1.24</v>
      </c>
      <c r="CN27" s="128">
        <v>1.24</v>
      </c>
      <c r="CO27" s="128">
        <v>1.24</v>
      </c>
      <c r="CP27" s="128">
        <v>1.24</v>
      </c>
      <c r="CQ27" s="128">
        <v>1.24</v>
      </c>
      <c r="CR27" s="128">
        <v>1.24</v>
      </c>
      <c r="CS27" s="128">
        <v>1.24</v>
      </c>
      <c r="CT27" s="128">
        <v>1.24</v>
      </c>
      <c r="CU27" s="128">
        <v>1.24</v>
      </c>
      <c r="CV27" s="128">
        <v>1.24</v>
      </c>
      <c r="CW27" s="128">
        <v>1.24</v>
      </c>
      <c r="CX27" s="128">
        <v>1.24</v>
      </c>
      <c r="CZ27" s="126">
        <f>SUMIF(MatrixF1[[1]:[2]],MatrixF1[[#This Row],[Столбец1]])/MatrixF1[[#This Row],[Столбец1]]</f>
        <v>169.00000000000031</v>
      </c>
    </row>
    <row r="28" spans="1:104" ht="21" customHeight="1" x14ac:dyDescent="0.25">
      <c r="A28" s="127">
        <v>1.25</v>
      </c>
      <c r="B28" s="128">
        <v>1</v>
      </c>
      <c r="C28" s="128">
        <v>1.01</v>
      </c>
      <c r="D28" s="128">
        <v>1.03</v>
      </c>
      <c r="E28" s="128">
        <v>1.04</v>
      </c>
      <c r="F28" s="128">
        <v>1.05</v>
      </c>
      <c r="G28" s="128">
        <v>1.06</v>
      </c>
      <c r="H28" s="128">
        <v>1.07</v>
      </c>
      <c r="I28" s="128">
        <v>1.0900000000000001</v>
      </c>
      <c r="J28" s="128">
        <v>1.1000000000000001</v>
      </c>
      <c r="K28" s="128">
        <v>1.1100000000000001</v>
      </c>
      <c r="L28" s="128">
        <v>1.1200000000000001</v>
      </c>
      <c r="M28" s="128">
        <v>1.1299999999999999</v>
      </c>
      <c r="N28" s="128">
        <v>1.1399999999999999</v>
      </c>
      <c r="O28" s="128">
        <v>1.1499999999999999</v>
      </c>
      <c r="P28" s="128">
        <v>1.1599999999999999</v>
      </c>
      <c r="Q28" s="128">
        <v>1.17</v>
      </c>
      <c r="R28" s="128">
        <v>1.18</v>
      </c>
      <c r="S28" s="128">
        <v>1.18</v>
      </c>
      <c r="T28" s="128">
        <v>1.19</v>
      </c>
      <c r="U28" s="128">
        <v>1.2</v>
      </c>
      <c r="V28" s="128">
        <v>1.21</v>
      </c>
      <c r="W28" s="128">
        <v>1.22</v>
      </c>
      <c r="X28" s="128">
        <v>1.23</v>
      </c>
      <c r="Y28" s="128">
        <v>1.23</v>
      </c>
      <c r="Z28" s="128">
        <v>1.24</v>
      </c>
      <c r="AA28" s="128">
        <v>1.25</v>
      </c>
      <c r="AB28" s="128">
        <v>1.25</v>
      </c>
      <c r="AC28" s="128">
        <v>1.26</v>
      </c>
      <c r="AD28" s="128">
        <v>1.26</v>
      </c>
      <c r="AE28" s="128">
        <v>1.26</v>
      </c>
      <c r="AF28" s="128">
        <v>1.26</v>
      </c>
      <c r="AG28" s="128">
        <v>1.27</v>
      </c>
      <c r="AH28" s="128">
        <v>1.27</v>
      </c>
      <c r="AI28" s="128">
        <v>1.27</v>
      </c>
      <c r="AJ28" s="128">
        <v>1.27</v>
      </c>
      <c r="AK28" s="128">
        <v>1.28</v>
      </c>
      <c r="AL28" s="128">
        <v>1.28</v>
      </c>
      <c r="AM28" s="128">
        <v>1.28</v>
      </c>
      <c r="AN28" s="128">
        <v>1.29</v>
      </c>
      <c r="AO28" s="128">
        <v>1.29</v>
      </c>
      <c r="AP28" s="128">
        <v>1.29</v>
      </c>
      <c r="AQ28" s="128">
        <v>1.3</v>
      </c>
      <c r="AR28" s="128">
        <v>1.3</v>
      </c>
      <c r="AS28" s="128">
        <v>1.3</v>
      </c>
      <c r="AT28" s="128">
        <v>1.31</v>
      </c>
      <c r="AU28" s="128">
        <v>1.31</v>
      </c>
      <c r="AV28" s="128">
        <v>1.32</v>
      </c>
      <c r="AW28" s="128">
        <v>1.32</v>
      </c>
      <c r="AX28" s="128">
        <v>1.32</v>
      </c>
      <c r="AY28" s="128">
        <v>1.33</v>
      </c>
      <c r="AZ28" s="128">
        <v>1.33</v>
      </c>
      <c r="BA28" s="128">
        <v>1.33</v>
      </c>
      <c r="BB28" s="128">
        <v>1.32</v>
      </c>
      <c r="BC28" s="128">
        <v>1.32</v>
      </c>
      <c r="BD28" s="128">
        <v>1.32</v>
      </c>
      <c r="BE28" s="128">
        <v>1.31</v>
      </c>
      <c r="BF28" s="128">
        <v>1.31</v>
      </c>
      <c r="BG28" s="128">
        <v>1.3</v>
      </c>
      <c r="BH28" s="128">
        <v>1.3</v>
      </c>
      <c r="BI28" s="128">
        <v>1.3</v>
      </c>
      <c r="BJ28" s="128">
        <v>1.29</v>
      </c>
      <c r="BK28" s="128">
        <v>1.29</v>
      </c>
      <c r="BL28" s="128">
        <v>1.29</v>
      </c>
      <c r="BM28" s="128">
        <v>1.28</v>
      </c>
      <c r="BN28" s="128">
        <v>1.28</v>
      </c>
      <c r="BO28" s="128">
        <v>1.28</v>
      </c>
      <c r="BP28" s="128">
        <v>1.27</v>
      </c>
      <c r="BQ28" s="128">
        <v>1.27</v>
      </c>
      <c r="BR28" s="128">
        <v>1.27</v>
      </c>
      <c r="BS28" s="128">
        <v>1.27</v>
      </c>
      <c r="BT28" s="128">
        <v>1.26</v>
      </c>
      <c r="BU28" s="128">
        <v>1.26</v>
      </c>
      <c r="BV28" s="128">
        <v>1.26</v>
      </c>
      <c r="BW28" s="128">
        <v>1.26</v>
      </c>
      <c r="BX28" s="128">
        <v>1.25</v>
      </c>
      <c r="BY28" s="128">
        <v>1.25</v>
      </c>
      <c r="BZ28" s="128">
        <v>1.25</v>
      </c>
      <c r="CA28" s="128">
        <v>1.25</v>
      </c>
      <c r="CB28" s="128">
        <v>1.25</v>
      </c>
      <c r="CC28" s="128">
        <v>1.25</v>
      </c>
      <c r="CD28" s="128">
        <v>1.25</v>
      </c>
      <c r="CE28" s="128">
        <v>1.25</v>
      </c>
      <c r="CF28" s="128">
        <v>1.25</v>
      </c>
      <c r="CG28" s="128">
        <v>1.25</v>
      </c>
      <c r="CH28" s="128">
        <v>1.25</v>
      </c>
      <c r="CI28" s="128">
        <v>1.25</v>
      </c>
      <c r="CJ28" s="128">
        <v>1.25</v>
      </c>
      <c r="CK28" s="128">
        <v>1.25</v>
      </c>
      <c r="CL28" s="128">
        <v>1.25</v>
      </c>
      <c r="CM28" s="128">
        <v>1.25</v>
      </c>
      <c r="CN28" s="128">
        <v>1.25</v>
      </c>
      <c r="CO28" s="128">
        <v>1.25</v>
      </c>
      <c r="CP28" s="128">
        <v>1.25</v>
      </c>
      <c r="CQ28" s="128">
        <v>1.25</v>
      </c>
      <c r="CR28" s="128">
        <v>1.25</v>
      </c>
      <c r="CS28" s="128">
        <v>1.25</v>
      </c>
      <c r="CT28" s="128">
        <v>1.25</v>
      </c>
      <c r="CU28" s="128">
        <v>1.25</v>
      </c>
      <c r="CV28" s="128">
        <v>1.25</v>
      </c>
      <c r="CW28" s="128">
        <v>1.25</v>
      </c>
      <c r="CX28" s="128">
        <v>1.25</v>
      </c>
      <c r="CZ28" s="126">
        <f>SUMIF(MatrixF1[[1]:[2]],MatrixF1[[#This Row],[Столбец1]])/MatrixF1[[#This Row],[Столбец1]]</f>
        <v>151</v>
      </c>
    </row>
    <row r="29" spans="1:104" ht="21" customHeight="1" x14ac:dyDescent="0.25">
      <c r="A29" s="127">
        <v>1.26</v>
      </c>
      <c r="B29" s="128">
        <v>1</v>
      </c>
      <c r="C29" s="128">
        <v>1.01</v>
      </c>
      <c r="D29" s="128">
        <v>1.03</v>
      </c>
      <c r="E29" s="128">
        <v>1.04</v>
      </c>
      <c r="F29" s="128">
        <v>1.05</v>
      </c>
      <c r="G29" s="128">
        <v>1.06</v>
      </c>
      <c r="H29" s="128">
        <v>1.08</v>
      </c>
      <c r="I29" s="128">
        <v>1.0900000000000001</v>
      </c>
      <c r="J29" s="128">
        <v>1.1000000000000001</v>
      </c>
      <c r="K29" s="128">
        <v>1.1100000000000001</v>
      </c>
      <c r="L29" s="128">
        <v>1.1200000000000001</v>
      </c>
      <c r="M29" s="128">
        <v>1.1299999999999999</v>
      </c>
      <c r="N29" s="128">
        <v>1.1399999999999999</v>
      </c>
      <c r="O29" s="128">
        <v>1.1499999999999999</v>
      </c>
      <c r="P29" s="128">
        <v>1.1599999999999999</v>
      </c>
      <c r="Q29" s="128">
        <v>1.17</v>
      </c>
      <c r="R29" s="128">
        <v>1.18</v>
      </c>
      <c r="S29" s="128">
        <v>1.19</v>
      </c>
      <c r="T29" s="128">
        <v>1.2</v>
      </c>
      <c r="U29" s="128">
        <v>1.2</v>
      </c>
      <c r="V29" s="128">
        <v>1.21</v>
      </c>
      <c r="W29" s="128">
        <v>1.22</v>
      </c>
      <c r="X29" s="128">
        <v>1.23</v>
      </c>
      <c r="Y29" s="128">
        <v>1.24</v>
      </c>
      <c r="Z29" s="128">
        <v>1.24</v>
      </c>
      <c r="AA29" s="128">
        <v>1.25</v>
      </c>
      <c r="AB29" s="128">
        <v>1.26</v>
      </c>
      <c r="AC29" s="128">
        <v>1.26</v>
      </c>
      <c r="AD29" s="128">
        <v>1.27</v>
      </c>
      <c r="AE29" s="128">
        <v>1.27</v>
      </c>
      <c r="AF29" s="128">
        <v>1.27</v>
      </c>
      <c r="AG29" s="128">
        <v>1.27</v>
      </c>
      <c r="AH29" s="128">
        <v>1.28</v>
      </c>
      <c r="AI29" s="128">
        <v>1.28</v>
      </c>
      <c r="AJ29" s="128">
        <v>1.28</v>
      </c>
      <c r="AK29" s="128">
        <v>1.29</v>
      </c>
      <c r="AL29" s="128">
        <v>1.29</v>
      </c>
      <c r="AM29" s="128">
        <v>1.29</v>
      </c>
      <c r="AN29" s="128">
        <v>1.3</v>
      </c>
      <c r="AO29" s="128">
        <v>1.3</v>
      </c>
      <c r="AP29" s="128">
        <v>1.3</v>
      </c>
      <c r="AQ29" s="128">
        <v>1.31</v>
      </c>
      <c r="AR29" s="128">
        <v>1.31</v>
      </c>
      <c r="AS29" s="128">
        <v>1.31</v>
      </c>
      <c r="AT29" s="128">
        <v>1.32</v>
      </c>
      <c r="AU29" s="128">
        <v>1.32</v>
      </c>
      <c r="AV29" s="128">
        <v>1.32</v>
      </c>
      <c r="AW29" s="128">
        <v>1.33</v>
      </c>
      <c r="AX29" s="128">
        <v>1.33</v>
      </c>
      <c r="AY29" s="128">
        <v>1.34</v>
      </c>
      <c r="AZ29" s="128">
        <v>1.34</v>
      </c>
      <c r="BA29" s="128">
        <v>1.34</v>
      </c>
      <c r="BB29" s="128">
        <v>1.33</v>
      </c>
      <c r="BC29" s="128">
        <v>1.33</v>
      </c>
      <c r="BD29" s="128">
        <v>1.32</v>
      </c>
      <c r="BE29" s="128">
        <v>1.32</v>
      </c>
      <c r="BF29" s="128">
        <v>1.32</v>
      </c>
      <c r="BG29" s="128">
        <v>1.31</v>
      </c>
      <c r="BH29" s="128">
        <v>1.31</v>
      </c>
      <c r="BI29" s="128">
        <v>1.31</v>
      </c>
      <c r="BJ29" s="128">
        <v>1.3</v>
      </c>
      <c r="BK29" s="128">
        <v>1.3</v>
      </c>
      <c r="BL29" s="128">
        <v>1.3</v>
      </c>
      <c r="BM29" s="128">
        <v>1.29</v>
      </c>
      <c r="BN29" s="128">
        <v>1.29</v>
      </c>
      <c r="BO29" s="128">
        <v>1.29</v>
      </c>
      <c r="BP29" s="128">
        <v>1.28</v>
      </c>
      <c r="BQ29" s="128">
        <v>1.28</v>
      </c>
      <c r="BR29" s="128">
        <v>1.28</v>
      </c>
      <c r="BS29" s="128">
        <v>1.27</v>
      </c>
      <c r="BT29" s="128">
        <v>1.27</v>
      </c>
      <c r="BU29" s="128">
        <v>1.27</v>
      </c>
      <c r="BV29" s="128">
        <v>1.27</v>
      </c>
      <c r="BW29" s="128">
        <v>1.26</v>
      </c>
      <c r="BX29" s="128">
        <v>1.26</v>
      </c>
      <c r="BY29" s="128">
        <v>1.26</v>
      </c>
      <c r="BZ29" s="128">
        <v>1.26</v>
      </c>
      <c r="CA29" s="128">
        <v>1.26</v>
      </c>
      <c r="CB29" s="128">
        <v>1.26</v>
      </c>
      <c r="CC29" s="128">
        <v>1.26</v>
      </c>
      <c r="CD29" s="128">
        <v>1.26</v>
      </c>
      <c r="CE29" s="128">
        <v>1.26</v>
      </c>
      <c r="CF29" s="128">
        <v>1.26</v>
      </c>
      <c r="CG29" s="128">
        <v>1.26</v>
      </c>
      <c r="CH29" s="128">
        <v>1.26</v>
      </c>
      <c r="CI29" s="128">
        <v>1.26</v>
      </c>
      <c r="CJ29" s="128">
        <v>1.26</v>
      </c>
      <c r="CK29" s="128">
        <v>1.26</v>
      </c>
      <c r="CL29" s="128">
        <v>1.26</v>
      </c>
      <c r="CM29" s="128">
        <v>1.26</v>
      </c>
      <c r="CN29" s="128">
        <v>1.26</v>
      </c>
      <c r="CO29" s="128">
        <v>1.26</v>
      </c>
      <c r="CP29" s="128">
        <v>1.26</v>
      </c>
      <c r="CQ29" s="128">
        <v>1.26</v>
      </c>
      <c r="CR29" s="128">
        <v>1.26</v>
      </c>
      <c r="CS29" s="128">
        <v>1.26</v>
      </c>
      <c r="CT29" s="128">
        <v>1.26</v>
      </c>
      <c r="CU29" s="128">
        <v>1.26</v>
      </c>
      <c r="CV29" s="128">
        <v>1.26</v>
      </c>
      <c r="CW29" s="128">
        <v>1.26</v>
      </c>
      <c r="CX29" s="128">
        <v>1.26</v>
      </c>
      <c r="CZ29" s="126">
        <f>SUMIF(MatrixF1[[1]:[2]],MatrixF1[[#This Row],[Столбец1]])/MatrixF1[[#This Row],[Столбец1]]</f>
        <v>164.99999999999974</v>
      </c>
    </row>
    <row r="30" spans="1:104" ht="21" customHeight="1" x14ac:dyDescent="0.25">
      <c r="A30" s="127">
        <v>1.27</v>
      </c>
      <c r="B30" s="128">
        <v>1</v>
      </c>
      <c r="C30" s="128">
        <v>1.01</v>
      </c>
      <c r="D30" s="128">
        <v>1.03</v>
      </c>
      <c r="E30" s="128">
        <v>1.04</v>
      </c>
      <c r="F30" s="128">
        <v>1.05</v>
      </c>
      <c r="G30" s="128">
        <v>1.06</v>
      </c>
      <c r="H30" s="128">
        <v>1.08</v>
      </c>
      <c r="I30" s="128">
        <v>1.0900000000000001</v>
      </c>
      <c r="J30" s="128">
        <v>1.1000000000000001</v>
      </c>
      <c r="K30" s="128">
        <v>1.1100000000000001</v>
      </c>
      <c r="L30" s="128">
        <v>1.1200000000000001</v>
      </c>
      <c r="M30" s="128">
        <v>1.1299999999999999</v>
      </c>
      <c r="N30" s="128">
        <v>1.1399999999999999</v>
      </c>
      <c r="O30" s="128">
        <v>1.1499999999999999</v>
      </c>
      <c r="P30" s="128">
        <v>1.1599999999999999</v>
      </c>
      <c r="Q30" s="128">
        <v>1.17</v>
      </c>
      <c r="R30" s="128">
        <v>1.18</v>
      </c>
      <c r="S30" s="128">
        <v>1.19</v>
      </c>
      <c r="T30" s="128">
        <v>1.2</v>
      </c>
      <c r="U30" s="128">
        <v>1.21</v>
      </c>
      <c r="V30" s="128">
        <v>1.22</v>
      </c>
      <c r="W30" s="128">
        <v>1.22</v>
      </c>
      <c r="X30" s="128">
        <v>1.23</v>
      </c>
      <c r="Y30" s="128">
        <v>1.24</v>
      </c>
      <c r="Z30" s="128">
        <v>1.25</v>
      </c>
      <c r="AA30" s="128">
        <v>1.26</v>
      </c>
      <c r="AB30" s="128">
        <v>1.26</v>
      </c>
      <c r="AC30" s="128">
        <v>1.27</v>
      </c>
      <c r="AD30" s="128">
        <v>1.27</v>
      </c>
      <c r="AE30" s="128">
        <v>1.28</v>
      </c>
      <c r="AF30" s="128">
        <v>1.28</v>
      </c>
      <c r="AG30" s="128">
        <v>1.28</v>
      </c>
      <c r="AH30" s="128">
        <v>1.28</v>
      </c>
      <c r="AI30" s="128">
        <v>1.29</v>
      </c>
      <c r="AJ30" s="128">
        <v>1.29</v>
      </c>
      <c r="AK30" s="128">
        <v>1.29</v>
      </c>
      <c r="AL30" s="128">
        <v>1.3</v>
      </c>
      <c r="AM30" s="128">
        <v>1.3</v>
      </c>
      <c r="AN30" s="128">
        <v>1.3</v>
      </c>
      <c r="AO30" s="128">
        <v>1.31</v>
      </c>
      <c r="AP30" s="128">
        <v>1.31</v>
      </c>
      <c r="AQ30" s="128">
        <v>1.31</v>
      </c>
      <c r="AR30" s="128">
        <v>1.32</v>
      </c>
      <c r="AS30" s="128">
        <v>1.32</v>
      </c>
      <c r="AT30" s="128">
        <v>1.33</v>
      </c>
      <c r="AU30" s="128">
        <v>1.33</v>
      </c>
      <c r="AV30" s="128">
        <v>1.33</v>
      </c>
      <c r="AW30" s="128">
        <v>1.34</v>
      </c>
      <c r="AX30" s="128">
        <v>1.34</v>
      </c>
      <c r="AY30" s="128">
        <v>1.35</v>
      </c>
      <c r="AZ30" s="128">
        <v>1.35</v>
      </c>
      <c r="BA30" s="128">
        <v>1.35</v>
      </c>
      <c r="BB30" s="128">
        <v>1.34</v>
      </c>
      <c r="BC30" s="128">
        <v>1.34</v>
      </c>
      <c r="BD30" s="128">
        <v>1.33</v>
      </c>
      <c r="BE30" s="128">
        <v>1.33</v>
      </c>
      <c r="BF30" s="128">
        <v>1.33</v>
      </c>
      <c r="BG30" s="128">
        <v>1.32</v>
      </c>
      <c r="BH30" s="128">
        <v>1.32</v>
      </c>
      <c r="BI30" s="128">
        <v>1.31</v>
      </c>
      <c r="BJ30" s="128">
        <v>1.31</v>
      </c>
      <c r="BK30" s="128">
        <v>1.31</v>
      </c>
      <c r="BL30" s="128">
        <v>1.3</v>
      </c>
      <c r="BM30" s="128">
        <v>1.3</v>
      </c>
      <c r="BN30" s="128">
        <v>1.3</v>
      </c>
      <c r="BO30" s="128">
        <v>1.29</v>
      </c>
      <c r="BP30" s="128">
        <v>1.29</v>
      </c>
      <c r="BQ30" s="128">
        <v>1.29</v>
      </c>
      <c r="BR30" s="128">
        <v>1.28</v>
      </c>
      <c r="BS30" s="128">
        <v>1.28</v>
      </c>
      <c r="BT30" s="128">
        <v>1.28</v>
      </c>
      <c r="BU30" s="128">
        <v>1.28</v>
      </c>
      <c r="BV30" s="128">
        <v>1.27</v>
      </c>
      <c r="BW30" s="128">
        <v>1.27</v>
      </c>
      <c r="BX30" s="128">
        <v>1.27</v>
      </c>
      <c r="BY30" s="128">
        <v>1.27</v>
      </c>
      <c r="BZ30" s="128">
        <v>1.27</v>
      </c>
      <c r="CA30" s="128">
        <v>1.27</v>
      </c>
      <c r="CB30" s="128">
        <v>1.27</v>
      </c>
      <c r="CC30" s="128">
        <v>1.27</v>
      </c>
      <c r="CD30" s="128">
        <v>1.27</v>
      </c>
      <c r="CE30" s="128">
        <v>1.27</v>
      </c>
      <c r="CF30" s="128">
        <v>1.27</v>
      </c>
      <c r="CG30" s="128">
        <v>1.27</v>
      </c>
      <c r="CH30" s="128">
        <v>1.27</v>
      </c>
      <c r="CI30" s="128">
        <v>1.27</v>
      </c>
      <c r="CJ30" s="128">
        <v>1.27</v>
      </c>
      <c r="CK30" s="128">
        <v>1.27</v>
      </c>
      <c r="CL30" s="128">
        <v>1.27</v>
      </c>
      <c r="CM30" s="128">
        <v>1.27</v>
      </c>
      <c r="CN30" s="128">
        <v>1.27</v>
      </c>
      <c r="CO30" s="128">
        <v>1.27</v>
      </c>
      <c r="CP30" s="128">
        <v>1.27</v>
      </c>
      <c r="CQ30" s="128">
        <v>1.27</v>
      </c>
      <c r="CR30" s="128">
        <v>1.27</v>
      </c>
      <c r="CS30" s="128">
        <v>1.27</v>
      </c>
      <c r="CT30" s="128">
        <v>1.27</v>
      </c>
      <c r="CU30" s="128">
        <v>1.27</v>
      </c>
      <c r="CV30" s="128">
        <v>1.27</v>
      </c>
      <c r="CW30" s="128">
        <v>1.27</v>
      </c>
      <c r="CX30" s="128">
        <v>1.27</v>
      </c>
      <c r="CZ30" s="126">
        <f>SUMIF(MatrixF1[[1]:[2]],MatrixF1[[#This Row],[Столбец1]])/MatrixF1[[#This Row],[Столбец1]]</f>
        <v>161.00000000000037</v>
      </c>
    </row>
    <row r="31" spans="1:104" ht="21" customHeight="1" x14ac:dyDescent="0.25">
      <c r="A31" s="127">
        <v>1.28</v>
      </c>
      <c r="B31" s="128">
        <v>1</v>
      </c>
      <c r="C31" s="128">
        <v>1.01</v>
      </c>
      <c r="D31" s="128">
        <v>1.03</v>
      </c>
      <c r="E31" s="128">
        <v>1.04</v>
      </c>
      <c r="F31" s="128">
        <v>1.05</v>
      </c>
      <c r="G31" s="128">
        <v>1.06</v>
      </c>
      <c r="H31" s="128">
        <v>1.08</v>
      </c>
      <c r="I31" s="128">
        <v>1.0900000000000001</v>
      </c>
      <c r="J31" s="128">
        <v>1.1000000000000001</v>
      </c>
      <c r="K31" s="128">
        <v>1.1100000000000001</v>
      </c>
      <c r="L31" s="128">
        <v>1.1200000000000001</v>
      </c>
      <c r="M31" s="128">
        <v>1.1299999999999999</v>
      </c>
      <c r="N31" s="128">
        <v>1.1399999999999999</v>
      </c>
      <c r="O31" s="128">
        <v>1.1499999999999999</v>
      </c>
      <c r="P31" s="128">
        <v>1.1599999999999999</v>
      </c>
      <c r="Q31" s="128">
        <v>1.17</v>
      </c>
      <c r="R31" s="128">
        <v>1.18</v>
      </c>
      <c r="S31" s="128">
        <v>1.19</v>
      </c>
      <c r="T31" s="128">
        <v>1.2</v>
      </c>
      <c r="U31" s="128">
        <v>1.21</v>
      </c>
      <c r="V31" s="128">
        <v>1.22</v>
      </c>
      <c r="W31" s="128">
        <v>1.23</v>
      </c>
      <c r="X31" s="128">
        <v>1.23</v>
      </c>
      <c r="Y31" s="128">
        <v>1.24</v>
      </c>
      <c r="Z31" s="128">
        <v>1.25</v>
      </c>
      <c r="AA31" s="128">
        <v>1.26</v>
      </c>
      <c r="AB31" s="128">
        <v>1.27</v>
      </c>
      <c r="AC31" s="128">
        <v>1.27</v>
      </c>
      <c r="AD31" s="128">
        <v>1.28</v>
      </c>
      <c r="AE31" s="128">
        <v>1.28</v>
      </c>
      <c r="AF31" s="128">
        <v>1.29</v>
      </c>
      <c r="AG31" s="128">
        <v>1.29</v>
      </c>
      <c r="AH31" s="128">
        <v>1.29</v>
      </c>
      <c r="AI31" s="128">
        <v>1.29</v>
      </c>
      <c r="AJ31" s="128">
        <v>1.3</v>
      </c>
      <c r="AK31" s="128">
        <v>1.3</v>
      </c>
      <c r="AL31" s="128">
        <v>1.3</v>
      </c>
      <c r="AM31" s="128">
        <v>1.31</v>
      </c>
      <c r="AN31" s="128">
        <v>1.31</v>
      </c>
      <c r="AO31" s="128">
        <v>1.31</v>
      </c>
      <c r="AP31" s="128">
        <v>1.32</v>
      </c>
      <c r="AQ31" s="128">
        <v>1.32</v>
      </c>
      <c r="AR31" s="128">
        <v>1.33</v>
      </c>
      <c r="AS31" s="128">
        <v>1.33</v>
      </c>
      <c r="AT31" s="128">
        <v>1.33</v>
      </c>
      <c r="AU31" s="128">
        <v>1.34</v>
      </c>
      <c r="AV31" s="128">
        <v>1.34</v>
      </c>
      <c r="AW31" s="128">
        <v>1.35</v>
      </c>
      <c r="AX31" s="128">
        <v>1.35</v>
      </c>
      <c r="AY31" s="128">
        <v>1.35</v>
      </c>
      <c r="AZ31" s="128">
        <v>1.36</v>
      </c>
      <c r="BA31" s="128">
        <v>1.35</v>
      </c>
      <c r="BB31" s="128">
        <v>1.35</v>
      </c>
      <c r="BC31" s="128">
        <v>1.35</v>
      </c>
      <c r="BD31" s="128">
        <v>1.34</v>
      </c>
      <c r="BE31" s="128">
        <v>1.34</v>
      </c>
      <c r="BF31" s="128">
        <v>1.33</v>
      </c>
      <c r="BG31" s="128">
        <v>1.33</v>
      </c>
      <c r="BH31" s="128">
        <v>1.33</v>
      </c>
      <c r="BI31" s="128">
        <v>1.32</v>
      </c>
      <c r="BJ31" s="128">
        <v>1.32</v>
      </c>
      <c r="BK31" s="128">
        <v>1.31</v>
      </c>
      <c r="BL31" s="128">
        <v>1.31</v>
      </c>
      <c r="BM31" s="128">
        <v>1.31</v>
      </c>
      <c r="BN31" s="128">
        <v>1.3</v>
      </c>
      <c r="BO31" s="128">
        <v>1.3</v>
      </c>
      <c r="BP31" s="128">
        <v>1.3</v>
      </c>
      <c r="BQ31" s="128">
        <v>1.29</v>
      </c>
      <c r="BR31" s="128">
        <v>1.29</v>
      </c>
      <c r="BS31" s="128">
        <v>1.29</v>
      </c>
      <c r="BT31" s="128">
        <v>1.29</v>
      </c>
      <c r="BU31" s="128">
        <v>1.28</v>
      </c>
      <c r="BV31" s="128">
        <v>1.28</v>
      </c>
      <c r="BW31" s="128">
        <v>1.28</v>
      </c>
      <c r="BX31" s="128">
        <v>1.28</v>
      </c>
      <c r="BY31" s="128">
        <v>1.28</v>
      </c>
      <c r="BZ31" s="128">
        <v>1.28</v>
      </c>
      <c r="CA31" s="128">
        <v>1.28</v>
      </c>
      <c r="CB31" s="128">
        <v>1.28</v>
      </c>
      <c r="CC31" s="128">
        <v>1.28</v>
      </c>
      <c r="CD31" s="128">
        <v>1.28</v>
      </c>
      <c r="CE31" s="128">
        <v>1.28</v>
      </c>
      <c r="CF31" s="128">
        <v>1.28</v>
      </c>
      <c r="CG31" s="128">
        <v>1.28</v>
      </c>
      <c r="CH31" s="128">
        <v>1.28</v>
      </c>
      <c r="CI31" s="128">
        <v>1.28</v>
      </c>
      <c r="CJ31" s="128">
        <v>1.28</v>
      </c>
      <c r="CK31" s="128">
        <v>1.28</v>
      </c>
      <c r="CL31" s="128">
        <v>1.28</v>
      </c>
      <c r="CM31" s="128">
        <v>1.28</v>
      </c>
      <c r="CN31" s="128">
        <v>1.28</v>
      </c>
      <c r="CO31" s="128">
        <v>1.28</v>
      </c>
      <c r="CP31" s="128">
        <v>1.28</v>
      </c>
      <c r="CQ31" s="128">
        <v>1.28</v>
      </c>
      <c r="CR31" s="128">
        <v>1.28</v>
      </c>
      <c r="CS31" s="128">
        <v>1.28</v>
      </c>
      <c r="CT31" s="128">
        <v>1.28</v>
      </c>
      <c r="CU31" s="128">
        <v>1.28</v>
      </c>
      <c r="CV31" s="128">
        <v>1.28</v>
      </c>
      <c r="CW31" s="128">
        <v>1.28</v>
      </c>
      <c r="CX31" s="128">
        <v>1.28</v>
      </c>
      <c r="CZ31" s="126">
        <f>SUMIF(MatrixF1[[1]:[2]],MatrixF1[[#This Row],[Столбец1]])/MatrixF1[[#This Row],[Столбец1]]</f>
        <v>161.00000000000011</v>
      </c>
    </row>
    <row r="32" spans="1:104" ht="21" customHeight="1" x14ac:dyDescent="0.25">
      <c r="A32" s="127">
        <v>1.29</v>
      </c>
      <c r="B32" s="128">
        <v>1</v>
      </c>
      <c r="C32" s="128">
        <v>1.01</v>
      </c>
      <c r="D32" s="128">
        <v>1.03</v>
      </c>
      <c r="E32" s="128">
        <v>1.04</v>
      </c>
      <c r="F32" s="128">
        <v>1.05</v>
      </c>
      <c r="G32" s="128">
        <v>1.07</v>
      </c>
      <c r="H32" s="128">
        <v>1.08</v>
      </c>
      <c r="I32" s="128">
        <v>1.0900000000000001</v>
      </c>
      <c r="J32" s="128">
        <v>1.1000000000000001</v>
      </c>
      <c r="K32" s="128">
        <v>1.1100000000000001</v>
      </c>
      <c r="L32" s="128">
        <v>1.1200000000000001</v>
      </c>
      <c r="M32" s="128">
        <v>1.1299999999999999</v>
      </c>
      <c r="N32" s="128">
        <v>1.1399999999999999</v>
      </c>
      <c r="O32" s="128">
        <v>1.1499999999999999</v>
      </c>
      <c r="P32" s="128">
        <v>1.1599999999999999</v>
      </c>
      <c r="Q32" s="128">
        <v>1.17</v>
      </c>
      <c r="R32" s="128">
        <v>1.18</v>
      </c>
      <c r="S32" s="128">
        <v>1.19</v>
      </c>
      <c r="T32" s="128">
        <v>1.2</v>
      </c>
      <c r="U32" s="128">
        <v>1.21</v>
      </c>
      <c r="V32" s="128">
        <v>1.22</v>
      </c>
      <c r="W32" s="128">
        <v>1.23</v>
      </c>
      <c r="X32" s="128">
        <v>1.24</v>
      </c>
      <c r="Y32" s="128">
        <v>1.24</v>
      </c>
      <c r="Z32" s="128">
        <v>1.25</v>
      </c>
      <c r="AA32" s="128">
        <v>1.26</v>
      </c>
      <c r="AB32" s="128">
        <v>1.27</v>
      </c>
      <c r="AC32" s="128">
        <v>1.28</v>
      </c>
      <c r="AD32" s="128">
        <v>1.28</v>
      </c>
      <c r="AE32" s="128">
        <v>1.29</v>
      </c>
      <c r="AF32" s="128">
        <v>1.29</v>
      </c>
      <c r="AG32" s="128">
        <v>1.3</v>
      </c>
      <c r="AH32" s="128">
        <v>1.3</v>
      </c>
      <c r="AI32" s="128">
        <v>1.3</v>
      </c>
      <c r="AJ32" s="128">
        <v>1.31</v>
      </c>
      <c r="AK32" s="128">
        <v>1.31</v>
      </c>
      <c r="AL32" s="128">
        <v>1.31</v>
      </c>
      <c r="AM32" s="128">
        <v>1.32</v>
      </c>
      <c r="AN32" s="128">
        <v>1.32</v>
      </c>
      <c r="AO32" s="128">
        <v>1.32</v>
      </c>
      <c r="AP32" s="128">
        <v>1.33</v>
      </c>
      <c r="AQ32" s="128">
        <v>1.33</v>
      </c>
      <c r="AR32" s="128">
        <v>1.33</v>
      </c>
      <c r="AS32" s="128">
        <v>1.34</v>
      </c>
      <c r="AT32" s="128">
        <v>1.34</v>
      </c>
      <c r="AU32" s="128">
        <v>1.35</v>
      </c>
      <c r="AV32" s="128">
        <v>1.35</v>
      </c>
      <c r="AW32" s="128">
        <v>1.35</v>
      </c>
      <c r="AX32" s="128">
        <v>1.36</v>
      </c>
      <c r="AY32" s="128">
        <v>1.36</v>
      </c>
      <c r="AZ32" s="128">
        <v>1.37</v>
      </c>
      <c r="BA32" s="128">
        <v>1.36</v>
      </c>
      <c r="BB32" s="128">
        <v>1.36</v>
      </c>
      <c r="BC32" s="128">
        <v>1.35</v>
      </c>
      <c r="BD32" s="128">
        <v>1.35</v>
      </c>
      <c r="BE32" s="128">
        <v>1.35</v>
      </c>
      <c r="BF32" s="128">
        <v>1.34</v>
      </c>
      <c r="BG32" s="128">
        <v>1.34</v>
      </c>
      <c r="BH32" s="128">
        <v>1.33</v>
      </c>
      <c r="BI32" s="128">
        <v>1.33</v>
      </c>
      <c r="BJ32" s="128">
        <v>1.33</v>
      </c>
      <c r="BK32" s="128">
        <v>1.32</v>
      </c>
      <c r="BL32" s="128">
        <v>1.32</v>
      </c>
      <c r="BM32" s="128">
        <v>1.32</v>
      </c>
      <c r="BN32" s="128">
        <v>1.31</v>
      </c>
      <c r="BO32" s="128">
        <v>1.31</v>
      </c>
      <c r="BP32" s="128">
        <v>1.31</v>
      </c>
      <c r="BQ32" s="128">
        <v>1.3</v>
      </c>
      <c r="BR32" s="128">
        <v>1.3</v>
      </c>
      <c r="BS32" s="128">
        <v>1.3</v>
      </c>
      <c r="BT32" s="128">
        <v>1.29</v>
      </c>
      <c r="BU32" s="128">
        <v>1.29</v>
      </c>
      <c r="BV32" s="128">
        <v>1.29</v>
      </c>
      <c r="BW32" s="128">
        <v>1.29</v>
      </c>
      <c r="BX32" s="128">
        <v>1.29</v>
      </c>
      <c r="BY32" s="128">
        <v>1.29</v>
      </c>
      <c r="BZ32" s="128">
        <v>1.29</v>
      </c>
      <c r="CA32" s="128">
        <v>1.29</v>
      </c>
      <c r="CB32" s="128">
        <v>1.29</v>
      </c>
      <c r="CC32" s="128">
        <v>1.29</v>
      </c>
      <c r="CD32" s="128">
        <v>1.29</v>
      </c>
      <c r="CE32" s="128">
        <v>1.29</v>
      </c>
      <c r="CF32" s="128">
        <v>1.29</v>
      </c>
      <c r="CG32" s="128">
        <v>1.29</v>
      </c>
      <c r="CH32" s="128">
        <v>1.29</v>
      </c>
      <c r="CI32" s="128">
        <v>1.29</v>
      </c>
      <c r="CJ32" s="128">
        <v>1.29</v>
      </c>
      <c r="CK32" s="128">
        <v>1.29</v>
      </c>
      <c r="CL32" s="128">
        <v>1.29</v>
      </c>
      <c r="CM32" s="128">
        <v>1.29</v>
      </c>
      <c r="CN32" s="128">
        <v>1.29</v>
      </c>
      <c r="CO32" s="128">
        <v>1.29</v>
      </c>
      <c r="CP32" s="128">
        <v>1.29</v>
      </c>
      <c r="CQ32" s="128">
        <v>1.29</v>
      </c>
      <c r="CR32" s="128">
        <v>1.29</v>
      </c>
      <c r="CS32" s="128">
        <v>1.29</v>
      </c>
      <c r="CT32" s="128">
        <v>1.29</v>
      </c>
      <c r="CU32" s="128">
        <v>1.29</v>
      </c>
      <c r="CV32" s="128">
        <v>1.29</v>
      </c>
      <c r="CW32" s="128">
        <v>1.29</v>
      </c>
      <c r="CX32" s="128">
        <v>1.29</v>
      </c>
      <c r="CZ32" s="126">
        <f>SUMIF(MatrixF1[[1]:[2]],MatrixF1[[#This Row],[Столбец1]])/MatrixF1[[#This Row],[Столбец1]]</f>
        <v>162.99999999999983</v>
      </c>
    </row>
    <row r="33" spans="1:104" ht="21" customHeight="1" x14ac:dyDescent="0.25">
      <c r="A33" s="127">
        <v>1.3</v>
      </c>
      <c r="B33" s="128">
        <v>1</v>
      </c>
      <c r="C33" s="128">
        <v>1.01</v>
      </c>
      <c r="D33" s="128">
        <v>1.03</v>
      </c>
      <c r="E33" s="128">
        <v>1.04</v>
      </c>
      <c r="F33" s="128">
        <v>1.05</v>
      </c>
      <c r="G33" s="128">
        <v>1.07</v>
      </c>
      <c r="H33" s="128">
        <v>1.08</v>
      </c>
      <c r="I33" s="128">
        <v>1.0900000000000001</v>
      </c>
      <c r="J33" s="128">
        <v>1.1000000000000001</v>
      </c>
      <c r="K33" s="128">
        <v>1.1100000000000001</v>
      </c>
      <c r="L33" s="128">
        <v>1.1200000000000001</v>
      </c>
      <c r="M33" s="128">
        <v>1.1399999999999999</v>
      </c>
      <c r="N33" s="128">
        <v>1.1499999999999999</v>
      </c>
      <c r="O33" s="128">
        <v>1.1599999999999999</v>
      </c>
      <c r="P33" s="128">
        <v>1.17</v>
      </c>
      <c r="Q33" s="128">
        <v>1.18</v>
      </c>
      <c r="R33" s="128">
        <v>1.19</v>
      </c>
      <c r="S33" s="128">
        <v>1.2</v>
      </c>
      <c r="T33" s="128">
        <v>1.2</v>
      </c>
      <c r="U33" s="128">
        <v>1.21</v>
      </c>
      <c r="V33" s="128">
        <v>1.22</v>
      </c>
      <c r="W33" s="128">
        <v>1.23</v>
      </c>
      <c r="X33" s="128">
        <v>1.24</v>
      </c>
      <c r="Y33" s="128">
        <v>1.25</v>
      </c>
      <c r="Z33" s="128">
        <v>1.26</v>
      </c>
      <c r="AA33" s="128">
        <v>1.26</v>
      </c>
      <c r="AB33" s="128">
        <v>1.27</v>
      </c>
      <c r="AC33" s="128">
        <v>1.28</v>
      </c>
      <c r="AD33" s="128">
        <v>1.29</v>
      </c>
      <c r="AE33" s="128">
        <v>1.29</v>
      </c>
      <c r="AF33" s="128">
        <v>1.3</v>
      </c>
      <c r="AG33" s="128">
        <v>1.3</v>
      </c>
      <c r="AH33" s="128">
        <v>1.31</v>
      </c>
      <c r="AI33" s="128">
        <v>1.31</v>
      </c>
      <c r="AJ33" s="128">
        <v>1.31</v>
      </c>
      <c r="AK33" s="128">
        <v>1.32</v>
      </c>
      <c r="AL33" s="128">
        <v>1.32</v>
      </c>
      <c r="AM33" s="128">
        <v>1.32</v>
      </c>
      <c r="AN33" s="128">
        <v>1.33</v>
      </c>
      <c r="AO33" s="128">
        <v>1.33</v>
      </c>
      <c r="AP33" s="128">
        <v>1.33</v>
      </c>
      <c r="AQ33" s="128">
        <v>1.34</v>
      </c>
      <c r="AR33" s="128">
        <v>1.34</v>
      </c>
      <c r="AS33" s="128">
        <v>1.34</v>
      </c>
      <c r="AT33" s="128">
        <v>1.35</v>
      </c>
      <c r="AU33" s="128">
        <v>1.35</v>
      </c>
      <c r="AV33" s="128">
        <v>1.36</v>
      </c>
      <c r="AW33" s="128">
        <v>1.36</v>
      </c>
      <c r="AX33" s="128">
        <v>1.37</v>
      </c>
      <c r="AY33" s="128">
        <v>1.37</v>
      </c>
      <c r="AZ33" s="128">
        <v>1.38</v>
      </c>
      <c r="BA33" s="128">
        <v>1.37</v>
      </c>
      <c r="BB33" s="128">
        <v>1.37</v>
      </c>
      <c r="BC33" s="128">
        <v>1.36</v>
      </c>
      <c r="BD33" s="128">
        <v>1.36</v>
      </c>
      <c r="BE33" s="128">
        <v>1.35</v>
      </c>
      <c r="BF33" s="128">
        <v>1.35</v>
      </c>
      <c r="BG33" s="128">
        <v>1.34</v>
      </c>
      <c r="BH33" s="128">
        <v>1.34</v>
      </c>
      <c r="BI33" s="128">
        <v>1.34</v>
      </c>
      <c r="BJ33" s="128">
        <v>1.33</v>
      </c>
      <c r="BK33" s="128">
        <v>1.33</v>
      </c>
      <c r="BL33" s="128">
        <v>1.33</v>
      </c>
      <c r="BM33" s="128">
        <v>1.32</v>
      </c>
      <c r="BN33" s="128">
        <v>1.32</v>
      </c>
      <c r="BO33" s="128">
        <v>1.32</v>
      </c>
      <c r="BP33" s="128">
        <v>1.31</v>
      </c>
      <c r="BQ33" s="128">
        <v>1.31</v>
      </c>
      <c r="BR33" s="128">
        <v>1.31</v>
      </c>
      <c r="BS33" s="128">
        <v>1.3</v>
      </c>
      <c r="BT33" s="128">
        <v>1.3</v>
      </c>
      <c r="BU33" s="128">
        <v>1.3</v>
      </c>
      <c r="BV33" s="128">
        <v>1.3</v>
      </c>
      <c r="BW33" s="128">
        <v>1.3</v>
      </c>
      <c r="BX33" s="128">
        <v>1.3</v>
      </c>
      <c r="BY33" s="128">
        <v>1.3</v>
      </c>
      <c r="BZ33" s="128">
        <v>1.3</v>
      </c>
      <c r="CA33" s="128">
        <v>1.3</v>
      </c>
      <c r="CB33" s="128">
        <v>1.3</v>
      </c>
      <c r="CC33" s="128">
        <v>1.3</v>
      </c>
      <c r="CD33" s="128">
        <v>1.3</v>
      </c>
      <c r="CE33" s="128">
        <v>1.3</v>
      </c>
      <c r="CF33" s="128">
        <v>1.3</v>
      </c>
      <c r="CG33" s="128">
        <v>1.3</v>
      </c>
      <c r="CH33" s="128">
        <v>1.3</v>
      </c>
      <c r="CI33" s="128">
        <v>1.3</v>
      </c>
      <c r="CJ33" s="128">
        <v>1.3</v>
      </c>
      <c r="CK33" s="128">
        <v>1.3</v>
      </c>
      <c r="CL33" s="128">
        <v>1.3</v>
      </c>
      <c r="CM33" s="128">
        <v>1.3</v>
      </c>
      <c r="CN33" s="128">
        <v>1.3</v>
      </c>
      <c r="CO33" s="128">
        <v>1.3</v>
      </c>
      <c r="CP33" s="128">
        <v>1.3</v>
      </c>
      <c r="CQ33" s="128">
        <v>1.3</v>
      </c>
      <c r="CR33" s="128">
        <v>1.3</v>
      </c>
      <c r="CS33" s="128">
        <v>1.3</v>
      </c>
      <c r="CT33" s="128">
        <v>1.3</v>
      </c>
      <c r="CU33" s="128">
        <v>1.3</v>
      </c>
      <c r="CV33" s="128">
        <v>1.3</v>
      </c>
      <c r="CW33" s="128">
        <v>1.3</v>
      </c>
      <c r="CX33" s="128">
        <v>1.3</v>
      </c>
      <c r="CZ33" s="126">
        <f>SUMIF(MatrixF1[[1]:[2]],MatrixF1[[#This Row],[Столбец1]])/MatrixF1[[#This Row],[Столбец1]]</f>
        <v>157.00000000000037</v>
      </c>
    </row>
    <row r="34" spans="1:104" ht="21" customHeight="1" x14ac:dyDescent="0.25">
      <c r="A34" s="127">
        <v>1.31</v>
      </c>
      <c r="B34" s="128">
        <v>1</v>
      </c>
      <c r="C34" s="128">
        <v>1.01</v>
      </c>
      <c r="D34" s="128">
        <v>1.03</v>
      </c>
      <c r="E34" s="128">
        <v>1.04</v>
      </c>
      <c r="F34" s="128">
        <v>1.05</v>
      </c>
      <c r="G34" s="128">
        <v>1.07</v>
      </c>
      <c r="H34" s="128">
        <v>1.08</v>
      </c>
      <c r="I34" s="128">
        <v>1.0900000000000001</v>
      </c>
      <c r="J34" s="128">
        <v>1.1000000000000001</v>
      </c>
      <c r="K34" s="128">
        <v>1.1200000000000001</v>
      </c>
      <c r="L34" s="128">
        <v>1.1299999999999999</v>
      </c>
      <c r="M34" s="128">
        <v>1.1399999999999999</v>
      </c>
      <c r="N34" s="128">
        <v>1.1499999999999999</v>
      </c>
      <c r="O34" s="128">
        <v>1.1599999999999999</v>
      </c>
      <c r="P34" s="128">
        <v>1.17</v>
      </c>
      <c r="Q34" s="128">
        <v>1.18</v>
      </c>
      <c r="R34" s="128">
        <v>1.19</v>
      </c>
      <c r="S34" s="128">
        <v>1.2</v>
      </c>
      <c r="T34" s="128">
        <v>1.21</v>
      </c>
      <c r="U34" s="128">
        <v>1.22</v>
      </c>
      <c r="V34" s="128">
        <v>1.22</v>
      </c>
      <c r="W34" s="128">
        <v>1.23</v>
      </c>
      <c r="X34" s="128">
        <v>1.24</v>
      </c>
      <c r="Y34" s="128">
        <v>1.25</v>
      </c>
      <c r="Z34" s="128">
        <v>1.26</v>
      </c>
      <c r="AA34" s="128">
        <v>1.27</v>
      </c>
      <c r="AB34" s="128">
        <v>1.27</v>
      </c>
      <c r="AC34" s="128">
        <v>1.28</v>
      </c>
      <c r="AD34" s="128">
        <v>1.29</v>
      </c>
      <c r="AE34" s="128">
        <v>1.3</v>
      </c>
      <c r="AF34" s="128">
        <v>1.3</v>
      </c>
      <c r="AG34" s="128">
        <v>1.31</v>
      </c>
      <c r="AH34" s="128">
        <v>1.31</v>
      </c>
      <c r="AI34" s="128">
        <v>1.32</v>
      </c>
      <c r="AJ34" s="128">
        <v>1.32</v>
      </c>
      <c r="AK34" s="128">
        <v>1.32</v>
      </c>
      <c r="AL34" s="128">
        <v>1.33</v>
      </c>
      <c r="AM34" s="128">
        <v>1.33</v>
      </c>
      <c r="AN34" s="128">
        <v>1.33</v>
      </c>
      <c r="AO34" s="128">
        <v>1.34</v>
      </c>
      <c r="AP34" s="128">
        <v>1.34</v>
      </c>
      <c r="AQ34" s="128">
        <v>1.34</v>
      </c>
      <c r="AR34" s="128">
        <v>1.35</v>
      </c>
      <c r="AS34" s="128">
        <v>1.35</v>
      </c>
      <c r="AT34" s="128">
        <v>1.36</v>
      </c>
      <c r="AU34" s="128">
        <v>1.36</v>
      </c>
      <c r="AV34" s="128">
        <v>1.36</v>
      </c>
      <c r="AW34" s="128">
        <v>1.37</v>
      </c>
      <c r="AX34" s="128">
        <v>1.37</v>
      </c>
      <c r="AY34" s="128">
        <v>1.38</v>
      </c>
      <c r="AZ34" s="128">
        <v>1.38</v>
      </c>
      <c r="BA34" s="128">
        <v>1.38</v>
      </c>
      <c r="BB34" s="128">
        <v>1.37</v>
      </c>
      <c r="BC34" s="128">
        <v>1.37</v>
      </c>
      <c r="BD34" s="128">
        <v>1.36</v>
      </c>
      <c r="BE34" s="128">
        <v>1.36</v>
      </c>
      <c r="BF34" s="128">
        <v>1.36</v>
      </c>
      <c r="BG34" s="128">
        <v>1.35</v>
      </c>
      <c r="BH34" s="128">
        <v>1.35</v>
      </c>
      <c r="BI34" s="128">
        <v>1.34</v>
      </c>
      <c r="BJ34" s="128">
        <v>1.34</v>
      </c>
      <c r="BK34" s="128">
        <v>1.34</v>
      </c>
      <c r="BL34" s="128">
        <v>1.33</v>
      </c>
      <c r="BM34" s="128">
        <v>1.33</v>
      </c>
      <c r="BN34" s="128">
        <v>1.33</v>
      </c>
      <c r="BO34" s="128">
        <v>1.32</v>
      </c>
      <c r="BP34" s="128">
        <v>1.32</v>
      </c>
      <c r="BQ34" s="128">
        <v>1.32</v>
      </c>
      <c r="BR34" s="128">
        <v>1.31</v>
      </c>
      <c r="BS34" s="128">
        <v>1.31</v>
      </c>
      <c r="BT34" s="128">
        <v>1.31</v>
      </c>
      <c r="BU34" s="128">
        <v>1.31</v>
      </c>
      <c r="BV34" s="128">
        <v>1.31</v>
      </c>
      <c r="BW34" s="128">
        <v>1.31</v>
      </c>
      <c r="BX34" s="128">
        <v>1.31</v>
      </c>
      <c r="BY34" s="128">
        <v>1.31</v>
      </c>
      <c r="BZ34" s="128">
        <v>1.31</v>
      </c>
      <c r="CA34" s="128">
        <v>1.31</v>
      </c>
      <c r="CB34" s="128">
        <v>1.31</v>
      </c>
      <c r="CC34" s="128">
        <v>1.31</v>
      </c>
      <c r="CD34" s="128">
        <v>1.31</v>
      </c>
      <c r="CE34" s="128">
        <v>1.31</v>
      </c>
      <c r="CF34" s="128">
        <v>1.31</v>
      </c>
      <c r="CG34" s="128">
        <v>1.31</v>
      </c>
      <c r="CH34" s="128">
        <v>1.31</v>
      </c>
      <c r="CI34" s="128">
        <v>1.31</v>
      </c>
      <c r="CJ34" s="128">
        <v>1.31</v>
      </c>
      <c r="CK34" s="128">
        <v>1.31</v>
      </c>
      <c r="CL34" s="128">
        <v>1.31</v>
      </c>
      <c r="CM34" s="128">
        <v>1.31</v>
      </c>
      <c r="CN34" s="128">
        <v>1.31</v>
      </c>
      <c r="CO34" s="128">
        <v>1.31</v>
      </c>
      <c r="CP34" s="128">
        <v>1.31</v>
      </c>
      <c r="CQ34" s="128">
        <v>1.31</v>
      </c>
      <c r="CR34" s="128">
        <v>1.31</v>
      </c>
      <c r="CS34" s="128">
        <v>1.31</v>
      </c>
      <c r="CT34" s="128">
        <v>1.31</v>
      </c>
      <c r="CU34" s="128">
        <v>1.31</v>
      </c>
      <c r="CV34" s="128">
        <v>1.31</v>
      </c>
      <c r="CW34" s="128">
        <v>1.31</v>
      </c>
      <c r="CX34" s="128">
        <v>1.31</v>
      </c>
      <c r="CZ34" s="126">
        <f>SUMIF(MatrixF1[[1]:[2]],MatrixF1[[#This Row],[Столбец1]])/MatrixF1[[#This Row],[Столбец1]]</f>
        <v>155.0000000000002</v>
      </c>
    </row>
    <row r="35" spans="1:104" ht="21" customHeight="1" x14ac:dyDescent="0.25">
      <c r="A35" s="127">
        <v>1.32</v>
      </c>
      <c r="B35" s="128">
        <v>1</v>
      </c>
      <c r="C35" s="128">
        <v>1.01</v>
      </c>
      <c r="D35" s="128">
        <v>1.03</v>
      </c>
      <c r="E35" s="128">
        <v>1.04</v>
      </c>
      <c r="F35" s="128">
        <v>1.06</v>
      </c>
      <c r="G35" s="128">
        <v>1.07</v>
      </c>
      <c r="H35" s="128">
        <v>1.08</v>
      </c>
      <c r="I35" s="128">
        <v>1.0900000000000001</v>
      </c>
      <c r="J35" s="128">
        <v>1.1100000000000001</v>
      </c>
      <c r="K35" s="128">
        <v>1.1200000000000001</v>
      </c>
      <c r="L35" s="128">
        <v>1.1299999999999999</v>
      </c>
      <c r="M35" s="128">
        <v>1.1399999999999999</v>
      </c>
      <c r="N35" s="128">
        <v>1.1499999999999999</v>
      </c>
      <c r="O35" s="128">
        <v>1.1599999999999999</v>
      </c>
      <c r="P35" s="128">
        <v>1.17</v>
      </c>
      <c r="Q35" s="128">
        <v>1.18</v>
      </c>
      <c r="R35" s="128">
        <v>1.19</v>
      </c>
      <c r="S35" s="128">
        <v>1.2</v>
      </c>
      <c r="T35" s="128">
        <v>1.21</v>
      </c>
      <c r="U35" s="128">
        <v>1.22</v>
      </c>
      <c r="V35" s="128">
        <v>1.23</v>
      </c>
      <c r="W35" s="128">
        <v>1.24</v>
      </c>
      <c r="X35" s="128">
        <v>1.24</v>
      </c>
      <c r="Y35" s="128">
        <v>1.25</v>
      </c>
      <c r="Z35" s="128">
        <v>1.26</v>
      </c>
      <c r="AA35" s="128">
        <v>1.27</v>
      </c>
      <c r="AB35" s="128">
        <v>1.28</v>
      </c>
      <c r="AC35" s="128">
        <v>1.28</v>
      </c>
      <c r="AD35" s="128">
        <v>1.29</v>
      </c>
      <c r="AE35" s="128">
        <v>1.3</v>
      </c>
      <c r="AF35" s="128">
        <v>1.31</v>
      </c>
      <c r="AG35" s="128">
        <v>1.31</v>
      </c>
      <c r="AH35" s="128">
        <v>1.32</v>
      </c>
      <c r="AI35" s="128">
        <v>1.32</v>
      </c>
      <c r="AJ35" s="128">
        <v>1.33</v>
      </c>
      <c r="AK35" s="128">
        <v>1.33</v>
      </c>
      <c r="AL35" s="128">
        <v>1.33</v>
      </c>
      <c r="AM35" s="128">
        <v>1.34</v>
      </c>
      <c r="AN35" s="128">
        <v>1.34</v>
      </c>
      <c r="AO35" s="128">
        <v>1.34</v>
      </c>
      <c r="AP35" s="128">
        <v>1.35</v>
      </c>
      <c r="AQ35" s="128">
        <v>1.35</v>
      </c>
      <c r="AR35" s="128">
        <v>1.36</v>
      </c>
      <c r="AS35" s="128">
        <v>1.36</v>
      </c>
      <c r="AT35" s="128">
        <v>1.36</v>
      </c>
      <c r="AU35" s="128">
        <v>1.37</v>
      </c>
      <c r="AV35" s="128">
        <v>1.37</v>
      </c>
      <c r="AW35" s="128">
        <v>1.38</v>
      </c>
      <c r="AX35" s="128">
        <v>1.38</v>
      </c>
      <c r="AY35" s="128">
        <v>1.39</v>
      </c>
      <c r="AZ35" s="128">
        <v>1.39</v>
      </c>
      <c r="BA35" s="128">
        <v>1.39</v>
      </c>
      <c r="BB35" s="128">
        <v>1.38</v>
      </c>
      <c r="BC35" s="128">
        <v>1.38</v>
      </c>
      <c r="BD35" s="128">
        <v>1.37</v>
      </c>
      <c r="BE35" s="128">
        <v>1.37</v>
      </c>
      <c r="BF35" s="128">
        <v>1.36</v>
      </c>
      <c r="BG35" s="128">
        <v>1.36</v>
      </c>
      <c r="BH35" s="128">
        <v>1.36</v>
      </c>
      <c r="BI35" s="128">
        <v>1.35</v>
      </c>
      <c r="BJ35" s="128">
        <v>1.35</v>
      </c>
      <c r="BK35" s="128">
        <v>1.34</v>
      </c>
      <c r="BL35" s="128">
        <v>1.34</v>
      </c>
      <c r="BM35" s="128">
        <v>1.34</v>
      </c>
      <c r="BN35" s="128">
        <v>1.33</v>
      </c>
      <c r="BO35" s="128">
        <v>1.33</v>
      </c>
      <c r="BP35" s="128">
        <v>1.33</v>
      </c>
      <c r="BQ35" s="128">
        <v>1.32</v>
      </c>
      <c r="BR35" s="128">
        <v>1.32</v>
      </c>
      <c r="BS35" s="128">
        <v>1.32</v>
      </c>
      <c r="BT35" s="128">
        <v>1.32</v>
      </c>
      <c r="BU35" s="128">
        <v>1.32</v>
      </c>
      <c r="BV35" s="128">
        <v>1.32</v>
      </c>
      <c r="BW35" s="128">
        <v>1.32</v>
      </c>
      <c r="BX35" s="128">
        <v>1.32</v>
      </c>
      <c r="BY35" s="128">
        <v>1.32</v>
      </c>
      <c r="BZ35" s="128">
        <v>1.32</v>
      </c>
      <c r="CA35" s="128">
        <v>1.32</v>
      </c>
      <c r="CB35" s="128">
        <v>1.32</v>
      </c>
      <c r="CC35" s="128">
        <v>1.32</v>
      </c>
      <c r="CD35" s="128">
        <v>1.32</v>
      </c>
      <c r="CE35" s="128">
        <v>1.32</v>
      </c>
      <c r="CF35" s="128">
        <v>1.32</v>
      </c>
      <c r="CG35" s="128">
        <v>1.32</v>
      </c>
      <c r="CH35" s="128">
        <v>1.32</v>
      </c>
      <c r="CI35" s="128">
        <v>1.32</v>
      </c>
      <c r="CJ35" s="128">
        <v>1.32</v>
      </c>
      <c r="CK35" s="128">
        <v>1.32</v>
      </c>
      <c r="CL35" s="128">
        <v>1.32</v>
      </c>
      <c r="CM35" s="128">
        <v>1.32</v>
      </c>
      <c r="CN35" s="128">
        <v>1.32</v>
      </c>
      <c r="CO35" s="128">
        <v>1.32</v>
      </c>
      <c r="CP35" s="128">
        <v>1.32</v>
      </c>
      <c r="CQ35" s="128">
        <v>1.32</v>
      </c>
      <c r="CR35" s="128">
        <v>1.32</v>
      </c>
      <c r="CS35" s="128">
        <v>1.32</v>
      </c>
      <c r="CT35" s="128">
        <v>1.32</v>
      </c>
      <c r="CU35" s="128">
        <v>1.32</v>
      </c>
      <c r="CV35" s="128">
        <v>1.32</v>
      </c>
      <c r="CW35" s="128">
        <v>1.32</v>
      </c>
      <c r="CX35" s="128">
        <v>1.32</v>
      </c>
      <c r="CZ35" s="126">
        <f>SUMIF(MatrixF1[[1]:[2]],MatrixF1[[#This Row],[Столбец1]])/MatrixF1[[#This Row],[Столбец1]]</f>
        <v>158.99999999999943</v>
      </c>
    </row>
    <row r="36" spans="1:104" ht="21" customHeight="1" x14ac:dyDescent="0.25">
      <c r="A36" s="127">
        <v>1.33</v>
      </c>
      <c r="B36" s="128">
        <v>1</v>
      </c>
      <c r="C36" s="128">
        <v>1.01</v>
      </c>
      <c r="D36" s="128">
        <v>1.03</v>
      </c>
      <c r="E36" s="128">
        <v>1.04</v>
      </c>
      <c r="F36" s="128">
        <v>1.06</v>
      </c>
      <c r="G36" s="128">
        <v>1.07</v>
      </c>
      <c r="H36" s="128">
        <v>1.08</v>
      </c>
      <c r="I36" s="128">
        <v>1.0900000000000001</v>
      </c>
      <c r="J36" s="128">
        <v>1.1100000000000001</v>
      </c>
      <c r="K36" s="128">
        <v>1.1200000000000001</v>
      </c>
      <c r="L36" s="128">
        <v>1.1299999999999999</v>
      </c>
      <c r="M36" s="128">
        <v>1.1399999999999999</v>
      </c>
      <c r="N36" s="128">
        <v>1.1499999999999999</v>
      </c>
      <c r="O36" s="128">
        <v>1.1599999999999999</v>
      </c>
      <c r="P36" s="128">
        <v>1.17</v>
      </c>
      <c r="Q36" s="128">
        <v>1.18</v>
      </c>
      <c r="R36" s="128">
        <v>1.19</v>
      </c>
      <c r="S36" s="128">
        <v>1.2</v>
      </c>
      <c r="T36" s="128">
        <v>1.21</v>
      </c>
      <c r="U36" s="128">
        <v>1.22</v>
      </c>
      <c r="V36" s="128">
        <v>1.23</v>
      </c>
      <c r="W36" s="128">
        <v>1.24</v>
      </c>
      <c r="X36" s="128">
        <v>1.25</v>
      </c>
      <c r="Y36" s="128">
        <v>1.26</v>
      </c>
      <c r="Z36" s="128">
        <v>1.26</v>
      </c>
      <c r="AA36" s="128">
        <v>1.27</v>
      </c>
      <c r="AB36" s="128">
        <v>1.28</v>
      </c>
      <c r="AC36" s="128">
        <v>1.29</v>
      </c>
      <c r="AD36" s="128">
        <v>1.29</v>
      </c>
      <c r="AE36" s="128">
        <v>1.3</v>
      </c>
      <c r="AF36" s="128">
        <v>1.31</v>
      </c>
      <c r="AG36" s="128">
        <v>1.32</v>
      </c>
      <c r="AH36" s="128">
        <v>1.32</v>
      </c>
      <c r="AI36" s="128">
        <v>1.33</v>
      </c>
      <c r="AJ36" s="128">
        <v>1.33</v>
      </c>
      <c r="AK36" s="128">
        <v>1.34</v>
      </c>
      <c r="AL36" s="128">
        <v>1.34</v>
      </c>
      <c r="AM36" s="128">
        <v>1.34</v>
      </c>
      <c r="AN36" s="128">
        <v>1.35</v>
      </c>
      <c r="AO36" s="128">
        <v>1.35</v>
      </c>
      <c r="AP36" s="128">
        <v>1.35</v>
      </c>
      <c r="AQ36" s="128">
        <v>1.36</v>
      </c>
      <c r="AR36" s="128">
        <v>1.36</v>
      </c>
      <c r="AS36" s="128">
        <v>1.37</v>
      </c>
      <c r="AT36" s="128">
        <v>1.37</v>
      </c>
      <c r="AU36" s="128">
        <v>1.38</v>
      </c>
      <c r="AV36" s="128">
        <v>1.38</v>
      </c>
      <c r="AW36" s="128">
        <v>1.38</v>
      </c>
      <c r="AX36" s="128">
        <v>1.39</v>
      </c>
      <c r="AY36" s="128">
        <v>1.39</v>
      </c>
      <c r="AZ36" s="128">
        <v>1.4</v>
      </c>
      <c r="BA36" s="128">
        <v>1.39</v>
      </c>
      <c r="BB36" s="128">
        <v>1.39</v>
      </c>
      <c r="BC36" s="128">
        <v>1.38</v>
      </c>
      <c r="BD36" s="128">
        <v>1.38</v>
      </c>
      <c r="BE36" s="128">
        <v>1.38</v>
      </c>
      <c r="BF36" s="128">
        <v>1.37</v>
      </c>
      <c r="BG36" s="128">
        <v>1.37</v>
      </c>
      <c r="BH36" s="128">
        <v>1.36</v>
      </c>
      <c r="BI36" s="128">
        <v>1.36</v>
      </c>
      <c r="BJ36" s="128">
        <v>1.35</v>
      </c>
      <c r="BK36" s="128">
        <v>1.35</v>
      </c>
      <c r="BL36" s="128">
        <v>1.35</v>
      </c>
      <c r="BM36" s="128">
        <v>1.34</v>
      </c>
      <c r="BN36" s="128">
        <v>1.34</v>
      </c>
      <c r="BO36" s="128">
        <v>1.34</v>
      </c>
      <c r="BP36" s="128">
        <v>1.33</v>
      </c>
      <c r="BQ36" s="128">
        <v>1.33</v>
      </c>
      <c r="BR36" s="128">
        <v>1.33</v>
      </c>
      <c r="BS36" s="128">
        <v>1.33</v>
      </c>
      <c r="BT36" s="128">
        <v>1.33</v>
      </c>
      <c r="BU36" s="128">
        <v>1.33</v>
      </c>
      <c r="BV36" s="128">
        <v>1.33</v>
      </c>
      <c r="BW36" s="128">
        <v>1.33</v>
      </c>
      <c r="BX36" s="128">
        <v>1.33</v>
      </c>
      <c r="BY36" s="128">
        <v>1.33</v>
      </c>
      <c r="BZ36" s="128">
        <v>1.33</v>
      </c>
      <c r="CA36" s="128">
        <v>1.33</v>
      </c>
      <c r="CB36" s="128">
        <v>1.33</v>
      </c>
      <c r="CC36" s="128">
        <v>1.33</v>
      </c>
      <c r="CD36" s="128">
        <v>1.33</v>
      </c>
      <c r="CE36" s="128">
        <v>1.33</v>
      </c>
      <c r="CF36" s="128">
        <v>1.33</v>
      </c>
      <c r="CG36" s="128">
        <v>1.33</v>
      </c>
      <c r="CH36" s="128">
        <v>1.33</v>
      </c>
      <c r="CI36" s="128">
        <v>1.33</v>
      </c>
      <c r="CJ36" s="128">
        <v>1.33</v>
      </c>
      <c r="CK36" s="128">
        <v>1.33</v>
      </c>
      <c r="CL36" s="128">
        <v>1.33</v>
      </c>
      <c r="CM36" s="128">
        <v>1.33</v>
      </c>
      <c r="CN36" s="128">
        <v>1.33</v>
      </c>
      <c r="CO36" s="128">
        <v>1.33</v>
      </c>
      <c r="CP36" s="128">
        <v>1.33</v>
      </c>
      <c r="CQ36" s="128">
        <v>1.33</v>
      </c>
      <c r="CR36" s="128">
        <v>1.33</v>
      </c>
      <c r="CS36" s="128">
        <v>1.33</v>
      </c>
      <c r="CT36" s="128">
        <v>1.33</v>
      </c>
      <c r="CU36" s="128">
        <v>1.33</v>
      </c>
      <c r="CV36" s="128">
        <v>1.33</v>
      </c>
      <c r="CW36" s="128">
        <v>1.33</v>
      </c>
      <c r="CX36" s="128">
        <v>1.33</v>
      </c>
      <c r="CZ36" s="126">
        <f>SUMIF(MatrixF1[[1]:[2]],MatrixF1[[#This Row],[Столбец1]])/MatrixF1[[#This Row],[Столбец1]]</f>
        <v>159.00000000000048</v>
      </c>
    </row>
    <row r="37" spans="1:104" ht="21" customHeight="1" x14ac:dyDescent="0.25">
      <c r="A37" s="127">
        <v>1.34</v>
      </c>
      <c r="B37" s="128">
        <v>1</v>
      </c>
      <c r="C37" s="128">
        <v>1.01</v>
      </c>
      <c r="D37" s="128">
        <v>1.03</v>
      </c>
      <c r="E37" s="128">
        <v>1.04</v>
      </c>
      <c r="F37" s="128">
        <v>1.06</v>
      </c>
      <c r="G37" s="128">
        <v>1.07</v>
      </c>
      <c r="H37" s="128">
        <v>1.08</v>
      </c>
      <c r="I37" s="128">
        <v>1.1000000000000001</v>
      </c>
      <c r="J37" s="128">
        <v>1.1100000000000001</v>
      </c>
      <c r="K37" s="128">
        <v>1.1200000000000001</v>
      </c>
      <c r="L37" s="128">
        <v>1.1299999999999999</v>
      </c>
      <c r="M37" s="128">
        <v>1.1399999999999999</v>
      </c>
      <c r="N37" s="128">
        <v>1.1499999999999999</v>
      </c>
      <c r="O37" s="128">
        <v>1.1599999999999999</v>
      </c>
      <c r="P37" s="128">
        <v>1.18</v>
      </c>
      <c r="Q37" s="128">
        <v>1.19</v>
      </c>
      <c r="R37" s="128">
        <v>1.2</v>
      </c>
      <c r="S37" s="128">
        <v>1.2</v>
      </c>
      <c r="T37" s="128">
        <v>1.21</v>
      </c>
      <c r="U37" s="128">
        <v>1.22</v>
      </c>
      <c r="V37" s="128">
        <v>1.23</v>
      </c>
      <c r="W37" s="128">
        <v>1.24</v>
      </c>
      <c r="X37" s="128">
        <v>1.25</v>
      </c>
      <c r="Y37" s="128">
        <v>1.26</v>
      </c>
      <c r="Z37" s="128">
        <v>1.27</v>
      </c>
      <c r="AA37" s="128">
        <v>1.27</v>
      </c>
      <c r="AB37" s="128">
        <v>1.28</v>
      </c>
      <c r="AC37" s="128">
        <v>1.29</v>
      </c>
      <c r="AD37" s="128">
        <v>1.3</v>
      </c>
      <c r="AE37" s="128">
        <v>1.31</v>
      </c>
      <c r="AF37" s="128">
        <v>1.31</v>
      </c>
      <c r="AG37" s="128">
        <v>1.32</v>
      </c>
      <c r="AH37" s="128">
        <v>1.33</v>
      </c>
      <c r="AI37" s="128">
        <v>1.33</v>
      </c>
      <c r="AJ37" s="128">
        <v>1.34</v>
      </c>
      <c r="AK37" s="128">
        <v>1.34</v>
      </c>
      <c r="AL37" s="128">
        <v>1.35</v>
      </c>
      <c r="AM37" s="128">
        <v>1.35</v>
      </c>
      <c r="AN37" s="128">
        <v>1.35</v>
      </c>
      <c r="AO37" s="128">
        <v>1.36</v>
      </c>
      <c r="AP37" s="128">
        <v>1.36</v>
      </c>
      <c r="AQ37" s="128">
        <v>1.37</v>
      </c>
      <c r="AR37" s="128">
        <v>1.37</v>
      </c>
      <c r="AS37" s="128">
        <v>1.37</v>
      </c>
      <c r="AT37" s="128">
        <v>1.38</v>
      </c>
      <c r="AU37" s="128">
        <v>1.38</v>
      </c>
      <c r="AV37" s="128">
        <v>1.39</v>
      </c>
      <c r="AW37" s="128">
        <v>1.39</v>
      </c>
      <c r="AX37" s="128">
        <v>1.4</v>
      </c>
      <c r="AY37" s="128">
        <v>1.4</v>
      </c>
      <c r="AZ37" s="128">
        <v>1.4</v>
      </c>
      <c r="BA37" s="128">
        <v>1.4</v>
      </c>
      <c r="BB37" s="128">
        <v>1.4</v>
      </c>
      <c r="BC37" s="128">
        <v>1.39</v>
      </c>
      <c r="BD37" s="128">
        <v>1.39</v>
      </c>
      <c r="BE37" s="128">
        <v>1.38</v>
      </c>
      <c r="BF37" s="128">
        <v>1.38</v>
      </c>
      <c r="BG37" s="128">
        <v>1.37</v>
      </c>
      <c r="BH37" s="128">
        <v>1.37</v>
      </c>
      <c r="BI37" s="128">
        <v>1.37</v>
      </c>
      <c r="BJ37" s="128">
        <v>1.36</v>
      </c>
      <c r="BK37" s="128">
        <v>1.36</v>
      </c>
      <c r="BL37" s="128">
        <v>1.35</v>
      </c>
      <c r="BM37" s="128">
        <v>1.35</v>
      </c>
      <c r="BN37" s="128">
        <v>1.35</v>
      </c>
      <c r="BO37" s="128">
        <v>1.34</v>
      </c>
      <c r="BP37" s="128">
        <v>1.34</v>
      </c>
      <c r="BQ37" s="128">
        <v>1.34</v>
      </c>
      <c r="BR37" s="128">
        <v>1.34</v>
      </c>
      <c r="BS37" s="128">
        <v>1.34</v>
      </c>
      <c r="BT37" s="128">
        <v>1.34</v>
      </c>
      <c r="BU37" s="128">
        <v>1.34</v>
      </c>
      <c r="BV37" s="128">
        <v>1.34</v>
      </c>
      <c r="BW37" s="128">
        <v>1.34</v>
      </c>
      <c r="BX37" s="128">
        <v>1.34</v>
      </c>
      <c r="BY37" s="128">
        <v>1.34</v>
      </c>
      <c r="BZ37" s="128">
        <v>1.34</v>
      </c>
      <c r="CA37" s="128">
        <v>1.34</v>
      </c>
      <c r="CB37" s="128">
        <v>1.34</v>
      </c>
      <c r="CC37" s="128">
        <v>1.34</v>
      </c>
      <c r="CD37" s="128">
        <v>1.34</v>
      </c>
      <c r="CE37" s="128">
        <v>1.34</v>
      </c>
      <c r="CF37" s="128">
        <v>1.34</v>
      </c>
      <c r="CG37" s="128">
        <v>1.34</v>
      </c>
      <c r="CH37" s="128">
        <v>1.34</v>
      </c>
      <c r="CI37" s="128">
        <v>1.34</v>
      </c>
      <c r="CJ37" s="128">
        <v>1.34</v>
      </c>
      <c r="CK37" s="128">
        <v>1.34</v>
      </c>
      <c r="CL37" s="128">
        <v>1.34</v>
      </c>
      <c r="CM37" s="128">
        <v>1.34</v>
      </c>
      <c r="CN37" s="128">
        <v>1.34</v>
      </c>
      <c r="CO37" s="128">
        <v>1.34</v>
      </c>
      <c r="CP37" s="128">
        <v>1.34</v>
      </c>
      <c r="CQ37" s="128">
        <v>1.34</v>
      </c>
      <c r="CR37" s="128">
        <v>1.34</v>
      </c>
      <c r="CS37" s="128">
        <v>1.34</v>
      </c>
      <c r="CT37" s="128">
        <v>1.34</v>
      </c>
      <c r="CU37" s="128">
        <v>1.34</v>
      </c>
      <c r="CV37" s="128">
        <v>1.34</v>
      </c>
      <c r="CW37" s="128">
        <v>1.34</v>
      </c>
      <c r="CX37" s="128">
        <v>1.34</v>
      </c>
      <c r="CZ37" s="126">
        <f>SUMIF(MatrixF1[[1]:[2]],MatrixF1[[#This Row],[Столбец1]])/MatrixF1[[#This Row],[Столбец1]]</f>
        <v>153.00000000000031</v>
      </c>
    </row>
    <row r="38" spans="1:104" ht="21" customHeight="1" x14ac:dyDescent="0.25">
      <c r="A38" s="127">
        <v>1.35</v>
      </c>
      <c r="B38" s="128">
        <v>1</v>
      </c>
      <c r="C38" s="128">
        <v>1.02</v>
      </c>
      <c r="D38" s="128">
        <v>1.03</v>
      </c>
      <c r="E38" s="128">
        <v>1.04</v>
      </c>
      <c r="F38" s="128">
        <v>1.06</v>
      </c>
      <c r="G38" s="128">
        <v>1.07</v>
      </c>
      <c r="H38" s="128">
        <v>1.08</v>
      </c>
      <c r="I38" s="128">
        <v>1.1000000000000001</v>
      </c>
      <c r="J38" s="128">
        <v>1.1100000000000001</v>
      </c>
      <c r="K38" s="128">
        <v>1.1200000000000001</v>
      </c>
      <c r="L38" s="128">
        <v>1.1299999999999999</v>
      </c>
      <c r="M38" s="128">
        <v>1.1399999999999999</v>
      </c>
      <c r="N38" s="128">
        <v>1.1599999999999999</v>
      </c>
      <c r="O38" s="128">
        <v>1.17</v>
      </c>
      <c r="P38" s="128">
        <v>1.18</v>
      </c>
      <c r="Q38" s="128">
        <v>1.19</v>
      </c>
      <c r="R38" s="128">
        <v>1.2</v>
      </c>
      <c r="S38" s="128">
        <v>1.21</v>
      </c>
      <c r="T38" s="128">
        <v>1.22</v>
      </c>
      <c r="U38" s="128">
        <v>1.23</v>
      </c>
      <c r="V38" s="128">
        <v>1.24</v>
      </c>
      <c r="W38" s="128">
        <v>1.24</v>
      </c>
      <c r="X38" s="128">
        <v>1.25</v>
      </c>
      <c r="Y38" s="128">
        <v>1.26</v>
      </c>
      <c r="Z38" s="128">
        <v>1.27</v>
      </c>
      <c r="AA38" s="128">
        <v>1.28</v>
      </c>
      <c r="AB38" s="128">
        <v>1.29</v>
      </c>
      <c r="AC38" s="128">
        <v>1.29</v>
      </c>
      <c r="AD38" s="128">
        <v>1.3</v>
      </c>
      <c r="AE38" s="128">
        <v>1.31</v>
      </c>
      <c r="AF38" s="128">
        <v>1.32</v>
      </c>
      <c r="AG38" s="128">
        <v>1.32</v>
      </c>
      <c r="AH38" s="128">
        <v>1.33</v>
      </c>
      <c r="AI38" s="128">
        <v>1.34</v>
      </c>
      <c r="AJ38" s="128">
        <v>1.34</v>
      </c>
      <c r="AK38" s="128">
        <v>1.35</v>
      </c>
      <c r="AL38" s="128">
        <v>1.35</v>
      </c>
      <c r="AM38" s="128">
        <v>1.36</v>
      </c>
      <c r="AN38" s="128">
        <v>1.36</v>
      </c>
      <c r="AO38" s="128">
        <v>1.36</v>
      </c>
      <c r="AP38" s="128">
        <v>1.37</v>
      </c>
      <c r="AQ38" s="128">
        <v>1.37</v>
      </c>
      <c r="AR38" s="128">
        <v>1.38</v>
      </c>
      <c r="AS38" s="128">
        <v>1.38</v>
      </c>
      <c r="AT38" s="128">
        <v>1.38</v>
      </c>
      <c r="AU38" s="128">
        <v>1.39</v>
      </c>
      <c r="AV38" s="128">
        <v>1.39</v>
      </c>
      <c r="AW38" s="128">
        <v>1.4</v>
      </c>
      <c r="AX38" s="128">
        <v>1.4</v>
      </c>
      <c r="AY38" s="128">
        <v>1.41</v>
      </c>
      <c r="AZ38" s="128">
        <v>1.41</v>
      </c>
      <c r="BA38" s="128">
        <v>1.41</v>
      </c>
      <c r="BB38" s="128">
        <v>1.4</v>
      </c>
      <c r="BC38" s="128">
        <v>1.4</v>
      </c>
      <c r="BD38" s="128">
        <v>1.39</v>
      </c>
      <c r="BE38" s="128">
        <v>1.39</v>
      </c>
      <c r="BF38" s="128">
        <v>1.38</v>
      </c>
      <c r="BG38" s="128">
        <v>1.38</v>
      </c>
      <c r="BH38" s="128">
        <v>1.38</v>
      </c>
      <c r="BI38" s="128">
        <v>1.37</v>
      </c>
      <c r="BJ38" s="128">
        <v>1.37</v>
      </c>
      <c r="BK38" s="128">
        <v>1.36</v>
      </c>
      <c r="BL38" s="128">
        <v>1.36</v>
      </c>
      <c r="BM38" s="128">
        <v>1.36</v>
      </c>
      <c r="BN38" s="128">
        <v>1.35</v>
      </c>
      <c r="BO38" s="128">
        <v>1.35</v>
      </c>
      <c r="BP38" s="128">
        <v>1.35</v>
      </c>
      <c r="BQ38" s="128">
        <v>1.35</v>
      </c>
      <c r="BR38" s="128">
        <v>1.35</v>
      </c>
      <c r="BS38" s="128">
        <v>1.35</v>
      </c>
      <c r="BT38" s="128">
        <v>1.35</v>
      </c>
      <c r="BU38" s="128">
        <v>1.35</v>
      </c>
      <c r="BV38" s="128">
        <v>1.35</v>
      </c>
      <c r="BW38" s="128">
        <v>1.35</v>
      </c>
      <c r="BX38" s="128">
        <v>1.35</v>
      </c>
      <c r="BY38" s="128">
        <v>1.35</v>
      </c>
      <c r="BZ38" s="128">
        <v>1.35</v>
      </c>
      <c r="CA38" s="128">
        <v>1.35</v>
      </c>
      <c r="CB38" s="128">
        <v>1.35</v>
      </c>
      <c r="CC38" s="128">
        <v>1.35</v>
      </c>
      <c r="CD38" s="128">
        <v>1.35</v>
      </c>
      <c r="CE38" s="128">
        <v>1.35</v>
      </c>
      <c r="CF38" s="128">
        <v>1.35</v>
      </c>
      <c r="CG38" s="128">
        <v>1.35</v>
      </c>
      <c r="CH38" s="128">
        <v>1.35</v>
      </c>
      <c r="CI38" s="128">
        <v>1.35</v>
      </c>
      <c r="CJ38" s="128">
        <v>1.35</v>
      </c>
      <c r="CK38" s="128">
        <v>1.35</v>
      </c>
      <c r="CL38" s="128">
        <v>1.35</v>
      </c>
      <c r="CM38" s="128">
        <v>1.35</v>
      </c>
      <c r="CN38" s="128">
        <v>1.35</v>
      </c>
      <c r="CO38" s="128">
        <v>1.35</v>
      </c>
      <c r="CP38" s="128">
        <v>1.35</v>
      </c>
      <c r="CQ38" s="128">
        <v>1.35</v>
      </c>
      <c r="CR38" s="128">
        <v>1.35</v>
      </c>
      <c r="CS38" s="128">
        <v>1.35</v>
      </c>
      <c r="CT38" s="128">
        <v>1.35</v>
      </c>
      <c r="CU38" s="128">
        <v>1.35</v>
      </c>
      <c r="CV38" s="128">
        <v>1.35</v>
      </c>
      <c r="CW38" s="128">
        <v>1.35</v>
      </c>
      <c r="CX38" s="128">
        <v>1.35</v>
      </c>
      <c r="CZ38" s="126">
        <f>SUMIF(MatrixF1[[1]:[2]],MatrixF1[[#This Row],[Столбец1]])/MatrixF1[[#This Row],[Столбец1]]</f>
        <v>154.99999999999957</v>
      </c>
    </row>
    <row r="39" spans="1:104" ht="21" customHeight="1" x14ac:dyDescent="0.25">
      <c r="A39" s="127">
        <v>1.36</v>
      </c>
      <c r="B39" s="128">
        <v>1</v>
      </c>
      <c r="C39" s="128">
        <v>1.02</v>
      </c>
      <c r="D39" s="128">
        <v>1.03</v>
      </c>
      <c r="E39" s="128">
        <v>1.04</v>
      </c>
      <c r="F39" s="128">
        <v>1.06</v>
      </c>
      <c r="G39" s="128">
        <v>1.07</v>
      </c>
      <c r="H39" s="128">
        <v>1.0900000000000001</v>
      </c>
      <c r="I39" s="128">
        <v>1.1000000000000001</v>
      </c>
      <c r="J39" s="128">
        <v>1.1100000000000001</v>
      </c>
      <c r="K39" s="128">
        <v>1.1200000000000001</v>
      </c>
      <c r="L39" s="128">
        <v>1.1399999999999999</v>
      </c>
      <c r="M39" s="128">
        <v>1.1499999999999999</v>
      </c>
      <c r="N39" s="128">
        <v>1.1599999999999999</v>
      </c>
      <c r="O39" s="128">
        <v>1.17</v>
      </c>
      <c r="P39" s="128">
        <v>1.18</v>
      </c>
      <c r="Q39" s="128">
        <v>1.19</v>
      </c>
      <c r="R39" s="128">
        <v>1.2</v>
      </c>
      <c r="S39" s="128">
        <v>1.21</v>
      </c>
      <c r="T39" s="128">
        <v>1.22</v>
      </c>
      <c r="U39" s="128">
        <v>1.23</v>
      </c>
      <c r="V39" s="128">
        <v>1.24</v>
      </c>
      <c r="W39" s="128">
        <v>1.25</v>
      </c>
      <c r="X39" s="128">
        <v>1.26</v>
      </c>
      <c r="Y39" s="128">
        <v>1.26</v>
      </c>
      <c r="Z39" s="128">
        <v>1.27</v>
      </c>
      <c r="AA39" s="128">
        <v>1.28</v>
      </c>
      <c r="AB39" s="128">
        <v>1.29</v>
      </c>
      <c r="AC39" s="128">
        <v>1.3</v>
      </c>
      <c r="AD39" s="128">
        <v>1.3</v>
      </c>
      <c r="AE39" s="128">
        <v>1.31</v>
      </c>
      <c r="AF39" s="128">
        <v>1.32</v>
      </c>
      <c r="AG39" s="128">
        <v>1.33</v>
      </c>
      <c r="AH39" s="128">
        <v>1.33</v>
      </c>
      <c r="AI39" s="128">
        <v>1.34</v>
      </c>
      <c r="AJ39" s="128">
        <v>1.35</v>
      </c>
      <c r="AK39" s="128">
        <v>1.35</v>
      </c>
      <c r="AL39" s="128">
        <v>1.36</v>
      </c>
      <c r="AM39" s="128">
        <v>1.36</v>
      </c>
      <c r="AN39" s="128">
        <v>1.37</v>
      </c>
      <c r="AO39" s="128">
        <v>1.37</v>
      </c>
      <c r="AP39" s="128">
        <v>1.38</v>
      </c>
      <c r="AQ39" s="128">
        <v>1.38</v>
      </c>
      <c r="AR39" s="128">
        <v>1.38</v>
      </c>
      <c r="AS39" s="128">
        <v>1.39</v>
      </c>
      <c r="AT39" s="128">
        <v>1.39</v>
      </c>
      <c r="AU39" s="128">
        <v>1.4</v>
      </c>
      <c r="AV39" s="128">
        <v>1.4</v>
      </c>
      <c r="AW39" s="128">
        <v>1.4</v>
      </c>
      <c r="AX39" s="128">
        <v>1.41</v>
      </c>
      <c r="AY39" s="128">
        <v>1.41</v>
      </c>
      <c r="AZ39" s="128">
        <v>1.42</v>
      </c>
      <c r="BA39" s="128">
        <v>1.41</v>
      </c>
      <c r="BB39" s="128">
        <v>1.41</v>
      </c>
      <c r="BC39" s="128">
        <v>1.4</v>
      </c>
      <c r="BD39" s="128">
        <v>1.4</v>
      </c>
      <c r="BE39" s="128">
        <v>1.4</v>
      </c>
      <c r="BF39" s="128">
        <v>1.39</v>
      </c>
      <c r="BG39" s="128">
        <v>1.39</v>
      </c>
      <c r="BH39" s="128">
        <v>1.38</v>
      </c>
      <c r="BI39" s="128">
        <v>1.38</v>
      </c>
      <c r="BJ39" s="128">
        <v>1.38</v>
      </c>
      <c r="BK39" s="128">
        <v>1.37</v>
      </c>
      <c r="BL39" s="128">
        <v>1.37</v>
      </c>
      <c r="BM39" s="128">
        <v>1.36</v>
      </c>
      <c r="BN39" s="128">
        <v>1.36</v>
      </c>
      <c r="BO39" s="128">
        <v>1.36</v>
      </c>
      <c r="BP39" s="128">
        <v>1.36</v>
      </c>
      <c r="BQ39" s="128">
        <v>1.36</v>
      </c>
      <c r="BR39" s="128">
        <v>1.36</v>
      </c>
      <c r="BS39" s="128">
        <v>1.36</v>
      </c>
      <c r="BT39" s="128">
        <v>1.36</v>
      </c>
      <c r="BU39" s="128">
        <v>1.36</v>
      </c>
      <c r="BV39" s="128">
        <v>1.36</v>
      </c>
      <c r="BW39" s="128">
        <v>1.36</v>
      </c>
      <c r="BX39" s="128">
        <v>1.36</v>
      </c>
      <c r="BY39" s="128">
        <v>1.36</v>
      </c>
      <c r="BZ39" s="128">
        <v>1.36</v>
      </c>
      <c r="CA39" s="128">
        <v>1.36</v>
      </c>
      <c r="CB39" s="128">
        <v>1.36</v>
      </c>
      <c r="CC39" s="128">
        <v>1.36</v>
      </c>
      <c r="CD39" s="128">
        <v>1.36</v>
      </c>
      <c r="CE39" s="128">
        <v>1.36</v>
      </c>
      <c r="CF39" s="128">
        <v>1.36</v>
      </c>
      <c r="CG39" s="128">
        <v>1.36</v>
      </c>
      <c r="CH39" s="128">
        <v>1.36</v>
      </c>
      <c r="CI39" s="128">
        <v>1.36</v>
      </c>
      <c r="CJ39" s="128">
        <v>1.36</v>
      </c>
      <c r="CK39" s="128">
        <v>1.36</v>
      </c>
      <c r="CL39" s="128">
        <v>1.36</v>
      </c>
      <c r="CM39" s="128">
        <v>1.36</v>
      </c>
      <c r="CN39" s="128">
        <v>1.36</v>
      </c>
      <c r="CO39" s="128">
        <v>1.36</v>
      </c>
      <c r="CP39" s="128">
        <v>1.36</v>
      </c>
      <c r="CQ39" s="128">
        <v>1.36</v>
      </c>
      <c r="CR39" s="128">
        <v>1.36</v>
      </c>
      <c r="CS39" s="128">
        <v>1.36</v>
      </c>
      <c r="CT39" s="128">
        <v>1.36</v>
      </c>
      <c r="CU39" s="128">
        <v>1.36</v>
      </c>
      <c r="CV39" s="128">
        <v>1.36</v>
      </c>
      <c r="CW39" s="128">
        <v>1.36</v>
      </c>
      <c r="CX39" s="128">
        <v>1.36</v>
      </c>
      <c r="CZ39" s="126">
        <f>SUMIF(MatrixF1[[1]:[2]],MatrixF1[[#This Row],[Столбец1]])/MatrixF1[[#This Row],[Столбец1]]</f>
        <v>149.00000000000051</v>
      </c>
    </row>
    <row r="40" spans="1:104" ht="21" customHeight="1" x14ac:dyDescent="0.25">
      <c r="A40" s="127">
        <v>1.37</v>
      </c>
      <c r="B40" s="128">
        <v>1</v>
      </c>
      <c r="C40" s="128">
        <v>1.02</v>
      </c>
      <c r="D40" s="128">
        <v>1.03</v>
      </c>
      <c r="E40" s="128">
        <v>1.05</v>
      </c>
      <c r="F40" s="128">
        <v>1.06</v>
      </c>
      <c r="G40" s="128">
        <v>1.07</v>
      </c>
      <c r="H40" s="128">
        <v>1.0900000000000001</v>
      </c>
      <c r="I40" s="128">
        <v>1.1000000000000001</v>
      </c>
      <c r="J40" s="128">
        <v>1.1100000000000001</v>
      </c>
      <c r="K40" s="128">
        <v>1.1200000000000001</v>
      </c>
      <c r="L40" s="128">
        <v>1.1399999999999999</v>
      </c>
      <c r="M40" s="128">
        <v>1.1499999999999999</v>
      </c>
      <c r="N40" s="128">
        <v>1.1599999999999999</v>
      </c>
      <c r="O40" s="128">
        <v>1.17</v>
      </c>
      <c r="P40" s="128">
        <v>1.18</v>
      </c>
      <c r="Q40" s="128">
        <v>1.19</v>
      </c>
      <c r="R40" s="128">
        <v>1.2</v>
      </c>
      <c r="S40" s="128">
        <v>1.21</v>
      </c>
      <c r="T40" s="128">
        <v>1.22</v>
      </c>
      <c r="U40" s="128">
        <v>1.23</v>
      </c>
      <c r="V40" s="128">
        <v>1.24</v>
      </c>
      <c r="W40" s="128">
        <v>1.25</v>
      </c>
      <c r="X40" s="128">
        <v>1.26</v>
      </c>
      <c r="Y40" s="128">
        <v>1.27</v>
      </c>
      <c r="Z40" s="128">
        <v>1.28</v>
      </c>
      <c r="AA40" s="128">
        <v>1.28</v>
      </c>
      <c r="AB40" s="128">
        <v>1.29</v>
      </c>
      <c r="AC40" s="128">
        <v>1.3</v>
      </c>
      <c r="AD40" s="128">
        <v>1.31</v>
      </c>
      <c r="AE40" s="128">
        <v>1.32</v>
      </c>
      <c r="AF40" s="128">
        <v>1.32</v>
      </c>
      <c r="AG40" s="128">
        <v>1.33</v>
      </c>
      <c r="AH40" s="128">
        <v>1.34</v>
      </c>
      <c r="AI40" s="128">
        <v>1.34</v>
      </c>
      <c r="AJ40" s="128">
        <v>1.35</v>
      </c>
      <c r="AK40" s="128">
        <v>1.36</v>
      </c>
      <c r="AL40" s="128">
        <v>1.36</v>
      </c>
      <c r="AM40" s="128">
        <v>1.37</v>
      </c>
      <c r="AN40" s="128">
        <v>1.37</v>
      </c>
      <c r="AO40" s="128">
        <v>1.38</v>
      </c>
      <c r="AP40" s="128">
        <v>1.38</v>
      </c>
      <c r="AQ40" s="128">
        <v>1.39</v>
      </c>
      <c r="AR40" s="128">
        <v>1.39</v>
      </c>
      <c r="AS40" s="128">
        <v>1.39</v>
      </c>
      <c r="AT40" s="128">
        <v>1.4</v>
      </c>
      <c r="AU40" s="128">
        <v>1.4</v>
      </c>
      <c r="AV40" s="128">
        <v>1.41</v>
      </c>
      <c r="AW40" s="128">
        <v>1.41</v>
      </c>
      <c r="AX40" s="128">
        <v>1.42</v>
      </c>
      <c r="AY40" s="128">
        <v>1.42</v>
      </c>
      <c r="AZ40" s="128">
        <v>1.43</v>
      </c>
      <c r="BA40" s="128">
        <v>1.42</v>
      </c>
      <c r="BB40" s="128">
        <v>1.42</v>
      </c>
      <c r="BC40" s="128">
        <v>1.41</v>
      </c>
      <c r="BD40" s="128">
        <v>1.41</v>
      </c>
      <c r="BE40" s="128">
        <v>1.4</v>
      </c>
      <c r="BF40" s="128">
        <v>1.4</v>
      </c>
      <c r="BG40" s="128">
        <v>1.39</v>
      </c>
      <c r="BH40" s="128">
        <v>1.39</v>
      </c>
      <c r="BI40" s="128">
        <v>1.39</v>
      </c>
      <c r="BJ40" s="128">
        <v>1.38</v>
      </c>
      <c r="BK40" s="128">
        <v>1.38</v>
      </c>
      <c r="BL40" s="128">
        <v>1.37</v>
      </c>
      <c r="BM40" s="128">
        <v>1.37</v>
      </c>
      <c r="BN40" s="128">
        <v>1.37</v>
      </c>
      <c r="BO40" s="128">
        <v>1.37</v>
      </c>
      <c r="BP40" s="128">
        <v>1.37</v>
      </c>
      <c r="BQ40" s="128">
        <v>1.37</v>
      </c>
      <c r="BR40" s="128">
        <v>1.37</v>
      </c>
      <c r="BS40" s="128">
        <v>1.37</v>
      </c>
      <c r="BT40" s="128">
        <v>1.37</v>
      </c>
      <c r="BU40" s="128">
        <v>1.37</v>
      </c>
      <c r="BV40" s="128">
        <v>1.37</v>
      </c>
      <c r="BW40" s="128">
        <v>1.37</v>
      </c>
      <c r="BX40" s="128">
        <v>1.37</v>
      </c>
      <c r="BY40" s="128">
        <v>1.37</v>
      </c>
      <c r="BZ40" s="128">
        <v>1.37</v>
      </c>
      <c r="CA40" s="128">
        <v>1.37</v>
      </c>
      <c r="CB40" s="128">
        <v>1.37</v>
      </c>
      <c r="CC40" s="128">
        <v>1.37</v>
      </c>
      <c r="CD40" s="128">
        <v>1.37</v>
      </c>
      <c r="CE40" s="128">
        <v>1.37</v>
      </c>
      <c r="CF40" s="128">
        <v>1.37</v>
      </c>
      <c r="CG40" s="128">
        <v>1.37</v>
      </c>
      <c r="CH40" s="128">
        <v>1.37</v>
      </c>
      <c r="CI40" s="128">
        <v>1.37</v>
      </c>
      <c r="CJ40" s="128">
        <v>1.37</v>
      </c>
      <c r="CK40" s="128">
        <v>1.37</v>
      </c>
      <c r="CL40" s="128">
        <v>1.37</v>
      </c>
      <c r="CM40" s="128">
        <v>1.37</v>
      </c>
      <c r="CN40" s="128">
        <v>1.37</v>
      </c>
      <c r="CO40" s="128">
        <v>1.37</v>
      </c>
      <c r="CP40" s="128">
        <v>1.37</v>
      </c>
      <c r="CQ40" s="128">
        <v>1.37</v>
      </c>
      <c r="CR40" s="128">
        <v>1.37</v>
      </c>
      <c r="CS40" s="128">
        <v>1.37</v>
      </c>
      <c r="CT40" s="128">
        <v>1.37</v>
      </c>
      <c r="CU40" s="128">
        <v>1.37</v>
      </c>
      <c r="CV40" s="128">
        <v>1.37</v>
      </c>
      <c r="CW40" s="128">
        <v>1.37</v>
      </c>
      <c r="CX40" s="128">
        <v>1.37</v>
      </c>
      <c r="CZ40" s="126">
        <f>SUMIF(MatrixF1[[1]:[2]],MatrixF1[[#This Row],[Столбец1]])/MatrixF1[[#This Row],[Столбец1]]</f>
        <v>143.00000000000028</v>
      </c>
    </row>
    <row r="41" spans="1:104" ht="21" customHeight="1" x14ac:dyDescent="0.25">
      <c r="A41" s="127">
        <v>1.38</v>
      </c>
      <c r="B41" s="128">
        <v>1</v>
      </c>
      <c r="C41" s="128">
        <v>1.02</v>
      </c>
      <c r="D41" s="128">
        <v>1.03</v>
      </c>
      <c r="E41" s="128">
        <v>1.05</v>
      </c>
      <c r="F41" s="128">
        <v>1.06</v>
      </c>
      <c r="G41" s="128">
        <v>1.07</v>
      </c>
      <c r="H41" s="128">
        <v>1.0900000000000001</v>
      </c>
      <c r="I41" s="128">
        <v>1.1000000000000001</v>
      </c>
      <c r="J41" s="128">
        <v>1.1100000000000001</v>
      </c>
      <c r="K41" s="128">
        <v>1.1299999999999999</v>
      </c>
      <c r="L41" s="128">
        <v>1.1399999999999999</v>
      </c>
      <c r="M41" s="128">
        <v>1.1499999999999999</v>
      </c>
      <c r="N41" s="128">
        <v>1.1599999999999999</v>
      </c>
      <c r="O41" s="128">
        <v>1.17</v>
      </c>
      <c r="P41" s="128">
        <v>1.18</v>
      </c>
      <c r="Q41" s="128">
        <v>1.19</v>
      </c>
      <c r="R41" s="128">
        <v>1.21</v>
      </c>
      <c r="S41" s="128">
        <v>1.22</v>
      </c>
      <c r="T41" s="128">
        <v>1.22</v>
      </c>
      <c r="U41" s="128">
        <v>1.23</v>
      </c>
      <c r="V41" s="128">
        <v>1.24</v>
      </c>
      <c r="W41" s="128">
        <v>1.25</v>
      </c>
      <c r="X41" s="128">
        <v>1.26</v>
      </c>
      <c r="Y41" s="128">
        <v>1.27</v>
      </c>
      <c r="Z41" s="128">
        <v>1.28</v>
      </c>
      <c r="AA41" s="128">
        <v>1.29</v>
      </c>
      <c r="AB41" s="128">
        <v>1.3</v>
      </c>
      <c r="AC41" s="128">
        <v>1.3</v>
      </c>
      <c r="AD41" s="128">
        <v>1.31</v>
      </c>
      <c r="AE41" s="128">
        <v>1.32</v>
      </c>
      <c r="AF41" s="128">
        <v>1.33</v>
      </c>
      <c r="AG41" s="128">
        <v>1.33</v>
      </c>
      <c r="AH41" s="128">
        <v>1.34</v>
      </c>
      <c r="AI41" s="128">
        <v>1.35</v>
      </c>
      <c r="AJ41" s="128">
        <v>1.35</v>
      </c>
      <c r="AK41" s="128">
        <v>1.36</v>
      </c>
      <c r="AL41" s="128">
        <v>1.37</v>
      </c>
      <c r="AM41" s="128">
        <v>1.37</v>
      </c>
      <c r="AN41" s="128">
        <v>1.38</v>
      </c>
      <c r="AO41" s="128">
        <v>1.38</v>
      </c>
      <c r="AP41" s="128">
        <v>1.39</v>
      </c>
      <c r="AQ41" s="128">
        <v>1.39</v>
      </c>
      <c r="AR41" s="128">
        <v>1.4</v>
      </c>
      <c r="AS41" s="128">
        <v>1.4</v>
      </c>
      <c r="AT41" s="128">
        <v>1.4</v>
      </c>
      <c r="AU41" s="128">
        <v>1.41</v>
      </c>
      <c r="AV41" s="128">
        <v>1.41</v>
      </c>
      <c r="AW41" s="128">
        <v>1.42</v>
      </c>
      <c r="AX41" s="128">
        <v>1.42</v>
      </c>
      <c r="AY41" s="128">
        <v>1.43</v>
      </c>
      <c r="AZ41" s="128">
        <v>1.43</v>
      </c>
      <c r="BA41" s="128">
        <v>1.43</v>
      </c>
      <c r="BB41" s="128">
        <v>1.42</v>
      </c>
      <c r="BC41" s="128">
        <v>1.42</v>
      </c>
      <c r="BD41" s="128">
        <v>1.41</v>
      </c>
      <c r="BE41" s="128">
        <v>1.41</v>
      </c>
      <c r="BF41" s="128">
        <v>1.4</v>
      </c>
      <c r="BG41" s="128">
        <v>1.4</v>
      </c>
      <c r="BH41" s="128">
        <v>1.4</v>
      </c>
      <c r="BI41" s="128">
        <v>1.39</v>
      </c>
      <c r="BJ41" s="128">
        <v>1.39</v>
      </c>
      <c r="BK41" s="128">
        <v>1.38</v>
      </c>
      <c r="BL41" s="128">
        <v>1.38</v>
      </c>
      <c r="BM41" s="128">
        <v>1.38</v>
      </c>
      <c r="BN41" s="128">
        <v>1.38</v>
      </c>
      <c r="BO41" s="128">
        <v>1.38</v>
      </c>
      <c r="BP41" s="128">
        <v>1.38</v>
      </c>
      <c r="BQ41" s="128">
        <v>1.38</v>
      </c>
      <c r="BR41" s="128">
        <v>1.38</v>
      </c>
      <c r="BS41" s="128">
        <v>1.38</v>
      </c>
      <c r="BT41" s="128">
        <v>1.38</v>
      </c>
      <c r="BU41" s="128">
        <v>1.38</v>
      </c>
      <c r="BV41" s="128">
        <v>1.38</v>
      </c>
      <c r="BW41" s="128">
        <v>1.38</v>
      </c>
      <c r="BX41" s="128">
        <v>1.38</v>
      </c>
      <c r="BY41" s="128">
        <v>1.38</v>
      </c>
      <c r="BZ41" s="128">
        <v>1.38</v>
      </c>
      <c r="CA41" s="128">
        <v>1.38</v>
      </c>
      <c r="CB41" s="128">
        <v>1.38</v>
      </c>
      <c r="CC41" s="128">
        <v>1.38</v>
      </c>
      <c r="CD41" s="128">
        <v>1.38</v>
      </c>
      <c r="CE41" s="128">
        <v>1.38</v>
      </c>
      <c r="CF41" s="128">
        <v>1.38</v>
      </c>
      <c r="CG41" s="128">
        <v>1.38</v>
      </c>
      <c r="CH41" s="128">
        <v>1.38</v>
      </c>
      <c r="CI41" s="128">
        <v>1.38</v>
      </c>
      <c r="CJ41" s="128">
        <v>1.38</v>
      </c>
      <c r="CK41" s="128">
        <v>1.38</v>
      </c>
      <c r="CL41" s="128">
        <v>1.38</v>
      </c>
      <c r="CM41" s="128">
        <v>1.38</v>
      </c>
      <c r="CN41" s="128">
        <v>1.38</v>
      </c>
      <c r="CO41" s="128">
        <v>1.38</v>
      </c>
      <c r="CP41" s="128">
        <v>1.38</v>
      </c>
      <c r="CQ41" s="128">
        <v>1.38</v>
      </c>
      <c r="CR41" s="128">
        <v>1.38</v>
      </c>
      <c r="CS41" s="128">
        <v>1.38</v>
      </c>
      <c r="CT41" s="128">
        <v>1.38</v>
      </c>
      <c r="CU41" s="128">
        <v>1.38</v>
      </c>
      <c r="CV41" s="128">
        <v>1.38</v>
      </c>
      <c r="CW41" s="128">
        <v>1.38</v>
      </c>
      <c r="CX41" s="128">
        <v>1.38</v>
      </c>
      <c r="CZ41" s="126">
        <f>SUMIF(MatrixF1[[1]:[2]],MatrixF1[[#This Row],[Столбец1]])/MatrixF1[[#This Row],[Столбец1]]</f>
        <v>150.99999999999969</v>
      </c>
    </row>
    <row r="42" spans="1:104" ht="21" customHeight="1" x14ac:dyDescent="0.25">
      <c r="A42" s="127">
        <v>1.39</v>
      </c>
      <c r="B42" s="128">
        <v>1</v>
      </c>
      <c r="C42" s="128">
        <v>1.02</v>
      </c>
      <c r="D42" s="128">
        <v>1.03</v>
      </c>
      <c r="E42" s="128">
        <v>1.05</v>
      </c>
      <c r="F42" s="128">
        <v>1.06</v>
      </c>
      <c r="G42" s="128">
        <v>1.08</v>
      </c>
      <c r="H42" s="128">
        <v>1.0900000000000001</v>
      </c>
      <c r="I42" s="128">
        <v>1.1000000000000001</v>
      </c>
      <c r="J42" s="128">
        <v>1.1200000000000001</v>
      </c>
      <c r="K42" s="128">
        <v>1.1299999999999999</v>
      </c>
      <c r="L42" s="128">
        <v>1.1399999999999999</v>
      </c>
      <c r="M42" s="128">
        <v>1.1499999999999999</v>
      </c>
      <c r="N42" s="128">
        <v>1.1599999999999999</v>
      </c>
      <c r="O42" s="128">
        <v>1.18</v>
      </c>
      <c r="P42" s="128">
        <v>1.19</v>
      </c>
      <c r="Q42" s="128">
        <v>1.2</v>
      </c>
      <c r="R42" s="128">
        <v>1.21</v>
      </c>
      <c r="S42" s="128">
        <v>1.22</v>
      </c>
      <c r="T42" s="128">
        <v>1.23</v>
      </c>
      <c r="U42" s="128">
        <v>1.24</v>
      </c>
      <c r="V42" s="128">
        <v>1.25</v>
      </c>
      <c r="W42" s="128">
        <v>1.26</v>
      </c>
      <c r="X42" s="128">
        <v>1.27</v>
      </c>
      <c r="Y42" s="128">
        <v>1.27</v>
      </c>
      <c r="Z42" s="128">
        <v>1.28</v>
      </c>
      <c r="AA42" s="128">
        <v>1.29</v>
      </c>
      <c r="AB42" s="128">
        <v>1.3</v>
      </c>
      <c r="AC42" s="128">
        <v>1.31</v>
      </c>
      <c r="AD42" s="128">
        <v>1.31</v>
      </c>
      <c r="AE42" s="128">
        <v>1.32</v>
      </c>
      <c r="AF42" s="128">
        <v>1.33</v>
      </c>
      <c r="AG42" s="128">
        <v>1.34</v>
      </c>
      <c r="AH42" s="128">
        <v>1.34</v>
      </c>
      <c r="AI42" s="128">
        <v>1.35</v>
      </c>
      <c r="AJ42" s="128">
        <v>1.36</v>
      </c>
      <c r="AK42" s="128">
        <v>1.36</v>
      </c>
      <c r="AL42" s="128">
        <v>1.37</v>
      </c>
      <c r="AM42" s="128">
        <v>1.38</v>
      </c>
      <c r="AN42" s="128">
        <v>1.38</v>
      </c>
      <c r="AO42" s="128">
        <v>1.39</v>
      </c>
      <c r="AP42" s="128">
        <v>1.39</v>
      </c>
      <c r="AQ42" s="128">
        <v>1.4</v>
      </c>
      <c r="AR42" s="128">
        <v>1.4</v>
      </c>
      <c r="AS42" s="128">
        <v>1.41</v>
      </c>
      <c r="AT42" s="128">
        <v>1.41</v>
      </c>
      <c r="AU42" s="128">
        <v>1.41</v>
      </c>
      <c r="AV42" s="128">
        <v>1.42</v>
      </c>
      <c r="AW42" s="128">
        <v>1.42</v>
      </c>
      <c r="AX42" s="128">
        <v>1.43</v>
      </c>
      <c r="AY42" s="128">
        <v>1.43</v>
      </c>
      <c r="AZ42" s="128">
        <v>1.44</v>
      </c>
      <c r="BA42" s="128">
        <v>1.43</v>
      </c>
      <c r="BB42" s="128">
        <v>1.43</v>
      </c>
      <c r="BC42" s="128">
        <v>1.42</v>
      </c>
      <c r="BD42" s="128">
        <v>1.42</v>
      </c>
      <c r="BE42" s="128">
        <v>1.41</v>
      </c>
      <c r="BF42" s="128">
        <v>1.41</v>
      </c>
      <c r="BG42" s="128">
        <v>1.41</v>
      </c>
      <c r="BH42" s="128">
        <v>1.4</v>
      </c>
      <c r="BI42" s="128">
        <v>1.4</v>
      </c>
      <c r="BJ42" s="128">
        <v>1.39</v>
      </c>
      <c r="BK42" s="128">
        <v>1.39</v>
      </c>
      <c r="BL42" s="128">
        <v>1.39</v>
      </c>
      <c r="BM42" s="128">
        <v>1.39</v>
      </c>
      <c r="BN42" s="128">
        <v>1.39</v>
      </c>
      <c r="BO42" s="128">
        <v>1.39</v>
      </c>
      <c r="BP42" s="128">
        <v>1.39</v>
      </c>
      <c r="BQ42" s="128">
        <v>1.39</v>
      </c>
      <c r="BR42" s="128">
        <v>1.39</v>
      </c>
      <c r="BS42" s="128">
        <v>1.39</v>
      </c>
      <c r="BT42" s="128">
        <v>1.39</v>
      </c>
      <c r="BU42" s="128">
        <v>1.39</v>
      </c>
      <c r="BV42" s="128">
        <v>1.39</v>
      </c>
      <c r="BW42" s="128">
        <v>1.39</v>
      </c>
      <c r="BX42" s="128">
        <v>1.39</v>
      </c>
      <c r="BY42" s="128">
        <v>1.39</v>
      </c>
      <c r="BZ42" s="128">
        <v>1.39</v>
      </c>
      <c r="CA42" s="128">
        <v>1.39</v>
      </c>
      <c r="CB42" s="128">
        <v>1.39</v>
      </c>
      <c r="CC42" s="128">
        <v>1.39</v>
      </c>
      <c r="CD42" s="128">
        <v>1.39</v>
      </c>
      <c r="CE42" s="128">
        <v>1.39</v>
      </c>
      <c r="CF42" s="128">
        <v>1.39</v>
      </c>
      <c r="CG42" s="128">
        <v>1.39</v>
      </c>
      <c r="CH42" s="128">
        <v>1.39</v>
      </c>
      <c r="CI42" s="128">
        <v>1.39</v>
      </c>
      <c r="CJ42" s="128">
        <v>1.39</v>
      </c>
      <c r="CK42" s="128">
        <v>1.39</v>
      </c>
      <c r="CL42" s="128">
        <v>1.39</v>
      </c>
      <c r="CM42" s="128">
        <v>1.39</v>
      </c>
      <c r="CN42" s="128">
        <v>1.39</v>
      </c>
      <c r="CO42" s="128">
        <v>1.39</v>
      </c>
      <c r="CP42" s="128">
        <v>1.39</v>
      </c>
      <c r="CQ42" s="128">
        <v>1.39</v>
      </c>
      <c r="CR42" s="128">
        <v>1.39</v>
      </c>
      <c r="CS42" s="128">
        <v>1.39</v>
      </c>
      <c r="CT42" s="128">
        <v>1.39</v>
      </c>
      <c r="CU42" s="128">
        <v>1.39</v>
      </c>
      <c r="CV42" s="128">
        <v>1.39</v>
      </c>
      <c r="CW42" s="128">
        <v>1.39</v>
      </c>
      <c r="CX42" s="128">
        <v>1.39</v>
      </c>
      <c r="CZ42" s="126">
        <f>SUMIF(MatrixF1[[1]:[2]],MatrixF1[[#This Row],[Столбец1]])/MatrixF1[[#This Row],[Столбец1]]</f>
        <v>142.99999999999955</v>
      </c>
    </row>
    <row r="43" spans="1:104" ht="21" customHeight="1" x14ac:dyDescent="0.25">
      <c r="A43" s="127">
        <v>1.4</v>
      </c>
      <c r="B43" s="128">
        <v>1</v>
      </c>
      <c r="C43" s="128">
        <v>1.02</v>
      </c>
      <c r="D43" s="128">
        <v>1.03</v>
      </c>
      <c r="E43" s="128">
        <v>1.05</v>
      </c>
      <c r="F43" s="128">
        <v>1.06</v>
      </c>
      <c r="G43" s="128">
        <v>1.08</v>
      </c>
      <c r="H43" s="128">
        <v>1.0900000000000001</v>
      </c>
      <c r="I43" s="128">
        <v>1.1000000000000001</v>
      </c>
      <c r="J43" s="128">
        <v>1.1200000000000001</v>
      </c>
      <c r="K43" s="128">
        <v>1.1299999999999999</v>
      </c>
      <c r="L43" s="128">
        <v>1.1399999999999999</v>
      </c>
      <c r="M43" s="128">
        <v>1.1499999999999999</v>
      </c>
      <c r="N43" s="128">
        <v>1.17</v>
      </c>
      <c r="O43" s="128">
        <v>1.18</v>
      </c>
      <c r="P43" s="128">
        <v>1.19</v>
      </c>
      <c r="Q43" s="128">
        <v>1.2</v>
      </c>
      <c r="R43" s="128">
        <v>1.21</v>
      </c>
      <c r="S43" s="128">
        <v>1.22</v>
      </c>
      <c r="T43" s="128">
        <v>1.23</v>
      </c>
      <c r="U43" s="128">
        <v>1.24</v>
      </c>
      <c r="V43" s="128">
        <v>1.25</v>
      </c>
      <c r="W43" s="128">
        <v>1.26</v>
      </c>
      <c r="X43" s="128">
        <v>1.27</v>
      </c>
      <c r="Y43" s="128">
        <v>1.28</v>
      </c>
      <c r="Z43" s="128">
        <v>1.29</v>
      </c>
      <c r="AA43" s="128">
        <v>1.29</v>
      </c>
      <c r="AB43" s="128">
        <v>1.3</v>
      </c>
      <c r="AC43" s="128">
        <v>1.31</v>
      </c>
      <c r="AD43" s="128">
        <v>1.32</v>
      </c>
      <c r="AE43" s="128">
        <v>1.33</v>
      </c>
      <c r="AF43" s="128">
        <v>1.33</v>
      </c>
      <c r="AG43" s="128">
        <v>1.34</v>
      </c>
      <c r="AH43" s="128">
        <v>1.35</v>
      </c>
      <c r="AI43" s="128">
        <v>1.35</v>
      </c>
      <c r="AJ43" s="128">
        <v>1.36</v>
      </c>
      <c r="AK43" s="128">
        <v>1.37</v>
      </c>
      <c r="AL43" s="128">
        <v>1.38</v>
      </c>
      <c r="AM43" s="128">
        <v>1.38</v>
      </c>
      <c r="AN43" s="128">
        <v>1.39</v>
      </c>
      <c r="AO43" s="128">
        <v>1.39</v>
      </c>
      <c r="AP43" s="128">
        <v>1.4</v>
      </c>
      <c r="AQ43" s="128">
        <v>1.4</v>
      </c>
      <c r="AR43" s="128">
        <v>1.41</v>
      </c>
      <c r="AS43" s="128">
        <v>1.41</v>
      </c>
      <c r="AT43" s="128">
        <v>1.42</v>
      </c>
      <c r="AU43" s="128">
        <v>1.42</v>
      </c>
      <c r="AV43" s="128">
        <v>1.43</v>
      </c>
      <c r="AW43" s="128">
        <v>1.43</v>
      </c>
      <c r="AX43" s="128">
        <v>1.43</v>
      </c>
      <c r="AY43" s="128">
        <v>1.44</v>
      </c>
      <c r="AZ43" s="128">
        <v>1.44</v>
      </c>
      <c r="BA43" s="128">
        <v>1.44</v>
      </c>
      <c r="BB43" s="128">
        <v>1.43</v>
      </c>
      <c r="BC43" s="128">
        <v>1.43</v>
      </c>
      <c r="BD43" s="128">
        <v>1.43</v>
      </c>
      <c r="BE43" s="128">
        <v>1.42</v>
      </c>
      <c r="BF43" s="128">
        <v>1.42</v>
      </c>
      <c r="BG43" s="128">
        <v>1.41</v>
      </c>
      <c r="BH43" s="128">
        <v>1.41</v>
      </c>
      <c r="BI43" s="128">
        <v>1.4</v>
      </c>
      <c r="BJ43" s="128">
        <v>1.4</v>
      </c>
      <c r="BK43" s="128">
        <v>1.4</v>
      </c>
      <c r="BL43" s="128">
        <v>1.4</v>
      </c>
      <c r="BM43" s="128">
        <v>1.4</v>
      </c>
      <c r="BN43" s="128">
        <v>1.4</v>
      </c>
      <c r="BO43" s="128">
        <v>1.4</v>
      </c>
      <c r="BP43" s="128">
        <v>1.4</v>
      </c>
      <c r="BQ43" s="128">
        <v>1.4</v>
      </c>
      <c r="BR43" s="128">
        <v>1.4</v>
      </c>
      <c r="BS43" s="128">
        <v>1.4</v>
      </c>
      <c r="BT43" s="128">
        <v>1.4</v>
      </c>
      <c r="BU43" s="128">
        <v>1.4</v>
      </c>
      <c r="BV43" s="128">
        <v>1.4</v>
      </c>
      <c r="BW43" s="128">
        <v>1.4</v>
      </c>
      <c r="BX43" s="128">
        <v>1.4</v>
      </c>
      <c r="BY43" s="128">
        <v>1.4</v>
      </c>
      <c r="BZ43" s="128">
        <v>1.4</v>
      </c>
      <c r="CA43" s="128">
        <v>1.4</v>
      </c>
      <c r="CB43" s="128">
        <v>1.4</v>
      </c>
      <c r="CC43" s="128">
        <v>1.4</v>
      </c>
      <c r="CD43" s="128">
        <v>1.4</v>
      </c>
      <c r="CE43" s="128">
        <v>1.4</v>
      </c>
      <c r="CF43" s="128">
        <v>1.4</v>
      </c>
      <c r="CG43" s="128">
        <v>1.4</v>
      </c>
      <c r="CH43" s="128">
        <v>1.4</v>
      </c>
      <c r="CI43" s="128">
        <v>1.4</v>
      </c>
      <c r="CJ43" s="128">
        <v>1.4</v>
      </c>
      <c r="CK43" s="128">
        <v>1.4</v>
      </c>
      <c r="CL43" s="128">
        <v>1.4</v>
      </c>
      <c r="CM43" s="128">
        <v>1.4</v>
      </c>
      <c r="CN43" s="128">
        <v>1.4</v>
      </c>
      <c r="CO43" s="128">
        <v>1.4</v>
      </c>
      <c r="CP43" s="128">
        <v>1.4</v>
      </c>
      <c r="CQ43" s="128">
        <v>1.4</v>
      </c>
      <c r="CR43" s="128">
        <v>1.4</v>
      </c>
      <c r="CS43" s="128">
        <v>1.4</v>
      </c>
      <c r="CT43" s="128">
        <v>1.4</v>
      </c>
      <c r="CU43" s="128">
        <v>1.4</v>
      </c>
      <c r="CV43" s="128">
        <v>1.4</v>
      </c>
      <c r="CW43" s="128">
        <v>1.4</v>
      </c>
      <c r="CX43" s="128">
        <v>1.4</v>
      </c>
      <c r="CZ43" s="126">
        <f>SUMIF(MatrixF1[[1]:[2]],MatrixF1[[#This Row],[Столбец1]])/MatrixF1[[#This Row],[Столбец1]]</f>
        <v>147.00000000000037</v>
      </c>
    </row>
    <row r="44" spans="1:104" ht="21" customHeight="1" x14ac:dyDescent="0.25">
      <c r="A44" s="127">
        <v>1.41</v>
      </c>
      <c r="B44" s="128">
        <v>1</v>
      </c>
      <c r="C44" s="128">
        <v>1.02</v>
      </c>
      <c r="D44" s="128">
        <v>1.03</v>
      </c>
      <c r="E44" s="128">
        <v>1.05</v>
      </c>
      <c r="F44" s="128">
        <v>1.06</v>
      </c>
      <c r="G44" s="128">
        <v>1.08</v>
      </c>
      <c r="H44" s="128">
        <v>1.0900000000000001</v>
      </c>
      <c r="I44" s="128">
        <v>1.1100000000000001</v>
      </c>
      <c r="J44" s="128">
        <v>1.1200000000000001</v>
      </c>
      <c r="K44" s="128">
        <v>1.1299999999999999</v>
      </c>
      <c r="L44" s="128">
        <v>1.1399999999999999</v>
      </c>
      <c r="M44" s="128">
        <v>1.1599999999999999</v>
      </c>
      <c r="N44" s="128">
        <v>1.17</v>
      </c>
      <c r="O44" s="128">
        <v>1.18</v>
      </c>
      <c r="P44" s="128">
        <v>1.19</v>
      </c>
      <c r="Q44" s="128">
        <v>1.2</v>
      </c>
      <c r="R44" s="128">
        <v>1.21</v>
      </c>
      <c r="S44" s="128">
        <v>1.22</v>
      </c>
      <c r="T44" s="128">
        <v>1.23</v>
      </c>
      <c r="U44" s="128">
        <v>1.24</v>
      </c>
      <c r="V44" s="128">
        <v>1.25</v>
      </c>
      <c r="W44" s="128">
        <v>1.26</v>
      </c>
      <c r="X44" s="128">
        <v>1.27</v>
      </c>
      <c r="Y44" s="128">
        <v>1.28</v>
      </c>
      <c r="Z44" s="128">
        <v>1.29</v>
      </c>
      <c r="AA44" s="128">
        <v>1.3</v>
      </c>
      <c r="AB44" s="128">
        <v>1.31</v>
      </c>
      <c r="AC44" s="128">
        <v>1.31</v>
      </c>
      <c r="AD44" s="128">
        <v>1.32</v>
      </c>
      <c r="AE44" s="128">
        <v>1.33</v>
      </c>
      <c r="AF44" s="128">
        <v>1.34</v>
      </c>
      <c r="AG44" s="128">
        <v>1.34</v>
      </c>
      <c r="AH44" s="128">
        <v>1.35</v>
      </c>
      <c r="AI44" s="128">
        <v>1.36</v>
      </c>
      <c r="AJ44" s="128">
        <v>1.37</v>
      </c>
      <c r="AK44" s="128">
        <v>1.37</v>
      </c>
      <c r="AL44" s="128">
        <v>1.38</v>
      </c>
      <c r="AM44" s="128">
        <v>1.39</v>
      </c>
      <c r="AN44" s="128">
        <v>1.39</v>
      </c>
      <c r="AO44" s="128">
        <v>1.4</v>
      </c>
      <c r="AP44" s="128">
        <v>1.4</v>
      </c>
      <c r="AQ44" s="128">
        <v>1.41</v>
      </c>
      <c r="AR44" s="128">
        <v>1.41</v>
      </c>
      <c r="AS44" s="128">
        <v>1.42</v>
      </c>
      <c r="AT44" s="128">
        <v>1.42</v>
      </c>
      <c r="AU44" s="128">
        <v>1.43</v>
      </c>
      <c r="AV44" s="128">
        <v>1.43</v>
      </c>
      <c r="AW44" s="128">
        <v>1.44</v>
      </c>
      <c r="AX44" s="128">
        <v>1.44</v>
      </c>
      <c r="AY44" s="128">
        <v>1.45</v>
      </c>
      <c r="AZ44" s="128">
        <v>1.45</v>
      </c>
      <c r="BA44" s="128">
        <v>1.45</v>
      </c>
      <c r="BB44" s="128">
        <v>1.44</v>
      </c>
      <c r="BC44" s="128">
        <v>1.44</v>
      </c>
      <c r="BD44" s="128">
        <v>1.43</v>
      </c>
      <c r="BE44" s="128">
        <v>1.43</v>
      </c>
      <c r="BF44" s="128">
        <v>1.42</v>
      </c>
      <c r="BG44" s="128">
        <v>1.42</v>
      </c>
      <c r="BH44" s="128">
        <v>1.41</v>
      </c>
      <c r="BI44" s="128">
        <v>1.41</v>
      </c>
      <c r="BJ44" s="128">
        <v>1.41</v>
      </c>
      <c r="BK44" s="128">
        <v>1.41</v>
      </c>
      <c r="BL44" s="128">
        <v>1.41</v>
      </c>
      <c r="BM44" s="128">
        <v>1.41</v>
      </c>
      <c r="BN44" s="128">
        <v>1.41</v>
      </c>
      <c r="BO44" s="128">
        <v>1.41</v>
      </c>
      <c r="BP44" s="128">
        <v>1.41</v>
      </c>
      <c r="BQ44" s="128">
        <v>1.41</v>
      </c>
      <c r="BR44" s="128">
        <v>1.41</v>
      </c>
      <c r="BS44" s="128">
        <v>1.41</v>
      </c>
      <c r="BT44" s="128">
        <v>1.41</v>
      </c>
      <c r="BU44" s="128">
        <v>1.41</v>
      </c>
      <c r="BV44" s="128">
        <v>1.41</v>
      </c>
      <c r="BW44" s="128">
        <v>1.41</v>
      </c>
      <c r="BX44" s="128">
        <v>1.41</v>
      </c>
      <c r="BY44" s="128">
        <v>1.41</v>
      </c>
      <c r="BZ44" s="128">
        <v>1.41</v>
      </c>
      <c r="CA44" s="128">
        <v>1.41</v>
      </c>
      <c r="CB44" s="128">
        <v>1.41</v>
      </c>
      <c r="CC44" s="128">
        <v>1.41</v>
      </c>
      <c r="CD44" s="128">
        <v>1.41</v>
      </c>
      <c r="CE44" s="128">
        <v>1.41</v>
      </c>
      <c r="CF44" s="128">
        <v>1.41</v>
      </c>
      <c r="CG44" s="128">
        <v>1.41</v>
      </c>
      <c r="CH44" s="128">
        <v>1.41</v>
      </c>
      <c r="CI44" s="128">
        <v>1.41</v>
      </c>
      <c r="CJ44" s="128">
        <v>1.41</v>
      </c>
      <c r="CK44" s="128">
        <v>1.41</v>
      </c>
      <c r="CL44" s="128">
        <v>1.41</v>
      </c>
      <c r="CM44" s="128">
        <v>1.41</v>
      </c>
      <c r="CN44" s="128">
        <v>1.41</v>
      </c>
      <c r="CO44" s="128">
        <v>1.41</v>
      </c>
      <c r="CP44" s="128">
        <v>1.41</v>
      </c>
      <c r="CQ44" s="128">
        <v>1.41</v>
      </c>
      <c r="CR44" s="128">
        <v>1.41</v>
      </c>
      <c r="CS44" s="128">
        <v>1.41</v>
      </c>
      <c r="CT44" s="128">
        <v>1.41</v>
      </c>
      <c r="CU44" s="128">
        <v>1.41</v>
      </c>
      <c r="CV44" s="128">
        <v>1.41</v>
      </c>
      <c r="CW44" s="128">
        <v>1.41</v>
      </c>
      <c r="CX44" s="128">
        <v>1.41</v>
      </c>
      <c r="CZ44" s="126">
        <f>SUMIF(MatrixF1[[1]:[2]],MatrixF1[[#This Row],[Столбец1]])/MatrixF1[[#This Row],[Столбец1]]</f>
        <v>138.99999999999974</v>
      </c>
    </row>
    <row r="45" spans="1:104" ht="21" customHeight="1" x14ac:dyDescent="0.25">
      <c r="A45" s="127">
        <v>1.42</v>
      </c>
      <c r="B45" s="128">
        <v>1</v>
      </c>
      <c r="C45" s="128">
        <v>1.02</v>
      </c>
      <c r="D45" s="128">
        <v>1.03</v>
      </c>
      <c r="E45" s="128">
        <v>1.05</v>
      </c>
      <c r="F45" s="128">
        <v>1.06</v>
      </c>
      <c r="G45" s="128">
        <v>1.08</v>
      </c>
      <c r="H45" s="128">
        <v>1.0900000000000001</v>
      </c>
      <c r="I45" s="128">
        <v>1.1100000000000001</v>
      </c>
      <c r="J45" s="128">
        <v>1.1200000000000001</v>
      </c>
      <c r="K45" s="128">
        <v>1.1299999999999999</v>
      </c>
      <c r="L45" s="128">
        <v>1.1499999999999999</v>
      </c>
      <c r="M45" s="128">
        <v>1.1599999999999999</v>
      </c>
      <c r="N45" s="128">
        <v>1.17</v>
      </c>
      <c r="O45" s="128">
        <v>1.18</v>
      </c>
      <c r="P45" s="128">
        <v>1.19</v>
      </c>
      <c r="Q45" s="128">
        <v>1.21</v>
      </c>
      <c r="R45" s="128">
        <v>1.22</v>
      </c>
      <c r="S45" s="128">
        <v>1.23</v>
      </c>
      <c r="T45" s="128">
        <v>1.24</v>
      </c>
      <c r="U45" s="128">
        <v>1.25</v>
      </c>
      <c r="V45" s="128">
        <v>1.26</v>
      </c>
      <c r="W45" s="128">
        <v>1.27</v>
      </c>
      <c r="X45" s="128">
        <v>1.28</v>
      </c>
      <c r="Y45" s="128">
        <v>1.28</v>
      </c>
      <c r="Z45" s="128">
        <v>1.29</v>
      </c>
      <c r="AA45" s="128">
        <v>1.3</v>
      </c>
      <c r="AB45" s="128">
        <v>1.31</v>
      </c>
      <c r="AC45" s="128">
        <v>1.32</v>
      </c>
      <c r="AD45" s="128">
        <v>1.33</v>
      </c>
      <c r="AE45" s="128">
        <v>1.33</v>
      </c>
      <c r="AF45" s="128">
        <v>1.34</v>
      </c>
      <c r="AG45" s="128">
        <v>1.35</v>
      </c>
      <c r="AH45" s="128">
        <v>1.36</v>
      </c>
      <c r="AI45" s="128">
        <v>1.36</v>
      </c>
      <c r="AJ45" s="128">
        <v>1.37</v>
      </c>
      <c r="AK45" s="128">
        <v>1.38</v>
      </c>
      <c r="AL45" s="128">
        <v>1.38</v>
      </c>
      <c r="AM45" s="128">
        <v>1.39</v>
      </c>
      <c r="AN45" s="128">
        <v>1.4</v>
      </c>
      <c r="AO45" s="128">
        <v>1.4</v>
      </c>
      <c r="AP45" s="128">
        <v>1.41</v>
      </c>
      <c r="AQ45" s="128">
        <v>1.41</v>
      </c>
      <c r="AR45" s="128">
        <v>1.42</v>
      </c>
      <c r="AS45" s="128">
        <v>1.42</v>
      </c>
      <c r="AT45" s="128">
        <v>1.43</v>
      </c>
      <c r="AU45" s="128">
        <v>1.43</v>
      </c>
      <c r="AV45" s="128">
        <v>1.44</v>
      </c>
      <c r="AW45" s="128">
        <v>1.44</v>
      </c>
      <c r="AX45" s="128">
        <v>1.45</v>
      </c>
      <c r="AY45" s="128">
        <v>1.45</v>
      </c>
      <c r="AZ45" s="128">
        <v>1.46</v>
      </c>
      <c r="BA45" s="128">
        <v>1.45</v>
      </c>
      <c r="BB45" s="128">
        <v>1.45</v>
      </c>
      <c r="BC45" s="128">
        <v>1.44</v>
      </c>
      <c r="BD45" s="128">
        <v>1.44</v>
      </c>
      <c r="BE45" s="128">
        <v>1.43</v>
      </c>
      <c r="BF45" s="128">
        <v>1.43</v>
      </c>
      <c r="BG45" s="128">
        <v>1.42</v>
      </c>
      <c r="BH45" s="128">
        <v>1.42</v>
      </c>
      <c r="BI45" s="128">
        <v>1.42</v>
      </c>
      <c r="BJ45" s="128">
        <v>1.42</v>
      </c>
      <c r="BK45" s="128">
        <v>1.42</v>
      </c>
      <c r="BL45" s="128">
        <v>1.42</v>
      </c>
      <c r="BM45" s="128">
        <v>1.42</v>
      </c>
      <c r="BN45" s="128">
        <v>1.42</v>
      </c>
      <c r="BO45" s="128">
        <v>1.42</v>
      </c>
      <c r="BP45" s="128">
        <v>1.42</v>
      </c>
      <c r="BQ45" s="128">
        <v>1.42</v>
      </c>
      <c r="BR45" s="128">
        <v>1.42</v>
      </c>
      <c r="BS45" s="128">
        <v>1.42</v>
      </c>
      <c r="BT45" s="128">
        <v>1.42</v>
      </c>
      <c r="BU45" s="128">
        <v>1.42</v>
      </c>
      <c r="BV45" s="128">
        <v>1.42</v>
      </c>
      <c r="BW45" s="128">
        <v>1.42</v>
      </c>
      <c r="BX45" s="128">
        <v>1.42</v>
      </c>
      <c r="BY45" s="128">
        <v>1.42</v>
      </c>
      <c r="BZ45" s="128">
        <v>1.42</v>
      </c>
      <c r="CA45" s="128">
        <v>1.42</v>
      </c>
      <c r="CB45" s="128">
        <v>1.42</v>
      </c>
      <c r="CC45" s="128">
        <v>1.42</v>
      </c>
      <c r="CD45" s="128">
        <v>1.42</v>
      </c>
      <c r="CE45" s="128">
        <v>1.42</v>
      </c>
      <c r="CF45" s="128">
        <v>1.42</v>
      </c>
      <c r="CG45" s="128">
        <v>1.42</v>
      </c>
      <c r="CH45" s="128">
        <v>1.42</v>
      </c>
      <c r="CI45" s="128">
        <v>1.42</v>
      </c>
      <c r="CJ45" s="128">
        <v>1.42</v>
      </c>
      <c r="CK45" s="128">
        <v>1.42</v>
      </c>
      <c r="CL45" s="128">
        <v>1.42</v>
      </c>
      <c r="CM45" s="128">
        <v>1.42</v>
      </c>
      <c r="CN45" s="128">
        <v>1.42</v>
      </c>
      <c r="CO45" s="128">
        <v>1.42</v>
      </c>
      <c r="CP45" s="128">
        <v>1.42</v>
      </c>
      <c r="CQ45" s="128">
        <v>1.42</v>
      </c>
      <c r="CR45" s="128">
        <v>1.42</v>
      </c>
      <c r="CS45" s="128">
        <v>1.42</v>
      </c>
      <c r="CT45" s="128">
        <v>1.42</v>
      </c>
      <c r="CU45" s="128">
        <v>1.42</v>
      </c>
      <c r="CV45" s="128">
        <v>1.42</v>
      </c>
      <c r="CW45" s="128">
        <v>1.42</v>
      </c>
      <c r="CX45" s="128">
        <v>1.42</v>
      </c>
      <c r="CZ45" s="126">
        <f>SUMIF(MatrixF1[[1]:[2]],MatrixF1[[#This Row],[Столбец1]])/MatrixF1[[#This Row],[Столбец1]]</f>
        <v>132.99999999999972</v>
      </c>
    </row>
    <row r="46" spans="1:104" ht="21" customHeight="1" x14ac:dyDescent="0.25">
      <c r="A46" s="127">
        <v>1.43</v>
      </c>
      <c r="B46" s="128">
        <v>1</v>
      </c>
      <c r="C46" s="128">
        <v>1.02</v>
      </c>
      <c r="D46" s="128">
        <v>1.03</v>
      </c>
      <c r="E46" s="128">
        <v>1.05</v>
      </c>
      <c r="F46" s="128">
        <v>1.07</v>
      </c>
      <c r="G46" s="128">
        <v>1.08</v>
      </c>
      <c r="H46" s="128">
        <v>1.1000000000000001</v>
      </c>
      <c r="I46" s="128">
        <v>1.1100000000000001</v>
      </c>
      <c r="J46" s="128">
        <v>1.1200000000000001</v>
      </c>
      <c r="K46" s="128">
        <v>1.1399999999999999</v>
      </c>
      <c r="L46" s="128">
        <v>1.1499999999999999</v>
      </c>
      <c r="M46" s="128">
        <v>1.1599999999999999</v>
      </c>
      <c r="N46" s="128">
        <v>1.17</v>
      </c>
      <c r="O46" s="128">
        <v>1.19</v>
      </c>
      <c r="P46" s="128">
        <v>1.2</v>
      </c>
      <c r="Q46" s="128">
        <v>1.21</v>
      </c>
      <c r="R46" s="128">
        <v>1.22</v>
      </c>
      <c r="S46" s="128">
        <v>1.23</v>
      </c>
      <c r="T46" s="128">
        <v>1.24</v>
      </c>
      <c r="U46" s="128">
        <v>1.25</v>
      </c>
      <c r="V46" s="128">
        <v>1.26</v>
      </c>
      <c r="W46" s="128">
        <v>1.27</v>
      </c>
      <c r="X46" s="128">
        <v>1.28</v>
      </c>
      <c r="Y46" s="128">
        <v>1.29</v>
      </c>
      <c r="Z46" s="128">
        <v>1.3</v>
      </c>
      <c r="AA46" s="128">
        <v>1.3</v>
      </c>
      <c r="AB46" s="128">
        <v>1.31</v>
      </c>
      <c r="AC46" s="128">
        <v>1.32</v>
      </c>
      <c r="AD46" s="128">
        <v>1.33</v>
      </c>
      <c r="AE46" s="128">
        <v>1.34</v>
      </c>
      <c r="AF46" s="128">
        <v>1.34</v>
      </c>
      <c r="AG46" s="128">
        <v>1.35</v>
      </c>
      <c r="AH46" s="128">
        <v>1.36</v>
      </c>
      <c r="AI46" s="128">
        <v>1.37</v>
      </c>
      <c r="AJ46" s="128">
        <v>1.37</v>
      </c>
      <c r="AK46" s="128">
        <v>1.38</v>
      </c>
      <c r="AL46" s="128">
        <v>1.39</v>
      </c>
      <c r="AM46" s="128">
        <v>1.39</v>
      </c>
      <c r="AN46" s="128">
        <v>1.4</v>
      </c>
      <c r="AO46" s="128">
        <v>1.41</v>
      </c>
      <c r="AP46" s="128">
        <v>1.41</v>
      </c>
      <c r="AQ46" s="128">
        <v>1.42</v>
      </c>
      <c r="AR46" s="128">
        <v>1.42</v>
      </c>
      <c r="AS46" s="128">
        <v>1.43</v>
      </c>
      <c r="AT46" s="128">
        <v>1.43</v>
      </c>
      <c r="AU46" s="128">
        <v>1.44</v>
      </c>
      <c r="AV46" s="128">
        <v>1.44</v>
      </c>
      <c r="AW46" s="128">
        <v>1.45</v>
      </c>
      <c r="AX46" s="128">
        <v>1.45</v>
      </c>
      <c r="AY46" s="128">
        <v>1.46</v>
      </c>
      <c r="AZ46" s="128">
        <v>1.46</v>
      </c>
      <c r="BA46" s="128">
        <v>1.46</v>
      </c>
      <c r="BB46" s="128">
        <v>1.45</v>
      </c>
      <c r="BC46" s="128">
        <v>1.45</v>
      </c>
      <c r="BD46" s="128">
        <v>1.44</v>
      </c>
      <c r="BE46" s="128">
        <v>1.44</v>
      </c>
      <c r="BF46" s="128">
        <v>1.43</v>
      </c>
      <c r="BG46" s="128">
        <v>1.43</v>
      </c>
      <c r="BH46" s="128">
        <v>1.43</v>
      </c>
      <c r="BI46" s="128">
        <v>1.43</v>
      </c>
      <c r="BJ46" s="128">
        <v>1.43</v>
      </c>
      <c r="BK46" s="128">
        <v>1.43</v>
      </c>
      <c r="BL46" s="128">
        <v>1.43</v>
      </c>
      <c r="BM46" s="128">
        <v>1.43</v>
      </c>
      <c r="BN46" s="128">
        <v>1.43</v>
      </c>
      <c r="BO46" s="128">
        <v>1.43</v>
      </c>
      <c r="BP46" s="128">
        <v>1.43</v>
      </c>
      <c r="BQ46" s="128">
        <v>1.43</v>
      </c>
      <c r="BR46" s="128">
        <v>1.43</v>
      </c>
      <c r="BS46" s="128">
        <v>1.43</v>
      </c>
      <c r="BT46" s="128">
        <v>1.43</v>
      </c>
      <c r="BU46" s="128">
        <v>1.43</v>
      </c>
      <c r="BV46" s="128">
        <v>1.43</v>
      </c>
      <c r="BW46" s="128">
        <v>1.43</v>
      </c>
      <c r="BX46" s="128">
        <v>1.43</v>
      </c>
      <c r="BY46" s="128">
        <v>1.43</v>
      </c>
      <c r="BZ46" s="128">
        <v>1.43</v>
      </c>
      <c r="CA46" s="128">
        <v>1.43</v>
      </c>
      <c r="CB46" s="128">
        <v>1.43</v>
      </c>
      <c r="CC46" s="128">
        <v>1.43</v>
      </c>
      <c r="CD46" s="128">
        <v>1.43</v>
      </c>
      <c r="CE46" s="128">
        <v>1.43</v>
      </c>
      <c r="CF46" s="128">
        <v>1.43</v>
      </c>
      <c r="CG46" s="128">
        <v>1.43</v>
      </c>
      <c r="CH46" s="128">
        <v>1.43</v>
      </c>
      <c r="CI46" s="128">
        <v>1.43</v>
      </c>
      <c r="CJ46" s="128">
        <v>1.43</v>
      </c>
      <c r="CK46" s="128">
        <v>1.43</v>
      </c>
      <c r="CL46" s="128">
        <v>1.43</v>
      </c>
      <c r="CM46" s="128">
        <v>1.43</v>
      </c>
      <c r="CN46" s="128">
        <v>1.43</v>
      </c>
      <c r="CO46" s="128">
        <v>1.43</v>
      </c>
      <c r="CP46" s="128">
        <v>1.43</v>
      </c>
      <c r="CQ46" s="128">
        <v>1.43</v>
      </c>
      <c r="CR46" s="128">
        <v>1.43</v>
      </c>
      <c r="CS46" s="128">
        <v>1.43</v>
      </c>
      <c r="CT46" s="128">
        <v>1.43</v>
      </c>
      <c r="CU46" s="128">
        <v>1.43</v>
      </c>
      <c r="CV46" s="128">
        <v>1.43</v>
      </c>
      <c r="CW46" s="128">
        <v>1.43</v>
      </c>
      <c r="CX46" s="128">
        <v>1.43</v>
      </c>
      <c r="CZ46" s="126">
        <f>SUMIF(MatrixF1[[1]:[2]],MatrixF1[[#This Row],[Столбец1]])/MatrixF1[[#This Row],[Столбец1]]</f>
        <v>137.00000000000045</v>
      </c>
    </row>
    <row r="47" spans="1:104" ht="21" customHeight="1" x14ac:dyDescent="0.25">
      <c r="A47" s="127">
        <v>1.44</v>
      </c>
      <c r="B47" s="128">
        <v>1</v>
      </c>
      <c r="C47" s="128">
        <v>1.02</v>
      </c>
      <c r="D47" s="128">
        <v>1.03</v>
      </c>
      <c r="E47" s="128">
        <v>1.05</v>
      </c>
      <c r="F47" s="128">
        <v>1.07</v>
      </c>
      <c r="G47" s="128">
        <v>1.08</v>
      </c>
      <c r="H47" s="128">
        <v>1.1000000000000001</v>
      </c>
      <c r="I47" s="128">
        <v>1.1100000000000001</v>
      </c>
      <c r="J47" s="128">
        <v>1.1299999999999999</v>
      </c>
      <c r="K47" s="128">
        <v>1.1399999999999999</v>
      </c>
      <c r="L47" s="128">
        <v>1.1499999999999999</v>
      </c>
      <c r="M47" s="128">
        <v>1.1599999999999999</v>
      </c>
      <c r="N47" s="128">
        <v>1.18</v>
      </c>
      <c r="O47" s="128">
        <v>1.19</v>
      </c>
      <c r="P47" s="128">
        <v>1.2</v>
      </c>
      <c r="Q47" s="128">
        <v>1.21</v>
      </c>
      <c r="R47" s="128">
        <v>1.22</v>
      </c>
      <c r="S47" s="128">
        <v>1.23</v>
      </c>
      <c r="T47" s="128">
        <v>1.24</v>
      </c>
      <c r="U47" s="128">
        <v>1.25</v>
      </c>
      <c r="V47" s="128">
        <v>1.26</v>
      </c>
      <c r="W47" s="128">
        <v>1.27</v>
      </c>
      <c r="X47" s="128">
        <v>1.28</v>
      </c>
      <c r="Y47" s="128">
        <v>1.29</v>
      </c>
      <c r="Z47" s="128">
        <v>1.3</v>
      </c>
      <c r="AA47" s="128">
        <v>1.31</v>
      </c>
      <c r="AB47" s="128">
        <v>1.32</v>
      </c>
      <c r="AC47" s="128">
        <v>1.33</v>
      </c>
      <c r="AD47" s="128">
        <v>1.33</v>
      </c>
      <c r="AE47" s="128">
        <v>1.34</v>
      </c>
      <c r="AF47" s="128">
        <v>1.35</v>
      </c>
      <c r="AG47" s="128">
        <v>1.36</v>
      </c>
      <c r="AH47" s="128">
        <v>1.36</v>
      </c>
      <c r="AI47" s="128">
        <v>1.37</v>
      </c>
      <c r="AJ47" s="128">
        <v>1.38</v>
      </c>
      <c r="AK47" s="128">
        <v>1.38</v>
      </c>
      <c r="AL47" s="128">
        <v>1.39</v>
      </c>
      <c r="AM47" s="128">
        <v>1.4</v>
      </c>
      <c r="AN47" s="128">
        <v>1.4</v>
      </c>
      <c r="AO47" s="128">
        <v>1.41</v>
      </c>
      <c r="AP47" s="128">
        <v>1.42</v>
      </c>
      <c r="AQ47" s="128">
        <v>1.42</v>
      </c>
      <c r="AR47" s="128">
        <v>1.43</v>
      </c>
      <c r="AS47" s="128">
        <v>1.43</v>
      </c>
      <c r="AT47" s="128">
        <v>1.44</v>
      </c>
      <c r="AU47" s="128">
        <v>1.44</v>
      </c>
      <c r="AV47" s="128">
        <v>1.45</v>
      </c>
      <c r="AW47" s="128">
        <v>1.45</v>
      </c>
      <c r="AX47" s="128">
        <v>1.46</v>
      </c>
      <c r="AY47" s="128">
        <v>1.46</v>
      </c>
      <c r="AZ47" s="128">
        <v>1.47</v>
      </c>
      <c r="BA47" s="128">
        <v>1.46</v>
      </c>
      <c r="BB47" s="128">
        <v>1.46</v>
      </c>
      <c r="BC47" s="128">
        <v>1.45</v>
      </c>
      <c r="BD47" s="128">
        <v>1.45</v>
      </c>
      <c r="BE47" s="128">
        <v>1.44</v>
      </c>
      <c r="BF47" s="128">
        <v>1.44</v>
      </c>
      <c r="BG47" s="128">
        <v>1.44</v>
      </c>
      <c r="BH47" s="128">
        <v>1.44</v>
      </c>
      <c r="BI47" s="128">
        <v>1.44</v>
      </c>
      <c r="BJ47" s="128">
        <v>1.44</v>
      </c>
      <c r="BK47" s="128">
        <v>1.44</v>
      </c>
      <c r="BL47" s="128">
        <v>1.44</v>
      </c>
      <c r="BM47" s="128">
        <v>1.44</v>
      </c>
      <c r="BN47" s="128">
        <v>1.44</v>
      </c>
      <c r="BO47" s="128">
        <v>1.44</v>
      </c>
      <c r="BP47" s="128">
        <v>1.44</v>
      </c>
      <c r="BQ47" s="128">
        <v>1.44</v>
      </c>
      <c r="BR47" s="128">
        <v>1.44</v>
      </c>
      <c r="BS47" s="128">
        <v>1.44</v>
      </c>
      <c r="BT47" s="128">
        <v>1.44</v>
      </c>
      <c r="BU47" s="128">
        <v>1.44</v>
      </c>
      <c r="BV47" s="128">
        <v>1.44</v>
      </c>
      <c r="BW47" s="128">
        <v>1.44</v>
      </c>
      <c r="BX47" s="128">
        <v>1.44</v>
      </c>
      <c r="BY47" s="128">
        <v>1.44</v>
      </c>
      <c r="BZ47" s="128">
        <v>1.44</v>
      </c>
      <c r="CA47" s="128">
        <v>1.44</v>
      </c>
      <c r="CB47" s="128">
        <v>1.44</v>
      </c>
      <c r="CC47" s="128">
        <v>1.44</v>
      </c>
      <c r="CD47" s="128">
        <v>1.44</v>
      </c>
      <c r="CE47" s="128">
        <v>1.44</v>
      </c>
      <c r="CF47" s="128">
        <v>1.44</v>
      </c>
      <c r="CG47" s="128">
        <v>1.44</v>
      </c>
      <c r="CH47" s="128">
        <v>1.44</v>
      </c>
      <c r="CI47" s="128">
        <v>1.44</v>
      </c>
      <c r="CJ47" s="128">
        <v>1.44</v>
      </c>
      <c r="CK47" s="128">
        <v>1.44</v>
      </c>
      <c r="CL47" s="128">
        <v>1.44</v>
      </c>
      <c r="CM47" s="128">
        <v>1.44</v>
      </c>
      <c r="CN47" s="128">
        <v>1.44</v>
      </c>
      <c r="CO47" s="128">
        <v>1.44</v>
      </c>
      <c r="CP47" s="128">
        <v>1.44</v>
      </c>
      <c r="CQ47" s="128">
        <v>1.44</v>
      </c>
      <c r="CR47" s="128">
        <v>1.44</v>
      </c>
      <c r="CS47" s="128">
        <v>1.44</v>
      </c>
      <c r="CT47" s="128">
        <v>1.44</v>
      </c>
      <c r="CU47" s="128">
        <v>1.44</v>
      </c>
      <c r="CV47" s="128">
        <v>1.44</v>
      </c>
      <c r="CW47" s="128">
        <v>1.44</v>
      </c>
      <c r="CX47" s="128">
        <v>1.44</v>
      </c>
      <c r="CZ47" s="126">
        <f>SUMIF(MatrixF1[[1]:[2]],MatrixF1[[#This Row],[Столбец1]])/MatrixF1[[#This Row],[Столбец1]]</f>
        <v>126.99999999999986</v>
      </c>
    </row>
    <row r="48" spans="1:104" ht="21" customHeight="1" x14ac:dyDescent="0.25">
      <c r="A48" s="127">
        <v>1.45</v>
      </c>
      <c r="B48" s="128">
        <v>1</v>
      </c>
      <c r="C48" s="128">
        <v>1.02</v>
      </c>
      <c r="D48" s="128">
        <v>1.04</v>
      </c>
      <c r="E48" s="128">
        <v>1.05</v>
      </c>
      <c r="F48" s="128">
        <v>1.07</v>
      </c>
      <c r="G48" s="128">
        <v>1.08</v>
      </c>
      <c r="H48" s="128">
        <v>1.1000000000000001</v>
      </c>
      <c r="I48" s="128">
        <v>1.1100000000000001</v>
      </c>
      <c r="J48" s="128">
        <v>1.1299999999999999</v>
      </c>
      <c r="K48" s="128">
        <v>1.1399999999999999</v>
      </c>
      <c r="L48" s="128">
        <v>1.1499999999999999</v>
      </c>
      <c r="M48" s="128">
        <v>1.17</v>
      </c>
      <c r="N48" s="128">
        <v>1.18</v>
      </c>
      <c r="O48" s="128">
        <v>1.19</v>
      </c>
      <c r="P48" s="128">
        <v>1.2</v>
      </c>
      <c r="Q48" s="128">
        <v>1.21</v>
      </c>
      <c r="R48" s="128">
        <v>1.23</v>
      </c>
      <c r="S48" s="128">
        <v>1.24</v>
      </c>
      <c r="T48" s="128">
        <v>1.25</v>
      </c>
      <c r="U48" s="128">
        <v>1.26</v>
      </c>
      <c r="V48" s="128">
        <v>1.27</v>
      </c>
      <c r="W48" s="128">
        <v>1.28</v>
      </c>
      <c r="X48" s="128">
        <v>1.29</v>
      </c>
      <c r="Y48" s="128">
        <v>1.29</v>
      </c>
      <c r="Z48" s="128">
        <v>1.3</v>
      </c>
      <c r="AA48" s="128">
        <v>1.31</v>
      </c>
      <c r="AB48" s="128">
        <v>1.32</v>
      </c>
      <c r="AC48" s="128">
        <v>1.33</v>
      </c>
      <c r="AD48" s="128">
        <v>1.34</v>
      </c>
      <c r="AE48" s="128">
        <v>1.35</v>
      </c>
      <c r="AF48" s="128">
        <v>1.35</v>
      </c>
      <c r="AG48" s="128">
        <v>1.36</v>
      </c>
      <c r="AH48" s="128">
        <v>1.37</v>
      </c>
      <c r="AI48" s="128">
        <v>1.38</v>
      </c>
      <c r="AJ48" s="128">
        <v>1.38</v>
      </c>
      <c r="AK48" s="128">
        <v>1.39</v>
      </c>
      <c r="AL48" s="128">
        <v>1.4</v>
      </c>
      <c r="AM48" s="128">
        <v>1.4</v>
      </c>
      <c r="AN48" s="128">
        <v>1.41</v>
      </c>
      <c r="AO48" s="128">
        <v>1.41</v>
      </c>
      <c r="AP48" s="128">
        <v>1.42</v>
      </c>
      <c r="AQ48" s="128">
        <v>1.43</v>
      </c>
      <c r="AR48" s="128">
        <v>1.43</v>
      </c>
      <c r="AS48" s="128">
        <v>1.44</v>
      </c>
      <c r="AT48" s="128">
        <v>1.44</v>
      </c>
      <c r="AU48" s="128">
        <v>1.45</v>
      </c>
      <c r="AV48" s="128">
        <v>1.45</v>
      </c>
      <c r="AW48" s="128">
        <v>1.46</v>
      </c>
      <c r="AX48" s="128">
        <v>1.46</v>
      </c>
      <c r="AY48" s="128">
        <v>1.47</v>
      </c>
      <c r="AZ48" s="128">
        <v>1.47</v>
      </c>
      <c r="BA48" s="128">
        <v>1.47</v>
      </c>
      <c r="BB48" s="128">
        <v>1.46</v>
      </c>
      <c r="BC48" s="128">
        <v>1.46</v>
      </c>
      <c r="BD48" s="128">
        <v>1.45</v>
      </c>
      <c r="BE48" s="128">
        <v>1.45</v>
      </c>
      <c r="BF48" s="128">
        <v>1.45</v>
      </c>
      <c r="BG48" s="128">
        <v>1.45</v>
      </c>
      <c r="BH48" s="128">
        <v>1.45</v>
      </c>
      <c r="BI48" s="128">
        <v>1.45</v>
      </c>
      <c r="BJ48" s="128">
        <v>1.45</v>
      </c>
      <c r="BK48" s="128">
        <v>1.45</v>
      </c>
      <c r="BL48" s="128">
        <v>1.45</v>
      </c>
      <c r="BM48" s="128">
        <v>1.45</v>
      </c>
      <c r="BN48" s="128">
        <v>1.45</v>
      </c>
      <c r="BO48" s="128">
        <v>1.45</v>
      </c>
      <c r="BP48" s="128">
        <v>1.45</v>
      </c>
      <c r="BQ48" s="128">
        <v>1.45</v>
      </c>
      <c r="BR48" s="128">
        <v>1.45</v>
      </c>
      <c r="BS48" s="128">
        <v>1.45</v>
      </c>
      <c r="BT48" s="128">
        <v>1.45</v>
      </c>
      <c r="BU48" s="128">
        <v>1.45</v>
      </c>
      <c r="BV48" s="128">
        <v>1.45</v>
      </c>
      <c r="BW48" s="128">
        <v>1.45</v>
      </c>
      <c r="BX48" s="128">
        <v>1.45</v>
      </c>
      <c r="BY48" s="128">
        <v>1.45</v>
      </c>
      <c r="BZ48" s="128">
        <v>1.45</v>
      </c>
      <c r="CA48" s="128">
        <v>1.45</v>
      </c>
      <c r="CB48" s="128">
        <v>1.45</v>
      </c>
      <c r="CC48" s="128">
        <v>1.45</v>
      </c>
      <c r="CD48" s="128">
        <v>1.45</v>
      </c>
      <c r="CE48" s="128">
        <v>1.45</v>
      </c>
      <c r="CF48" s="128">
        <v>1.45</v>
      </c>
      <c r="CG48" s="128">
        <v>1.45</v>
      </c>
      <c r="CH48" s="128">
        <v>1.45</v>
      </c>
      <c r="CI48" s="128">
        <v>1.45</v>
      </c>
      <c r="CJ48" s="128">
        <v>1.45</v>
      </c>
      <c r="CK48" s="128">
        <v>1.45</v>
      </c>
      <c r="CL48" s="128">
        <v>1.45</v>
      </c>
      <c r="CM48" s="128">
        <v>1.45</v>
      </c>
      <c r="CN48" s="128">
        <v>1.45</v>
      </c>
      <c r="CO48" s="128">
        <v>1.45</v>
      </c>
      <c r="CP48" s="128">
        <v>1.45</v>
      </c>
      <c r="CQ48" s="128">
        <v>1.45</v>
      </c>
      <c r="CR48" s="128">
        <v>1.45</v>
      </c>
      <c r="CS48" s="128">
        <v>1.45</v>
      </c>
      <c r="CT48" s="128">
        <v>1.45</v>
      </c>
      <c r="CU48" s="128">
        <v>1.45</v>
      </c>
      <c r="CV48" s="128">
        <v>1.45</v>
      </c>
      <c r="CW48" s="128">
        <v>1.45</v>
      </c>
      <c r="CX48" s="128">
        <v>1.45</v>
      </c>
      <c r="CZ48" s="126">
        <f>SUMIF(MatrixF1[[1]:[2]],MatrixF1[[#This Row],[Столбец1]])/MatrixF1[[#This Row],[Столбец1]]</f>
        <v>126.99999999999982</v>
      </c>
    </row>
    <row r="49" spans="1:104" ht="21" customHeight="1" x14ac:dyDescent="0.25">
      <c r="A49" s="127">
        <v>1.46</v>
      </c>
      <c r="B49" s="128">
        <v>1</v>
      </c>
      <c r="C49" s="128">
        <v>1.02</v>
      </c>
      <c r="D49" s="128">
        <v>1.04</v>
      </c>
      <c r="E49" s="128">
        <v>1.05</v>
      </c>
      <c r="F49" s="128">
        <v>1.07</v>
      </c>
      <c r="G49" s="128">
        <v>1.08</v>
      </c>
      <c r="H49" s="128">
        <v>1.1000000000000001</v>
      </c>
      <c r="I49" s="128">
        <v>1.1100000000000001</v>
      </c>
      <c r="J49" s="128">
        <v>1.1299999999999999</v>
      </c>
      <c r="K49" s="128">
        <v>1.1399999999999999</v>
      </c>
      <c r="L49" s="128">
        <v>1.1599999999999999</v>
      </c>
      <c r="M49" s="128">
        <v>1.17</v>
      </c>
      <c r="N49" s="128">
        <v>1.18</v>
      </c>
      <c r="O49" s="128">
        <v>1.19</v>
      </c>
      <c r="P49" s="128">
        <v>1.21</v>
      </c>
      <c r="Q49" s="128">
        <v>1.22</v>
      </c>
      <c r="R49" s="128">
        <v>1.23</v>
      </c>
      <c r="S49" s="128">
        <v>1.24</v>
      </c>
      <c r="T49" s="128">
        <v>1.25</v>
      </c>
      <c r="U49" s="128">
        <v>1.26</v>
      </c>
      <c r="V49" s="128">
        <v>1.27</v>
      </c>
      <c r="W49" s="128">
        <v>1.28</v>
      </c>
      <c r="X49" s="128">
        <v>1.29</v>
      </c>
      <c r="Y49" s="128">
        <v>1.3</v>
      </c>
      <c r="Z49" s="128">
        <v>1.31</v>
      </c>
      <c r="AA49" s="128">
        <v>1.32</v>
      </c>
      <c r="AB49" s="128">
        <v>1.32</v>
      </c>
      <c r="AC49" s="128">
        <v>1.33</v>
      </c>
      <c r="AD49" s="128">
        <v>1.34</v>
      </c>
      <c r="AE49" s="128">
        <v>1.35</v>
      </c>
      <c r="AF49" s="128">
        <v>1.36</v>
      </c>
      <c r="AG49" s="128">
        <v>1.36</v>
      </c>
      <c r="AH49" s="128">
        <v>1.37</v>
      </c>
      <c r="AI49" s="128">
        <v>1.38</v>
      </c>
      <c r="AJ49" s="128">
        <v>1.39</v>
      </c>
      <c r="AK49" s="128">
        <v>1.39</v>
      </c>
      <c r="AL49" s="128">
        <v>1.4</v>
      </c>
      <c r="AM49" s="128">
        <v>1.41</v>
      </c>
      <c r="AN49" s="128">
        <v>1.41</v>
      </c>
      <c r="AO49" s="128">
        <v>1.42</v>
      </c>
      <c r="AP49" s="128">
        <v>1.43</v>
      </c>
      <c r="AQ49" s="128">
        <v>1.43</v>
      </c>
      <c r="AR49" s="128">
        <v>1.44</v>
      </c>
      <c r="AS49" s="128">
        <v>1.44</v>
      </c>
      <c r="AT49" s="128">
        <v>1.45</v>
      </c>
      <c r="AU49" s="128">
        <v>1.45</v>
      </c>
      <c r="AV49" s="128">
        <v>1.46</v>
      </c>
      <c r="AW49" s="128">
        <v>1.46</v>
      </c>
      <c r="AX49" s="128">
        <v>1.47</v>
      </c>
      <c r="AY49" s="128">
        <v>1.47</v>
      </c>
      <c r="AZ49" s="128">
        <v>1.48</v>
      </c>
      <c r="BA49" s="128">
        <v>1.47</v>
      </c>
      <c r="BB49" s="128">
        <v>1.47</v>
      </c>
      <c r="BC49" s="128">
        <v>1.46</v>
      </c>
      <c r="BD49" s="128">
        <v>1.46</v>
      </c>
      <c r="BE49" s="128">
        <v>1.46</v>
      </c>
      <c r="BF49" s="128">
        <v>1.46</v>
      </c>
      <c r="BG49" s="128">
        <v>1.46</v>
      </c>
      <c r="BH49" s="128">
        <v>1.46</v>
      </c>
      <c r="BI49" s="128">
        <v>1.46</v>
      </c>
      <c r="BJ49" s="128">
        <v>1.46</v>
      </c>
      <c r="BK49" s="128">
        <v>1.46</v>
      </c>
      <c r="BL49" s="128">
        <v>1.46</v>
      </c>
      <c r="BM49" s="128">
        <v>1.46</v>
      </c>
      <c r="BN49" s="128">
        <v>1.46</v>
      </c>
      <c r="BO49" s="128">
        <v>1.46</v>
      </c>
      <c r="BP49" s="128">
        <v>1.46</v>
      </c>
      <c r="BQ49" s="128">
        <v>1.46</v>
      </c>
      <c r="BR49" s="128">
        <v>1.46</v>
      </c>
      <c r="BS49" s="128">
        <v>1.46</v>
      </c>
      <c r="BT49" s="128">
        <v>1.46</v>
      </c>
      <c r="BU49" s="128">
        <v>1.46</v>
      </c>
      <c r="BV49" s="128">
        <v>1.46</v>
      </c>
      <c r="BW49" s="128">
        <v>1.46</v>
      </c>
      <c r="BX49" s="128">
        <v>1.46</v>
      </c>
      <c r="BY49" s="128">
        <v>1.46</v>
      </c>
      <c r="BZ49" s="128">
        <v>1.46</v>
      </c>
      <c r="CA49" s="128">
        <v>1.46</v>
      </c>
      <c r="CB49" s="128">
        <v>1.46</v>
      </c>
      <c r="CC49" s="128">
        <v>1.46</v>
      </c>
      <c r="CD49" s="128">
        <v>1.46</v>
      </c>
      <c r="CE49" s="128">
        <v>1.46</v>
      </c>
      <c r="CF49" s="128">
        <v>1.46</v>
      </c>
      <c r="CG49" s="128">
        <v>1.46</v>
      </c>
      <c r="CH49" s="128">
        <v>1.46</v>
      </c>
      <c r="CI49" s="128">
        <v>1.46</v>
      </c>
      <c r="CJ49" s="128">
        <v>1.46</v>
      </c>
      <c r="CK49" s="128">
        <v>1.46</v>
      </c>
      <c r="CL49" s="128">
        <v>1.46</v>
      </c>
      <c r="CM49" s="128">
        <v>1.46</v>
      </c>
      <c r="CN49" s="128">
        <v>1.46</v>
      </c>
      <c r="CO49" s="128">
        <v>1.46</v>
      </c>
      <c r="CP49" s="128">
        <v>1.46</v>
      </c>
      <c r="CQ49" s="128">
        <v>1.46</v>
      </c>
      <c r="CR49" s="128">
        <v>1.46</v>
      </c>
      <c r="CS49" s="128">
        <v>1.46</v>
      </c>
      <c r="CT49" s="128">
        <v>1.46</v>
      </c>
      <c r="CU49" s="128">
        <v>1.46</v>
      </c>
      <c r="CV49" s="128">
        <v>1.46</v>
      </c>
      <c r="CW49" s="128">
        <v>1.46</v>
      </c>
      <c r="CX49" s="128">
        <v>1.46</v>
      </c>
      <c r="CZ49" s="126">
        <f>SUMIF(MatrixF1[[1]:[2]],MatrixF1[[#This Row],[Столбец1]])/MatrixF1[[#This Row],[Столбец1]]</f>
        <v>123.00000000000003</v>
      </c>
    </row>
    <row r="50" spans="1:104" ht="21" customHeight="1" x14ac:dyDescent="0.25">
      <c r="A50" s="127">
        <v>1.47</v>
      </c>
      <c r="B50" s="128">
        <v>1</v>
      </c>
      <c r="C50" s="128">
        <v>1.02</v>
      </c>
      <c r="D50" s="128">
        <v>1.04</v>
      </c>
      <c r="E50" s="128">
        <v>1.05</v>
      </c>
      <c r="F50" s="128">
        <v>1.07</v>
      </c>
      <c r="G50" s="128">
        <v>1.0900000000000001</v>
      </c>
      <c r="H50" s="128">
        <v>1.1000000000000001</v>
      </c>
      <c r="I50" s="128">
        <v>1.1200000000000001</v>
      </c>
      <c r="J50" s="128">
        <v>1.1299999999999999</v>
      </c>
      <c r="K50" s="128">
        <v>1.1499999999999999</v>
      </c>
      <c r="L50" s="128">
        <v>1.1599999999999999</v>
      </c>
      <c r="M50" s="128">
        <v>1.17</v>
      </c>
      <c r="N50" s="128">
        <v>1.18</v>
      </c>
      <c r="O50" s="128">
        <v>1.2</v>
      </c>
      <c r="P50" s="128">
        <v>1.21</v>
      </c>
      <c r="Q50" s="128">
        <v>1.22</v>
      </c>
      <c r="R50" s="128">
        <v>1.23</v>
      </c>
      <c r="S50" s="128">
        <v>1.24</v>
      </c>
      <c r="T50" s="128">
        <v>1.25</v>
      </c>
      <c r="U50" s="128">
        <v>1.26</v>
      </c>
      <c r="V50" s="128">
        <v>1.27</v>
      </c>
      <c r="W50" s="128">
        <v>1.28</v>
      </c>
      <c r="X50" s="128">
        <v>1.29</v>
      </c>
      <c r="Y50" s="128">
        <v>1.3</v>
      </c>
      <c r="Z50" s="128">
        <v>1.31</v>
      </c>
      <c r="AA50" s="128">
        <v>1.32</v>
      </c>
      <c r="AB50" s="128">
        <v>1.33</v>
      </c>
      <c r="AC50" s="128">
        <v>1.34</v>
      </c>
      <c r="AD50" s="128">
        <v>1.35</v>
      </c>
      <c r="AE50" s="128">
        <v>1.35</v>
      </c>
      <c r="AF50" s="128">
        <v>1.36</v>
      </c>
      <c r="AG50" s="128">
        <v>1.37</v>
      </c>
      <c r="AH50" s="128">
        <v>1.38</v>
      </c>
      <c r="AI50" s="128">
        <v>1.38</v>
      </c>
      <c r="AJ50" s="128">
        <v>1.39</v>
      </c>
      <c r="AK50" s="128">
        <v>1.4</v>
      </c>
      <c r="AL50" s="128">
        <v>1.4</v>
      </c>
      <c r="AM50" s="128">
        <v>1.41</v>
      </c>
      <c r="AN50" s="128">
        <v>1.42</v>
      </c>
      <c r="AO50" s="128">
        <v>1.42</v>
      </c>
      <c r="AP50" s="128">
        <v>1.43</v>
      </c>
      <c r="AQ50" s="128">
        <v>1.44</v>
      </c>
      <c r="AR50" s="128">
        <v>1.44</v>
      </c>
      <c r="AS50" s="128">
        <v>1.45</v>
      </c>
      <c r="AT50" s="128">
        <v>1.45</v>
      </c>
      <c r="AU50" s="128">
        <v>1.46</v>
      </c>
      <c r="AV50" s="128">
        <v>1.46</v>
      </c>
      <c r="AW50" s="128">
        <v>1.47</v>
      </c>
      <c r="AX50" s="128">
        <v>1.47</v>
      </c>
      <c r="AY50" s="128">
        <v>1.48</v>
      </c>
      <c r="AZ50" s="128">
        <v>1.48</v>
      </c>
      <c r="BA50" s="128">
        <v>1.48</v>
      </c>
      <c r="BB50" s="128">
        <v>1.47</v>
      </c>
      <c r="BC50" s="128">
        <v>1.47</v>
      </c>
      <c r="BD50" s="128">
        <v>1.47</v>
      </c>
      <c r="BE50" s="128">
        <v>1.47</v>
      </c>
      <c r="BF50" s="128">
        <v>1.47</v>
      </c>
      <c r="BG50" s="128">
        <v>1.47</v>
      </c>
      <c r="BH50" s="128">
        <v>1.47</v>
      </c>
      <c r="BI50" s="128">
        <v>1.47</v>
      </c>
      <c r="BJ50" s="128">
        <v>1.47</v>
      </c>
      <c r="BK50" s="128">
        <v>1.47</v>
      </c>
      <c r="BL50" s="128">
        <v>1.47</v>
      </c>
      <c r="BM50" s="128">
        <v>1.47</v>
      </c>
      <c r="BN50" s="128">
        <v>1.47</v>
      </c>
      <c r="BO50" s="128">
        <v>1.47</v>
      </c>
      <c r="BP50" s="128">
        <v>1.47</v>
      </c>
      <c r="BQ50" s="128">
        <v>1.47</v>
      </c>
      <c r="BR50" s="128">
        <v>1.47</v>
      </c>
      <c r="BS50" s="128">
        <v>1.47</v>
      </c>
      <c r="BT50" s="128">
        <v>1.47</v>
      </c>
      <c r="BU50" s="128">
        <v>1.47</v>
      </c>
      <c r="BV50" s="128">
        <v>1.47</v>
      </c>
      <c r="BW50" s="128">
        <v>1.47</v>
      </c>
      <c r="BX50" s="128">
        <v>1.47</v>
      </c>
      <c r="BY50" s="128">
        <v>1.47</v>
      </c>
      <c r="BZ50" s="128">
        <v>1.47</v>
      </c>
      <c r="CA50" s="128">
        <v>1.47</v>
      </c>
      <c r="CB50" s="128">
        <v>1.47</v>
      </c>
      <c r="CC50" s="128">
        <v>1.47</v>
      </c>
      <c r="CD50" s="128">
        <v>1.47</v>
      </c>
      <c r="CE50" s="128">
        <v>1.47</v>
      </c>
      <c r="CF50" s="128">
        <v>1.47</v>
      </c>
      <c r="CG50" s="128">
        <v>1.47</v>
      </c>
      <c r="CH50" s="128">
        <v>1.47</v>
      </c>
      <c r="CI50" s="128">
        <v>1.47</v>
      </c>
      <c r="CJ50" s="128">
        <v>1.47</v>
      </c>
      <c r="CK50" s="128">
        <v>1.47</v>
      </c>
      <c r="CL50" s="128">
        <v>1.47</v>
      </c>
      <c r="CM50" s="128">
        <v>1.47</v>
      </c>
      <c r="CN50" s="128">
        <v>1.47</v>
      </c>
      <c r="CO50" s="128">
        <v>1.47</v>
      </c>
      <c r="CP50" s="128">
        <v>1.47</v>
      </c>
      <c r="CQ50" s="128">
        <v>1.47</v>
      </c>
      <c r="CR50" s="128">
        <v>1.47</v>
      </c>
      <c r="CS50" s="128">
        <v>1.47</v>
      </c>
      <c r="CT50" s="128">
        <v>1.47</v>
      </c>
      <c r="CU50" s="128">
        <v>1.47</v>
      </c>
      <c r="CV50" s="128">
        <v>1.47</v>
      </c>
      <c r="CW50" s="128">
        <v>1.47</v>
      </c>
      <c r="CX50" s="128">
        <v>1.47</v>
      </c>
      <c r="CZ50" s="126">
        <f>SUMIF(MatrixF1[[1]:[2]],MatrixF1[[#This Row],[Столбец1]])/MatrixF1[[#This Row],[Столбец1]]</f>
        <v>116.99999999999993</v>
      </c>
    </row>
    <row r="51" spans="1:104" ht="21" customHeight="1" x14ac:dyDescent="0.25">
      <c r="A51" s="127">
        <v>1.48</v>
      </c>
      <c r="B51" s="128">
        <v>1</v>
      </c>
      <c r="C51" s="128">
        <v>1.02</v>
      </c>
      <c r="D51" s="128">
        <v>1.04</v>
      </c>
      <c r="E51" s="128">
        <v>1.05</v>
      </c>
      <c r="F51" s="128">
        <v>1.07</v>
      </c>
      <c r="G51" s="128">
        <v>1.0900000000000001</v>
      </c>
      <c r="H51" s="128">
        <v>1.1000000000000001</v>
      </c>
      <c r="I51" s="128">
        <v>1.1200000000000001</v>
      </c>
      <c r="J51" s="128">
        <v>1.1299999999999999</v>
      </c>
      <c r="K51" s="128">
        <v>1.1499999999999999</v>
      </c>
      <c r="L51" s="128">
        <v>1.1599999999999999</v>
      </c>
      <c r="M51" s="128">
        <v>1.17</v>
      </c>
      <c r="N51" s="128">
        <v>1.19</v>
      </c>
      <c r="O51" s="128">
        <v>1.2</v>
      </c>
      <c r="P51" s="128">
        <v>1.21</v>
      </c>
      <c r="Q51" s="128">
        <v>1.22</v>
      </c>
      <c r="R51" s="128">
        <v>1.24</v>
      </c>
      <c r="S51" s="128">
        <v>1.25</v>
      </c>
      <c r="T51" s="128">
        <v>1.26</v>
      </c>
      <c r="U51" s="128">
        <v>1.27</v>
      </c>
      <c r="V51" s="128">
        <v>1.28</v>
      </c>
      <c r="W51" s="128">
        <v>1.29</v>
      </c>
      <c r="X51" s="128">
        <v>1.3</v>
      </c>
      <c r="Y51" s="128">
        <v>1.31</v>
      </c>
      <c r="Z51" s="128">
        <v>1.32</v>
      </c>
      <c r="AA51" s="128">
        <v>1.32</v>
      </c>
      <c r="AB51" s="128">
        <v>1.33</v>
      </c>
      <c r="AC51" s="128">
        <v>1.34</v>
      </c>
      <c r="AD51" s="128">
        <v>1.35</v>
      </c>
      <c r="AE51" s="128">
        <v>1.36</v>
      </c>
      <c r="AF51" s="128">
        <v>1.37</v>
      </c>
      <c r="AG51" s="128">
        <v>1.37</v>
      </c>
      <c r="AH51" s="128">
        <v>1.38</v>
      </c>
      <c r="AI51" s="128">
        <v>1.39</v>
      </c>
      <c r="AJ51" s="128">
        <v>1.4</v>
      </c>
      <c r="AK51" s="128">
        <v>1.4</v>
      </c>
      <c r="AL51" s="128">
        <v>1.41</v>
      </c>
      <c r="AM51" s="128">
        <v>1.42</v>
      </c>
      <c r="AN51" s="128">
        <v>1.42</v>
      </c>
      <c r="AO51" s="128">
        <v>1.43</v>
      </c>
      <c r="AP51" s="128">
        <v>1.43</v>
      </c>
      <c r="AQ51" s="128">
        <v>1.44</v>
      </c>
      <c r="AR51" s="128">
        <v>1.45</v>
      </c>
      <c r="AS51" s="128">
        <v>1.45</v>
      </c>
      <c r="AT51" s="128">
        <v>1.46</v>
      </c>
      <c r="AU51" s="128">
        <v>1.46</v>
      </c>
      <c r="AV51" s="128">
        <v>1.47</v>
      </c>
      <c r="AW51" s="128">
        <v>1.47</v>
      </c>
      <c r="AX51" s="128">
        <v>1.48</v>
      </c>
      <c r="AY51" s="128">
        <v>1.48</v>
      </c>
      <c r="AZ51" s="128">
        <v>1.49</v>
      </c>
      <c r="BA51" s="128">
        <v>1.48</v>
      </c>
      <c r="BB51" s="128">
        <v>1.48</v>
      </c>
      <c r="BC51" s="128">
        <v>1.48</v>
      </c>
      <c r="BD51" s="128">
        <v>1.48</v>
      </c>
      <c r="BE51" s="128">
        <v>1.48</v>
      </c>
      <c r="BF51" s="128">
        <v>1.48</v>
      </c>
      <c r="BG51" s="128">
        <v>1.48</v>
      </c>
      <c r="BH51" s="128">
        <v>1.48</v>
      </c>
      <c r="BI51" s="128">
        <v>1.48</v>
      </c>
      <c r="BJ51" s="128">
        <v>1.48</v>
      </c>
      <c r="BK51" s="128">
        <v>1.48</v>
      </c>
      <c r="BL51" s="128">
        <v>1.48</v>
      </c>
      <c r="BM51" s="128">
        <v>1.48</v>
      </c>
      <c r="BN51" s="128">
        <v>1.48</v>
      </c>
      <c r="BO51" s="128">
        <v>1.48</v>
      </c>
      <c r="BP51" s="128">
        <v>1.48</v>
      </c>
      <c r="BQ51" s="128">
        <v>1.48</v>
      </c>
      <c r="BR51" s="128">
        <v>1.48</v>
      </c>
      <c r="BS51" s="128">
        <v>1.48</v>
      </c>
      <c r="BT51" s="128">
        <v>1.48</v>
      </c>
      <c r="BU51" s="128">
        <v>1.48</v>
      </c>
      <c r="BV51" s="128">
        <v>1.48</v>
      </c>
      <c r="BW51" s="128">
        <v>1.48</v>
      </c>
      <c r="BX51" s="128">
        <v>1.48</v>
      </c>
      <c r="BY51" s="128">
        <v>1.48</v>
      </c>
      <c r="BZ51" s="128">
        <v>1.48</v>
      </c>
      <c r="CA51" s="128">
        <v>1.48</v>
      </c>
      <c r="CB51" s="128">
        <v>1.48</v>
      </c>
      <c r="CC51" s="128">
        <v>1.48</v>
      </c>
      <c r="CD51" s="128">
        <v>1.48</v>
      </c>
      <c r="CE51" s="128">
        <v>1.48</v>
      </c>
      <c r="CF51" s="128">
        <v>1.48</v>
      </c>
      <c r="CG51" s="128">
        <v>1.48</v>
      </c>
      <c r="CH51" s="128">
        <v>1.48</v>
      </c>
      <c r="CI51" s="128">
        <v>1.48</v>
      </c>
      <c r="CJ51" s="128">
        <v>1.48</v>
      </c>
      <c r="CK51" s="128">
        <v>1.48</v>
      </c>
      <c r="CL51" s="128">
        <v>1.48</v>
      </c>
      <c r="CM51" s="128">
        <v>1.48</v>
      </c>
      <c r="CN51" s="128">
        <v>1.48</v>
      </c>
      <c r="CO51" s="128">
        <v>1.48</v>
      </c>
      <c r="CP51" s="128">
        <v>1.48</v>
      </c>
      <c r="CQ51" s="128">
        <v>1.48</v>
      </c>
      <c r="CR51" s="128">
        <v>1.48</v>
      </c>
      <c r="CS51" s="128">
        <v>1.48</v>
      </c>
      <c r="CT51" s="128">
        <v>1.48</v>
      </c>
      <c r="CU51" s="128">
        <v>1.48</v>
      </c>
      <c r="CV51" s="128">
        <v>1.48</v>
      </c>
      <c r="CW51" s="128">
        <v>1.48</v>
      </c>
      <c r="CX51" s="128">
        <v>1.48</v>
      </c>
      <c r="CZ51" s="126">
        <f>SUMIF(MatrixF1[[1]:[2]],MatrixF1[[#This Row],[Столбец1]])/MatrixF1[[#This Row],[Столбец1]]</f>
        <v>110.9999999999999</v>
      </c>
    </row>
    <row r="52" spans="1:104" ht="21" customHeight="1" x14ac:dyDescent="0.25">
      <c r="A52" s="127">
        <v>1.49</v>
      </c>
      <c r="B52" s="128">
        <v>1</v>
      </c>
      <c r="C52" s="128">
        <v>1.02</v>
      </c>
      <c r="D52" s="128">
        <v>1.04</v>
      </c>
      <c r="E52" s="128">
        <v>1.06</v>
      </c>
      <c r="F52" s="128">
        <v>1.07</v>
      </c>
      <c r="G52" s="128">
        <v>1.0900000000000001</v>
      </c>
      <c r="H52" s="128">
        <v>1.1100000000000001</v>
      </c>
      <c r="I52" s="128">
        <v>1.1200000000000001</v>
      </c>
      <c r="J52" s="128">
        <v>1.1399999999999999</v>
      </c>
      <c r="K52" s="128">
        <v>1.1499999999999999</v>
      </c>
      <c r="L52" s="128">
        <v>1.1599999999999999</v>
      </c>
      <c r="M52" s="128">
        <v>1.18</v>
      </c>
      <c r="N52" s="128">
        <v>1.19</v>
      </c>
      <c r="O52" s="128">
        <v>1.2</v>
      </c>
      <c r="P52" s="128">
        <v>1.22</v>
      </c>
      <c r="Q52" s="128">
        <v>1.23</v>
      </c>
      <c r="R52" s="128">
        <v>1.24</v>
      </c>
      <c r="S52" s="128">
        <v>1.25</v>
      </c>
      <c r="T52" s="128">
        <v>1.26</v>
      </c>
      <c r="U52" s="128">
        <v>1.27</v>
      </c>
      <c r="V52" s="128">
        <v>1.28</v>
      </c>
      <c r="W52" s="128">
        <v>1.29</v>
      </c>
      <c r="X52" s="128">
        <v>1.3</v>
      </c>
      <c r="Y52" s="128">
        <v>1.31</v>
      </c>
      <c r="Z52" s="128">
        <v>1.32</v>
      </c>
      <c r="AA52" s="128">
        <v>1.33</v>
      </c>
      <c r="AB52" s="128">
        <v>1.34</v>
      </c>
      <c r="AC52" s="128">
        <v>1.35</v>
      </c>
      <c r="AD52" s="128">
        <v>1.35</v>
      </c>
      <c r="AE52" s="128">
        <v>1.36</v>
      </c>
      <c r="AF52" s="128">
        <v>1.37</v>
      </c>
      <c r="AG52" s="128">
        <v>1.38</v>
      </c>
      <c r="AH52" s="128">
        <v>1.39</v>
      </c>
      <c r="AI52" s="128">
        <v>1.39</v>
      </c>
      <c r="AJ52" s="128">
        <v>1.4</v>
      </c>
      <c r="AK52" s="128">
        <v>1.41</v>
      </c>
      <c r="AL52" s="128">
        <v>1.41</v>
      </c>
      <c r="AM52" s="128">
        <v>1.42</v>
      </c>
      <c r="AN52" s="128">
        <v>1.43</v>
      </c>
      <c r="AO52" s="128">
        <v>1.43</v>
      </c>
      <c r="AP52" s="128">
        <v>1.44</v>
      </c>
      <c r="AQ52" s="128">
        <v>1.45</v>
      </c>
      <c r="AR52" s="128">
        <v>1.45</v>
      </c>
      <c r="AS52" s="128">
        <v>1.46</v>
      </c>
      <c r="AT52" s="128">
        <v>1.46</v>
      </c>
      <c r="AU52" s="128">
        <v>1.47</v>
      </c>
      <c r="AV52" s="128">
        <v>1.47</v>
      </c>
      <c r="AW52" s="128">
        <v>1.48</v>
      </c>
      <c r="AX52" s="128">
        <v>1.48</v>
      </c>
      <c r="AY52" s="128">
        <v>1.49</v>
      </c>
      <c r="AZ52" s="128">
        <v>1.49</v>
      </c>
      <c r="BA52" s="128">
        <v>1.49</v>
      </c>
      <c r="BB52" s="128">
        <v>1.49</v>
      </c>
      <c r="BC52" s="128">
        <v>1.49</v>
      </c>
      <c r="BD52" s="128">
        <v>1.49</v>
      </c>
      <c r="BE52" s="128">
        <v>1.49</v>
      </c>
      <c r="BF52" s="128">
        <v>1.49</v>
      </c>
      <c r="BG52" s="128">
        <v>1.49</v>
      </c>
      <c r="BH52" s="128">
        <v>1.49</v>
      </c>
      <c r="BI52" s="128">
        <v>1.49</v>
      </c>
      <c r="BJ52" s="128">
        <v>1.49</v>
      </c>
      <c r="BK52" s="128">
        <v>1.49</v>
      </c>
      <c r="BL52" s="128">
        <v>1.49</v>
      </c>
      <c r="BM52" s="128">
        <v>1.49</v>
      </c>
      <c r="BN52" s="128">
        <v>1.49</v>
      </c>
      <c r="BO52" s="128">
        <v>1.49</v>
      </c>
      <c r="BP52" s="128">
        <v>1.49</v>
      </c>
      <c r="BQ52" s="128">
        <v>1.49</v>
      </c>
      <c r="BR52" s="128">
        <v>1.49</v>
      </c>
      <c r="BS52" s="128">
        <v>1.49</v>
      </c>
      <c r="BT52" s="128">
        <v>1.49</v>
      </c>
      <c r="BU52" s="128">
        <v>1.49</v>
      </c>
      <c r="BV52" s="128">
        <v>1.49</v>
      </c>
      <c r="BW52" s="128">
        <v>1.49</v>
      </c>
      <c r="BX52" s="128">
        <v>1.49</v>
      </c>
      <c r="BY52" s="128">
        <v>1.49</v>
      </c>
      <c r="BZ52" s="128">
        <v>1.49</v>
      </c>
      <c r="CA52" s="128">
        <v>1.49</v>
      </c>
      <c r="CB52" s="128">
        <v>1.49</v>
      </c>
      <c r="CC52" s="128">
        <v>1.49</v>
      </c>
      <c r="CD52" s="128">
        <v>1.49</v>
      </c>
      <c r="CE52" s="128">
        <v>1.49</v>
      </c>
      <c r="CF52" s="128">
        <v>1.49</v>
      </c>
      <c r="CG52" s="128">
        <v>1.49</v>
      </c>
      <c r="CH52" s="128">
        <v>1.49</v>
      </c>
      <c r="CI52" s="128">
        <v>1.49</v>
      </c>
      <c r="CJ52" s="128">
        <v>1.49</v>
      </c>
      <c r="CK52" s="128">
        <v>1.49</v>
      </c>
      <c r="CL52" s="128">
        <v>1.49</v>
      </c>
      <c r="CM52" s="128">
        <v>1.49</v>
      </c>
      <c r="CN52" s="128">
        <v>1.49</v>
      </c>
      <c r="CO52" s="128">
        <v>1.49</v>
      </c>
      <c r="CP52" s="128">
        <v>1.49</v>
      </c>
      <c r="CQ52" s="128">
        <v>1.49</v>
      </c>
      <c r="CR52" s="128">
        <v>1.49</v>
      </c>
      <c r="CS52" s="128">
        <v>1.49</v>
      </c>
      <c r="CT52" s="128">
        <v>1.49</v>
      </c>
      <c r="CU52" s="128">
        <v>1.49</v>
      </c>
      <c r="CV52" s="128">
        <v>1.49</v>
      </c>
      <c r="CW52" s="128">
        <v>1.49</v>
      </c>
      <c r="CX52" s="128">
        <v>1.49</v>
      </c>
      <c r="CZ52" s="126">
        <f>SUMIF(MatrixF1[[1]:[2]],MatrixF1[[#This Row],[Столбец1]])/MatrixF1[[#This Row],[Столбец1]]</f>
        <v>105</v>
      </c>
    </row>
    <row r="53" spans="1:104" ht="21" customHeight="1" x14ac:dyDescent="0.25">
      <c r="A53" s="127">
        <v>1.5</v>
      </c>
      <c r="B53" s="128">
        <v>1</v>
      </c>
      <c r="C53" s="128">
        <v>1.02</v>
      </c>
      <c r="D53" s="128">
        <v>1.04</v>
      </c>
      <c r="E53" s="128">
        <v>1.06</v>
      </c>
      <c r="F53" s="128">
        <v>1.07</v>
      </c>
      <c r="G53" s="128">
        <v>1.0900000000000001</v>
      </c>
      <c r="H53" s="128">
        <v>1.1100000000000001</v>
      </c>
      <c r="I53" s="128">
        <v>1.1200000000000001</v>
      </c>
      <c r="J53" s="128">
        <v>1.1399999999999999</v>
      </c>
      <c r="K53" s="128">
        <v>1.1499999999999999</v>
      </c>
      <c r="L53" s="128">
        <v>1.17</v>
      </c>
      <c r="M53" s="128">
        <v>1.18</v>
      </c>
      <c r="N53" s="128">
        <v>1.19</v>
      </c>
      <c r="O53" s="128">
        <v>1.21</v>
      </c>
      <c r="P53" s="128">
        <v>1.22</v>
      </c>
      <c r="Q53" s="128">
        <v>1.23</v>
      </c>
      <c r="R53" s="128">
        <v>1.24</v>
      </c>
      <c r="S53" s="128">
        <v>1.25</v>
      </c>
      <c r="T53" s="128">
        <v>1.26</v>
      </c>
      <c r="U53" s="128">
        <v>1.28</v>
      </c>
      <c r="V53" s="128">
        <v>1.29</v>
      </c>
      <c r="W53" s="128">
        <v>1.3</v>
      </c>
      <c r="X53" s="128">
        <v>1.31</v>
      </c>
      <c r="Y53" s="128">
        <v>1.32</v>
      </c>
      <c r="Z53" s="128">
        <v>1.32</v>
      </c>
      <c r="AA53" s="128">
        <v>1.33</v>
      </c>
      <c r="AB53" s="128">
        <v>1.34</v>
      </c>
      <c r="AC53" s="128">
        <v>1.35</v>
      </c>
      <c r="AD53" s="128">
        <v>1.36</v>
      </c>
      <c r="AE53" s="128">
        <v>1.37</v>
      </c>
      <c r="AF53" s="128">
        <v>1.38</v>
      </c>
      <c r="AG53" s="128">
        <v>1.38</v>
      </c>
      <c r="AH53" s="128">
        <v>1.39</v>
      </c>
      <c r="AI53" s="128">
        <v>1.4</v>
      </c>
      <c r="AJ53" s="128">
        <v>1.4</v>
      </c>
      <c r="AK53" s="128">
        <v>1.41</v>
      </c>
      <c r="AL53" s="128">
        <v>1.42</v>
      </c>
      <c r="AM53" s="128">
        <v>1.43</v>
      </c>
      <c r="AN53" s="128">
        <v>1.43</v>
      </c>
      <c r="AO53" s="128">
        <v>1.44</v>
      </c>
      <c r="AP53" s="128">
        <v>1.44</v>
      </c>
      <c r="AQ53" s="128">
        <v>1.45</v>
      </c>
      <c r="AR53" s="128">
        <v>1.46</v>
      </c>
      <c r="AS53" s="128">
        <v>1.46</v>
      </c>
      <c r="AT53" s="128">
        <v>1.47</v>
      </c>
      <c r="AU53" s="128">
        <v>1.47</v>
      </c>
      <c r="AV53" s="128">
        <v>1.48</v>
      </c>
      <c r="AW53" s="128">
        <v>1.48</v>
      </c>
      <c r="AX53" s="128">
        <v>1.49</v>
      </c>
      <c r="AY53" s="128">
        <v>1.49</v>
      </c>
      <c r="AZ53" s="128">
        <v>1.5</v>
      </c>
      <c r="BA53" s="128">
        <v>1.5</v>
      </c>
      <c r="BB53" s="128">
        <v>1.5</v>
      </c>
      <c r="BC53" s="128">
        <v>1.5</v>
      </c>
      <c r="BD53" s="128">
        <v>1.5</v>
      </c>
      <c r="BE53" s="128">
        <v>1.5</v>
      </c>
      <c r="BF53" s="128">
        <v>1.5</v>
      </c>
      <c r="BG53" s="128">
        <v>1.5</v>
      </c>
      <c r="BH53" s="128">
        <v>1.5</v>
      </c>
      <c r="BI53" s="128">
        <v>1.5</v>
      </c>
      <c r="BJ53" s="128">
        <v>1.5</v>
      </c>
      <c r="BK53" s="128">
        <v>1.5</v>
      </c>
      <c r="BL53" s="128">
        <v>1.5</v>
      </c>
      <c r="BM53" s="128">
        <v>1.5</v>
      </c>
      <c r="BN53" s="128">
        <v>1.5</v>
      </c>
      <c r="BO53" s="128">
        <v>1.5</v>
      </c>
      <c r="BP53" s="128">
        <v>1.5</v>
      </c>
      <c r="BQ53" s="128">
        <v>1.5</v>
      </c>
      <c r="BR53" s="128">
        <v>1.5</v>
      </c>
      <c r="BS53" s="128">
        <v>1.5</v>
      </c>
      <c r="BT53" s="128">
        <v>1.5</v>
      </c>
      <c r="BU53" s="128">
        <v>1.5</v>
      </c>
      <c r="BV53" s="128">
        <v>1.5</v>
      </c>
      <c r="BW53" s="128">
        <v>1.5</v>
      </c>
      <c r="BX53" s="128">
        <v>1.5</v>
      </c>
      <c r="BY53" s="128">
        <v>1.5</v>
      </c>
      <c r="BZ53" s="128">
        <v>1.5</v>
      </c>
      <c r="CA53" s="128">
        <v>1.5</v>
      </c>
      <c r="CB53" s="128">
        <v>1.5</v>
      </c>
      <c r="CC53" s="128">
        <v>1.5</v>
      </c>
      <c r="CD53" s="128">
        <v>1.5</v>
      </c>
      <c r="CE53" s="128">
        <v>1.5</v>
      </c>
      <c r="CF53" s="128">
        <v>1.5</v>
      </c>
      <c r="CG53" s="128">
        <v>1.5</v>
      </c>
      <c r="CH53" s="128">
        <v>1.5</v>
      </c>
      <c r="CI53" s="128">
        <v>1.5</v>
      </c>
      <c r="CJ53" s="128">
        <v>1.5</v>
      </c>
      <c r="CK53" s="128">
        <v>1.5</v>
      </c>
      <c r="CL53" s="128">
        <v>1.5</v>
      </c>
      <c r="CM53" s="128">
        <v>1.5</v>
      </c>
      <c r="CN53" s="128">
        <v>1.5</v>
      </c>
      <c r="CO53" s="128">
        <v>1.5</v>
      </c>
      <c r="CP53" s="128">
        <v>1.5</v>
      </c>
      <c r="CQ53" s="128">
        <v>1.5</v>
      </c>
      <c r="CR53" s="128">
        <v>1.5</v>
      </c>
      <c r="CS53" s="128">
        <v>1.5</v>
      </c>
      <c r="CT53" s="128">
        <v>1.5</v>
      </c>
      <c r="CU53" s="128">
        <v>1.5</v>
      </c>
      <c r="CV53" s="128">
        <v>1.5</v>
      </c>
      <c r="CW53" s="128">
        <v>1.5</v>
      </c>
      <c r="CX53" s="128">
        <v>1.5</v>
      </c>
      <c r="CZ53" s="126">
        <f>SUMIF(MatrixF1[[1]:[2]],MatrixF1[[#This Row],[Столбец1]])/MatrixF1[[#This Row],[Столбец1]]</f>
        <v>101</v>
      </c>
    </row>
    <row r="54" spans="1:104" ht="21" customHeight="1" x14ac:dyDescent="0.25">
      <c r="A54" s="127">
        <v>1.51</v>
      </c>
      <c r="B54" s="128">
        <v>1</v>
      </c>
      <c r="C54" s="128">
        <v>1.02</v>
      </c>
      <c r="D54" s="128">
        <v>1.04</v>
      </c>
      <c r="E54" s="128">
        <v>1.06</v>
      </c>
      <c r="F54" s="128">
        <v>1.07</v>
      </c>
      <c r="G54" s="128">
        <v>1.0900000000000001</v>
      </c>
      <c r="H54" s="128">
        <v>1.1100000000000001</v>
      </c>
      <c r="I54" s="128">
        <v>1.1200000000000001</v>
      </c>
      <c r="J54" s="128">
        <v>1.1399999999999999</v>
      </c>
      <c r="K54" s="128">
        <v>1.1499999999999999</v>
      </c>
      <c r="L54" s="128">
        <v>1.1599999999999999</v>
      </c>
      <c r="M54" s="128">
        <v>1.18</v>
      </c>
      <c r="N54" s="128">
        <v>1.19</v>
      </c>
      <c r="O54" s="128">
        <v>1.2</v>
      </c>
      <c r="P54" s="128">
        <v>1.22</v>
      </c>
      <c r="Q54" s="128">
        <v>1.23</v>
      </c>
      <c r="R54" s="128">
        <v>1.24</v>
      </c>
      <c r="S54" s="128">
        <v>1.25</v>
      </c>
      <c r="T54" s="128">
        <v>1.26</v>
      </c>
      <c r="U54" s="128">
        <v>1.27</v>
      </c>
      <c r="V54" s="128">
        <v>1.28</v>
      </c>
      <c r="W54" s="128">
        <v>1.29</v>
      </c>
      <c r="X54" s="128">
        <v>1.3</v>
      </c>
      <c r="Y54" s="128">
        <v>1.31</v>
      </c>
      <c r="Z54" s="128">
        <v>1.32</v>
      </c>
      <c r="AA54" s="128">
        <v>1.33</v>
      </c>
      <c r="AB54" s="128">
        <v>1.34</v>
      </c>
      <c r="AC54" s="128">
        <v>1.35</v>
      </c>
      <c r="AD54" s="128">
        <v>1.35</v>
      </c>
      <c r="AE54" s="128">
        <v>1.36</v>
      </c>
      <c r="AF54" s="128">
        <v>1.37</v>
      </c>
      <c r="AG54" s="128">
        <v>1.38</v>
      </c>
      <c r="AH54" s="128">
        <v>1.39</v>
      </c>
      <c r="AI54" s="128">
        <v>1.39</v>
      </c>
      <c r="AJ54" s="128">
        <v>1.4</v>
      </c>
      <c r="AK54" s="128">
        <v>1.41</v>
      </c>
      <c r="AL54" s="128">
        <v>1.41</v>
      </c>
      <c r="AM54" s="128">
        <v>1.42</v>
      </c>
      <c r="AN54" s="128">
        <v>1.43</v>
      </c>
      <c r="AO54" s="128">
        <v>1.43</v>
      </c>
      <c r="AP54" s="128">
        <v>1.44</v>
      </c>
      <c r="AQ54" s="128">
        <v>1.45</v>
      </c>
      <c r="AR54" s="128">
        <v>1.45</v>
      </c>
      <c r="AS54" s="128">
        <v>1.46</v>
      </c>
      <c r="AT54" s="128">
        <v>1.46</v>
      </c>
      <c r="AU54" s="128">
        <v>1.47</v>
      </c>
      <c r="AV54" s="128">
        <v>1.47</v>
      </c>
      <c r="AW54" s="128">
        <v>1.48</v>
      </c>
      <c r="AX54" s="128">
        <v>1.48</v>
      </c>
      <c r="AY54" s="128">
        <v>1.49</v>
      </c>
      <c r="AZ54" s="128">
        <v>1.5</v>
      </c>
      <c r="BA54" s="128">
        <v>1.51</v>
      </c>
      <c r="BB54" s="128">
        <v>1.51</v>
      </c>
      <c r="BC54" s="128">
        <v>1.51</v>
      </c>
      <c r="BD54" s="128">
        <v>1.51</v>
      </c>
      <c r="BE54" s="128">
        <v>1.51</v>
      </c>
      <c r="BF54" s="128">
        <v>1.51</v>
      </c>
      <c r="BG54" s="128">
        <v>1.51</v>
      </c>
      <c r="BH54" s="128">
        <v>1.51</v>
      </c>
      <c r="BI54" s="128">
        <v>1.51</v>
      </c>
      <c r="BJ54" s="128">
        <v>1.51</v>
      </c>
      <c r="BK54" s="128">
        <v>1.51</v>
      </c>
      <c r="BL54" s="128">
        <v>1.51</v>
      </c>
      <c r="BM54" s="128">
        <v>1.51</v>
      </c>
      <c r="BN54" s="128">
        <v>1.51</v>
      </c>
      <c r="BO54" s="128">
        <v>1.51</v>
      </c>
      <c r="BP54" s="128">
        <v>1.51</v>
      </c>
      <c r="BQ54" s="128">
        <v>1.51</v>
      </c>
      <c r="BR54" s="128">
        <v>1.51</v>
      </c>
      <c r="BS54" s="128">
        <v>1.51</v>
      </c>
      <c r="BT54" s="128">
        <v>1.51</v>
      </c>
      <c r="BU54" s="128">
        <v>1.51</v>
      </c>
      <c r="BV54" s="128">
        <v>1.51</v>
      </c>
      <c r="BW54" s="128">
        <v>1.51</v>
      </c>
      <c r="BX54" s="128">
        <v>1.51</v>
      </c>
      <c r="BY54" s="128">
        <v>1.51</v>
      </c>
      <c r="BZ54" s="128">
        <v>1.51</v>
      </c>
      <c r="CA54" s="128">
        <v>1.51</v>
      </c>
      <c r="CB54" s="128">
        <v>1.51</v>
      </c>
      <c r="CC54" s="128">
        <v>1.51</v>
      </c>
      <c r="CD54" s="128">
        <v>1.51</v>
      </c>
      <c r="CE54" s="128">
        <v>1.51</v>
      </c>
      <c r="CF54" s="128">
        <v>1.51</v>
      </c>
      <c r="CG54" s="128">
        <v>1.51</v>
      </c>
      <c r="CH54" s="128">
        <v>1.51</v>
      </c>
      <c r="CI54" s="128">
        <v>1.51</v>
      </c>
      <c r="CJ54" s="128">
        <v>1.51</v>
      </c>
      <c r="CK54" s="128">
        <v>1.51</v>
      </c>
      <c r="CL54" s="128">
        <v>1.51</v>
      </c>
      <c r="CM54" s="128">
        <v>1.51</v>
      </c>
      <c r="CN54" s="128">
        <v>1.51</v>
      </c>
      <c r="CO54" s="128">
        <v>1.51</v>
      </c>
      <c r="CP54" s="128">
        <v>1.51</v>
      </c>
      <c r="CQ54" s="128">
        <v>1.51</v>
      </c>
      <c r="CR54" s="128">
        <v>1.51</v>
      </c>
      <c r="CS54" s="128">
        <v>1.51</v>
      </c>
      <c r="CT54" s="128">
        <v>1.51</v>
      </c>
      <c r="CU54" s="128">
        <v>1.51</v>
      </c>
      <c r="CV54" s="128">
        <v>1.51</v>
      </c>
      <c r="CW54" s="128">
        <v>1.51</v>
      </c>
      <c r="CX54" s="128">
        <v>1.51</v>
      </c>
      <c r="CZ54" s="126">
        <f>SUMIF(MatrixF1[[1]:[2]],MatrixF1[[#This Row],[Столбец1]])/MatrixF1[[#This Row],[Столбец1]]</f>
        <v>99.000000000000043</v>
      </c>
    </row>
    <row r="55" spans="1:104" ht="21" customHeight="1" x14ac:dyDescent="0.25">
      <c r="A55" s="127">
        <v>1.52</v>
      </c>
      <c r="B55" s="128">
        <v>1</v>
      </c>
      <c r="C55" s="128">
        <v>1.02</v>
      </c>
      <c r="D55" s="128">
        <v>1.04</v>
      </c>
      <c r="E55" s="128">
        <v>1.05</v>
      </c>
      <c r="F55" s="128">
        <v>1.07</v>
      </c>
      <c r="G55" s="128">
        <v>1.0900000000000001</v>
      </c>
      <c r="H55" s="128">
        <v>1.1000000000000001</v>
      </c>
      <c r="I55" s="128">
        <v>1.1200000000000001</v>
      </c>
      <c r="J55" s="128">
        <v>1.1299999999999999</v>
      </c>
      <c r="K55" s="128">
        <v>1.1499999999999999</v>
      </c>
      <c r="L55" s="128">
        <v>1.1599999999999999</v>
      </c>
      <c r="M55" s="128">
        <v>1.17</v>
      </c>
      <c r="N55" s="128">
        <v>1.19</v>
      </c>
      <c r="O55" s="128">
        <v>1.2</v>
      </c>
      <c r="P55" s="128">
        <v>1.21</v>
      </c>
      <c r="Q55" s="128">
        <v>1.22</v>
      </c>
      <c r="R55" s="128">
        <v>1.24</v>
      </c>
      <c r="S55" s="128">
        <v>1.25</v>
      </c>
      <c r="T55" s="128">
        <v>1.26</v>
      </c>
      <c r="U55" s="128">
        <v>1.27</v>
      </c>
      <c r="V55" s="128">
        <v>1.28</v>
      </c>
      <c r="W55" s="128">
        <v>1.29</v>
      </c>
      <c r="X55" s="128">
        <v>1.3</v>
      </c>
      <c r="Y55" s="128">
        <v>1.31</v>
      </c>
      <c r="Z55" s="128">
        <v>1.32</v>
      </c>
      <c r="AA55" s="128">
        <v>1.32</v>
      </c>
      <c r="AB55" s="128">
        <v>1.33</v>
      </c>
      <c r="AC55" s="128">
        <v>1.34</v>
      </c>
      <c r="AD55" s="128">
        <v>1.35</v>
      </c>
      <c r="AE55" s="128">
        <v>1.36</v>
      </c>
      <c r="AF55" s="128">
        <v>1.37</v>
      </c>
      <c r="AG55" s="128">
        <v>1.37</v>
      </c>
      <c r="AH55" s="128">
        <v>1.38</v>
      </c>
      <c r="AI55" s="128">
        <v>1.39</v>
      </c>
      <c r="AJ55" s="128">
        <v>1.4</v>
      </c>
      <c r="AK55" s="128">
        <v>1.4</v>
      </c>
      <c r="AL55" s="128">
        <v>1.41</v>
      </c>
      <c r="AM55" s="128">
        <v>1.42</v>
      </c>
      <c r="AN55" s="128">
        <v>1.42</v>
      </c>
      <c r="AO55" s="128">
        <v>1.43</v>
      </c>
      <c r="AP55" s="128">
        <v>1.43</v>
      </c>
      <c r="AQ55" s="128">
        <v>1.44</v>
      </c>
      <c r="AR55" s="128">
        <v>1.45</v>
      </c>
      <c r="AS55" s="128">
        <v>1.45</v>
      </c>
      <c r="AT55" s="128">
        <v>1.46</v>
      </c>
      <c r="AU55" s="128">
        <v>1.46</v>
      </c>
      <c r="AV55" s="128">
        <v>1.47</v>
      </c>
      <c r="AW55" s="128">
        <v>1.47</v>
      </c>
      <c r="AX55" s="128">
        <v>1.48</v>
      </c>
      <c r="AY55" s="128">
        <v>1.49</v>
      </c>
      <c r="AZ55" s="128">
        <v>1.5</v>
      </c>
      <c r="BA55" s="128">
        <v>1.51</v>
      </c>
      <c r="BB55" s="128">
        <v>1.52</v>
      </c>
      <c r="BC55" s="128">
        <v>1.52</v>
      </c>
      <c r="BD55" s="128">
        <v>1.52</v>
      </c>
      <c r="BE55" s="128">
        <v>1.52</v>
      </c>
      <c r="BF55" s="128">
        <v>1.52</v>
      </c>
      <c r="BG55" s="128">
        <v>1.52</v>
      </c>
      <c r="BH55" s="128">
        <v>1.52</v>
      </c>
      <c r="BI55" s="128">
        <v>1.52</v>
      </c>
      <c r="BJ55" s="128">
        <v>1.52</v>
      </c>
      <c r="BK55" s="128">
        <v>1.52</v>
      </c>
      <c r="BL55" s="128">
        <v>1.52</v>
      </c>
      <c r="BM55" s="128">
        <v>1.52</v>
      </c>
      <c r="BN55" s="128">
        <v>1.52</v>
      </c>
      <c r="BO55" s="128">
        <v>1.52</v>
      </c>
      <c r="BP55" s="128">
        <v>1.52</v>
      </c>
      <c r="BQ55" s="128">
        <v>1.52</v>
      </c>
      <c r="BR55" s="128">
        <v>1.52</v>
      </c>
      <c r="BS55" s="128">
        <v>1.52</v>
      </c>
      <c r="BT55" s="128">
        <v>1.52</v>
      </c>
      <c r="BU55" s="128">
        <v>1.52</v>
      </c>
      <c r="BV55" s="128">
        <v>1.52</v>
      </c>
      <c r="BW55" s="128">
        <v>1.52</v>
      </c>
      <c r="BX55" s="128">
        <v>1.52</v>
      </c>
      <c r="BY55" s="128">
        <v>1.52</v>
      </c>
      <c r="BZ55" s="128">
        <v>1.52</v>
      </c>
      <c r="CA55" s="128">
        <v>1.52</v>
      </c>
      <c r="CB55" s="128">
        <v>1.52</v>
      </c>
      <c r="CC55" s="128">
        <v>1.52</v>
      </c>
      <c r="CD55" s="128">
        <v>1.52</v>
      </c>
      <c r="CE55" s="128">
        <v>1.52</v>
      </c>
      <c r="CF55" s="128">
        <v>1.52</v>
      </c>
      <c r="CG55" s="128">
        <v>1.52</v>
      </c>
      <c r="CH55" s="128">
        <v>1.52</v>
      </c>
      <c r="CI55" s="128">
        <v>1.52</v>
      </c>
      <c r="CJ55" s="128">
        <v>1.52</v>
      </c>
      <c r="CK55" s="128">
        <v>1.52</v>
      </c>
      <c r="CL55" s="128">
        <v>1.52</v>
      </c>
      <c r="CM55" s="128">
        <v>1.52</v>
      </c>
      <c r="CN55" s="128">
        <v>1.52</v>
      </c>
      <c r="CO55" s="128">
        <v>1.52</v>
      </c>
      <c r="CP55" s="128">
        <v>1.52</v>
      </c>
      <c r="CQ55" s="128">
        <v>1.52</v>
      </c>
      <c r="CR55" s="128">
        <v>1.52</v>
      </c>
      <c r="CS55" s="128">
        <v>1.52</v>
      </c>
      <c r="CT55" s="128">
        <v>1.52</v>
      </c>
      <c r="CU55" s="128">
        <v>1.52</v>
      </c>
      <c r="CV55" s="128">
        <v>1.52</v>
      </c>
      <c r="CW55" s="128">
        <v>1.52</v>
      </c>
      <c r="CX55" s="128">
        <v>1.52</v>
      </c>
      <c r="CZ55" s="126">
        <f>SUMIF(MatrixF1[[1]:[2]],MatrixF1[[#This Row],[Столбец1]])/MatrixF1[[#This Row],[Столбец1]]</f>
        <v>97.000000000000014</v>
      </c>
    </row>
    <row r="56" spans="1:104" ht="21" customHeight="1" x14ac:dyDescent="0.25">
      <c r="A56" s="127">
        <v>1.53</v>
      </c>
      <c r="B56" s="128">
        <v>1</v>
      </c>
      <c r="C56" s="128">
        <v>1.02</v>
      </c>
      <c r="D56" s="128">
        <v>1.04</v>
      </c>
      <c r="E56" s="128">
        <v>1.05</v>
      </c>
      <c r="F56" s="128">
        <v>1.07</v>
      </c>
      <c r="G56" s="128">
        <v>1.0900000000000001</v>
      </c>
      <c r="H56" s="128">
        <v>1.1000000000000001</v>
      </c>
      <c r="I56" s="128">
        <v>1.1200000000000001</v>
      </c>
      <c r="J56" s="128">
        <v>1.1299999999999999</v>
      </c>
      <c r="K56" s="128">
        <v>1.1499999999999999</v>
      </c>
      <c r="L56" s="128">
        <v>1.1599999999999999</v>
      </c>
      <c r="M56" s="128">
        <v>1.17</v>
      </c>
      <c r="N56" s="128">
        <v>1.18</v>
      </c>
      <c r="O56" s="128">
        <v>1.2</v>
      </c>
      <c r="P56" s="128">
        <v>1.21</v>
      </c>
      <c r="Q56" s="128">
        <v>1.22</v>
      </c>
      <c r="R56" s="128">
        <v>1.23</v>
      </c>
      <c r="S56" s="128">
        <v>1.24</v>
      </c>
      <c r="T56" s="128">
        <v>1.25</v>
      </c>
      <c r="U56" s="128">
        <v>1.26</v>
      </c>
      <c r="V56" s="128">
        <v>1.27</v>
      </c>
      <c r="W56" s="128">
        <v>1.28</v>
      </c>
      <c r="X56" s="128">
        <v>1.29</v>
      </c>
      <c r="Y56" s="128">
        <v>1.3</v>
      </c>
      <c r="Z56" s="128">
        <v>1.31</v>
      </c>
      <c r="AA56" s="128">
        <v>1.32</v>
      </c>
      <c r="AB56" s="128">
        <v>1.33</v>
      </c>
      <c r="AC56" s="128">
        <v>1.34</v>
      </c>
      <c r="AD56" s="128">
        <v>1.35</v>
      </c>
      <c r="AE56" s="128">
        <v>1.35</v>
      </c>
      <c r="AF56" s="128">
        <v>1.36</v>
      </c>
      <c r="AG56" s="128">
        <v>1.37</v>
      </c>
      <c r="AH56" s="128">
        <v>1.38</v>
      </c>
      <c r="AI56" s="128">
        <v>1.38</v>
      </c>
      <c r="AJ56" s="128">
        <v>1.39</v>
      </c>
      <c r="AK56" s="128">
        <v>1.4</v>
      </c>
      <c r="AL56" s="128">
        <v>1.4</v>
      </c>
      <c r="AM56" s="128">
        <v>1.41</v>
      </c>
      <c r="AN56" s="128">
        <v>1.42</v>
      </c>
      <c r="AO56" s="128">
        <v>1.42</v>
      </c>
      <c r="AP56" s="128">
        <v>1.43</v>
      </c>
      <c r="AQ56" s="128">
        <v>1.44</v>
      </c>
      <c r="AR56" s="128">
        <v>1.44</v>
      </c>
      <c r="AS56" s="128">
        <v>1.45</v>
      </c>
      <c r="AT56" s="128">
        <v>1.45</v>
      </c>
      <c r="AU56" s="128">
        <v>1.46</v>
      </c>
      <c r="AV56" s="128">
        <v>1.46</v>
      </c>
      <c r="AW56" s="128">
        <v>1.47</v>
      </c>
      <c r="AX56" s="128">
        <v>1.48</v>
      </c>
      <c r="AY56" s="128">
        <v>1.49</v>
      </c>
      <c r="AZ56" s="128">
        <v>1.5</v>
      </c>
      <c r="BA56" s="128">
        <v>1.51</v>
      </c>
      <c r="BB56" s="128">
        <v>1.52</v>
      </c>
      <c r="BC56" s="128">
        <v>1.53</v>
      </c>
      <c r="BD56" s="128">
        <v>1.53</v>
      </c>
      <c r="BE56" s="128">
        <v>1.53</v>
      </c>
      <c r="BF56" s="128">
        <v>1.53</v>
      </c>
      <c r="BG56" s="128">
        <v>1.53</v>
      </c>
      <c r="BH56" s="128">
        <v>1.53</v>
      </c>
      <c r="BI56" s="128">
        <v>1.53</v>
      </c>
      <c r="BJ56" s="128">
        <v>1.53</v>
      </c>
      <c r="BK56" s="128">
        <v>1.53</v>
      </c>
      <c r="BL56" s="128">
        <v>1.53</v>
      </c>
      <c r="BM56" s="128">
        <v>1.53</v>
      </c>
      <c r="BN56" s="128">
        <v>1.53</v>
      </c>
      <c r="BO56" s="128">
        <v>1.53</v>
      </c>
      <c r="BP56" s="128">
        <v>1.53</v>
      </c>
      <c r="BQ56" s="128">
        <v>1.53</v>
      </c>
      <c r="BR56" s="128">
        <v>1.53</v>
      </c>
      <c r="BS56" s="128">
        <v>1.53</v>
      </c>
      <c r="BT56" s="128">
        <v>1.53</v>
      </c>
      <c r="BU56" s="128">
        <v>1.53</v>
      </c>
      <c r="BV56" s="128">
        <v>1.53</v>
      </c>
      <c r="BW56" s="128">
        <v>1.53</v>
      </c>
      <c r="BX56" s="128">
        <v>1.53</v>
      </c>
      <c r="BY56" s="128">
        <v>1.53</v>
      </c>
      <c r="BZ56" s="128">
        <v>1.53</v>
      </c>
      <c r="CA56" s="128">
        <v>1.53</v>
      </c>
      <c r="CB56" s="128">
        <v>1.53</v>
      </c>
      <c r="CC56" s="128">
        <v>1.53</v>
      </c>
      <c r="CD56" s="128">
        <v>1.53</v>
      </c>
      <c r="CE56" s="128">
        <v>1.53</v>
      </c>
      <c r="CF56" s="128">
        <v>1.53</v>
      </c>
      <c r="CG56" s="128">
        <v>1.53</v>
      </c>
      <c r="CH56" s="128">
        <v>1.53</v>
      </c>
      <c r="CI56" s="128">
        <v>1.53</v>
      </c>
      <c r="CJ56" s="128">
        <v>1.53</v>
      </c>
      <c r="CK56" s="128">
        <v>1.53</v>
      </c>
      <c r="CL56" s="128">
        <v>1.53</v>
      </c>
      <c r="CM56" s="128">
        <v>1.53</v>
      </c>
      <c r="CN56" s="128">
        <v>1.53</v>
      </c>
      <c r="CO56" s="128">
        <v>1.53</v>
      </c>
      <c r="CP56" s="128">
        <v>1.53</v>
      </c>
      <c r="CQ56" s="128">
        <v>1.53</v>
      </c>
      <c r="CR56" s="128">
        <v>1.53</v>
      </c>
      <c r="CS56" s="128">
        <v>1.53</v>
      </c>
      <c r="CT56" s="128">
        <v>1.53</v>
      </c>
      <c r="CU56" s="128">
        <v>1.53</v>
      </c>
      <c r="CV56" s="128">
        <v>1.53</v>
      </c>
      <c r="CW56" s="128">
        <v>1.53</v>
      </c>
      <c r="CX56" s="128">
        <v>1.53</v>
      </c>
      <c r="CZ56" s="126">
        <f>SUMIF(MatrixF1[[1]:[2]],MatrixF1[[#This Row],[Столбец1]])/MatrixF1[[#This Row],[Столбец1]]</f>
        <v>95.000000000000057</v>
      </c>
    </row>
    <row r="57" spans="1:104" ht="21" customHeight="1" x14ac:dyDescent="0.25">
      <c r="A57" s="127">
        <v>1.54</v>
      </c>
      <c r="B57" s="128">
        <v>1</v>
      </c>
      <c r="C57" s="128">
        <v>1.02</v>
      </c>
      <c r="D57" s="128">
        <v>1.04</v>
      </c>
      <c r="E57" s="128">
        <v>1.05</v>
      </c>
      <c r="F57" s="128">
        <v>1.07</v>
      </c>
      <c r="G57" s="128">
        <v>1.08</v>
      </c>
      <c r="H57" s="128">
        <v>1.1000000000000001</v>
      </c>
      <c r="I57" s="128">
        <v>1.1100000000000001</v>
      </c>
      <c r="J57" s="128">
        <v>1.1299999999999999</v>
      </c>
      <c r="K57" s="128">
        <v>1.1399999999999999</v>
      </c>
      <c r="L57" s="128">
        <v>1.1599999999999999</v>
      </c>
      <c r="M57" s="128">
        <v>1.17</v>
      </c>
      <c r="N57" s="128">
        <v>1.18</v>
      </c>
      <c r="O57" s="128">
        <v>1.19</v>
      </c>
      <c r="P57" s="128">
        <v>1.21</v>
      </c>
      <c r="Q57" s="128">
        <v>1.22</v>
      </c>
      <c r="R57" s="128">
        <v>1.23</v>
      </c>
      <c r="S57" s="128">
        <v>1.24</v>
      </c>
      <c r="T57" s="128">
        <v>1.25</v>
      </c>
      <c r="U57" s="128">
        <v>1.26</v>
      </c>
      <c r="V57" s="128">
        <v>1.27</v>
      </c>
      <c r="W57" s="128">
        <v>1.28</v>
      </c>
      <c r="X57" s="128">
        <v>1.29</v>
      </c>
      <c r="Y57" s="128">
        <v>1.3</v>
      </c>
      <c r="Z57" s="128">
        <v>1.31</v>
      </c>
      <c r="AA57" s="128">
        <v>1.32</v>
      </c>
      <c r="AB57" s="128">
        <v>1.32</v>
      </c>
      <c r="AC57" s="128">
        <v>1.33</v>
      </c>
      <c r="AD57" s="128">
        <v>1.34</v>
      </c>
      <c r="AE57" s="128">
        <v>1.35</v>
      </c>
      <c r="AF57" s="128">
        <v>1.36</v>
      </c>
      <c r="AG57" s="128">
        <v>1.36</v>
      </c>
      <c r="AH57" s="128">
        <v>1.37</v>
      </c>
      <c r="AI57" s="128">
        <v>1.38</v>
      </c>
      <c r="AJ57" s="128">
        <v>1.39</v>
      </c>
      <c r="AK57" s="128">
        <v>1.39</v>
      </c>
      <c r="AL57" s="128">
        <v>1.4</v>
      </c>
      <c r="AM57" s="128">
        <v>1.41</v>
      </c>
      <c r="AN57" s="128">
        <v>1.41</v>
      </c>
      <c r="AO57" s="128">
        <v>1.42</v>
      </c>
      <c r="AP57" s="128">
        <v>1.43</v>
      </c>
      <c r="AQ57" s="128">
        <v>1.43</v>
      </c>
      <c r="AR57" s="128">
        <v>1.44</v>
      </c>
      <c r="AS57" s="128">
        <v>1.44</v>
      </c>
      <c r="AT57" s="128">
        <v>1.45</v>
      </c>
      <c r="AU57" s="128">
        <v>1.45</v>
      </c>
      <c r="AV57" s="128">
        <v>1.46</v>
      </c>
      <c r="AW57" s="128">
        <v>1.47</v>
      </c>
      <c r="AX57" s="128">
        <v>1.48</v>
      </c>
      <c r="AY57" s="128">
        <v>1.49</v>
      </c>
      <c r="AZ57" s="128">
        <v>1.5</v>
      </c>
      <c r="BA57" s="128">
        <v>1.51</v>
      </c>
      <c r="BB57" s="128">
        <v>1.52</v>
      </c>
      <c r="BC57" s="128">
        <v>1.53</v>
      </c>
      <c r="BD57" s="128">
        <v>1.54</v>
      </c>
      <c r="BE57" s="128">
        <v>1.54</v>
      </c>
      <c r="BF57" s="128">
        <v>1.54</v>
      </c>
      <c r="BG57" s="128">
        <v>1.54</v>
      </c>
      <c r="BH57" s="128">
        <v>1.54</v>
      </c>
      <c r="BI57" s="128">
        <v>1.54</v>
      </c>
      <c r="BJ57" s="128">
        <v>1.54</v>
      </c>
      <c r="BK57" s="128">
        <v>1.54</v>
      </c>
      <c r="BL57" s="128">
        <v>1.54</v>
      </c>
      <c r="BM57" s="128">
        <v>1.54</v>
      </c>
      <c r="BN57" s="128">
        <v>1.54</v>
      </c>
      <c r="BO57" s="128">
        <v>1.54</v>
      </c>
      <c r="BP57" s="128">
        <v>1.54</v>
      </c>
      <c r="BQ57" s="128">
        <v>1.54</v>
      </c>
      <c r="BR57" s="128">
        <v>1.54</v>
      </c>
      <c r="BS57" s="128">
        <v>1.54</v>
      </c>
      <c r="BT57" s="128">
        <v>1.54</v>
      </c>
      <c r="BU57" s="128">
        <v>1.54</v>
      </c>
      <c r="BV57" s="128">
        <v>1.54</v>
      </c>
      <c r="BW57" s="128">
        <v>1.54</v>
      </c>
      <c r="BX57" s="128">
        <v>1.54</v>
      </c>
      <c r="BY57" s="128">
        <v>1.54</v>
      </c>
      <c r="BZ57" s="128">
        <v>1.54</v>
      </c>
      <c r="CA57" s="128">
        <v>1.54</v>
      </c>
      <c r="CB57" s="128">
        <v>1.54</v>
      </c>
      <c r="CC57" s="128">
        <v>1.54</v>
      </c>
      <c r="CD57" s="128">
        <v>1.54</v>
      </c>
      <c r="CE57" s="128">
        <v>1.54</v>
      </c>
      <c r="CF57" s="128">
        <v>1.54</v>
      </c>
      <c r="CG57" s="128">
        <v>1.54</v>
      </c>
      <c r="CH57" s="128">
        <v>1.54</v>
      </c>
      <c r="CI57" s="128">
        <v>1.54</v>
      </c>
      <c r="CJ57" s="128">
        <v>1.54</v>
      </c>
      <c r="CK57" s="128">
        <v>1.54</v>
      </c>
      <c r="CL57" s="128">
        <v>1.54</v>
      </c>
      <c r="CM57" s="128">
        <v>1.54</v>
      </c>
      <c r="CN57" s="128">
        <v>1.54</v>
      </c>
      <c r="CO57" s="128">
        <v>1.54</v>
      </c>
      <c r="CP57" s="128">
        <v>1.54</v>
      </c>
      <c r="CQ57" s="128">
        <v>1.54</v>
      </c>
      <c r="CR57" s="128">
        <v>1.54</v>
      </c>
      <c r="CS57" s="128">
        <v>1.54</v>
      </c>
      <c r="CT57" s="128">
        <v>1.54</v>
      </c>
      <c r="CU57" s="128">
        <v>1.54</v>
      </c>
      <c r="CV57" s="128">
        <v>1.54</v>
      </c>
      <c r="CW57" s="128">
        <v>1.54</v>
      </c>
      <c r="CX57" s="128">
        <v>1.54</v>
      </c>
      <c r="CZ57" s="126">
        <f>SUMIF(MatrixF1[[1]:[2]],MatrixF1[[#This Row],[Столбец1]])/MatrixF1[[#This Row],[Столбец1]]</f>
        <v>93.000000000000114</v>
      </c>
    </row>
    <row r="58" spans="1:104" ht="21" customHeight="1" x14ac:dyDescent="0.25">
      <c r="A58" s="127">
        <v>1.55</v>
      </c>
      <c r="B58" s="128">
        <v>1</v>
      </c>
      <c r="C58" s="128">
        <v>1.02</v>
      </c>
      <c r="D58" s="128">
        <v>1.04</v>
      </c>
      <c r="E58" s="128">
        <v>1.05</v>
      </c>
      <c r="F58" s="128">
        <v>1.07</v>
      </c>
      <c r="G58" s="128">
        <v>1.08</v>
      </c>
      <c r="H58" s="128">
        <v>1.1000000000000001</v>
      </c>
      <c r="I58" s="128">
        <v>1.1100000000000001</v>
      </c>
      <c r="J58" s="128">
        <v>1.1299999999999999</v>
      </c>
      <c r="K58" s="128">
        <v>1.1399999999999999</v>
      </c>
      <c r="L58" s="128">
        <v>1.1499999999999999</v>
      </c>
      <c r="M58" s="128">
        <v>1.17</v>
      </c>
      <c r="N58" s="128">
        <v>1.18</v>
      </c>
      <c r="O58" s="128">
        <v>1.19</v>
      </c>
      <c r="P58" s="128">
        <v>1.2</v>
      </c>
      <c r="Q58" s="128">
        <v>1.21</v>
      </c>
      <c r="R58" s="128">
        <v>1.23</v>
      </c>
      <c r="S58" s="128">
        <v>1.24</v>
      </c>
      <c r="T58" s="128">
        <v>1.25</v>
      </c>
      <c r="U58" s="128">
        <v>1.26</v>
      </c>
      <c r="V58" s="128">
        <v>1.27</v>
      </c>
      <c r="W58" s="128">
        <v>1.28</v>
      </c>
      <c r="X58" s="128">
        <v>1.29</v>
      </c>
      <c r="Y58" s="128">
        <v>1.29</v>
      </c>
      <c r="Z58" s="128">
        <v>1.3</v>
      </c>
      <c r="AA58" s="128">
        <v>1.31</v>
      </c>
      <c r="AB58" s="128">
        <v>1.32</v>
      </c>
      <c r="AC58" s="128">
        <v>1.33</v>
      </c>
      <c r="AD58" s="128">
        <v>1.34</v>
      </c>
      <c r="AE58" s="128">
        <v>1.35</v>
      </c>
      <c r="AF58" s="128">
        <v>1.35</v>
      </c>
      <c r="AG58" s="128">
        <v>1.36</v>
      </c>
      <c r="AH58" s="128">
        <v>1.37</v>
      </c>
      <c r="AI58" s="128">
        <v>1.38</v>
      </c>
      <c r="AJ58" s="128">
        <v>1.38</v>
      </c>
      <c r="AK58" s="128">
        <v>1.39</v>
      </c>
      <c r="AL58" s="128">
        <v>1.4</v>
      </c>
      <c r="AM58" s="128">
        <v>1.4</v>
      </c>
      <c r="AN58" s="128">
        <v>1.41</v>
      </c>
      <c r="AO58" s="128">
        <v>1.41</v>
      </c>
      <c r="AP58" s="128">
        <v>1.42</v>
      </c>
      <c r="AQ58" s="128">
        <v>1.43</v>
      </c>
      <c r="AR58" s="128">
        <v>1.43</v>
      </c>
      <c r="AS58" s="128">
        <v>1.44</v>
      </c>
      <c r="AT58" s="128">
        <v>1.44</v>
      </c>
      <c r="AU58" s="128">
        <v>1.45</v>
      </c>
      <c r="AV58" s="128">
        <v>1.46</v>
      </c>
      <c r="AW58" s="128">
        <v>1.47</v>
      </c>
      <c r="AX58" s="128">
        <v>1.48</v>
      </c>
      <c r="AY58" s="128">
        <v>1.49</v>
      </c>
      <c r="AZ58" s="128">
        <v>1.5</v>
      </c>
      <c r="BA58" s="128">
        <v>1.51</v>
      </c>
      <c r="BB58" s="128">
        <v>1.52</v>
      </c>
      <c r="BC58" s="128">
        <v>1.53</v>
      </c>
      <c r="BD58" s="128">
        <v>1.54</v>
      </c>
      <c r="BE58" s="128">
        <v>1.55</v>
      </c>
      <c r="BF58" s="128">
        <v>1.55</v>
      </c>
      <c r="BG58" s="128">
        <v>1.55</v>
      </c>
      <c r="BH58" s="128">
        <v>1.55</v>
      </c>
      <c r="BI58" s="128">
        <v>1.55</v>
      </c>
      <c r="BJ58" s="128">
        <v>1.55</v>
      </c>
      <c r="BK58" s="128">
        <v>1.55</v>
      </c>
      <c r="BL58" s="128">
        <v>1.55</v>
      </c>
      <c r="BM58" s="128">
        <v>1.55</v>
      </c>
      <c r="BN58" s="128">
        <v>1.55</v>
      </c>
      <c r="BO58" s="128">
        <v>1.55</v>
      </c>
      <c r="BP58" s="128">
        <v>1.55</v>
      </c>
      <c r="BQ58" s="128">
        <v>1.55</v>
      </c>
      <c r="BR58" s="128">
        <v>1.55</v>
      </c>
      <c r="BS58" s="128">
        <v>1.55</v>
      </c>
      <c r="BT58" s="128">
        <v>1.55</v>
      </c>
      <c r="BU58" s="128">
        <v>1.55</v>
      </c>
      <c r="BV58" s="128">
        <v>1.55</v>
      </c>
      <c r="BW58" s="128">
        <v>1.55</v>
      </c>
      <c r="BX58" s="128">
        <v>1.55</v>
      </c>
      <c r="BY58" s="128">
        <v>1.55</v>
      </c>
      <c r="BZ58" s="128">
        <v>1.55</v>
      </c>
      <c r="CA58" s="128">
        <v>1.55</v>
      </c>
      <c r="CB58" s="128">
        <v>1.55</v>
      </c>
      <c r="CC58" s="128">
        <v>1.55</v>
      </c>
      <c r="CD58" s="128">
        <v>1.55</v>
      </c>
      <c r="CE58" s="128">
        <v>1.55</v>
      </c>
      <c r="CF58" s="128">
        <v>1.55</v>
      </c>
      <c r="CG58" s="128">
        <v>1.55</v>
      </c>
      <c r="CH58" s="128">
        <v>1.55</v>
      </c>
      <c r="CI58" s="128">
        <v>1.55</v>
      </c>
      <c r="CJ58" s="128">
        <v>1.55</v>
      </c>
      <c r="CK58" s="128">
        <v>1.55</v>
      </c>
      <c r="CL58" s="128">
        <v>1.55</v>
      </c>
      <c r="CM58" s="128">
        <v>1.55</v>
      </c>
      <c r="CN58" s="128">
        <v>1.55</v>
      </c>
      <c r="CO58" s="128">
        <v>1.55</v>
      </c>
      <c r="CP58" s="128">
        <v>1.55</v>
      </c>
      <c r="CQ58" s="128">
        <v>1.55</v>
      </c>
      <c r="CR58" s="128">
        <v>1.55</v>
      </c>
      <c r="CS58" s="128">
        <v>1.55</v>
      </c>
      <c r="CT58" s="128">
        <v>1.55</v>
      </c>
      <c r="CU58" s="128">
        <v>1.55</v>
      </c>
      <c r="CV58" s="128">
        <v>1.55</v>
      </c>
      <c r="CW58" s="128">
        <v>1.55</v>
      </c>
      <c r="CX58" s="128">
        <v>1.55</v>
      </c>
      <c r="CZ58" s="126">
        <f>SUMIF(MatrixF1[[1]:[2]],MatrixF1[[#This Row],[Столбец1]])/MatrixF1[[#This Row],[Столбец1]]</f>
        <v>90.999999999999943</v>
      </c>
    </row>
    <row r="59" spans="1:104" ht="21" customHeight="1" x14ac:dyDescent="0.25">
      <c r="A59" s="127">
        <v>1.56</v>
      </c>
      <c r="B59" s="128">
        <v>1</v>
      </c>
      <c r="C59" s="128">
        <v>1.02</v>
      </c>
      <c r="D59" s="128">
        <v>1.03</v>
      </c>
      <c r="E59" s="128">
        <v>1.05</v>
      </c>
      <c r="F59" s="128">
        <v>1.07</v>
      </c>
      <c r="G59" s="128">
        <v>1.08</v>
      </c>
      <c r="H59" s="128">
        <v>1.1000000000000001</v>
      </c>
      <c r="I59" s="128">
        <v>1.1100000000000001</v>
      </c>
      <c r="J59" s="128">
        <v>1.1299999999999999</v>
      </c>
      <c r="K59" s="128">
        <v>1.1399999999999999</v>
      </c>
      <c r="L59" s="128">
        <v>1.1499999999999999</v>
      </c>
      <c r="M59" s="128">
        <v>1.1599999999999999</v>
      </c>
      <c r="N59" s="128">
        <v>1.18</v>
      </c>
      <c r="O59" s="128">
        <v>1.19</v>
      </c>
      <c r="P59" s="128">
        <v>1.2</v>
      </c>
      <c r="Q59" s="128">
        <v>1.21</v>
      </c>
      <c r="R59" s="128">
        <v>1.22</v>
      </c>
      <c r="S59" s="128">
        <v>1.23</v>
      </c>
      <c r="T59" s="128">
        <v>1.24</v>
      </c>
      <c r="U59" s="128">
        <v>1.25</v>
      </c>
      <c r="V59" s="128">
        <v>1.26</v>
      </c>
      <c r="W59" s="128">
        <v>1.27</v>
      </c>
      <c r="X59" s="128">
        <v>1.28</v>
      </c>
      <c r="Y59" s="128">
        <v>1.29</v>
      </c>
      <c r="Z59" s="128">
        <v>1.3</v>
      </c>
      <c r="AA59" s="128">
        <v>1.31</v>
      </c>
      <c r="AB59" s="128">
        <v>1.32</v>
      </c>
      <c r="AC59" s="128">
        <v>1.33</v>
      </c>
      <c r="AD59" s="128">
        <v>1.33</v>
      </c>
      <c r="AE59" s="128">
        <v>1.34</v>
      </c>
      <c r="AF59" s="128">
        <v>1.35</v>
      </c>
      <c r="AG59" s="128">
        <v>1.36</v>
      </c>
      <c r="AH59" s="128">
        <v>1.36</v>
      </c>
      <c r="AI59" s="128">
        <v>1.37</v>
      </c>
      <c r="AJ59" s="128">
        <v>1.38</v>
      </c>
      <c r="AK59" s="128">
        <v>1.38</v>
      </c>
      <c r="AL59" s="128">
        <v>1.39</v>
      </c>
      <c r="AM59" s="128">
        <v>1.4</v>
      </c>
      <c r="AN59" s="128">
        <v>1.4</v>
      </c>
      <c r="AO59" s="128">
        <v>1.41</v>
      </c>
      <c r="AP59" s="128">
        <v>1.42</v>
      </c>
      <c r="AQ59" s="128">
        <v>1.42</v>
      </c>
      <c r="AR59" s="128">
        <v>1.43</v>
      </c>
      <c r="AS59" s="128">
        <v>1.43</v>
      </c>
      <c r="AT59" s="128">
        <v>1.44</v>
      </c>
      <c r="AU59" s="128">
        <v>1.45</v>
      </c>
      <c r="AV59" s="128">
        <v>1.46</v>
      </c>
      <c r="AW59" s="128">
        <v>1.47</v>
      </c>
      <c r="AX59" s="128">
        <v>1.48</v>
      </c>
      <c r="AY59" s="128">
        <v>1.49</v>
      </c>
      <c r="AZ59" s="128">
        <v>1.5</v>
      </c>
      <c r="BA59" s="128">
        <v>1.51</v>
      </c>
      <c r="BB59" s="128">
        <v>1.52</v>
      </c>
      <c r="BC59" s="128">
        <v>1.53</v>
      </c>
      <c r="BD59" s="128">
        <v>1.54</v>
      </c>
      <c r="BE59" s="128">
        <v>1.55</v>
      </c>
      <c r="BF59" s="128">
        <v>1.56</v>
      </c>
      <c r="BG59" s="128">
        <v>1.56</v>
      </c>
      <c r="BH59" s="128">
        <v>1.56</v>
      </c>
      <c r="BI59" s="128">
        <v>1.56</v>
      </c>
      <c r="BJ59" s="128">
        <v>1.56</v>
      </c>
      <c r="BK59" s="128">
        <v>1.56</v>
      </c>
      <c r="BL59" s="128">
        <v>1.56</v>
      </c>
      <c r="BM59" s="128">
        <v>1.56</v>
      </c>
      <c r="BN59" s="128">
        <v>1.56</v>
      </c>
      <c r="BO59" s="128">
        <v>1.56</v>
      </c>
      <c r="BP59" s="128">
        <v>1.56</v>
      </c>
      <c r="BQ59" s="128">
        <v>1.56</v>
      </c>
      <c r="BR59" s="128">
        <v>1.56</v>
      </c>
      <c r="BS59" s="128">
        <v>1.56</v>
      </c>
      <c r="BT59" s="128">
        <v>1.56</v>
      </c>
      <c r="BU59" s="128">
        <v>1.56</v>
      </c>
      <c r="BV59" s="128">
        <v>1.56</v>
      </c>
      <c r="BW59" s="128">
        <v>1.56</v>
      </c>
      <c r="BX59" s="128">
        <v>1.56</v>
      </c>
      <c r="BY59" s="128">
        <v>1.56</v>
      </c>
      <c r="BZ59" s="128">
        <v>1.56</v>
      </c>
      <c r="CA59" s="128">
        <v>1.56</v>
      </c>
      <c r="CB59" s="128">
        <v>1.56</v>
      </c>
      <c r="CC59" s="128">
        <v>1.56</v>
      </c>
      <c r="CD59" s="128">
        <v>1.56</v>
      </c>
      <c r="CE59" s="128">
        <v>1.56</v>
      </c>
      <c r="CF59" s="128">
        <v>1.56</v>
      </c>
      <c r="CG59" s="128">
        <v>1.56</v>
      </c>
      <c r="CH59" s="128">
        <v>1.56</v>
      </c>
      <c r="CI59" s="128">
        <v>1.56</v>
      </c>
      <c r="CJ59" s="128">
        <v>1.56</v>
      </c>
      <c r="CK59" s="128">
        <v>1.56</v>
      </c>
      <c r="CL59" s="128">
        <v>1.56</v>
      </c>
      <c r="CM59" s="128">
        <v>1.56</v>
      </c>
      <c r="CN59" s="128">
        <v>1.56</v>
      </c>
      <c r="CO59" s="128">
        <v>1.56</v>
      </c>
      <c r="CP59" s="128">
        <v>1.56</v>
      </c>
      <c r="CQ59" s="128">
        <v>1.56</v>
      </c>
      <c r="CR59" s="128">
        <v>1.56</v>
      </c>
      <c r="CS59" s="128">
        <v>1.56</v>
      </c>
      <c r="CT59" s="128">
        <v>1.56</v>
      </c>
      <c r="CU59" s="128">
        <v>1.56</v>
      </c>
      <c r="CV59" s="128">
        <v>1.56</v>
      </c>
      <c r="CW59" s="128">
        <v>1.56</v>
      </c>
      <c r="CX59" s="128">
        <v>1.56</v>
      </c>
      <c r="CZ59" s="126">
        <f>SUMIF(MatrixF1[[1]:[2]],MatrixF1[[#This Row],[Столбец1]])/MatrixF1[[#This Row],[Столбец1]]</f>
        <v>89.000000000000085</v>
      </c>
    </row>
    <row r="60" spans="1:104" ht="21" customHeight="1" x14ac:dyDescent="0.25">
      <c r="A60" s="127">
        <v>1.57</v>
      </c>
      <c r="B60" s="128">
        <v>1</v>
      </c>
      <c r="C60" s="128">
        <v>1.02</v>
      </c>
      <c r="D60" s="128">
        <v>1.03</v>
      </c>
      <c r="E60" s="128">
        <v>1.05</v>
      </c>
      <c r="F60" s="128">
        <v>1.07</v>
      </c>
      <c r="G60" s="128">
        <v>1.08</v>
      </c>
      <c r="H60" s="128">
        <v>1.1000000000000001</v>
      </c>
      <c r="I60" s="128">
        <v>1.1100000000000001</v>
      </c>
      <c r="J60" s="128">
        <v>1.1200000000000001</v>
      </c>
      <c r="K60" s="128">
        <v>1.1399999999999999</v>
      </c>
      <c r="L60" s="128">
        <v>1.1499999999999999</v>
      </c>
      <c r="M60" s="128">
        <v>1.1599999999999999</v>
      </c>
      <c r="N60" s="128">
        <v>1.17</v>
      </c>
      <c r="O60" s="128">
        <v>1.19</v>
      </c>
      <c r="P60" s="128">
        <v>1.2</v>
      </c>
      <c r="Q60" s="128">
        <v>1.21</v>
      </c>
      <c r="R60" s="128">
        <v>1.22</v>
      </c>
      <c r="S60" s="128">
        <v>1.23</v>
      </c>
      <c r="T60" s="128">
        <v>1.24</v>
      </c>
      <c r="U60" s="128">
        <v>1.25</v>
      </c>
      <c r="V60" s="128">
        <v>1.26</v>
      </c>
      <c r="W60" s="128">
        <v>1.27</v>
      </c>
      <c r="X60" s="128">
        <v>1.28</v>
      </c>
      <c r="Y60" s="128">
        <v>1.29</v>
      </c>
      <c r="Z60" s="128">
        <v>1.3</v>
      </c>
      <c r="AA60" s="128">
        <v>1.3</v>
      </c>
      <c r="AB60" s="128">
        <v>1.31</v>
      </c>
      <c r="AC60" s="128">
        <v>1.32</v>
      </c>
      <c r="AD60" s="128">
        <v>1.33</v>
      </c>
      <c r="AE60" s="128">
        <v>1.34</v>
      </c>
      <c r="AF60" s="128">
        <v>1.34</v>
      </c>
      <c r="AG60" s="128">
        <v>1.35</v>
      </c>
      <c r="AH60" s="128">
        <v>1.36</v>
      </c>
      <c r="AI60" s="128">
        <v>1.37</v>
      </c>
      <c r="AJ60" s="128">
        <v>1.37</v>
      </c>
      <c r="AK60" s="128">
        <v>1.38</v>
      </c>
      <c r="AL60" s="128">
        <v>1.39</v>
      </c>
      <c r="AM60" s="128">
        <v>1.39</v>
      </c>
      <c r="AN60" s="128">
        <v>1.4</v>
      </c>
      <c r="AO60" s="128">
        <v>1.41</v>
      </c>
      <c r="AP60" s="128">
        <v>1.41</v>
      </c>
      <c r="AQ60" s="128">
        <v>1.42</v>
      </c>
      <c r="AR60" s="128">
        <v>1.42</v>
      </c>
      <c r="AS60" s="128">
        <v>1.43</v>
      </c>
      <c r="AT60" s="128">
        <v>1.44</v>
      </c>
      <c r="AU60" s="128">
        <v>1.45</v>
      </c>
      <c r="AV60" s="128">
        <v>1.46</v>
      </c>
      <c r="AW60" s="128">
        <v>1.47</v>
      </c>
      <c r="AX60" s="128">
        <v>1.48</v>
      </c>
      <c r="AY60" s="128">
        <v>1.49</v>
      </c>
      <c r="AZ60" s="128">
        <v>1.5</v>
      </c>
      <c r="BA60" s="128">
        <v>1.51</v>
      </c>
      <c r="BB60" s="128">
        <v>1.52</v>
      </c>
      <c r="BC60" s="128">
        <v>1.53</v>
      </c>
      <c r="BD60" s="128">
        <v>1.54</v>
      </c>
      <c r="BE60" s="128">
        <v>1.55</v>
      </c>
      <c r="BF60" s="128">
        <v>1.56</v>
      </c>
      <c r="BG60" s="128">
        <v>1.57</v>
      </c>
      <c r="BH60" s="128">
        <v>1.57</v>
      </c>
      <c r="BI60" s="128">
        <v>1.57</v>
      </c>
      <c r="BJ60" s="128">
        <v>1.57</v>
      </c>
      <c r="BK60" s="128">
        <v>1.57</v>
      </c>
      <c r="BL60" s="128">
        <v>1.57</v>
      </c>
      <c r="BM60" s="128">
        <v>1.57</v>
      </c>
      <c r="BN60" s="128">
        <v>1.57</v>
      </c>
      <c r="BO60" s="128">
        <v>1.57</v>
      </c>
      <c r="BP60" s="128">
        <v>1.57</v>
      </c>
      <c r="BQ60" s="128">
        <v>1.57</v>
      </c>
      <c r="BR60" s="128">
        <v>1.57</v>
      </c>
      <c r="BS60" s="128">
        <v>1.57</v>
      </c>
      <c r="BT60" s="128">
        <v>1.57</v>
      </c>
      <c r="BU60" s="128">
        <v>1.57</v>
      </c>
      <c r="BV60" s="128">
        <v>1.57</v>
      </c>
      <c r="BW60" s="128">
        <v>1.57</v>
      </c>
      <c r="BX60" s="128">
        <v>1.57</v>
      </c>
      <c r="BY60" s="128">
        <v>1.57</v>
      </c>
      <c r="BZ60" s="128">
        <v>1.57</v>
      </c>
      <c r="CA60" s="128">
        <v>1.57</v>
      </c>
      <c r="CB60" s="128">
        <v>1.57</v>
      </c>
      <c r="CC60" s="128">
        <v>1.57</v>
      </c>
      <c r="CD60" s="128">
        <v>1.57</v>
      </c>
      <c r="CE60" s="128">
        <v>1.57</v>
      </c>
      <c r="CF60" s="128">
        <v>1.57</v>
      </c>
      <c r="CG60" s="128">
        <v>1.57</v>
      </c>
      <c r="CH60" s="128">
        <v>1.57</v>
      </c>
      <c r="CI60" s="128">
        <v>1.57</v>
      </c>
      <c r="CJ60" s="128">
        <v>1.57</v>
      </c>
      <c r="CK60" s="128">
        <v>1.57</v>
      </c>
      <c r="CL60" s="128">
        <v>1.57</v>
      </c>
      <c r="CM60" s="128">
        <v>1.57</v>
      </c>
      <c r="CN60" s="128">
        <v>1.57</v>
      </c>
      <c r="CO60" s="128">
        <v>1.57</v>
      </c>
      <c r="CP60" s="128">
        <v>1.57</v>
      </c>
      <c r="CQ60" s="128">
        <v>1.57</v>
      </c>
      <c r="CR60" s="128">
        <v>1.57</v>
      </c>
      <c r="CS60" s="128">
        <v>1.57</v>
      </c>
      <c r="CT60" s="128">
        <v>1.57</v>
      </c>
      <c r="CU60" s="128">
        <v>1.57</v>
      </c>
      <c r="CV60" s="128">
        <v>1.57</v>
      </c>
      <c r="CW60" s="128">
        <v>1.57</v>
      </c>
      <c r="CX60" s="128">
        <v>1.57</v>
      </c>
      <c r="CZ60" s="126">
        <f>SUMIF(MatrixF1[[1]:[2]],MatrixF1[[#This Row],[Столбец1]])/MatrixF1[[#This Row],[Столбец1]]</f>
        <v>86.999999999999801</v>
      </c>
    </row>
    <row r="61" spans="1:104" ht="21" customHeight="1" x14ac:dyDescent="0.25">
      <c r="A61" s="127">
        <v>1.58</v>
      </c>
      <c r="B61" s="128">
        <v>1</v>
      </c>
      <c r="C61" s="128">
        <v>1.02</v>
      </c>
      <c r="D61" s="128">
        <v>1.03</v>
      </c>
      <c r="E61" s="128">
        <v>1.05</v>
      </c>
      <c r="F61" s="128">
        <v>1.06</v>
      </c>
      <c r="G61" s="128">
        <v>1.08</v>
      </c>
      <c r="H61" s="128">
        <v>1.0900000000000001</v>
      </c>
      <c r="I61" s="128">
        <v>1.1100000000000001</v>
      </c>
      <c r="J61" s="128">
        <v>1.1200000000000001</v>
      </c>
      <c r="K61" s="128">
        <v>1.1299999999999999</v>
      </c>
      <c r="L61" s="128">
        <v>1.1499999999999999</v>
      </c>
      <c r="M61" s="128">
        <v>1.1599999999999999</v>
      </c>
      <c r="N61" s="128">
        <v>1.17</v>
      </c>
      <c r="O61" s="128">
        <v>1.18</v>
      </c>
      <c r="P61" s="128">
        <v>1.19</v>
      </c>
      <c r="Q61" s="128">
        <v>1.21</v>
      </c>
      <c r="R61" s="128">
        <v>1.22</v>
      </c>
      <c r="S61" s="128">
        <v>1.23</v>
      </c>
      <c r="T61" s="128">
        <v>1.24</v>
      </c>
      <c r="U61" s="128">
        <v>1.25</v>
      </c>
      <c r="V61" s="128">
        <v>1.26</v>
      </c>
      <c r="W61" s="128">
        <v>1.27</v>
      </c>
      <c r="X61" s="128">
        <v>1.28</v>
      </c>
      <c r="Y61" s="128">
        <v>1.28</v>
      </c>
      <c r="Z61" s="128">
        <v>1.29</v>
      </c>
      <c r="AA61" s="128">
        <v>1.3</v>
      </c>
      <c r="AB61" s="128">
        <v>1.31</v>
      </c>
      <c r="AC61" s="128">
        <v>1.32</v>
      </c>
      <c r="AD61" s="128">
        <v>1.33</v>
      </c>
      <c r="AE61" s="128">
        <v>1.33</v>
      </c>
      <c r="AF61" s="128">
        <v>1.34</v>
      </c>
      <c r="AG61" s="128">
        <v>1.35</v>
      </c>
      <c r="AH61" s="128">
        <v>1.36</v>
      </c>
      <c r="AI61" s="128">
        <v>1.36</v>
      </c>
      <c r="AJ61" s="128">
        <v>1.37</v>
      </c>
      <c r="AK61" s="128">
        <v>1.38</v>
      </c>
      <c r="AL61" s="128">
        <v>1.38</v>
      </c>
      <c r="AM61" s="128">
        <v>1.39</v>
      </c>
      <c r="AN61" s="128">
        <v>1.4</v>
      </c>
      <c r="AO61" s="128">
        <v>1.4</v>
      </c>
      <c r="AP61" s="128">
        <v>1.41</v>
      </c>
      <c r="AQ61" s="128">
        <v>1.41</v>
      </c>
      <c r="AR61" s="128">
        <v>1.42</v>
      </c>
      <c r="AS61" s="128">
        <v>1.43</v>
      </c>
      <c r="AT61" s="128">
        <v>1.44</v>
      </c>
      <c r="AU61" s="128">
        <v>1.45</v>
      </c>
      <c r="AV61" s="128">
        <v>1.46</v>
      </c>
      <c r="AW61" s="128">
        <v>1.47</v>
      </c>
      <c r="AX61" s="128">
        <v>1.48</v>
      </c>
      <c r="AY61" s="128">
        <v>1.49</v>
      </c>
      <c r="AZ61" s="128">
        <v>1.5</v>
      </c>
      <c r="BA61" s="128">
        <v>1.51</v>
      </c>
      <c r="BB61" s="128">
        <v>1.52</v>
      </c>
      <c r="BC61" s="128">
        <v>1.53</v>
      </c>
      <c r="BD61" s="128">
        <v>1.54</v>
      </c>
      <c r="BE61" s="128">
        <v>1.55</v>
      </c>
      <c r="BF61" s="128">
        <v>1.56</v>
      </c>
      <c r="BG61" s="128">
        <v>1.57</v>
      </c>
      <c r="BH61" s="128">
        <v>1.58</v>
      </c>
      <c r="BI61" s="128">
        <v>1.58</v>
      </c>
      <c r="BJ61" s="128">
        <v>1.58</v>
      </c>
      <c r="BK61" s="128">
        <v>1.58</v>
      </c>
      <c r="BL61" s="128">
        <v>1.58</v>
      </c>
      <c r="BM61" s="128">
        <v>1.58</v>
      </c>
      <c r="BN61" s="128">
        <v>1.58</v>
      </c>
      <c r="BO61" s="128">
        <v>1.58</v>
      </c>
      <c r="BP61" s="128">
        <v>1.58</v>
      </c>
      <c r="BQ61" s="128">
        <v>1.58</v>
      </c>
      <c r="BR61" s="128">
        <v>1.58</v>
      </c>
      <c r="BS61" s="128">
        <v>1.58</v>
      </c>
      <c r="BT61" s="128">
        <v>1.58</v>
      </c>
      <c r="BU61" s="128">
        <v>1.58</v>
      </c>
      <c r="BV61" s="128">
        <v>1.58</v>
      </c>
      <c r="BW61" s="128">
        <v>1.58</v>
      </c>
      <c r="BX61" s="128">
        <v>1.58</v>
      </c>
      <c r="BY61" s="128">
        <v>1.58</v>
      </c>
      <c r="BZ61" s="128">
        <v>1.58</v>
      </c>
      <c r="CA61" s="128">
        <v>1.58</v>
      </c>
      <c r="CB61" s="128">
        <v>1.58</v>
      </c>
      <c r="CC61" s="128">
        <v>1.58</v>
      </c>
      <c r="CD61" s="128">
        <v>1.58</v>
      </c>
      <c r="CE61" s="128">
        <v>1.58</v>
      </c>
      <c r="CF61" s="128">
        <v>1.58</v>
      </c>
      <c r="CG61" s="128">
        <v>1.58</v>
      </c>
      <c r="CH61" s="128">
        <v>1.58</v>
      </c>
      <c r="CI61" s="128">
        <v>1.58</v>
      </c>
      <c r="CJ61" s="128">
        <v>1.58</v>
      </c>
      <c r="CK61" s="128">
        <v>1.58</v>
      </c>
      <c r="CL61" s="128">
        <v>1.58</v>
      </c>
      <c r="CM61" s="128">
        <v>1.58</v>
      </c>
      <c r="CN61" s="128">
        <v>1.58</v>
      </c>
      <c r="CO61" s="128">
        <v>1.58</v>
      </c>
      <c r="CP61" s="128">
        <v>1.58</v>
      </c>
      <c r="CQ61" s="128">
        <v>1.58</v>
      </c>
      <c r="CR61" s="128">
        <v>1.58</v>
      </c>
      <c r="CS61" s="128">
        <v>1.58</v>
      </c>
      <c r="CT61" s="128">
        <v>1.58</v>
      </c>
      <c r="CU61" s="128">
        <v>1.58</v>
      </c>
      <c r="CV61" s="128">
        <v>1.58</v>
      </c>
      <c r="CW61" s="128">
        <v>1.58</v>
      </c>
      <c r="CX61" s="128">
        <v>1.58</v>
      </c>
      <c r="CZ61" s="126">
        <f>SUMIF(MatrixF1[[1]:[2]],MatrixF1[[#This Row],[Столбец1]])/MatrixF1[[#This Row],[Столбец1]]</f>
        <v>84.999999999999943</v>
      </c>
    </row>
    <row r="62" spans="1:104" ht="21" customHeight="1" x14ac:dyDescent="0.25">
      <c r="A62" s="127">
        <v>1.59</v>
      </c>
      <c r="B62" s="128">
        <v>1</v>
      </c>
      <c r="C62" s="128">
        <v>1.02</v>
      </c>
      <c r="D62" s="128">
        <v>1.03</v>
      </c>
      <c r="E62" s="128">
        <v>1.05</v>
      </c>
      <c r="F62" s="128">
        <v>1.06</v>
      </c>
      <c r="G62" s="128">
        <v>1.08</v>
      </c>
      <c r="H62" s="128">
        <v>1.0900000000000001</v>
      </c>
      <c r="I62" s="128">
        <v>1.1100000000000001</v>
      </c>
      <c r="J62" s="128">
        <v>1.1200000000000001</v>
      </c>
      <c r="K62" s="128">
        <v>1.1299999999999999</v>
      </c>
      <c r="L62" s="128">
        <v>1.1399999999999999</v>
      </c>
      <c r="M62" s="128">
        <v>1.1599999999999999</v>
      </c>
      <c r="N62" s="128">
        <v>1.17</v>
      </c>
      <c r="O62" s="128">
        <v>1.18</v>
      </c>
      <c r="P62" s="128">
        <v>1.19</v>
      </c>
      <c r="Q62" s="128">
        <v>1.2</v>
      </c>
      <c r="R62" s="128">
        <v>1.21</v>
      </c>
      <c r="S62" s="128">
        <v>1.22</v>
      </c>
      <c r="T62" s="128">
        <v>1.23</v>
      </c>
      <c r="U62" s="128">
        <v>1.24</v>
      </c>
      <c r="V62" s="128">
        <v>1.25</v>
      </c>
      <c r="W62" s="128">
        <v>1.26</v>
      </c>
      <c r="X62" s="128">
        <v>1.27</v>
      </c>
      <c r="Y62" s="128">
        <v>1.28</v>
      </c>
      <c r="Z62" s="128">
        <v>1.29</v>
      </c>
      <c r="AA62" s="128">
        <v>1.3</v>
      </c>
      <c r="AB62" s="128">
        <v>1.31</v>
      </c>
      <c r="AC62" s="128">
        <v>1.31</v>
      </c>
      <c r="AD62" s="128">
        <v>1.32</v>
      </c>
      <c r="AE62" s="128">
        <v>1.33</v>
      </c>
      <c r="AF62" s="128">
        <v>1.34</v>
      </c>
      <c r="AG62" s="128">
        <v>1.34</v>
      </c>
      <c r="AH62" s="128">
        <v>1.35</v>
      </c>
      <c r="AI62" s="128">
        <v>1.36</v>
      </c>
      <c r="AJ62" s="128">
        <v>1.37</v>
      </c>
      <c r="AK62" s="128">
        <v>1.37</v>
      </c>
      <c r="AL62" s="128">
        <v>1.38</v>
      </c>
      <c r="AM62" s="128">
        <v>1.39</v>
      </c>
      <c r="AN62" s="128">
        <v>1.39</v>
      </c>
      <c r="AO62" s="128">
        <v>1.4</v>
      </c>
      <c r="AP62" s="128">
        <v>1.4</v>
      </c>
      <c r="AQ62" s="128">
        <v>1.41</v>
      </c>
      <c r="AR62" s="128">
        <v>1.42</v>
      </c>
      <c r="AS62" s="128">
        <v>1.43</v>
      </c>
      <c r="AT62" s="128">
        <v>1.44</v>
      </c>
      <c r="AU62" s="128">
        <v>1.45</v>
      </c>
      <c r="AV62" s="128">
        <v>1.46</v>
      </c>
      <c r="AW62" s="128">
        <v>1.47</v>
      </c>
      <c r="AX62" s="128">
        <v>1.48</v>
      </c>
      <c r="AY62" s="128">
        <v>1.49</v>
      </c>
      <c r="AZ62" s="128">
        <v>1.5</v>
      </c>
      <c r="BA62" s="128">
        <v>1.51</v>
      </c>
      <c r="BB62" s="128">
        <v>1.52</v>
      </c>
      <c r="BC62" s="128">
        <v>1.53</v>
      </c>
      <c r="BD62" s="128">
        <v>1.54</v>
      </c>
      <c r="BE62" s="128">
        <v>1.55</v>
      </c>
      <c r="BF62" s="128">
        <v>1.56</v>
      </c>
      <c r="BG62" s="128">
        <v>1.57</v>
      </c>
      <c r="BH62" s="128">
        <v>1.58</v>
      </c>
      <c r="BI62" s="128">
        <v>1.59</v>
      </c>
      <c r="BJ62" s="128">
        <v>1.59</v>
      </c>
      <c r="BK62" s="128">
        <v>1.59</v>
      </c>
      <c r="BL62" s="128">
        <v>1.59</v>
      </c>
      <c r="BM62" s="128">
        <v>1.59</v>
      </c>
      <c r="BN62" s="128">
        <v>1.59</v>
      </c>
      <c r="BO62" s="128">
        <v>1.59</v>
      </c>
      <c r="BP62" s="128">
        <v>1.59</v>
      </c>
      <c r="BQ62" s="128">
        <v>1.59</v>
      </c>
      <c r="BR62" s="128">
        <v>1.59</v>
      </c>
      <c r="BS62" s="128">
        <v>1.59</v>
      </c>
      <c r="BT62" s="128">
        <v>1.59</v>
      </c>
      <c r="BU62" s="128">
        <v>1.59</v>
      </c>
      <c r="BV62" s="128">
        <v>1.59</v>
      </c>
      <c r="BW62" s="128">
        <v>1.59</v>
      </c>
      <c r="BX62" s="128">
        <v>1.59</v>
      </c>
      <c r="BY62" s="128">
        <v>1.59</v>
      </c>
      <c r="BZ62" s="128">
        <v>1.59</v>
      </c>
      <c r="CA62" s="128">
        <v>1.59</v>
      </c>
      <c r="CB62" s="128">
        <v>1.59</v>
      </c>
      <c r="CC62" s="128">
        <v>1.59</v>
      </c>
      <c r="CD62" s="128">
        <v>1.59</v>
      </c>
      <c r="CE62" s="128">
        <v>1.59</v>
      </c>
      <c r="CF62" s="128">
        <v>1.59</v>
      </c>
      <c r="CG62" s="128">
        <v>1.59</v>
      </c>
      <c r="CH62" s="128">
        <v>1.59</v>
      </c>
      <c r="CI62" s="128">
        <v>1.59</v>
      </c>
      <c r="CJ62" s="128">
        <v>1.59</v>
      </c>
      <c r="CK62" s="128">
        <v>1.59</v>
      </c>
      <c r="CL62" s="128">
        <v>1.59</v>
      </c>
      <c r="CM62" s="128">
        <v>1.59</v>
      </c>
      <c r="CN62" s="128">
        <v>1.59</v>
      </c>
      <c r="CO62" s="128">
        <v>1.59</v>
      </c>
      <c r="CP62" s="128">
        <v>1.59</v>
      </c>
      <c r="CQ62" s="128">
        <v>1.59</v>
      </c>
      <c r="CR62" s="128">
        <v>1.59</v>
      </c>
      <c r="CS62" s="128">
        <v>1.59</v>
      </c>
      <c r="CT62" s="128">
        <v>1.59</v>
      </c>
      <c r="CU62" s="128">
        <v>1.59</v>
      </c>
      <c r="CV62" s="128">
        <v>1.59</v>
      </c>
      <c r="CW62" s="128">
        <v>1.59</v>
      </c>
      <c r="CX62" s="128">
        <v>1.59</v>
      </c>
      <c r="CZ62" s="126">
        <f>SUMIF(MatrixF1[[1]:[2]],MatrixF1[[#This Row],[Столбец1]])/MatrixF1[[#This Row],[Столбец1]]</f>
        <v>83.000000000000114</v>
      </c>
    </row>
    <row r="63" spans="1:104" ht="21" customHeight="1" x14ac:dyDescent="0.25">
      <c r="A63" s="127">
        <v>1.6</v>
      </c>
      <c r="B63" s="128">
        <v>1</v>
      </c>
      <c r="C63" s="128">
        <v>1.02</v>
      </c>
      <c r="D63" s="128">
        <v>1.03</v>
      </c>
      <c r="E63" s="128">
        <v>1.05</v>
      </c>
      <c r="F63" s="128">
        <v>1.06</v>
      </c>
      <c r="G63" s="128">
        <v>1.08</v>
      </c>
      <c r="H63" s="128">
        <v>1.0900000000000001</v>
      </c>
      <c r="I63" s="128">
        <v>1.1000000000000001</v>
      </c>
      <c r="J63" s="128">
        <v>1.1200000000000001</v>
      </c>
      <c r="K63" s="128">
        <v>1.1299999999999999</v>
      </c>
      <c r="L63" s="128">
        <v>1.1399999999999999</v>
      </c>
      <c r="M63" s="128">
        <v>1.1499999999999999</v>
      </c>
      <c r="N63" s="128">
        <v>1.17</v>
      </c>
      <c r="O63" s="128">
        <v>1.18</v>
      </c>
      <c r="P63" s="128">
        <v>1.19</v>
      </c>
      <c r="Q63" s="128">
        <v>1.2</v>
      </c>
      <c r="R63" s="128">
        <v>1.21</v>
      </c>
      <c r="S63" s="128">
        <v>1.22</v>
      </c>
      <c r="T63" s="128">
        <v>1.23</v>
      </c>
      <c r="U63" s="128">
        <v>1.24</v>
      </c>
      <c r="V63" s="128">
        <v>1.25</v>
      </c>
      <c r="W63" s="128">
        <v>1.26</v>
      </c>
      <c r="X63" s="128">
        <v>1.27</v>
      </c>
      <c r="Y63" s="128">
        <v>1.28</v>
      </c>
      <c r="Z63" s="128">
        <v>1.29</v>
      </c>
      <c r="AA63" s="128">
        <v>1.29</v>
      </c>
      <c r="AB63" s="128">
        <v>1.3</v>
      </c>
      <c r="AC63" s="128">
        <v>1.31</v>
      </c>
      <c r="AD63" s="128">
        <v>1.32</v>
      </c>
      <c r="AE63" s="128">
        <v>1.33</v>
      </c>
      <c r="AF63" s="128">
        <v>1.33</v>
      </c>
      <c r="AG63" s="128">
        <v>1.34</v>
      </c>
      <c r="AH63" s="128">
        <v>1.35</v>
      </c>
      <c r="AI63" s="128">
        <v>1.35</v>
      </c>
      <c r="AJ63" s="128">
        <v>1.36</v>
      </c>
      <c r="AK63" s="128">
        <v>1.37</v>
      </c>
      <c r="AL63" s="128">
        <v>1.38</v>
      </c>
      <c r="AM63" s="128">
        <v>1.38</v>
      </c>
      <c r="AN63" s="128">
        <v>1.39</v>
      </c>
      <c r="AO63" s="128">
        <v>1.39</v>
      </c>
      <c r="AP63" s="128">
        <v>1.4</v>
      </c>
      <c r="AQ63" s="128">
        <v>1.41</v>
      </c>
      <c r="AR63" s="128">
        <v>1.42</v>
      </c>
      <c r="AS63" s="128">
        <v>1.43</v>
      </c>
      <c r="AT63" s="128">
        <v>1.44</v>
      </c>
      <c r="AU63" s="128">
        <v>1.45</v>
      </c>
      <c r="AV63" s="128">
        <v>1.46</v>
      </c>
      <c r="AW63" s="128">
        <v>1.47</v>
      </c>
      <c r="AX63" s="128">
        <v>1.48</v>
      </c>
      <c r="AY63" s="128">
        <v>1.49</v>
      </c>
      <c r="AZ63" s="128">
        <v>1.5</v>
      </c>
      <c r="BA63" s="128">
        <v>1.51</v>
      </c>
      <c r="BB63" s="128">
        <v>1.52</v>
      </c>
      <c r="BC63" s="128">
        <v>1.53</v>
      </c>
      <c r="BD63" s="128">
        <v>1.54</v>
      </c>
      <c r="BE63" s="128">
        <v>1.55</v>
      </c>
      <c r="BF63" s="128">
        <v>1.56</v>
      </c>
      <c r="BG63" s="128">
        <v>1.57</v>
      </c>
      <c r="BH63" s="128">
        <v>1.58</v>
      </c>
      <c r="BI63" s="128">
        <v>1.59</v>
      </c>
      <c r="BJ63" s="128">
        <v>1.6</v>
      </c>
      <c r="BK63" s="128">
        <v>1.6</v>
      </c>
      <c r="BL63" s="128">
        <v>1.6</v>
      </c>
      <c r="BM63" s="128">
        <v>1.6</v>
      </c>
      <c r="BN63" s="128">
        <v>1.6</v>
      </c>
      <c r="BO63" s="128">
        <v>1.6</v>
      </c>
      <c r="BP63" s="128">
        <v>1.6</v>
      </c>
      <c r="BQ63" s="128">
        <v>1.6</v>
      </c>
      <c r="BR63" s="128">
        <v>1.6</v>
      </c>
      <c r="BS63" s="128">
        <v>1.6</v>
      </c>
      <c r="BT63" s="128">
        <v>1.6</v>
      </c>
      <c r="BU63" s="128">
        <v>1.6</v>
      </c>
      <c r="BV63" s="128">
        <v>1.6</v>
      </c>
      <c r="BW63" s="128">
        <v>1.6</v>
      </c>
      <c r="BX63" s="128">
        <v>1.6</v>
      </c>
      <c r="BY63" s="128">
        <v>1.6</v>
      </c>
      <c r="BZ63" s="128">
        <v>1.6</v>
      </c>
      <c r="CA63" s="128">
        <v>1.6</v>
      </c>
      <c r="CB63" s="128">
        <v>1.6</v>
      </c>
      <c r="CC63" s="128">
        <v>1.6</v>
      </c>
      <c r="CD63" s="128">
        <v>1.6</v>
      </c>
      <c r="CE63" s="128">
        <v>1.6</v>
      </c>
      <c r="CF63" s="128">
        <v>1.6</v>
      </c>
      <c r="CG63" s="128">
        <v>1.6</v>
      </c>
      <c r="CH63" s="128">
        <v>1.6</v>
      </c>
      <c r="CI63" s="128">
        <v>1.6</v>
      </c>
      <c r="CJ63" s="128">
        <v>1.6</v>
      </c>
      <c r="CK63" s="128">
        <v>1.6</v>
      </c>
      <c r="CL63" s="128">
        <v>1.6</v>
      </c>
      <c r="CM63" s="128">
        <v>1.6</v>
      </c>
      <c r="CN63" s="128">
        <v>1.6</v>
      </c>
      <c r="CO63" s="128">
        <v>1.6</v>
      </c>
      <c r="CP63" s="128">
        <v>1.6</v>
      </c>
      <c r="CQ63" s="128">
        <v>1.6</v>
      </c>
      <c r="CR63" s="128">
        <v>1.6</v>
      </c>
      <c r="CS63" s="128">
        <v>1.6</v>
      </c>
      <c r="CT63" s="128">
        <v>1.6</v>
      </c>
      <c r="CU63" s="128">
        <v>1.6</v>
      </c>
      <c r="CV63" s="128">
        <v>1.6</v>
      </c>
      <c r="CW63" s="128">
        <v>1.6</v>
      </c>
      <c r="CX63" s="128">
        <v>1.6</v>
      </c>
      <c r="CZ63" s="126">
        <f>SUMIF(MatrixF1[[1]:[2]],MatrixF1[[#This Row],[Столбец1]])/MatrixF1[[#This Row],[Столбец1]]</f>
        <v>80.999999999999872</v>
      </c>
    </row>
    <row r="64" spans="1:104" ht="21" customHeight="1" x14ac:dyDescent="0.25">
      <c r="A64" s="127">
        <v>1.61</v>
      </c>
      <c r="B64" s="128">
        <v>1</v>
      </c>
      <c r="C64" s="128">
        <v>1.02</v>
      </c>
      <c r="D64" s="128">
        <v>1.03</v>
      </c>
      <c r="E64" s="128">
        <v>1.05</v>
      </c>
      <c r="F64" s="128">
        <v>1.06</v>
      </c>
      <c r="G64" s="128">
        <v>1.08</v>
      </c>
      <c r="H64" s="128">
        <v>1.0900000000000001</v>
      </c>
      <c r="I64" s="128">
        <v>1.1000000000000001</v>
      </c>
      <c r="J64" s="128">
        <v>1.1200000000000001</v>
      </c>
      <c r="K64" s="128">
        <v>1.1299999999999999</v>
      </c>
      <c r="L64" s="128">
        <v>1.1399999999999999</v>
      </c>
      <c r="M64" s="128">
        <v>1.1499999999999999</v>
      </c>
      <c r="N64" s="128">
        <v>1.1599999999999999</v>
      </c>
      <c r="O64" s="128">
        <v>1.18</v>
      </c>
      <c r="P64" s="128">
        <v>1.19</v>
      </c>
      <c r="Q64" s="128">
        <v>1.2</v>
      </c>
      <c r="R64" s="128">
        <v>1.21</v>
      </c>
      <c r="S64" s="128">
        <v>1.22</v>
      </c>
      <c r="T64" s="128">
        <v>1.23</v>
      </c>
      <c r="U64" s="128">
        <v>1.24</v>
      </c>
      <c r="V64" s="128">
        <v>1.25</v>
      </c>
      <c r="W64" s="128">
        <v>1.26</v>
      </c>
      <c r="X64" s="128">
        <v>1.27</v>
      </c>
      <c r="Y64" s="128">
        <v>1.27</v>
      </c>
      <c r="Z64" s="128">
        <v>1.28</v>
      </c>
      <c r="AA64" s="128">
        <v>1.29</v>
      </c>
      <c r="AB64" s="128">
        <v>1.3</v>
      </c>
      <c r="AC64" s="128">
        <v>1.31</v>
      </c>
      <c r="AD64" s="128">
        <v>1.31</v>
      </c>
      <c r="AE64" s="128">
        <v>1.32</v>
      </c>
      <c r="AF64" s="128">
        <v>1.33</v>
      </c>
      <c r="AG64" s="128">
        <v>1.34</v>
      </c>
      <c r="AH64" s="128">
        <v>1.34</v>
      </c>
      <c r="AI64" s="128">
        <v>1.35</v>
      </c>
      <c r="AJ64" s="128">
        <v>1.36</v>
      </c>
      <c r="AK64" s="128">
        <v>1.36</v>
      </c>
      <c r="AL64" s="128">
        <v>1.37</v>
      </c>
      <c r="AM64" s="128">
        <v>1.38</v>
      </c>
      <c r="AN64" s="128">
        <v>1.38</v>
      </c>
      <c r="AO64" s="128">
        <v>1.39</v>
      </c>
      <c r="AP64" s="128">
        <v>1.4</v>
      </c>
      <c r="AQ64" s="128">
        <v>1.41</v>
      </c>
      <c r="AR64" s="128">
        <v>1.42</v>
      </c>
      <c r="AS64" s="128">
        <v>1.43</v>
      </c>
      <c r="AT64" s="128">
        <v>1.44</v>
      </c>
      <c r="AU64" s="128">
        <v>1.45</v>
      </c>
      <c r="AV64" s="128">
        <v>1.46</v>
      </c>
      <c r="AW64" s="128">
        <v>1.47</v>
      </c>
      <c r="AX64" s="128">
        <v>1.48</v>
      </c>
      <c r="AY64" s="128">
        <v>1.49</v>
      </c>
      <c r="AZ64" s="128">
        <v>1.5</v>
      </c>
      <c r="BA64" s="128">
        <v>1.51</v>
      </c>
      <c r="BB64" s="128">
        <v>1.52</v>
      </c>
      <c r="BC64" s="128">
        <v>1.53</v>
      </c>
      <c r="BD64" s="128">
        <v>1.54</v>
      </c>
      <c r="BE64" s="128">
        <v>1.55</v>
      </c>
      <c r="BF64" s="128">
        <v>1.56</v>
      </c>
      <c r="BG64" s="128">
        <v>1.57</v>
      </c>
      <c r="BH64" s="128">
        <v>1.58</v>
      </c>
      <c r="BI64" s="128">
        <v>1.59</v>
      </c>
      <c r="BJ64" s="128">
        <v>1.6</v>
      </c>
      <c r="BK64" s="128">
        <v>1.61</v>
      </c>
      <c r="BL64" s="128">
        <v>1.61</v>
      </c>
      <c r="BM64" s="128">
        <v>1.61</v>
      </c>
      <c r="BN64" s="128">
        <v>1.61</v>
      </c>
      <c r="BO64" s="128">
        <v>1.61</v>
      </c>
      <c r="BP64" s="128">
        <v>1.61</v>
      </c>
      <c r="BQ64" s="128">
        <v>1.61</v>
      </c>
      <c r="BR64" s="128">
        <v>1.61</v>
      </c>
      <c r="BS64" s="128">
        <v>1.61</v>
      </c>
      <c r="BT64" s="128">
        <v>1.61</v>
      </c>
      <c r="BU64" s="128">
        <v>1.61</v>
      </c>
      <c r="BV64" s="128">
        <v>1.61</v>
      </c>
      <c r="BW64" s="128">
        <v>1.61</v>
      </c>
      <c r="BX64" s="128">
        <v>1.61</v>
      </c>
      <c r="BY64" s="128">
        <v>1.61</v>
      </c>
      <c r="BZ64" s="128">
        <v>1.61</v>
      </c>
      <c r="CA64" s="128">
        <v>1.61</v>
      </c>
      <c r="CB64" s="128">
        <v>1.61</v>
      </c>
      <c r="CC64" s="128">
        <v>1.61</v>
      </c>
      <c r="CD64" s="128">
        <v>1.61</v>
      </c>
      <c r="CE64" s="128">
        <v>1.61</v>
      </c>
      <c r="CF64" s="128">
        <v>1.61</v>
      </c>
      <c r="CG64" s="128">
        <v>1.61</v>
      </c>
      <c r="CH64" s="128">
        <v>1.61</v>
      </c>
      <c r="CI64" s="128">
        <v>1.61</v>
      </c>
      <c r="CJ64" s="128">
        <v>1.61</v>
      </c>
      <c r="CK64" s="128">
        <v>1.61</v>
      </c>
      <c r="CL64" s="128">
        <v>1.61</v>
      </c>
      <c r="CM64" s="128">
        <v>1.61</v>
      </c>
      <c r="CN64" s="128">
        <v>1.61</v>
      </c>
      <c r="CO64" s="128">
        <v>1.61</v>
      </c>
      <c r="CP64" s="128">
        <v>1.61</v>
      </c>
      <c r="CQ64" s="128">
        <v>1.61</v>
      </c>
      <c r="CR64" s="128">
        <v>1.61</v>
      </c>
      <c r="CS64" s="128">
        <v>1.61</v>
      </c>
      <c r="CT64" s="128">
        <v>1.61</v>
      </c>
      <c r="CU64" s="128">
        <v>1.61</v>
      </c>
      <c r="CV64" s="128">
        <v>1.61</v>
      </c>
      <c r="CW64" s="128">
        <v>1.61</v>
      </c>
      <c r="CX64" s="128">
        <v>1.61</v>
      </c>
      <c r="CZ64" s="126">
        <f>SUMIF(MatrixF1[[1]:[2]],MatrixF1[[#This Row],[Столбец1]])/MatrixF1[[#This Row],[Столбец1]]</f>
        <v>78.999999999999972</v>
      </c>
    </row>
    <row r="65" spans="1:104" ht="21" customHeight="1" x14ac:dyDescent="0.25">
      <c r="A65" s="127">
        <v>1.62</v>
      </c>
      <c r="B65" s="128">
        <v>1</v>
      </c>
      <c r="C65" s="128">
        <v>1.02</v>
      </c>
      <c r="D65" s="128">
        <v>1.03</v>
      </c>
      <c r="E65" s="128">
        <v>1.05</v>
      </c>
      <c r="F65" s="128">
        <v>1.06</v>
      </c>
      <c r="G65" s="128">
        <v>1.07</v>
      </c>
      <c r="H65" s="128">
        <v>1.0900000000000001</v>
      </c>
      <c r="I65" s="128">
        <v>1.1000000000000001</v>
      </c>
      <c r="J65" s="128">
        <v>1.1100000000000001</v>
      </c>
      <c r="K65" s="128">
        <v>1.1299999999999999</v>
      </c>
      <c r="L65" s="128">
        <v>1.1399999999999999</v>
      </c>
      <c r="M65" s="128">
        <v>1.1499999999999999</v>
      </c>
      <c r="N65" s="128">
        <v>1.1599999999999999</v>
      </c>
      <c r="O65" s="128">
        <v>1.17</v>
      </c>
      <c r="P65" s="128">
        <v>1.18</v>
      </c>
      <c r="Q65" s="128">
        <v>1.19</v>
      </c>
      <c r="R65" s="128">
        <v>1.21</v>
      </c>
      <c r="S65" s="128">
        <v>1.22</v>
      </c>
      <c r="T65" s="128">
        <v>1.22</v>
      </c>
      <c r="U65" s="128">
        <v>1.23</v>
      </c>
      <c r="V65" s="128">
        <v>1.24</v>
      </c>
      <c r="W65" s="128">
        <v>1.25</v>
      </c>
      <c r="X65" s="128">
        <v>1.26</v>
      </c>
      <c r="Y65" s="128">
        <v>1.27</v>
      </c>
      <c r="Z65" s="128">
        <v>1.28</v>
      </c>
      <c r="AA65" s="128">
        <v>1.29</v>
      </c>
      <c r="AB65" s="128">
        <v>1.3</v>
      </c>
      <c r="AC65" s="128">
        <v>1.3</v>
      </c>
      <c r="AD65" s="128">
        <v>1.31</v>
      </c>
      <c r="AE65" s="128">
        <v>1.32</v>
      </c>
      <c r="AF65" s="128">
        <v>1.33</v>
      </c>
      <c r="AG65" s="128">
        <v>1.33</v>
      </c>
      <c r="AH65" s="128">
        <v>1.34</v>
      </c>
      <c r="AI65" s="128">
        <v>1.35</v>
      </c>
      <c r="AJ65" s="128">
        <v>1.35</v>
      </c>
      <c r="AK65" s="128">
        <v>1.36</v>
      </c>
      <c r="AL65" s="128">
        <v>1.37</v>
      </c>
      <c r="AM65" s="128">
        <v>1.37</v>
      </c>
      <c r="AN65" s="128">
        <v>1.38</v>
      </c>
      <c r="AO65" s="128">
        <v>1.39</v>
      </c>
      <c r="AP65" s="128">
        <v>1.4</v>
      </c>
      <c r="AQ65" s="128">
        <v>1.41</v>
      </c>
      <c r="AR65" s="128">
        <v>1.42</v>
      </c>
      <c r="AS65" s="128">
        <v>1.43</v>
      </c>
      <c r="AT65" s="128">
        <v>1.44</v>
      </c>
      <c r="AU65" s="128">
        <v>1.45</v>
      </c>
      <c r="AV65" s="128">
        <v>1.46</v>
      </c>
      <c r="AW65" s="128">
        <v>1.47</v>
      </c>
      <c r="AX65" s="128">
        <v>1.48</v>
      </c>
      <c r="AY65" s="128">
        <v>1.49</v>
      </c>
      <c r="AZ65" s="128">
        <v>1.5</v>
      </c>
      <c r="BA65" s="128">
        <v>1.51</v>
      </c>
      <c r="BB65" s="128">
        <v>1.52</v>
      </c>
      <c r="BC65" s="128">
        <v>1.53</v>
      </c>
      <c r="BD65" s="128">
        <v>1.54</v>
      </c>
      <c r="BE65" s="128">
        <v>1.55</v>
      </c>
      <c r="BF65" s="128">
        <v>1.56</v>
      </c>
      <c r="BG65" s="128">
        <v>1.57</v>
      </c>
      <c r="BH65" s="128">
        <v>1.58</v>
      </c>
      <c r="BI65" s="128">
        <v>1.59</v>
      </c>
      <c r="BJ65" s="128">
        <v>1.6</v>
      </c>
      <c r="BK65" s="128">
        <v>1.61</v>
      </c>
      <c r="BL65" s="128">
        <v>1.62</v>
      </c>
      <c r="BM65" s="128">
        <v>1.62</v>
      </c>
      <c r="BN65" s="128">
        <v>1.62</v>
      </c>
      <c r="BO65" s="128">
        <v>1.62</v>
      </c>
      <c r="BP65" s="128">
        <v>1.62</v>
      </c>
      <c r="BQ65" s="128">
        <v>1.62</v>
      </c>
      <c r="BR65" s="128">
        <v>1.62</v>
      </c>
      <c r="BS65" s="128">
        <v>1.62</v>
      </c>
      <c r="BT65" s="128">
        <v>1.62</v>
      </c>
      <c r="BU65" s="128">
        <v>1.62</v>
      </c>
      <c r="BV65" s="128">
        <v>1.62</v>
      </c>
      <c r="BW65" s="128">
        <v>1.62</v>
      </c>
      <c r="BX65" s="128">
        <v>1.62</v>
      </c>
      <c r="BY65" s="128">
        <v>1.62</v>
      </c>
      <c r="BZ65" s="128">
        <v>1.62</v>
      </c>
      <c r="CA65" s="128">
        <v>1.62</v>
      </c>
      <c r="CB65" s="128">
        <v>1.62</v>
      </c>
      <c r="CC65" s="128">
        <v>1.62</v>
      </c>
      <c r="CD65" s="128">
        <v>1.62</v>
      </c>
      <c r="CE65" s="128">
        <v>1.62</v>
      </c>
      <c r="CF65" s="128">
        <v>1.62</v>
      </c>
      <c r="CG65" s="128">
        <v>1.62</v>
      </c>
      <c r="CH65" s="128">
        <v>1.62</v>
      </c>
      <c r="CI65" s="128">
        <v>1.62</v>
      </c>
      <c r="CJ65" s="128">
        <v>1.62</v>
      </c>
      <c r="CK65" s="128">
        <v>1.62</v>
      </c>
      <c r="CL65" s="128">
        <v>1.62</v>
      </c>
      <c r="CM65" s="128">
        <v>1.62</v>
      </c>
      <c r="CN65" s="128">
        <v>1.62</v>
      </c>
      <c r="CO65" s="128">
        <v>1.62</v>
      </c>
      <c r="CP65" s="128">
        <v>1.62</v>
      </c>
      <c r="CQ65" s="128">
        <v>1.62</v>
      </c>
      <c r="CR65" s="128">
        <v>1.62</v>
      </c>
      <c r="CS65" s="128">
        <v>1.62</v>
      </c>
      <c r="CT65" s="128">
        <v>1.62</v>
      </c>
      <c r="CU65" s="128">
        <v>1.62</v>
      </c>
      <c r="CV65" s="128">
        <v>1.62</v>
      </c>
      <c r="CW65" s="128">
        <v>1.62</v>
      </c>
      <c r="CX65" s="128">
        <v>1.62</v>
      </c>
      <c r="CZ65" s="126">
        <f>SUMIF(MatrixF1[[1]:[2]],MatrixF1[[#This Row],[Столбец1]])/MatrixF1[[#This Row],[Столбец1]]</f>
        <v>77.000000000000085</v>
      </c>
    </row>
    <row r="66" spans="1:104" ht="21" customHeight="1" x14ac:dyDescent="0.25">
      <c r="A66" s="127">
        <v>1.63</v>
      </c>
      <c r="B66" s="128">
        <v>1</v>
      </c>
      <c r="C66" s="128">
        <v>1.02</v>
      </c>
      <c r="D66" s="128">
        <v>1.03</v>
      </c>
      <c r="E66" s="128">
        <v>1.05</v>
      </c>
      <c r="F66" s="128">
        <v>1.06</v>
      </c>
      <c r="G66" s="128">
        <v>1.07</v>
      </c>
      <c r="H66" s="128">
        <v>1.0900000000000001</v>
      </c>
      <c r="I66" s="128">
        <v>1.1000000000000001</v>
      </c>
      <c r="J66" s="128">
        <v>1.1100000000000001</v>
      </c>
      <c r="K66" s="128">
        <v>1.1200000000000001</v>
      </c>
      <c r="L66" s="128">
        <v>1.1399999999999999</v>
      </c>
      <c r="M66" s="128">
        <v>1.1499999999999999</v>
      </c>
      <c r="N66" s="128">
        <v>1.1599999999999999</v>
      </c>
      <c r="O66" s="128">
        <v>1.17</v>
      </c>
      <c r="P66" s="128">
        <v>1.18</v>
      </c>
      <c r="Q66" s="128">
        <v>1.19</v>
      </c>
      <c r="R66" s="128">
        <v>1.2</v>
      </c>
      <c r="S66" s="128">
        <v>1.21</v>
      </c>
      <c r="T66" s="128">
        <v>1.22</v>
      </c>
      <c r="U66" s="128">
        <v>1.23</v>
      </c>
      <c r="V66" s="128">
        <v>1.24</v>
      </c>
      <c r="W66" s="128">
        <v>1.25</v>
      </c>
      <c r="X66" s="128">
        <v>1.26</v>
      </c>
      <c r="Y66" s="128">
        <v>1.27</v>
      </c>
      <c r="Z66" s="128">
        <v>1.28</v>
      </c>
      <c r="AA66" s="128">
        <v>1.28</v>
      </c>
      <c r="AB66" s="128">
        <v>1.29</v>
      </c>
      <c r="AC66" s="128">
        <v>1.3</v>
      </c>
      <c r="AD66" s="128">
        <v>1.31</v>
      </c>
      <c r="AE66" s="128">
        <v>1.32</v>
      </c>
      <c r="AF66" s="128">
        <v>1.32</v>
      </c>
      <c r="AG66" s="128">
        <v>1.33</v>
      </c>
      <c r="AH66" s="128">
        <v>1.34</v>
      </c>
      <c r="AI66" s="128">
        <v>1.34</v>
      </c>
      <c r="AJ66" s="128">
        <v>1.35</v>
      </c>
      <c r="AK66" s="128">
        <v>1.36</v>
      </c>
      <c r="AL66" s="128">
        <v>1.36</v>
      </c>
      <c r="AM66" s="128">
        <v>1.37</v>
      </c>
      <c r="AN66" s="128">
        <v>1.38</v>
      </c>
      <c r="AO66" s="128">
        <v>1.39</v>
      </c>
      <c r="AP66" s="128">
        <v>1.4</v>
      </c>
      <c r="AQ66" s="128">
        <v>1.41</v>
      </c>
      <c r="AR66" s="128">
        <v>1.42</v>
      </c>
      <c r="AS66" s="128">
        <v>1.43</v>
      </c>
      <c r="AT66" s="128">
        <v>1.44</v>
      </c>
      <c r="AU66" s="128">
        <v>1.45</v>
      </c>
      <c r="AV66" s="128">
        <v>1.46</v>
      </c>
      <c r="AW66" s="128">
        <v>1.47</v>
      </c>
      <c r="AX66" s="128">
        <v>1.48</v>
      </c>
      <c r="AY66" s="128">
        <v>1.49</v>
      </c>
      <c r="AZ66" s="128">
        <v>1.5</v>
      </c>
      <c r="BA66" s="128">
        <v>1.51</v>
      </c>
      <c r="BB66" s="128">
        <v>1.52</v>
      </c>
      <c r="BC66" s="128">
        <v>1.53</v>
      </c>
      <c r="BD66" s="128">
        <v>1.54</v>
      </c>
      <c r="BE66" s="128">
        <v>1.55</v>
      </c>
      <c r="BF66" s="128">
        <v>1.56</v>
      </c>
      <c r="BG66" s="128">
        <v>1.57</v>
      </c>
      <c r="BH66" s="128">
        <v>1.58</v>
      </c>
      <c r="BI66" s="128">
        <v>1.59</v>
      </c>
      <c r="BJ66" s="128">
        <v>1.6</v>
      </c>
      <c r="BK66" s="128">
        <v>1.61</v>
      </c>
      <c r="BL66" s="128">
        <v>1.62</v>
      </c>
      <c r="BM66" s="128">
        <v>1.63</v>
      </c>
      <c r="BN66" s="128">
        <v>1.63</v>
      </c>
      <c r="BO66" s="128">
        <v>1.63</v>
      </c>
      <c r="BP66" s="128">
        <v>1.63</v>
      </c>
      <c r="BQ66" s="128">
        <v>1.63</v>
      </c>
      <c r="BR66" s="128">
        <v>1.63</v>
      </c>
      <c r="BS66" s="128">
        <v>1.63</v>
      </c>
      <c r="BT66" s="128">
        <v>1.63</v>
      </c>
      <c r="BU66" s="128">
        <v>1.63</v>
      </c>
      <c r="BV66" s="128">
        <v>1.63</v>
      </c>
      <c r="BW66" s="128">
        <v>1.63</v>
      </c>
      <c r="BX66" s="128">
        <v>1.63</v>
      </c>
      <c r="BY66" s="128">
        <v>1.63</v>
      </c>
      <c r="BZ66" s="128">
        <v>1.63</v>
      </c>
      <c r="CA66" s="128">
        <v>1.63</v>
      </c>
      <c r="CB66" s="128">
        <v>1.63</v>
      </c>
      <c r="CC66" s="128">
        <v>1.63</v>
      </c>
      <c r="CD66" s="128">
        <v>1.63</v>
      </c>
      <c r="CE66" s="128">
        <v>1.63</v>
      </c>
      <c r="CF66" s="128">
        <v>1.63</v>
      </c>
      <c r="CG66" s="128">
        <v>1.63</v>
      </c>
      <c r="CH66" s="128">
        <v>1.63</v>
      </c>
      <c r="CI66" s="128">
        <v>1.63</v>
      </c>
      <c r="CJ66" s="128">
        <v>1.63</v>
      </c>
      <c r="CK66" s="128">
        <v>1.63</v>
      </c>
      <c r="CL66" s="128">
        <v>1.63</v>
      </c>
      <c r="CM66" s="128">
        <v>1.63</v>
      </c>
      <c r="CN66" s="128">
        <v>1.63</v>
      </c>
      <c r="CO66" s="128">
        <v>1.63</v>
      </c>
      <c r="CP66" s="128">
        <v>1.63</v>
      </c>
      <c r="CQ66" s="128">
        <v>1.63</v>
      </c>
      <c r="CR66" s="128">
        <v>1.63</v>
      </c>
      <c r="CS66" s="128">
        <v>1.63</v>
      </c>
      <c r="CT66" s="128">
        <v>1.63</v>
      </c>
      <c r="CU66" s="128">
        <v>1.63</v>
      </c>
      <c r="CV66" s="128">
        <v>1.63</v>
      </c>
      <c r="CW66" s="128">
        <v>1.63</v>
      </c>
      <c r="CX66" s="128">
        <v>1.63</v>
      </c>
      <c r="CZ66" s="126">
        <f>SUMIF(MatrixF1[[1]:[2]],MatrixF1[[#This Row],[Столбец1]])/MatrixF1[[#This Row],[Столбец1]]</f>
        <v>74.999999999999929</v>
      </c>
    </row>
    <row r="67" spans="1:104" ht="21" customHeight="1" x14ac:dyDescent="0.25">
      <c r="A67" s="127">
        <v>1.64</v>
      </c>
      <c r="B67" s="128">
        <v>1</v>
      </c>
      <c r="C67" s="128">
        <v>1.02</v>
      </c>
      <c r="D67" s="128">
        <v>1.03</v>
      </c>
      <c r="E67" s="128">
        <v>1.04</v>
      </c>
      <c r="F67" s="128">
        <v>1.06</v>
      </c>
      <c r="G67" s="128">
        <v>1.07</v>
      </c>
      <c r="H67" s="128">
        <v>1.0900000000000001</v>
      </c>
      <c r="I67" s="128">
        <v>1.1000000000000001</v>
      </c>
      <c r="J67" s="128">
        <v>1.1100000000000001</v>
      </c>
      <c r="K67" s="128">
        <v>1.1200000000000001</v>
      </c>
      <c r="L67" s="128">
        <v>1.1399999999999999</v>
      </c>
      <c r="M67" s="128">
        <v>1.1499999999999999</v>
      </c>
      <c r="N67" s="128">
        <v>1.1599999999999999</v>
      </c>
      <c r="O67" s="128">
        <v>1.17</v>
      </c>
      <c r="P67" s="128">
        <v>1.18</v>
      </c>
      <c r="Q67" s="128">
        <v>1.19</v>
      </c>
      <c r="R67" s="128">
        <v>1.2</v>
      </c>
      <c r="S67" s="128">
        <v>1.21</v>
      </c>
      <c r="T67" s="128">
        <v>1.22</v>
      </c>
      <c r="U67" s="128">
        <v>1.23</v>
      </c>
      <c r="V67" s="128">
        <v>1.24</v>
      </c>
      <c r="W67" s="128">
        <v>1.25</v>
      </c>
      <c r="X67" s="128">
        <v>1.26</v>
      </c>
      <c r="Y67" s="128">
        <v>1.26</v>
      </c>
      <c r="Z67" s="128">
        <v>1.27</v>
      </c>
      <c r="AA67" s="128">
        <v>1.28</v>
      </c>
      <c r="AB67" s="128">
        <v>1.29</v>
      </c>
      <c r="AC67" s="128">
        <v>1.3</v>
      </c>
      <c r="AD67" s="128">
        <v>1.3</v>
      </c>
      <c r="AE67" s="128">
        <v>1.31</v>
      </c>
      <c r="AF67" s="128">
        <v>1.32</v>
      </c>
      <c r="AG67" s="128">
        <v>1.33</v>
      </c>
      <c r="AH67" s="128">
        <v>1.33</v>
      </c>
      <c r="AI67" s="128">
        <v>1.34</v>
      </c>
      <c r="AJ67" s="128">
        <v>1.35</v>
      </c>
      <c r="AK67" s="128">
        <v>1.35</v>
      </c>
      <c r="AL67" s="128">
        <v>1.36</v>
      </c>
      <c r="AM67" s="128">
        <v>1.37</v>
      </c>
      <c r="AN67" s="128">
        <v>1.38</v>
      </c>
      <c r="AO67" s="128">
        <v>1.39</v>
      </c>
      <c r="AP67" s="128">
        <v>1.4</v>
      </c>
      <c r="AQ67" s="128">
        <v>1.41</v>
      </c>
      <c r="AR67" s="128">
        <v>1.42</v>
      </c>
      <c r="AS67" s="128">
        <v>1.43</v>
      </c>
      <c r="AT67" s="128">
        <v>1.44</v>
      </c>
      <c r="AU67" s="128">
        <v>1.45</v>
      </c>
      <c r="AV67" s="128">
        <v>1.46</v>
      </c>
      <c r="AW67" s="128">
        <v>1.47</v>
      </c>
      <c r="AX67" s="128">
        <v>1.48</v>
      </c>
      <c r="AY67" s="128">
        <v>1.49</v>
      </c>
      <c r="AZ67" s="128">
        <v>1.5</v>
      </c>
      <c r="BA67" s="128">
        <v>1.51</v>
      </c>
      <c r="BB67" s="128">
        <v>1.52</v>
      </c>
      <c r="BC67" s="128">
        <v>1.53</v>
      </c>
      <c r="BD67" s="128">
        <v>1.54</v>
      </c>
      <c r="BE67" s="128">
        <v>1.55</v>
      </c>
      <c r="BF67" s="128">
        <v>1.56</v>
      </c>
      <c r="BG67" s="128">
        <v>1.57</v>
      </c>
      <c r="BH67" s="128">
        <v>1.58</v>
      </c>
      <c r="BI67" s="128">
        <v>1.59</v>
      </c>
      <c r="BJ67" s="128">
        <v>1.6</v>
      </c>
      <c r="BK67" s="128">
        <v>1.61</v>
      </c>
      <c r="BL67" s="128">
        <v>1.62</v>
      </c>
      <c r="BM67" s="128">
        <v>1.63</v>
      </c>
      <c r="BN67" s="128">
        <v>1.64</v>
      </c>
      <c r="BO67" s="128">
        <v>1.64</v>
      </c>
      <c r="BP67" s="128">
        <v>1.64</v>
      </c>
      <c r="BQ67" s="128">
        <v>1.64</v>
      </c>
      <c r="BR67" s="128">
        <v>1.64</v>
      </c>
      <c r="BS67" s="128">
        <v>1.64</v>
      </c>
      <c r="BT67" s="128">
        <v>1.64</v>
      </c>
      <c r="BU67" s="128">
        <v>1.64</v>
      </c>
      <c r="BV67" s="128">
        <v>1.64</v>
      </c>
      <c r="BW67" s="128">
        <v>1.64</v>
      </c>
      <c r="BX67" s="128">
        <v>1.64</v>
      </c>
      <c r="BY67" s="128">
        <v>1.64</v>
      </c>
      <c r="BZ67" s="128">
        <v>1.64</v>
      </c>
      <c r="CA67" s="128">
        <v>1.64</v>
      </c>
      <c r="CB67" s="128">
        <v>1.64</v>
      </c>
      <c r="CC67" s="128">
        <v>1.64</v>
      </c>
      <c r="CD67" s="128">
        <v>1.64</v>
      </c>
      <c r="CE67" s="128">
        <v>1.64</v>
      </c>
      <c r="CF67" s="128">
        <v>1.64</v>
      </c>
      <c r="CG67" s="128">
        <v>1.64</v>
      </c>
      <c r="CH67" s="128">
        <v>1.64</v>
      </c>
      <c r="CI67" s="128">
        <v>1.64</v>
      </c>
      <c r="CJ67" s="128">
        <v>1.64</v>
      </c>
      <c r="CK67" s="128">
        <v>1.64</v>
      </c>
      <c r="CL67" s="128">
        <v>1.64</v>
      </c>
      <c r="CM67" s="128">
        <v>1.64</v>
      </c>
      <c r="CN67" s="128">
        <v>1.64</v>
      </c>
      <c r="CO67" s="128">
        <v>1.64</v>
      </c>
      <c r="CP67" s="128">
        <v>1.64</v>
      </c>
      <c r="CQ67" s="128">
        <v>1.64</v>
      </c>
      <c r="CR67" s="128">
        <v>1.64</v>
      </c>
      <c r="CS67" s="128">
        <v>1.64</v>
      </c>
      <c r="CT67" s="128">
        <v>1.64</v>
      </c>
      <c r="CU67" s="128">
        <v>1.64</v>
      </c>
      <c r="CV67" s="128">
        <v>1.64</v>
      </c>
      <c r="CW67" s="128">
        <v>1.64</v>
      </c>
      <c r="CX67" s="128">
        <v>1.64</v>
      </c>
      <c r="CZ67" s="126">
        <f>SUMIF(MatrixF1[[1]:[2]],MatrixF1[[#This Row],[Столбец1]])/MatrixF1[[#This Row],[Столбец1]]</f>
        <v>73.000000000000014</v>
      </c>
    </row>
    <row r="68" spans="1:104" ht="21" customHeight="1" x14ac:dyDescent="0.25">
      <c r="A68" s="127">
        <v>1.65</v>
      </c>
      <c r="B68" s="128">
        <v>1</v>
      </c>
      <c r="C68" s="128">
        <v>1.02</v>
      </c>
      <c r="D68" s="128">
        <v>1.03</v>
      </c>
      <c r="E68" s="128">
        <v>1.04</v>
      </c>
      <c r="F68" s="128">
        <v>1.06</v>
      </c>
      <c r="G68" s="128">
        <v>1.07</v>
      </c>
      <c r="H68" s="128">
        <v>1.08</v>
      </c>
      <c r="I68" s="128">
        <v>1.1000000000000001</v>
      </c>
      <c r="J68" s="128">
        <v>1.1100000000000001</v>
      </c>
      <c r="K68" s="128">
        <v>1.1200000000000001</v>
      </c>
      <c r="L68" s="128">
        <v>1.1299999999999999</v>
      </c>
      <c r="M68" s="128">
        <v>1.1399999999999999</v>
      </c>
      <c r="N68" s="128">
        <v>1.1599999999999999</v>
      </c>
      <c r="O68" s="128">
        <v>1.17</v>
      </c>
      <c r="P68" s="128">
        <v>1.18</v>
      </c>
      <c r="Q68" s="128">
        <v>1.19</v>
      </c>
      <c r="R68" s="128">
        <v>1.2</v>
      </c>
      <c r="S68" s="128">
        <v>1.21</v>
      </c>
      <c r="T68" s="128">
        <v>1.22</v>
      </c>
      <c r="U68" s="128">
        <v>1.23</v>
      </c>
      <c r="V68" s="128">
        <v>1.24</v>
      </c>
      <c r="W68" s="128">
        <v>1.24</v>
      </c>
      <c r="X68" s="128">
        <v>1.25</v>
      </c>
      <c r="Y68" s="128">
        <v>1.26</v>
      </c>
      <c r="Z68" s="128">
        <v>1.27</v>
      </c>
      <c r="AA68" s="128">
        <v>1.28</v>
      </c>
      <c r="AB68" s="128">
        <v>1.29</v>
      </c>
      <c r="AC68" s="128">
        <v>1.29</v>
      </c>
      <c r="AD68" s="128">
        <v>1.3</v>
      </c>
      <c r="AE68" s="128">
        <v>1.31</v>
      </c>
      <c r="AF68" s="128">
        <v>1.32</v>
      </c>
      <c r="AG68" s="128">
        <v>1.32</v>
      </c>
      <c r="AH68" s="128">
        <v>1.33</v>
      </c>
      <c r="AI68" s="128">
        <v>1.34</v>
      </c>
      <c r="AJ68" s="128">
        <v>1.34</v>
      </c>
      <c r="AK68" s="128">
        <v>1.35</v>
      </c>
      <c r="AL68" s="128">
        <v>1.36</v>
      </c>
      <c r="AM68" s="128">
        <v>1.37</v>
      </c>
      <c r="AN68" s="128">
        <v>1.38</v>
      </c>
      <c r="AO68" s="128">
        <v>1.39</v>
      </c>
      <c r="AP68" s="128">
        <v>1.4</v>
      </c>
      <c r="AQ68" s="128">
        <v>1.41</v>
      </c>
      <c r="AR68" s="128">
        <v>1.42</v>
      </c>
      <c r="AS68" s="128">
        <v>1.43</v>
      </c>
      <c r="AT68" s="128">
        <v>1.44</v>
      </c>
      <c r="AU68" s="128">
        <v>1.45</v>
      </c>
      <c r="AV68" s="128">
        <v>1.46</v>
      </c>
      <c r="AW68" s="128">
        <v>1.47</v>
      </c>
      <c r="AX68" s="128">
        <v>1.48</v>
      </c>
      <c r="AY68" s="128">
        <v>1.49</v>
      </c>
      <c r="AZ68" s="128">
        <v>1.5</v>
      </c>
      <c r="BA68" s="128">
        <v>1.51</v>
      </c>
      <c r="BB68" s="128">
        <v>1.52</v>
      </c>
      <c r="BC68" s="128">
        <v>1.53</v>
      </c>
      <c r="BD68" s="128">
        <v>1.54</v>
      </c>
      <c r="BE68" s="128">
        <v>1.55</v>
      </c>
      <c r="BF68" s="128">
        <v>1.56</v>
      </c>
      <c r="BG68" s="128">
        <v>1.57</v>
      </c>
      <c r="BH68" s="128">
        <v>1.58</v>
      </c>
      <c r="BI68" s="128">
        <v>1.59</v>
      </c>
      <c r="BJ68" s="128">
        <v>1.6</v>
      </c>
      <c r="BK68" s="128">
        <v>1.61</v>
      </c>
      <c r="BL68" s="128">
        <v>1.62</v>
      </c>
      <c r="BM68" s="128">
        <v>1.63</v>
      </c>
      <c r="BN68" s="128">
        <v>1.64</v>
      </c>
      <c r="BO68" s="128">
        <v>1.65</v>
      </c>
      <c r="BP68" s="128">
        <v>1.65</v>
      </c>
      <c r="BQ68" s="128">
        <v>1.65</v>
      </c>
      <c r="BR68" s="128">
        <v>1.65</v>
      </c>
      <c r="BS68" s="128">
        <v>1.65</v>
      </c>
      <c r="BT68" s="128">
        <v>1.65</v>
      </c>
      <c r="BU68" s="128">
        <v>1.65</v>
      </c>
      <c r="BV68" s="128">
        <v>1.65</v>
      </c>
      <c r="BW68" s="128">
        <v>1.65</v>
      </c>
      <c r="BX68" s="128">
        <v>1.65</v>
      </c>
      <c r="BY68" s="128">
        <v>1.65</v>
      </c>
      <c r="BZ68" s="128">
        <v>1.65</v>
      </c>
      <c r="CA68" s="128">
        <v>1.65</v>
      </c>
      <c r="CB68" s="128">
        <v>1.65</v>
      </c>
      <c r="CC68" s="128">
        <v>1.65</v>
      </c>
      <c r="CD68" s="128">
        <v>1.65</v>
      </c>
      <c r="CE68" s="128">
        <v>1.65</v>
      </c>
      <c r="CF68" s="128">
        <v>1.65</v>
      </c>
      <c r="CG68" s="128">
        <v>1.65</v>
      </c>
      <c r="CH68" s="128">
        <v>1.65</v>
      </c>
      <c r="CI68" s="128">
        <v>1.65</v>
      </c>
      <c r="CJ68" s="128">
        <v>1.65</v>
      </c>
      <c r="CK68" s="128">
        <v>1.65</v>
      </c>
      <c r="CL68" s="128">
        <v>1.65</v>
      </c>
      <c r="CM68" s="128">
        <v>1.65</v>
      </c>
      <c r="CN68" s="128">
        <v>1.65</v>
      </c>
      <c r="CO68" s="128">
        <v>1.65</v>
      </c>
      <c r="CP68" s="128">
        <v>1.65</v>
      </c>
      <c r="CQ68" s="128">
        <v>1.65</v>
      </c>
      <c r="CR68" s="128">
        <v>1.65</v>
      </c>
      <c r="CS68" s="128">
        <v>1.65</v>
      </c>
      <c r="CT68" s="128">
        <v>1.65</v>
      </c>
      <c r="CU68" s="128">
        <v>1.65</v>
      </c>
      <c r="CV68" s="128">
        <v>1.65</v>
      </c>
      <c r="CW68" s="128">
        <v>1.65</v>
      </c>
      <c r="CX68" s="128">
        <v>1.65</v>
      </c>
      <c r="CZ68" s="126">
        <f>SUMIF(MatrixF1[[1]:[2]],MatrixF1[[#This Row],[Столбец1]])/MatrixF1[[#This Row],[Столбец1]]</f>
        <v>71.000000000000099</v>
      </c>
    </row>
    <row r="69" spans="1:104" ht="21" customHeight="1" x14ac:dyDescent="0.25">
      <c r="A69" s="127">
        <v>1.66</v>
      </c>
      <c r="B69" s="128">
        <v>1</v>
      </c>
      <c r="C69" s="128">
        <v>1.01</v>
      </c>
      <c r="D69" s="128">
        <v>1.03</v>
      </c>
      <c r="E69" s="128">
        <v>1.04</v>
      </c>
      <c r="F69" s="128">
        <v>1.06</v>
      </c>
      <c r="G69" s="128">
        <v>1.07</v>
      </c>
      <c r="H69" s="128">
        <v>1.08</v>
      </c>
      <c r="I69" s="128">
        <v>1.1000000000000001</v>
      </c>
      <c r="J69" s="128">
        <v>1.1100000000000001</v>
      </c>
      <c r="K69" s="128">
        <v>1.1200000000000001</v>
      </c>
      <c r="L69" s="128">
        <v>1.1299999999999999</v>
      </c>
      <c r="M69" s="128">
        <v>1.1399999999999999</v>
      </c>
      <c r="N69" s="128">
        <v>1.1499999999999999</v>
      </c>
      <c r="O69" s="128">
        <v>1.1599999999999999</v>
      </c>
      <c r="P69" s="128">
        <v>1.18</v>
      </c>
      <c r="Q69" s="128">
        <v>1.19</v>
      </c>
      <c r="R69" s="128">
        <v>1.2</v>
      </c>
      <c r="S69" s="128">
        <v>1.2</v>
      </c>
      <c r="T69" s="128">
        <v>1.21</v>
      </c>
      <c r="U69" s="128">
        <v>1.22</v>
      </c>
      <c r="V69" s="128">
        <v>1.23</v>
      </c>
      <c r="W69" s="128">
        <v>1.24</v>
      </c>
      <c r="X69" s="128">
        <v>1.25</v>
      </c>
      <c r="Y69" s="128">
        <v>1.26</v>
      </c>
      <c r="Z69" s="128">
        <v>1.27</v>
      </c>
      <c r="AA69" s="128">
        <v>1.27</v>
      </c>
      <c r="AB69" s="128">
        <v>1.28</v>
      </c>
      <c r="AC69" s="128">
        <v>1.29</v>
      </c>
      <c r="AD69" s="128">
        <v>1.3</v>
      </c>
      <c r="AE69" s="128">
        <v>1.31</v>
      </c>
      <c r="AF69" s="128">
        <v>1.31</v>
      </c>
      <c r="AG69" s="128">
        <v>1.32</v>
      </c>
      <c r="AH69" s="128">
        <v>1.33</v>
      </c>
      <c r="AI69" s="128">
        <v>1.33</v>
      </c>
      <c r="AJ69" s="128">
        <v>1.34</v>
      </c>
      <c r="AK69" s="128">
        <v>1.35</v>
      </c>
      <c r="AL69" s="128">
        <v>1.36</v>
      </c>
      <c r="AM69" s="128">
        <v>1.37</v>
      </c>
      <c r="AN69" s="128">
        <v>1.38</v>
      </c>
      <c r="AO69" s="128">
        <v>1.39</v>
      </c>
      <c r="AP69" s="128">
        <v>1.4</v>
      </c>
      <c r="AQ69" s="128">
        <v>1.41</v>
      </c>
      <c r="AR69" s="128">
        <v>1.42</v>
      </c>
      <c r="AS69" s="128">
        <v>1.43</v>
      </c>
      <c r="AT69" s="128">
        <v>1.44</v>
      </c>
      <c r="AU69" s="128">
        <v>1.45</v>
      </c>
      <c r="AV69" s="128">
        <v>1.46</v>
      </c>
      <c r="AW69" s="128">
        <v>1.47</v>
      </c>
      <c r="AX69" s="128">
        <v>1.48</v>
      </c>
      <c r="AY69" s="128">
        <v>1.49</v>
      </c>
      <c r="AZ69" s="128">
        <v>1.5</v>
      </c>
      <c r="BA69" s="128">
        <v>1.51</v>
      </c>
      <c r="BB69" s="128">
        <v>1.52</v>
      </c>
      <c r="BC69" s="128">
        <v>1.53</v>
      </c>
      <c r="BD69" s="128">
        <v>1.54</v>
      </c>
      <c r="BE69" s="128">
        <v>1.55</v>
      </c>
      <c r="BF69" s="128">
        <v>1.56</v>
      </c>
      <c r="BG69" s="128">
        <v>1.57</v>
      </c>
      <c r="BH69" s="128">
        <v>1.58</v>
      </c>
      <c r="BI69" s="128">
        <v>1.59</v>
      </c>
      <c r="BJ69" s="128">
        <v>1.6</v>
      </c>
      <c r="BK69" s="128">
        <v>1.61</v>
      </c>
      <c r="BL69" s="128">
        <v>1.62</v>
      </c>
      <c r="BM69" s="128">
        <v>1.63</v>
      </c>
      <c r="BN69" s="128">
        <v>1.64</v>
      </c>
      <c r="BO69" s="128">
        <v>1.65</v>
      </c>
      <c r="BP69" s="128">
        <v>1.66</v>
      </c>
      <c r="BQ69" s="128">
        <v>1.66</v>
      </c>
      <c r="BR69" s="128">
        <v>1.66</v>
      </c>
      <c r="BS69" s="128">
        <v>1.66</v>
      </c>
      <c r="BT69" s="128">
        <v>1.66</v>
      </c>
      <c r="BU69" s="128">
        <v>1.66</v>
      </c>
      <c r="BV69" s="128">
        <v>1.66</v>
      </c>
      <c r="BW69" s="128">
        <v>1.66</v>
      </c>
      <c r="BX69" s="128">
        <v>1.66</v>
      </c>
      <c r="BY69" s="128">
        <v>1.66</v>
      </c>
      <c r="BZ69" s="128">
        <v>1.66</v>
      </c>
      <c r="CA69" s="128">
        <v>1.66</v>
      </c>
      <c r="CB69" s="128">
        <v>1.66</v>
      </c>
      <c r="CC69" s="128">
        <v>1.66</v>
      </c>
      <c r="CD69" s="128">
        <v>1.66</v>
      </c>
      <c r="CE69" s="128">
        <v>1.66</v>
      </c>
      <c r="CF69" s="128">
        <v>1.66</v>
      </c>
      <c r="CG69" s="128">
        <v>1.66</v>
      </c>
      <c r="CH69" s="128">
        <v>1.66</v>
      </c>
      <c r="CI69" s="128">
        <v>1.66</v>
      </c>
      <c r="CJ69" s="128">
        <v>1.66</v>
      </c>
      <c r="CK69" s="128">
        <v>1.66</v>
      </c>
      <c r="CL69" s="128">
        <v>1.66</v>
      </c>
      <c r="CM69" s="128">
        <v>1.66</v>
      </c>
      <c r="CN69" s="128">
        <v>1.66</v>
      </c>
      <c r="CO69" s="128">
        <v>1.66</v>
      </c>
      <c r="CP69" s="128">
        <v>1.66</v>
      </c>
      <c r="CQ69" s="128">
        <v>1.66</v>
      </c>
      <c r="CR69" s="128">
        <v>1.66</v>
      </c>
      <c r="CS69" s="128">
        <v>1.66</v>
      </c>
      <c r="CT69" s="128">
        <v>1.66</v>
      </c>
      <c r="CU69" s="128">
        <v>1.66</v>
      </c>
      <c r="CV69" s="128">
        <v>1.66</v>
      </c>
      <c r="CW69" s="128">
        <v>1.66</v>
      </c>
      <c r="CX69" s="128">
        <v>1.66</v>
      </c>
      <c r="CZ69" s="126">
        <f>SUMIF(MatrixF1[[1]:[2]],MatrixF1[[#This Row],[Столбец1]])/MatrixF1[[#This Row],[Столбец1]]</f>
        <v>68.999999999999901</v>
      </c>
    </row>
    <row r="70" spans="1:104" ht="21" customHeight="1" x14ac:dyDescent="0.25">
      <c r="A70" s="127">
        <v>1.67</v>
      </c>
      <c r="B70" s="128">
        <v>1</v>
      </c>
      <c r="C70" s="128">
        <v>1.01</v>
      </c>
      <c r="D70" s="128">
        <v>1.03</v>
      </c>
      <c r="E70" s="128">
        <v>1.04</v>
      </c>
      <c r="F70" s="128">
        <v>1.06</v>
      </c>
      <c r="G70" s="128">
        <v>1.07</v>
      </c>
      <c r="H70" s="128">
        <v>1.08</v>
      </c>
      <c r="I70" s="128">
        <v>1.0900000000000001</v>
      </c>
      <c r="J70" s="128">
        <v>1.1100000000000001</v>
      </c>
      <c r="K70" s="128">
        <v>1.1200000000000001</v>
      </c>
      <c r="L70" s="128">
        <v>1.1299999999999999</v>
      </c>
      <c r="M70" s="128">
        <v>1.1399999999999999</v>
      </c>
      <c r="N70" s="128">
        <v>1.1499999999999999</v>
      </c>
      <c r="O70" s="128">
        <v>1.1599999999999999</v>
      </c>
      <c r="P70" s="128">
        <v>1.17</v>
      </c>
      <c r="Q70" s="128">
        <v>1.18</v>
      </c>
      <c r="R70" s="128">
        <v>1.19</v>
      </c>
      <c r="S70" s="128">
        <v>1.2</v>
      </c>
      <c r="T70" s="128">
        <v>1.21</v>
      </c>
      <c r="U70" s="128">
        <v>1.22</v>
      </c>
      <c r="V70" s="128">
        <v>1.23</v>
      </c>
      <c r="W70" s="128">
        <v>1.24</v>
      </c>
      <c r="X70" s="128">
        <v>1.25</v>
      </c>
      <c r="Y70" s="128">
        <v>1.26</v>
      </c>
      <c r="Z70" s="128">
        <v>1.26</v>
      </c>
      <c r="AA70" s="128">
        <v>1.27</v>
      </c>
      <c r="AB70" s="128">
        <v>1.28</v>
      </c>
      <c r="AC70" s="128">
        <v>1.29</v>
      </c>
      <c r="AD70" s="128">
        <v>1.29</v>
      </c>
      <c r="AE70" s="128">
        <v>1.3</v>
      </c>
      <c r="AF70" s="128">
        <v>1.31</v>
      </c>
      <c r="AG70" s="128">
        <v>1.32</v>
      </c>
      <c r="AH70" s="128">
        <v>1.32</v>
      </c>
      <c r="AI70" s="128">
        <v>1.33</v>
      </c>
      <c r="AJ70" s="128">
        <v>1.34</v>
      </c>
      <c r="AK70" s="128">
        <v>1.35</v>
      </c>
      <c r="AL70" s="128">
        <v>1.36</v>
      </c>
      <c r="AM70" s="128">
        <v>1.37</v>
      </c>
      <c r="AN70" s="128">
        <v>1.38</v>
      </c>
      <c r="AO70" s="128">
        <v>1.39</v>
      </c>
      <c r="AP70" s="128">
        <v>1.4</v>
      </c>
      <c r="AQ70" s="128">
        <v>1.41</v>
      </c>
      <c r="AR70" s="128">
        <v>1.42</v>
      </c>
      <c r="AS70" s="128">
        <v>1.43</v>
      </c>
      <c r="AT70" s="128">
        <v>1.44</v>
      </c>
      <c r="AU70" s="128">
        <v>1.45</v>
      </c>
      <c r="AV70" s="128">
        <v>1.46</v>
      </c>
      <c r="AW70" s="128">
        <v>1.47</v>
      </c>
      <c r="AX70" s="128">
        <v>1.48</v>
      </c>
      <c r="AY70" s="128">
        <v>1.49</v>
      </c>
      <c r="AZ70" s="128">
        <v>1.5</v>
      </c>
      <c r="BA70" s="128">
        <v>1.51</v>
      </c>
      <c r="BB70" s="128">
        <v>1.52</v>
      </c>
      <c r="BC70" s="128">
        <v>1.53</v>
      </c>
      <c r="BD70" s="128">
        <v>1.54</v>
      </c>
      <c r="BE70" s="128">
        <v>1.55</v>
      </c>
      <c r="BF70" s="128">
        <v>1.56</v>
      </c>
      <c r="BG70" s="128">
        <v>1.57</v>
      </c>
      <c r="BH70" s="128">
        <v>1.58</v>
      </c>
      <c r="BI70" s="128">
        <v>1.59</v>
      </c>
      <c r="BJ70" s="128">
        <v>1.6</v>
      </c>
      <c r="BK70" s="128">
        <v>1.61</v>
      </c>
      <c r="BL70" s="128">
        <v>1.62</v>
      </c>
      <c r="BM70" s="128">
        <v>1.63</v>
      </c>
      <c r="BN70" s="128">
        <v>1.64</v>
      </c>
      <c r="BO70" s="128">
        <v>1.65</v>
      </c>
      <c r="BP70" s="128">
        <v>1.66</v>
      </c>
      <c r="BQ70" s="128">
        <v>1.67</v>
      </c>
      <c r="BR70" s="128">
        <v>1.67</v>
      </c>
      <c r="BS70" s="128">
        <v>1.67</v>
      </c>
      <c r="BT70" s="128">
        <v>1.67</v>
      </c>
      <c r="BU70" s="128">
        <v>1.67</v>
      </c>
      <c r="BV70" s="128">
        <v>1.67</v>
      </c>
      <c r="BW70" s="128">
        <v>1.67</v>
      </c>
      <c r="BX70" s="128">
        <v>1.67</v>
      </c>
      <c r="BY70" s="128">
        <v>1.67</v>
      </c>
      <c r="BZ70" s="128">
        <v>1.67</v>
      </c>
      <c r="CA70" s="128">
        <v>1.67</v>
      </c>
      <c r="CB70" s="128">
        <v>1.67</v>
      </c>
      <c r="CC70" s="128">
        <v>1.67</v>
      </c>
      <c r="CD70" s="128">
        <v>1.67</v>
      </c>
      <c r="CE70" s="128">
        <v>1.67</v>
      </c>
      <c r="CF70" s="128">
        <v>1.67</v>
      </c>
      <c r="CG70" s="128">
        <v>1.67</v>
      </c>
      <c r="CH70" s="128">
        <v>1.67</v>
      </c>
      <c r="CI70" s="128">
        <v>1.67</v>
      </c>
      <c r="CJ70" s="128">
        <v>1.67</v>
      </c>
      <c r="CK70" s="128">
        <v>1.67</v>
      </c>
      <c r="CL70" s="128">
        <v>1.67</v>
      </c>
      <c r="CM70" s="128">
        <v>1.67</v>
      </c>
      <c r="CN70" s="128">
        <v>1.67</v>
      </c>
      <c r="CO70" s="128">
        <v>1.67</v>
      </c>
      <c r="CP70" s="128">
        <v>1.67</v>
      </c>
      <c r="CQ70" s="128">
        <v>1.67</v>
      </c>
      <c r="CR70" s="128">
        <v>1.67</v>
      </c>
      <c r="CS70" s="128">
        <v>1.67</v>
      </c>
      <c r="CT70" s="128">
        <v>1.67</v>
      </c>
      <c r="CU70" s="128">
        <v>1.67</v>
      </c>
      <c r="CV70" s="128">
        <v>1.67</v>
      </c>
      <c r="CW70" s="128">
        <v>1.67</v>
      </c>
      <c r="CX70" s="128">
        <v>1.67</v>
      </c>
      <c r="CZ70" s="126">
        <f>SUMIF(MatrixF1[[1]:[2]],MatrixF1[[#This Row],[Столбец1]])/MatrixF1[[#This Row],[Столбец1]]</f>
        <v>67.000000000000057</v>
      </c>
    </row>
    <row r="71" spans="1:104" ht="21" customHeight="1" x14ac:dyDescent="0.25">
      <c r="A71" s="127">
        <v>1.68</v>
      </c>
      <c r="B71" s="128">
        <v>1</v>
      </c>
      <c r="C71" s="128">
        <v>1.01</v>
      </c>
      <c r="D71" s="128">
        <v>1.03</v>
      </c>
      <c r="E71" s="128">
        <v>1.04</v>
      </c>
      <c r="F71" s="128">
        <v>1.06</v>
      </c>
      <c r="G71" s="128">
        <v>1.07</v>
      </c>
      <c r="H71" s="128">
        <v>1.08</v>
      </c>
      <c r="I71" s="128">
        <v>1.0900000000000001</v>
      </c>
      <c r="J71" s="128">
        <v>1.1100000000000001</v>
      </c>
      <c r="K71" s="128">
        <v>1.1200000000000001</v>
      </c>
      <c r="L71" s="128">
        <v>1.1299999999999999</v>
      </c>
      <c r="M71" s="128">
        <v>1.1399999999999999</v>
      </c>
      <c r="N71" s="128">
        <v>1.1499999999999999</v>
      </c>
      <c r="O71" s="128">
        <v>1.1599999999999999</v>
      </c>
      <c r="P71" s="128">
        <v>1.17</v>
      </c>
      <c r="Q71" s="128">
        <v>1.18</v>
      </c>
      <c r="R71" s="128">
        <v>1.19</v>
      </c>
      <c r="S71" s="128">
        <v>1.2</v>
      </c>
      <c r="T71" s="128">
        <v>1.21</v>
      </c>
      <c r="U71" s="128">
        <v>1.22</v>
      </c>
      <c r="V71" s="128">
        <v>1.23</v>
      </c>
      <c r="W71" s="128">
        <v>1.24</v>
      </c>
      <c r="X71" s="128">
        <v>1.24</v>
      </c>
      <c r="Y71" s="128">
        <v>1.25</v>
      </c>
      <c r="Z71" s="128">
        <v>1.26</v>
      </c>
      <c r="AA71" s="128">
        <v>1.27</v>
      </c>
      <c r="AB71" s="128">
        <v>1.28</v>
      </c>
      <c r="AC71" s="128">
        <v>1.28</v>
      </c>
      <c r="AD71" s="128">
        <v>1.29</v>
      </c>
      <c r="AE71" s="128">
        <v>1.3</v>
      </c>
      <c r="AF71" s="128">
        <v>1.31</v>
      </c>
      <c r="AG71" s="128">
        <v>1.31</v>
      </c>
      <c r="AH71" s="128">
        <v>1.32</v>
      </c>
      <c r="AI71" s="128">
        <v>1.33</v>
      </c>
      <c r="AJ71" s="128">
        <v>1.34</v>
      </c>
      <c r="AK71" s="128">
        <v>1.35</v>
      </c>
      <c r="AL71" s="128">
        <v>1.36</v>
      </c>
      <c r="AM71" s="128">
        <v>1.37</v>
      </c>
      <c r="AN71" s="128">
        <v>1.38</v>
      </c>
      <c r="AO71" s="128">
        <v>1.39</v>
      </c>
      <c r="AP71" s="128">
        <v>1.4</v>
      </c>
      <c r="AQ71" s="128">
        <v>1.41</v>
      </c>
      <c r="AR71" s="128">
        <v>1.42</v>
      </c>
      <c r="AS71" s="128">
        <v>1.43</v>
      </c>
      <c r="AT71" s="128">
        <v>1.44</v>
      </c>
      <c r="AU71" s="128">
        <v>1.45</v>
      </c>
      <c r="AV71" s="128">
        <v>1.46</v>
      </c>
      <c r="AW71" s="128">
        <v>1.47</v>
      </c>
      <c r="AX71" s="128">
        <v>1.48</v>
      </c>
      <c r="AY71" s="128">
        <v>1.49</v>
      </c>
      <c r="AZ71" s="128">
        <v>1.5</v>
      </c>
      <c r="BA71" s="128">
        <v>1.51</v>
      </c>
      <c r="BB71" s="128">
        <v>1.52</v>
      </c>
      <c r="BC71" s="128">
        <v>1.53</v>
      </c>
      <c r="BD71" s="128">
        <v>1.54</v>
      </c>
      <c r="BE71" s="128">
        <v>1.55</v>
      </c>
      <c r="BF71" s="128">
        <v>1.56</v>
      </c>
      <c r="BG71" s="128">
        <v>1.57</v>
      </c>
      <c r="BH71" s="128">
        <v>1.58</v>
      </c>
      <c r="BI71" s="128">
        <v>1.59</v>
      </c>
      <c r="BJ71" s="128">
        <v>1.6</v>
      </c>
      <c r="BK71" s="128">
        <v>1.61</v>
      </c>
      <c r="BL71" s="128">
        <v>1.62</v>
      </c>
      <c r="BM71" s="128">
        <v>1.63</v>
      </c>
      <c r="BN71" s="128">
        <v>1.64</v>
      </c>
      <c r="BO71" s="128">
        <v>1.65</v>
      </c>
      <c r="BP71" s="128">
        <v>1.66</v>
      </c>
      <c r="BQ71" s="128">
        <v>1.67</v>
      </c>
      <c r="BR71" s="128">
        <v>1.68</v>
      </c>
      <c r="BS71" s="128">
        <v>1.68</v>
      </c>
      <c r="BT71" s="128">
        <v>1.68</v>
      </c>
      <c r="BU71" s="128">
        <v>1.68</v>
      </c>
      <c r="BV71" s="128">
        <v>1.68</v>
      </c>
      <c r="BW71" s="128">
        <v>1.68</v>
      </c>
      <c r="BX71" s="128">
        <v>1.68</v>
      </c>
      <c r="BY71" s="128">
        <v>1.68</v>
      </c>
      <c r="BZ71" s="128">
        <v>1.68</v>
      </c>
      <c r="CA71" s="128">
        <v>1.68</v>
      </c>
      <c r="CB71" s="128">
        <v>1.68</v>
      </c>
      <c r="CC71" s="128">
        <v>1.68</v>
      </c>
      <c r="CD71" s="128">
        <v>1.68</v>
      </c>
      <c r="CE71" s="128">
        <v>1.68</v>
      </c>
      <c r="CF71" s="128">
        <v>1.68</v>
      </c>
      <c r="CG71" s="128">
        <v>1.68</v>
      </c>
      <c r="CH71" s="128">
        <v>1.68</v>
      </c>
      <c r="CI71" s="128">
        <v>1.68</v>
      </c>
      <c r="CJ71" s="128">
        <v>1.68</v>
      </c>
      <c r="CK71" s="128">
        <v>1.68</v>
      </c>
      <c r="CL71" s="128">
        <v>1.68</v>
      </c>
      <c r="CM71" s="128">
        <v>1.68</v>
      </c>
      <c r="CN71" s="128">
        <v>1.68</v>
      </c>
      <c r="CO71" s="128">
        <v>1.68</v>
      </c>
      <c r="CP71" s="128">
        <v>1.68</v>
      </c>
      <c r="CQ71" s="128">
        <v>1.68</v>
      </c>
      <c r="CR71" s="128">
        <v>1.68</v>
      </c>
      <c r="CS71" s="128">
        <v>1.68</v>
      </c>
      <c r="CT71" s="128">
        <v>1.68</v>
      </c>
      <c r="CU71" s="128">
        <v>1.68</v>
      </c>
      <c r="CV71" s="128">
        <v>1.68</v>
      </c>
      <c r="CW71" s="128">
        <v>1.68</v>
      </c>
      <c r="CX71" s="128">
        <v>1.68</v>
      </c>
      <c r="CZ71" s="126">
        <f>SUMIF(MatrixF1[[1]:[2]],MatrixF1[[#This Row],[Столбец1]])/MatrixF1[[#This Row],[Столбец1]]</f>
        <v>65.000000000000099</v>
      </c>
    </row>
    <row r="72" spans="1:104" ht="21" customHeight="1" x14ac:dyDescent="0.25">
      <c r="A72" s="127">
        <v>1.69</v>
      </c>
      <c r="B72" s="128">
        <v>1</v>
      </c>
      <c r="C72" s="128">
        <v>1.01</v>
      </c>
      <c r="D72" s="128">
        <v>1.03</v>
      </c>
      <c r="E72" s="128">
        <v>1.04</v>
      </c>
      <c r="F72" s="128">
        <v>1.05</v>
      </c>
      <c r="G72" s="128">
        <v>1.07</v>
      </c>
      <c r="H72" s="128">
        <v>1.08</v>
      </c>
      <c r="I72" s="128">
        <v>1.0900000000000001</v>
      </c>
      <c r="J72" s="128">
        <v>1.1000000000000001</v>
      </c>
      <c r="K72" s="128">
        <v>1.1200000000000001</v>
      </c>
      <c r="L72" s="128">
        <v>1.1299999999999999</v>
      </c>
      <c r="M72" s="128">
        <v>1.1399999999999999</v>
      </c>
      <c r="N72" s="128">
        <v>1.1499999999999999</v>
      </c>
      <c r="O72" s="128">
        <v>1.1599999999999999</v>
      </c>
      <c r="P72" s="128">
        <v>1.17</v>
      </c>
      <c r="Q72" s="128">
        <v>1.18</v>
      </c>
      <c r="R72" s="128">
        <v>1.19</v>
      </c>
      <c r="S72" s="128">
        <v>1.2</v>
      </c>
      <c r="T72" s="128">
        <v>1.21</v>
      </c>
      <c r="U72" s="128">
        <v>1.22</v>
      </c>
      <c r="V72" s="128">
        <v>1.22</v>
      </c>
      <c r="W72" s="128">
        <v>1.23</v>
      </c>
      <c r="X72" s="128">
        <v>1.24</v>
      </c>
      <c r="Y72" s="128">
        <v>1.25</v>
      </c>
      <c r="Z72" s="128">
        <v>1.26</v>
      </c>
      <c r="AA72" s="128">
        <v>1.27</v>
      </c>
      <c r="AB72" s="128">
        <v>1.27</v>
      </c>
      <c r="AC72" s="128">
        <v>1.28</v>
      </c>
      <c r="AD72" s="128">
        <v>1.29</v>
      </c>
      <c r="AE72" s="128">
        <v>1.3</v>
      </c>
      <c r="AF72" s="128">
        <v>1.3</v>
      </c>
      <c r="AG72" s="128">
        <v>1.31</v>
      </c>
      <c r="AH72" s="128">
        <v>1.32</v>
      </c>
      <c r="AI72" s="128">
        <v>1.33</v>
      </c>
      <c r="AJ72" s="128">
        <v>1.34</v>
      </c>
      <c r="AK72" s="128">
        <v>1.35</v>
      </c>
      <c r="AL72" s="128">
        <v>1.36</v>
      </c>
      <c r="AM72" s="128">
        <v>1.37</v>
      </c>
      <c r="AN72" s="128">
        <v>1.38</v>
      </c>
      <c r="AO72" s="128">
        <v>1.39</v>
      </c>
      <c r="AP72" s="128">
        <v>1.4</v>
      </c>
      <c r="AQ72" s="128">
        <v>1.41</v>
      </c>
      <c r="AR72" s="128">
        <v>1.42</v>
      </c>
      <c r="AS72" s="128">
        <v>1.43</v>
      </c>
      <c r="AT72" s="128">
        <v>1.44</v>
      </c>
      <c r="AU72" s="128">
        <v>1.45</v>
      </c>
      <c r="AV72" s="128">
        <v>1.46</v>
      </c>
      <c r="AW72" s="128">
        <v>1.47</v>
      </c>
      <c r="AX72" s="128">
        <v>1.48</v>
      </c>
      <c r="AY72" s="128">
        <v>1.49</v>
      </c>
      <c r="AZ72" s="128">
        <v>1.5</v>
      </c>
      <c r="BA72" s="128">
        <v>1.51</v>
      </c>
      <c r="BB72" s="128">
        <v>1.52</v>
      </c>
      <c r="BC72" s="128">
        <v>1.53</v>
      </c>
      <c r="BD72" s="128">
        <v>1.54</v>
      </c>
      <c r="BE72" s="128">
        <v>1.55</v>
      </c>
      <c r="BF72" s="128">
        <v>1.56</v>
      </c>
      <c r="BG72" s="128">
        <v>1.57</v>
      </c>
      <c r="BH72" s="128">
        <v>1.58</v>
      </c>
      <c r="BI72" s="128">
        <v>1.59</v>
      </c>
      <c r="BJ72" s="128">
        <v>1.6</v>
      </c>
      <c r="BK72" s="128">
        <v>1.61</v>
      </c>
      <c r="BL72" s="128">
        <v>1.62</v>
      </c>
      <c r="BM72" s="128">
        <v>1.63</v>
      </c>
      <c r="BN72" s="128">
        <v>1.64</v>
      </c>
      <c r="BO72" s="128">
        <v>1.65</v>
      </c>
      <c r="BP72" s="128">
        <v>1.66</v>
      </c>
      <c r="BQ72" s="128">
        <v>1.67</v>
      </c>
      <c r="BR72" s="128">
        <v>1.68</v>
      </c>
      <c r="BS72" s="128">
        <v>1.69</v>
      </c>
      <c r="BT72" s="128">
        <v>1.69</v>
      </c>
      <c r="BU72" s="128">
        <v>1.69</v>
      </c>
      <c r="BV72" s="128">
        <v>1.69</v>
      </c>
      <c r="BW72" s="128">
        <v>1.69</v>
      </c>
      <c r="BX72" s="128">
        <v>1.69</v>
      </c>
      <c r="BY72" s="128">
        <v>1.69</v>
      </c>
      <c r="BZ72" s="128">
        <v>1.69</v>
      </c>
      <c r="CA72" s="128">
        <v>1.69</v>
      </c>
      <c r="CB72" s="128">
        <v>1.69</v>
      </c>
      <c r="CC72" s="128">
        <v>1.69</v>
      </c>
      <c r="CD72" s="128">
        <v>1.69</v>
      </c>
      <c r="CE72" s="128">
        <v>1.69</v>
      </c>
      <c r="CF72" s="128">
        <v>1.69</v>
      </c>
      <c r="CG72" s="128">
        <v>1.69</v>
      </c>
      <c r="CH72" s="128">
        <v>1.69</v>
      </c>
      <c r="CI72" s="128">
        <v>1.69</v>
      </c>
      <c r="CJ72" s="128">
        <v>1.69</v>
      </c>
      <c r="CK72" s="128">
        <v>1.69</v>
      </c>
      <c r="CL72" s="128">
        <v>1.69</v>
      </c>
      <c r="CM72" s="128">
        <v>1.69</v>
      </c>
      <c r="CN72" s="128">
        <v>1.69</v>
      </c>
      <c r="CO72" s="128">
        <v>1.69</v>
      </c>
      <c r="CP72" s="128">
        <v>1.69</v>
      </c>
      <c r="CQ72" s="128">
        <v>1.69</v>
      </c>
      <c r="CR72" s="128">
        <v>1.69</v>
      </c>
      <c r="CS72" s="128">
        <v>1.69</v>
      </c>
      <c r="CT72" s="128">
        <v>1.69</v>
      </c>
      <c r="CU72" s="128">
        <v>1.69</v>
      </c>
      <c r="CV72" s="128">
        <v>1.69</v>
      </c>
      <c r="CW72" s="128">
        <v>1.69</v>
      </c>
      <c r="CX72" s="128">
        <v>1.69</v>
      </c>
      <c r="CZ72" s="126">
        <f>SUMIF(MatrixF1[[1]:[2]],MatrixF1[[#This Row],[Столбец1]])/MatrixF1[[#This Row],[Столбец1]]</f>
        <v>62.99999999999995</v>
      </c>
    </row>
    <row r="73" spans="1:104" ht="21" customHeight="1" x14ac:dyDescent="0.25">
      <c r="A73" s="127">
        <v>1.7</v>
      </c>
      <c r="B73" s="128">
        <v>1</v>
      </c>
      <c r="C73" s="128">
        <v>1.01</v>
      </c>
      <c r="D73" s="128">
        <v>1.03</v>
      </c>
      <c r="E73" s="128">
        <v>1.04</v>
      </c>
      <c r="F73" s="128">
        <v>1.05</v>
      </c>
      <c r="G73" s="128">
        <v>1.07</v>
      </c>
      <c r="H73" s="128">
        <v>1.08</v>
      </c>
      <c r="I73" s="128">
        <v>1.0900000000000001</v>
      </c>
      <c r="J73" s="128">
        <v>1.1000000000000001</v>
      </c>
      <c r="K73" s="128">
        <v>1.1100000000000001</v>
      </c>
      <c r="L73" s="128">
        <v>1.1200000000000001</v>
      </c>
      <c r="M73" s="128">
        <v>1.1399999999999999</v>
      </c>
      <c r="N73" s="128">
        <v>1.1499999999999999</v>
      </c>
      <c r="O73" s="128">
        <v>1.1599999999999999</v>
      </c>
      <c r="P73" s="128">
        <v>1.17</v>
      </c>
      <c r="Q73" s="128">
        <v>1.18</v>
      </c>
      <c r="R73" s="128">
        <v>1.19</v>
      </c>
      <c r="S73" s="128">
        <v>1.2</v>
      </c>
      <c r="T73" s="128">
        <v>1.2</v>
      </c>
      <c r="U73" s="128">
        <v>1.21</v>
      </c>
      <c r="V73" s="128">
        <v>1.22</v>
      </c>
      <c r="W73" s="128">
        <v>1.23</v>
      </c>
      <c r="X73" s="128">
        <v>1.24</v>
      </c>
      <c r="Y73" s="128">
        <v>1.25</v>
      </c>
      <c r="Z73" s="128">
        <v>1.26</v>
      </c>
      <c r="AA73" s="128">
        <v>1.26</v>
      </c>
      <c r="AB73" s="128">
        <v>1.27</v>
      </c>
      <c r="AC73" s="128">
        <v>1.28</v>
      </c>
      <c r="AD73" s="128">
        <v>1.29</v>
      </c>
      <c r="AE73" s="128">
        <v>1.29</v>
      </c>
      <c r="AF73" s="128">
        <v>1.3</v>
      </c>
      <c r="AG73" s="128">
        <v>1.31</v>
      </c>
      <c r="AH73" s="128">
        <v>1.32</v>
      </c>
      <c r="AI73" s="128">
        <v>1.33</v>
      </c>
      <c r="AJ73" s="128">
        <v>1.34</v>
      </c>
      <c r="AK73" s="128">
        <v>1.35</v>
      </c>
      <c r="AL73" s="128">
        <v>1.36</v>
      </c>
      <c r="AM73" s="128">
        <v>1.37</v>
      </c>
      <c r="AN73" s="128">
        <v>1.38</v>
      </c>
      <c r="AO73" s="128">
        <v>1.39</v>
      </c>
      <c r="AP73" s="128">
        <v>1.4</v>
      </c>
      <c r="AQ73" s="128">
        <v>1.41</v>
      </c>
      <c r="AR73" s="128">
        <v>1.42</v>
      </c>
      <c r="AS73" s="128">
        <v>1.43</v>
      </c>
      <c r="AT73" s="128">
        <v>1.44</v>
      </c>
      <c r="AU73" s="128">
        <v>1.45</v>
      </c>
      <c r="AV73" s="128">
        <v>1.46</v>
      </c>
      <c r="AW73" s="128">
        <v>1.47</v>
      </c>
      <c r="AX73" s="128">
        <v>1.48</v>
      </c>
      <c r="AY73" s="128">
        <v>1.49</v>
      </c>
      <c r="AZ73" s="128">
        <v>1.5</v>
      </c>
      <c r="BA73" s="128">
        <v>1.51</v>
      </c>
      <c r="BB73" s="128">
        <v>1.52</v>
      </c>
      <c r="BC73" s="128">
        <v>1.53</v>
      </c>
      <c r="BD73" s="128">
        <v>1.54</v>
      </c>
      <c r="BE73" s="128">
        <v>1.55</v>
      </c>
      <c r="BF73" s="128">
        <v>1.56</v>
      </c>
      <c r="BG73" s="128">
        <v>1.57</v>
      </c>
      <c r="BH73" s="128">
        <v>1.58</v>
      </c>
      <c r="BI73" s="128">
        <v>1.59</v>
      </c>
      <c r="BJ73" s="128">
        <v>1.6</v>
      </c>
      <c r="BK73" s="128">
        <v>1.61</v>
      </c>
      <c r="BL73" s="128">
        <v>1.62</v>
      </c>
      <c r="BM73" s="128">
        <v>1.63</v>
      </c>
      <c r="BN73" s="128">
        <v>1.64</v>
      </c>
      <c r="BO73" s="128">
        <v>1.65</v>
      </c>
      <c r="BP73" s="128">
        <v>1.66</v>
      </c>
      <c r="BQ73" s="128">
        <v>1.67</v>
      </c>
      <c r="BR73" s="128">
        <v>1.68</v>
      </c>
      <c r="BS73" s="128">
        <v>1.69</v>
      </c>
      <c r="BT73" s="128">
        <v>1.7</v>
      </c>
      <c r="BU73" s="128">
        <v>1.7</v>
      </c>
      <c r="BV73" s="128">
        <v>1.7</v>
      </c>
      <c r="BW73" s="128">
        <v>1.7</v>
      </c>
      <c r="BX73" s="128">
        <v>1.7</v>
      </c>
      <c r="BY73" s="128">
        <v>1.7</v>
      </c>
      <c r="BZ73" s="128">
        <v>1.7</v>
      </c>
      <c r="CA73" s="128">
        <v>1.7</v>
      </c>
      <c r="CB73" s="128">
        <v>1.7</v>
      </c>
      <c r="CC73" s="128">
        <v>1.7</v>
      </c>
      <c r="CD73" s="128">
        <v>1.7</v>
      </c>
      <c r="CE73" s="128">
        <v>1.7</v>
      </c>
      <c r="CF73" s="128">
        <v>1.7</v>
      </c>
      <c r="CG73" s="128">
        <v>1.7</v>
      </c>
      <c r="CH73" s="128">
        <v>1.7</v>
      </c>
      <c r="CI73" s="128">
        <v>1.7</v>
      </c>
      <c r="CJ73" s="128">
        <v>1.7</v>
      </c>
      <c r="CK73" s="128">
        <v>1.7</v>
      </c>
      <c r="CL73" s="128">
        <v>1.7</v>
      </c>
      <c r="CM73" s="128">
        <v>1.7</v>
      </c>
      <c r="CN73" s="128">
        <v>1.7</v>
      </c>
      <c r="CO73" s="128">
        <v>1.7</v>
      </c>
      <c r="CP73" s="128">
        <v>1.7</v>
      </c>
      <c r="CQ73" s="128">
        <v>1.7</v>
      </c>
      <c r="CR73" s="128">
        <v>1.7</v>
      </c>
      <c r="CS73" s="128">
        <v>1.7</v>
      </c>
      <c r="CT73" s="128">
        <v>1.7</v>
      </c>
      <c r="CU73" s="128">
        <v>1.7</v>
      </c>
      <c r="CV73" s="128">
        <v>1.7</v>
      </c>
      <c r="CW73" s="128">
        <v>1.7</v>
      </c>
      <c r="CX73" s="128">
        <v>1.7</v>
      </c>
      <c r="CZ73" s="126">
        <f>SUMIF(MatrixF1[[1]:[2]],MatrixF1[[#This Row],[Столбец1]])/MatrixF1[[#This Row],[Столбец1]]</f>
        <v>61.000000000000064</v>
      </c>
    </row>
    <row r="74" spans="1:104" ht="21" customHeight="1" x14ac:dyDescent="0.25">
      <c r="A74" s="127">
        <v>1.71</v>
      </c>
      <c r="B74" s="128">
        <v>1</v>
      </c>
      <c r="C74" s="128">
        <v>1.01</v>
      </c>
      <c r="D74" s="128">
        <v>1.03</v>
      </c>
      <c r="E74" s="128">
        <v>1.04</v>
      </c>
      <c r="F74" s="128">
        <v>1.05</v>
      </c>
      <c r="G74" s="128">
        <v>1.07</v>
      </c>
      <c r="H74" s="128">
        <v>1.08</v>
      </c>
      <c r="I74" s="128">
        <v>1.0900000000000001</v>
      </c>
      <c r="J74" s="128">
        <v>1.1000000000000001</v>
      </c>
      <c r="K74" s="128">
        <v>1.1100000000000001</v>
      </c>
      <c r="L74" s="128">
        <v>1.1200000000000001</v>
      </c>
      <c r="M74" s="128">
        <v>1.1299999999999999</v>
      </c>
      <c r="N74" s="128">
        <v>1.1399999999999999</v>
      </c>
      <c r="O74" s="128">
        <v>1.1499999999999999</v>
      </c>
      <c r="P74" s="128">
        <v>1.1599999999999999</v>
      </c>
      <c r="Q74" s="128">
        <v>1.17</v>
      </c>
      <c r="R74" s="128">
        <v>1.18</v>
      </c>
      <c r="S74" s="128">
        <v>1.19</v>
      </c>
      <c r="T74" s="128">
        <v>1.2</v>
      </c>
      <c r="U74" s="128">
        <v>1.21</v>
      </c>
      <c r="V74" s="128">
        <v>1.22</v>
      </c>
      <c r="W74" s="128">
        <v>1.23</v>
      </c>
      <c r="X74" s="128">
        <v>1.24</v>
      </c>
      <c r="Y74" s="128">
        <v>1.24</v>
      </c>
      <c r="Z74" s="128">
        <v>1.25</v>
      </c>
      <c r="AA74" s="128">
        <v>1.26</v>
      </c>
      <c r="AB74" s="128">
        <v>1.27</v>
      </c>
      <c r="AC74" s="128">
        <v>1.28</v>
      </c>
      <c r="AD74" s="128">
        <v>1.28</v>
      </c>
      <c r="AE74" s="128">
        <v>1.29</v>
      </c>
      <c r="AF74" s="128">
        <v>1.3</v>
      </c>
      <c r="AG74" s="128">
        <v>1.31</v>
      </c>
      <c r="AH74" s="128">
        <v>1.32</v>
      </c>
      <c r="AI74" s="128">
        <v>1.33</v>
      </c>
      <c r="AJ74" s="128">
        <v>1.34</v>
      </c>
      <c r="AK74" s="128">
        <v>1.35</v>
      </c>
      <c r="AL74" s="128">
        <v>1.36</v>
      </c>
      <c r="AM74" s="128">
        <v>1.37</v>
      </c>
      <c r="AN74" s="128">
        <v>1.38</v>
      </c>
      <c r="AO74" s="128">
        <v>1.39</v>
      </c>
      <c r="AP74" s="128">
        <v>1.4</v>
      </c>
      <c r="AQ74" s="128">
        <v>1.41</v>
      </c>
      <c r="AR74" s="128">
        <v>1.42</v>
      </c>
      <c r="AS74" s="128">
        <v>1.43</v>
      </c>
      <c r="AT74" s="128">
        <v>1.44</v>
      </c>
      <c r="AU74" s="128">
        <v>1.45</v>
      </c>
      <c r="AV74" s="128">
        <v>1.46</v>
      </c>
      <c r="AW74" s="128">
        <v>1.47</v>
      </c>
      <c r="AX74" s="128">
        <v>1.48</v>
      </c>
      <c r="AY74" s="128">
        <v>1.49</v>
      </c>
      <c r="AZ74" s="128">
        <v>1.5</v>
      </c>
      <c r="BA74" s="128">
        <v>1.51</v>
      </c>
      <c r="BB74" s="128">
        <v>1.52</v>
      </c>
      <c r="BC74" s="128">
        <v>1.53</v>
      </c>
      <c r="BD74" s="128">
        <v>1.54</v>
      </c>
      <c r="BE74" s="128">
        <v>1.55</v>
      </c>
      <c r="BF74" s="128">
        <v>1.56</v>
      </c>
      <c r="BG74" s="128">
        <v>1.57</v>
      </c>
      <c r="BH74" s="128">
        <v>1.58</v>
      </c>
      <c r="BI74" s="128">
        <v>1.59</v>
      </c>
      <c r="BJ74" s="128">
        <v>1.6</v>
      </c>
      <c r="BK74" s="128">
        <v>1.61</v>
      </c>
      <c r="BL74" s="128">
        <v>1.62</v>
      </c>
      <c r="BM74" s="128">
        <v>1.63</v>
      </c>
      <c r="BN74" s="128">
        <v>1.64</v>
      </c>
      <c r="BO74" s="128">
        <v>1.65</v>
      </c>
      <c r="BP74" s="128">
        <v>1.66</v>
      </c>
      <c r="BQ74" s="128">
        <v>1.67</v>
      </c>
      <c r="BR74" s="128">
        <v>1.68</v>
      </c>
      <c r="BS74" s="128">
        <v>1.69</v>
      </c>
      <c r="BT74" s="128">
        <v>1.7</v>
      </c>
      <c r="BU74" s="128">
        <v>1.71</v>
      </c>
      <c r="BV74" s="128">
        <v>1.71</v>
      </c>
      <c r="BW74" s="128">
        <v>1.71</v>
      </c>
      <c r="BX74" s="128">
        <v>1.71</v>
      </c>
      <c r="BY74" s="128">
        <v>1.71</v>
      </c>
      <c r="BZ74" s="128">
        <v>1.71</v>
      </c>
      <c r="CA74" s="128">
        <v>1.71</v>
      </c>
      <c r="CB74" s="128">
        <v>1.71</v>
      </c>
      <c r="CC74" s="128">
        <v>1.71</v>
      </c>
      <c r="CD74" s="128">
        <v>1.71</v>
      </c>
      <c r="CE74" s="128">
        <v>1.71</v>
      </c>
      <c r="CF74" s="128">
        <v>1.71</v>
      </c>
      <c r="CG74" s="128">
        <v>1.71</v>
      </c>
      <c r="CH74" s="128">
        <v>1.71</v>
      </c>
      <c r="CI74" s="128">
        <v>1.71</v>
      </c>
      <c r="CJ74" s="128">
        <v>1.71</v>
      </c>
      <c r="CK74" s="128">
        <v>1.71</v>
      </c>
      <c r="CL74" s="128">
        <v>1.71</v>
      </c>
      <c r="CM74" s="128">
        <v>1.71</v>
      </c>
      <c r="CN74" s="128">
        <v>1.71</v>
      </c>
      <c r="CO74" s="128">
        <v>1.71</v>
      </c>
      <c r="CP74" s="128">
        <v>1.71</v>
      </c>
      <c r="CQ74" s="128">
        <v>1.71</v>
      </c>
      <c r="CR74" s="128">
        <v>1.71</v>
      </c>
      <c r="CS74" s="128">
        <v>1.71</v>
      </c>
      <c r="CT74" s="128">
        <v>1.71</v>
      </c>
      <c r="CU74" s="128">
        <v>1.71</v>
      </c>
      <c r="CV74" s="128">
        <v>1.71</v>
      </c>
      <c r="CW74" s="128">
        <v>1.71</v>
      </c>
      <c r="CX74" s="128">
        <v>1.71</v>
      </c>
      <c r="CZ74" s="126">
        <f>SUMIF(MatrixF1[[1]:[2]],MatrixF1[[#This Row],[Столбец1]])/MatrixF1[[#This Row],[Столбец1]]</f>
        <v>58.999999999999936</v>
      </c>
    </row>
    <row r="75" spans="1:104" ht="21" customHeight="1" x14ac:dyDescent="0.25">
      <c r="A75" s="127">
        <v>1.72</v>
      </c>
      <c r="B75" s="128">
        <v>1</v>
      </c>
      <c r="C75" s="128">
        <v>1.01</v>
      </c>
      <c r="D75" s="128">
        <v>1.03</v>
      </c>
      <c r="E75" s="128">
        <v>1.04</v>
      </c>
      <c r="F75" s="128">
        <v>1.05</v>
      </c>
      <c r="G75" s="128">
        <v>1.06</v>
      </c>
      <c r="H75" s="128">
        <v>1.08</v>
      </c>
      <c r="I75" s="128">
        <v>1.0900000000000001</v>
      </c>
      <c r="J75" s="128">
        <v>1.1000000000000001</v>
      </c>
      <c r="K75" s="128">
        <v>1.1100000000000001</v>
      </c>
      <c r="L75" s="128">
        <v>1.1200000000000001</v>
      </c>
      <c r="M75" s="128">
        <v>1.1299999999999999</v>
      </c>
      <c r="N75" s="128">
        <v>1.1399999999999999</v>
      </c>
      <c r="O75" s="128">
        <v>1.1499999999999999</v>
      </c>
      <c r="P75" s="128">
        <v>1.1599999999999999</v>
      </c>
      <c r="Q75" s="128">
        <v>1.17</v>
      </c>
      <c r="R75" s="128">
        <v>1.18</v>
      </c>
      <c r="S75" s="128">
        <v>1.19</v>
      </c>
      <c r="T75" s="128">
        <v>1.2</v>
      </c>
      <c r="U75" s="128">
        <v>1.21</v>
      </c>
      <c r="V75" s="128">
        <v>1.22</v>
      </c>
      <c r="W75" s="128">
        <v>1.23</v>
      </c>
      <c r="X75" s="128">
        <v>1.23</v>
      </c>
      <c r="Y75" s="128">
        <v>1.24</v>
      </c>
      <c r="Z75" s="128">
        <v>1.25</v>
      </c>
      <c r="AA75" s="128">
        <v>1.26</v>
      </c>
      <c r="AB75" s="128">
        <v>1.27</v>
      </c>
      <c r="AC75" s="128">
        <v>1.27</v>
      </c>
      <c r="AD75" s="128">
        <v>1.28</v>
      </c>
      <c r="AE75" s="128">
        <v>1.29</v>
      </c>
      <c r="AF75" s="128">
        <v>1.3</v>
      </c>
      <c r="AG75" s="128">
        <v>1.31</v>
      </c>
      <c r="AH75" s="128">
        <v>1.32</v>
      </c>
      <c r="AI75" s="128">
        <v>1.33</v>
      </c>
      <c r="AJ75" s="128">
        <v>1.34</v>
      </c>
      <c r="AK75" s="128">
        <v>1.35</v>
      </c>
      <c r="AL75" s="128">
        <v>1.36</v>
      </c>
      <c r="AM75" s="128">
        <v>1.37</v>
      </c>
      <c r="AN75" s="128">
        <v>1.38</v>
      </c>
      <c r="AO75" s="128">
        <v>1.39</v>
      </c>
      <c r="AP75" s="128">
        <v>1.4</v>
      </c>
      <c r="AQ75" s="128">
        <v>1.41</v>
      </c>
      <c r="AR75" s="128">
        <v>1.42</v>
      </c>
      <c r="AS75" s="128">
        <v>1.43</v>
      </c>
      <c r="AT75" s="128">
        <v>1.44</v>
      </c>
      <c r="AU75" s="128">
        <v>1.45</v>
      </c>
      <c r="AV75" s="128">
        <v>1.46</v>
      </c>
      <c r="AW75" s="128">
        <v>1.47</v>
      </c>
      <c r="AX75" s="128">
        <v>1.48</v>
      </c>
      <c r="AY75" s="128">
        <v>1.49</v>
      </c>
      <c r="AZ75" s="128">
        <v>1.5</v>
      </c>
      <c r="BA75" s="128">
        <v>1.51</v>
      </c>
      <c r="BB75" s="128">
        <v>1.52</v>
      </c>
      <c r="BC75" s="128">
        <v>1.53</v>
      </c>
      <c r="BD75" s="128">
        <v>1.54</v>
      </c>
      <c r="BE75" s="128">
        <v>1.55</v>
      </c>
      <c r="BF75" s="128">
        <v>1.56</v>
      </c>
      <c r="BG75" s="128">
        <v>1.57</v>
      </c>
      <c r="BH75" s="128">
        <v>1.58</v>
      </c>
      <c r="BI75" s="128">
        <v>1.59</v>
      </c>
      <c r="BJ75" s="128">
        <v>1.6</v>
      </c>
      <c r="BK75" s="128">
        <v>1.61</v>
      </c>
      <c r="BL75" s="128">
        <v>1.62</v>
      </c>
      <c r="BM75" s="128">
        <v>1.63</v>
      </c>
      <c r="BN75" s="128">
        <v>1.64</v>
      </c>
      <c r="BO75" s="128">
        <v>1.65</v>
      </c>
      <c r="BP75" s="128">
        <v>1.66</v>
      </c>
      <c r="BQ75" s="128">
        <v>1.67</v>
      </c>
      <c r="BR75" s="128">
        <v>1.68</v>
      </c>
      <c r="BS75" s="128">
        <v>1.69</v>
      </c>
      <c r="BT75" s="128">
        <v>1.7</v>
      </c>
      <c r="BU75" s="128">
        <v>1.71</v>
      </c>
      <c r="BV75" s="128">
        <v>1.72</v>
      </c>
      <c r="BW75" s="128">
        <v>1.72</v>
      </c>
      <c r="BX75" s="128">
        <v>1.72</v>
      </c>
      <c r="BY75" s="128">
        <v>1.72</v>
      </c>
      <c r="BZ75" s="128">
        <v>1.72</v>
      </c>
      <c r="CA75" s="128">
        <v>1.72</v>
      </c>
      <c r="CB75" s="128">
        <v>1.72</v>
      </c>
      <c r="CC75" s="128">
        <v>1.72</v>
      </c>
      <c r="CD75" s="128">
        <v>1.72</v>
      </c>
      <c r="CE75" s="128">
        <v>1.72</v>
      </c>
      <c r="CF75" s="128">
        <v>1.72</v>
      </c>
      <c r="CG75" s="128">
        <v>1.72</v>
      </c>
      <c r="CH75" s="128">
        <v>1.72</v>
      </c>
      <c r="CI75" s="128">
        <v>1.72</v>
      </c>
      <c r="CJ75" s="128">
        <v>1.72</v>
      </c>
      <c r="CK75" s="128">
        <v>1.72</v>
      </c>
      <c r="CL75" s="128">
        <v>1.72</v>
      </c>
      <c r="CM75" s="128">
        <v>1.72</v>
      </c>
      <c r="CN75" s="128">
        <v>1.72</v>
      </c>
      <c r="CO75" s="128">
        <v>1.72</v>
      </c>
      <c r="CP75" s="128">
        <v>1.72</v>
      </c>
      <c r="CQ75" s="128">
        <v>1.72</v>
      </c>
      <c r="CR75" s="128">
        <v>1.72</v>
      </c>
      <c r="CS75" s="128">
        <v>1.72</v>
      </c>
      <c r="CT75" s="128">
        <v>1.72</v>
      </c>
      <c r="CU75" s="128">
        <v>1.72</v>
      </c>
      <c r="CV75" s="128">
        <v>1.72</v>
      </c>
      <c r="CW75" s="128">
        <v>1.72</v>
      </c>
      <c r="CX75" s="128">
        <v>1.72</v>
      </c>
      <c r="CZ75" s="126">
        <f>SUMIF(MatrixF1[[1]:[2]],MatrixF1[[#This Row],[Столбец1]])/MatrixF1[[#This Row],[Столбец1]]</f>
        <v>56.999999999999972</v>
      </c>
    </row>
    <row r="76" spans="1:104" ht="21" customHeight="1" x14ac:dyDescent="0.25">
      <c r="A76" s="127">
        <v>1.73</v>
      </c>
      <c r="B76" s="128">
        <v>1</v>
      </c>
      <c r="C76" s="128">
        <v>1.01</v>
      </c>
      <c r="D76" s="128">
        <v>1.03</v>
      </c>
      <c r="E76" s="128">
        <v>1.04</v>
      </c>
      <c r="F76" s="128">
        <v>1.05</v>
      </c>
      <c r="G76" s="128">
        <v>1.06</v>
      </c>
      <c r="H76" s="128">
        <v>1.08</v>
      </c>
      <c r="I76" s="128">
        <v>1.0900000000000001</v>
      </c>
      <c r="J76" s="128">
        <v>1.1000000000000001</v>
      </c>
      <c r="K76" s="128">
        <v>1.1100000000000001</v>
      </c>
      <c r="L76" s="128">
        <v>1.1200000000000001</v>
      </c>
      <c r="M76" s="128">
        <v>1.1299999999999999</v>
      </c>
      <c r="N76" s="128">
        <v>1.1399999999999999</v>
      </c>
      <c r="O76" s="128">
        <v>1.1499999999999999</v>
      </c>
      <c r="P76" s="128">
        <v>1.1599999999999999</v>
      </c>
      <c r="Q76" s="128">
        <v>1.17</v>
      </c>
      <c r="R76" s="128">
        <v>1.18</v>
      </c>
      <c r="S76" s="128">
        <v>1.19</v>
      </c>
      <c r="T76" s="128">
        <v>1.2</v>
      </c>
      <c r="U76" s="128">
        <v>1.21</v>
      </c>
      <c r="V76" s="128">
        <v>1.22</v>
      </c>
      <c r="W76" s="128">
        <v>1.22</v>
      </c>
      <c r="X76" s="128">
        <v>1.23</v>
      </c>
      <c r="Y76" s="128">
        <v>1.24</v>
      </c>
      <c r="Z76" s="128">
        <v>1.25</v>
      </c>
      <c r="AA76" s="128">
        <v>1.26</v>
      </c>
      <c r="AB76" s="128">
        <v>1.26</v>
      </c>
      <c r="AC76" s="128">
        <v>1.27</v>
      </c>
      <c r="AD76" s="128">
        <v>1.28</v>
      </c>
      <c r="AE76" s="128">
        <v>1.29</v>
      </c>
      <c r="AF76" s="128">
        <v>1.3</v>
      </c>
      <c r="AG76" s="128">
        <v>1.31</v>
      </c>
      <c r="AH76" s="128">
        <v>1.32</v>
      </c>
      <c r="AI76" s="128">
        <v>1.33</v>
      </c>
      <c r="AJ76" s="128">
        <v>1.34</v>
      </c>
      <c r="AK76" s="128">
        <v>1.35</v>
      </c>
      <c r="AL76" s="128">
        <v>1.36</v>
      </c>
      <c r="AM76" s="128">
        <v>1.37</v>
      </c>
      <c r="AN76" s="128">
        <v>1.38</v>
      </c>
      <c r="AO76" s="128">
        <v>1.39</v>
      </c>
      <c r="AP76" s="128">
        <v>1.4</v>
      </c>
      <c r="AQ76" s="128">
        <v>1.41</v>
      </c>
      <c r="AR76" s="128">
        <v>1.42</v>
      </c>
      <c r="AS76" s="128">
        <v>1.43</v>
      </c>
      <c r="AT76" s="128">
        <v>1.44</v>
      </c>
      <c r="AU76" s="128">
        <v>1.45</v>
      </c>
      <c r="AV76" s="128">
        <v>1.46</v>
      </c>
      <c r="AW76" s="128">
        <v>1.47</v>
      </c>
      <c r="AX76" s="128">
        <v>1.48</v>
      </c>
      <c r="AY76" s="128">
        <v>1.49</v>
      </c>
      <c r="AZ76" s="128">
        <v>1.5</v>
      </c>
      <c r="BA76" s="128">
        <v>1.51</v>
      </c>
      <c r="BB76" s="128">
        <v>1.52</v>
      </c>
      <c r="BC76" s="128">
        <v>1.53</v>
      </c>
      <c r="BD76" s="128">
        <v>1.54</v>
      </c>
      <c r="BE76" s="128">
        <v>1.55</v>
      </c>
      <c r="BF76" s="128">
        <v>1.56</v>
      </c>
      <c r="BG76" s="128">
        <v>1.57</v>
      </c>
      <c r="BH76" s="128">
        <v>1.58</v>
      </c>
      <c r="BI76" s="128">
        <v>1.59</v>
      </c>
      <c r="BJ76" s="128">
        <v>1.6</v>
      </c>
      <c r="BK76" s="128">
        <v>1.61</v>
      </c>
      <c r="BL76" s="128">
        <v>1.62</v>
      </c>
      <c r="BM76" s="128">
        <v>1.63</v>
      </c>
      <c r="BN76" s="128">
        <v>1.64</v>
      </c>
      <c r="BO76" s="128">
        <v>1.65</v>
      </c>
      <c r="BP76" s="128">
        <v>1.66</v>
      </c>
      <c r="BQ76" s="128">
        <v>1.67</v>
      </c>
      <c r="BR76" s="128">
        <v>1.68</v>
      </c>
      <c r="BS76" s="128">
        <v>1.69</v>
      </c>
      <c r="BT76" s="128">
        <v>1.7</v>
      </c>
      <c r="BU76" s="128">
        <v>1.71</v>
      </c>
      <c r="BV76" s="128">
        <v>1.72</v>
      </c>
      <c r="BW76" s="128">
        <v>1.73</v>
      </c>
      <c r="BX76" s="128">
        <v>1.73</v>
      </c>
      <c r="BY76" s="128">
        <v>1.73</v>
      </c>
      <c r="BZ76" s="128">
        <v>1.73</v>
      </c>
      <c r="CA76" s="128">
        <v>1.73</v>
      </c>
      <c r="CB76" s="128">
        <v>1.73</v>
      </c>
      <c r="CC76" s="128">
        <v>1.73</v>
      </c>
      <c r="CD76" s="128">
        <v>1.73</v>
      </c>
      <c r="CE76" s="128">
        <v>1.73</v>
      </c>
      <c r="CF76" s="128">
        <v>1.73</v>
      </c>
      <c r="CG76" s="128">
        <v>1.73</v>
      </c>
      <c r="CH76" s="128">
        <v>1.73</v>
      </c>
      <c r="CI76" s="128">
        <v>1.73</v>
      </c>
      <c r="CJ76" s="128">
        <v>1.73</v>
      </c>
      <c r="CK76" s="128">
        <v>1.73</v>
      </c>
      <c r="CL76" s="128">
        <v>1.73</v>
      </c>
      <c r="CM76" s="128">
        <v>1.73</v>
      </c>
      <c r="CN76" s="128">
        <v>1.73</v>
      </c>
      <c r="CO76" s="128">
        <v>1.73</v>
      </c>
      <c r="CP76" s="128">
        <v>1.73</v>
      </c>
      <c r="CQ76" s="128">
        <v>1.73</v>
      </c>
      <c r="CR76" s="128">
        <v>1.73</v>
      </c>
      <c r="CS76" s="128">
        <v>1.73</v>
      </c>
      <c r="CT76" s="128">
        <v>1.73</v>
      </c>
      <c r="CU76" s="128">
        <v>1.73</v>
      </c>
      <c r="CV76" s="128">
        <v>1.73</v>
      </c>
      <c r="CW76" s="128">
        <v>1.73</v>
      </c>
      <c r="CX76" s="128">
        <v>1.73</v>
      </c>
      <c r="CZ76" s="126">
        <f>SUMIF(MatrixF1[[1]:[2]],MatrixF1[[#This Row],[Столбец1]])/MatrixF1[[#This Row],[Столбец1]]</f>
        <v>55.000000000000014</v>
      </c>
    </row>
    <row r="77" spans="1:104" ht="21" customHeight="1" x14ac:dyDescent="0.25">
      <c r="A77" s="127">
        <v>1.74</v>
      </c>
      <c r="B77" s="128">
        <v>1</v>
      </c>
      <c r="C77" s="128">
        <v>1.01</v>
      </c>
      <c r="D77" s="128">
        <v>1.03</v>
      </c>
      <c r="E77" s="128">
        <v>1.04</v>
      </c>
      <c r="F77" s="128">
        <v>1.05</v>
      </c>
      <c r="G77" s="128">
        <v>1.06</v>
      </c>
      <c r="H77" s="128">
        <v>1.08</v>
      </c>
      <c r="I77" s="128">
        <v>1.0900000000000001</v>
      </c>
      <c r="J77" s="128">
        <v>1.1000000000000001</v>
      </c>
      <c r="K77" s="128">
        <v>1.1100000000000001</v>
      </c>
      <c r="L77" s="128">
        <v>1.1200000000000001</v>
      </c>
      <c r="M77" s="128">
        <v>1.1299999999999999</v>
      </c>
      <c r="N77" s="128">
        <v>1.1399999999999999</v>
      </c>
      <c r="O77" s="128">
        <v>1.1499999999999999</v>
      </c>
      <c r="P77" s="128">
        <v>1.1599999999999999</v>
      </c>
      <c r="Q77" s="128">
        <v>1.17</v>
      </c>
      <c r="R77" s="128">
        <v>1.18</v>
      </c>
      <c r="S77" s="128">
        <v>1.19</v>
      </c>
      <c r="T77" s="128">
        <v>1.2</v>
      </c>
      <c r="U77" s="128">
        <v>1.2</v>
      </c>
      <c r="V77" s="128">
        <v>1.21</v>
      </c>
      <c r="W77" s="128">
        <v>1.22</v>
      </c>
      <c r="X77" s="128">
        <v>1.23</v>
      </c>
      <c r="Y77" s="128">
        <v>1.24</v>
      </c>
      <c r="Z77" s="128">
        <v>1.24</v>
      </c>
      <c r="AA77" s="128">
        <v>1.25</v>
      </c>
      <c r="AB77" s="128">
        <v>1.26</v>
      </c>
      <c r="AC77" s="128">
        <v>1.27</v>
      </c>
      <c r="AD77" s="128">
        <v>1.28</v>
      </c>
      <c r="AE77" s="128">
        <v>1.29</v>
      </c>
      <c r="AF77" s="128">
        <v>1.3</v>
      </c>
      <c r="AG77" s="128">
        <v>1.31</v>
      </c>
      <c r="AH77" s="128">
        <v>1.32</v>
      </c>
      <c r="AI77" s="128">
        <v>1.33</v>
      </c>
      <c r="AJ77" s="128">
        <v>1.34</v>
      </c>
      <c r="AK77" s="128">
        <v>1.35</v>
      </c>
      <c r="AL77" s="128">
        <v>1.36</v>
      </c>
      <c r="AM77" s="128">
        <v>1.37</v>
      </c>
      <c r="AN77" s="128">
        <v>1.38</v>
      </c>
      <c r="AO77" s="128">
        <v>1.39</v>
      </c>
      <c r="AP77" s="128">
        <v>1.4</v>
      </c>
      <c r="AQ77" s="128">
        <v>1.41</v>
      </c>
      <c r="AR77" s="128">
        <v>1.42</v>
      </c>
      <c r="AS77" s="128">
        <v>1.43</v>
      </c>
      <c r="AT77" s="128">
        <v>1.44</v>
      </c>
      <c r="AU77" s="128">
        <v>1.45</v>
      </c>
      <c r="AV77" s="128">
        <v>1.46</v>
      </c>
      <c r="AW77" s="128">
        <v>1.47</v>
      </c>
      <c r="AX77" s="128">
        <v>1.48</v>
      </c>
      <c r="AY77" s="128">
        <v>1.49</v>
      </c>
      <c r="AZ77" s="128">
        <v>1.5</v>
      </c>
      <c r="BA77" s="128">
        <v>1.51</v>
      </c>
      <c r="BB77" s="128">
        <v>1.52</v>
      </c>
      <c r="BC77" s="128">
        <v>1.53</v>
      </c>
      <c r="BD77" s="128">
        <v>1.54</v>
      </c>
      <c r="BE77" s="128">
        <v>1.55</v>
      </c>
      <c r="BF77" s="128">
        <v>1.56</v>
      </c>
      <c r="BG77" s="128">
        <v>1.57</v>
      </c>
      <c r="BH77" s="128">
        <v>1.58</v>
      </c>
      <c r="BI77" s="128">
        <v>1.59</v>
      </c>
      <c r="BJ77" s="128">
        <v>1.6</v>
      </c>
      <c r="BK77" s="128">
        <v>1.61</v>
      </c>
      <c r="BL77" s="128">
        <v>1.62</v>
      </c>
      <c r="BM77" s="128">
        <v>1.63</v>
      </c>
      <c r="BN77" s="128">
        <v>1.64</v>
      </c>
      <c r="BO77" s="128">
        <v>1.65</v>
      </c>
      <c r="BP77" s="128">
        <v>1.66</v>
      </c>
      <c r="BQ77" s="128">
        <v>1.67</v>
      </c>
      <c r="BR77" s="128">
        <v>1.68</v>
      </c>
      <c r="BS77" s="128">
        <v>1.69</v>
      </c>
      <c r="BT77" s="128">
        <v>1.7</v>
      </c>
      <c r="BU77" s="128">
        <v>1.71</v>
      </c>
      <c r="BV77" s="128">
        <v>1.72</v>
      </c>
      <c r="BW77" s="128">
        <v>1.73</v>
      </c>
      <c r="BX77" s="128">
        <v>1.74</v>
      </c>
      <c r="BY77" s="128">
        <v>1.74</v>
      </c>
      <c r="BZ77" s="128">
        <v>1.74</v>
      </c>
      <c r="CA77" s="128">
        <v>1.74</v>
      </c>
      <c r="CB77" s="128">
        <v>1.74</v>
      </c>
      <c r="CC77" s="128">
        <v>1.74</v>
      </c>
      <c r="CD77" s="128">
        <v>1.74</v>
      </c>
      <c r="CE77" s="128">
        <v>1.74</v>
      </c>
      <c r="CF77" s="128">
        <v>1.74</v>
      </c>
      <c r="CG77" s="128">
        <v>1.74</v>
      </c>
      <c r="CH77" s="128">
        <v>1.74</v>
      </c>
      <c r="CI77" s="128">
        <v>1.74</v>
      </c>
      <c r="CJ77" s="128">
        <v>1.74</v>
      </c>
      <c r="CK77" s="128">
        <v>1.74</v>
      </c>
      <c r="CL77" s="128">
        <v>1.74</v>
      </c>
      <c r="CM77" s="128">
        <v>1.74</v>
      </c>
      <c r="CN77" s="128">
        <v>1.74</v>
      </c>
      <c r="CO77" s="128">
        <v>1.74</v>
      </c>
      <c r="CP77" s="128">
        <v>1.74</v>
      </c>
      <c r="CQ77" s="128">
        <v>1.74</v>
      </c>
      <c r="CR77" s="128">
        <v>1.74</v>
      </c>
      <c r="CS77" s="128">
        <v>1.74</v>
      </c>
      <c r="CT77" s="128">
        <v>1.74</v>
      </c>
      <c r="CU77" s="128">
        <v>1.74</v>
      </c>
      <c r="CV77" s="128">
        <v>1.74</v>
      </c>
      <c r="CW77" s="128">
        <v>1.74</v>
      </c>
      <c r="CX77" s="128">
        <v>1.74</v>
      </c>
      <c r="CZ77" s="126">
        <f>SUMIF(MatrixF1[[1]:[2]],MatrixF1[[#This Row],[Столбец1]])/MatrixF1[[#This Row],[Столбец1]]</f>
        <v>52.999999999999964</v>
      </c>
    </row>
    <row r="78" spans="1:104" ht="21" customHeight="1" x14ac:dyDescent="0.25">
      <c r="A78" s="127">
        <v>1.75</v>
      </c>
      <c r="B78" s="128">
        <v>1</v>
      </c>
      <c r="C78" s="128">
        <v>1.01</v>
      </c>
      <c r="D78" s="128">
        <v>1.03</v>
      </c>
      <c r="E78" s="128">
        <v>1.04</v>
      </c>
      <c r="F78" s="128">
        <v>1.05</v>
      </c>
      <c r="G78" s="128">
        <v>1.06</v>
      </c>
      <c r="H78" s="128">
        <v>1.07</v>
      </c>
      <c r="I78" s="128">
        <v>1.0900000000000001</v>
      </c>
      <c r="J78" s="128">
        <v>1.1000000000000001</v>
      </c>
      <c r="K78" s="128">
        <v>1.1100000000000001</v>
      </c>
      <c r="L78" s="128">
        <v>1.1200000000000001</v>
      </c>
      <c r="M78" s="128">
        <v>1.1299999999999999</v>
      </c>
      <c r="N78" s="128">
        <v>1.1399999999999999</v>
      </c>
      <c r="O78" s="128">
        <v>1.1499999999999999</v>
      </c>
      <c r="P78" s="128">
        <v>1.1599999999999999</v>
      </c>
      <c r="Q78" s="128">
        <v>1.17</v>
      </c>
      <c r="R78" s="128">
        <v>1.18</v>
      </c>
      <c r="S78" s="128">
        <v>1.18</v>
      </c>
      <c r="T78" s="128">
        <v>1.19</v>
      </c>
      <c r="U78" s="128">
        <v>1.2</v>
      </c>
      <c r="V78" s="128">
        <v>1.21</v>
      </c>
      <c r="W78" s="128">
        <v>1.22</v>
      </c>
      <c r="X78" s="128">
        <v>1.23</v>
      </c>
      <c r="Y78" s="128">
        <v>1.23</v>
      </c>
      <c r="Z78" s="128">
        <v>1.24</v>
      </c>
      <c r="AA78" s="128">
        <v>1.25</v>
      </c>
      <c r="AB78" s="128">
        <v>1.26</v>
      </c>
      <c r="AC78" s="128">
        <v>1.27</v>
      </c>
      <c r="AD78" s="128">
        <v>1.28</v>
      </c>
      <c r="AE78" s="128">
        <v>1.29</v>
      </c>
      <c r="AF78" s="128">
        <v>1.3</v>
      </c>
      <c r="AG78" s="128">
        <v>1.31</v>
      </c>
      <c r="AH78" s="128">
        <v>1.32</v>
      </c>
      <c r="AI78" s="128">
        <v>1.33</v>
      </c>
      <c r="AJ78" s="128">
        <v>1.34</v>
      </c>
      <c r="AK78" s="128">
        <v>1.35</v>
      </c>
      <c r="AL78" s="128">
        <v>1.36</v>
      </c>
      <c r="AM78" s="128">
        <v>1.37</v>
      </c>
      <c r="AN78" s="128">
        <v>1.38</v>
      </c>
      <c r="AO78" s="128">
        <v>1.39</v>
      </c>
      <c r="AP78" s="128">
        <v>1.4</v>
      </c>
      <c r="AQ78" s="128">
        <v>1.41</v>
      </c>
      <c r="AR78" s="128">
        <v>1.42</v>
      </c>
      <c r="AS78" s="128">
        <v>1.43</v>
      </c>
      <c r="AT78" s="128">
        <v>1.44</v>
      </c>
      <c r="AU78" s="128">
        <v>1.45</v>
      </c>
      <c r="AV78" s="128">
        <v>1.46</v>
      </c>
      <c r="AW78" s="128">
        <v>1.47</v>
      </c>
      <c r="AX78" s="128">
        <v>1.48</v>
      </c>
      <c r="AY78" s="128">
        <v>1.49</v>
      </c>
      <c r="AZ78" s="128">
        <v>1.5</v>
      </c>
      <c r="BA78" s="128">
        <v>1.51</v>
      </c>
      <c r="BB78" s="128">
        <v>1.52</v>
      </c>
      <c r="BC78" s="128">
        <v>1.53</v>
      </c>
      <c r="BD78" s="128">
        <v>1.54</v>
      </c>
      <c r="BE78" s="128">
        <v>1.55</v>
      </c>
      <c r="BF78" s="128">
        <v>1.56</v>
      </c>
      <c r="BG78" s="128">
        <v>1.57</v>
      </c>
      <c r="BH78" s="128">
        <v>1.58</v>
      </c>
      <c r="BI78" s="128">
        <v>1.59</v>
      </c>
      <c r="BJ78" s="128">
        <v>1.6</v>
      </c>
      <c r="BK78" s="128">
        <v>1.61</v>
      </c>
      <c r="BL78" s="128">
        <v>1.62</v>
      </c>
      <c r="BM78" s="128">
        <v>1.63</v>
      </c>
      <c r="BN78" s="128">
        <v>1.64</v>
      </c>
      <c r="BO78" s="128">
        <v>1.65</v>
      </c>
      <c r="BP78" s="128">
        <v>1.66</v>
      </c>
      <c r="BQ78" s="128">
        <v>1.67</v>
      </c>
      <c r="BR78" s="128">
        <v>1.68</v>
      </c>
      <c r="BS78" s="128">
        <v>1.69</v>
      </c>
      <c r="BT78" s="128">
        <v>1.7</v>
      </c>
      <c r="BU78" s="128">
        <v>1.71</v>
      </c>
      <c r="BV78" s="128">
        <v>1.72</v>
      </c>
      <c r="BW78" s="128">
        <v>1.73</v>
      </c>
      <c r="BX78" s="128">
        <v>1.74</v>
      </c>
      <c r="BY78" s="128">
        <v>1.75</v>
      </c>
      <c r="BZ78" s="128">
        <v>1.75</v>
      </c>
      <c r="CA78" s="128">
        <v>1.75</v>
      </c>
      <c r="CB78" s="128">
        <v>1.75</v>
      </c>
      <c r="CC78" s="128">
        <v>1.75</v>
      </c>
      <c r="CD78" s="128">
        <v>1.75</v>
      </c>
      <c r="CE78" s="128">
        <v>1.75</v>
      </c>
      <c r="CF78" s="128">
        <v>1.75</v>
      </c>
      <c r="CG78" s="128">
        <v>1.75</v>
      </c>
      <c r="CH78" s="128">
        <v>1.75</v>
      </c>
      <c r="CI78" s="128">
        <v>1.75</v>
      </c>
      <c r="CJ78" s="128">
        <v>1.75</v>
      </c>
      <c r="CK78" s="128">
        <v>1.75</v>
      </c>
      <c r="CL78" s="128">
        <v>1.75</v>
      </c>
      <c r="CM78" s="128">
        <v>1.75</v>
      </c>
      <c r="CN78" s="128">
        <v>1.75</v>
      </c>
      <c r="CO78" s="128">
        <v>1.75</v>
      </c>
      <c r="CP78" s="128">
        <v>1.75</v>
      </c>
      <c r="CQ78" s="128">
        <v>1.75</v>
      </c>
      <c r="CR78" s="128">
        <v>1.75</v>
      </c>
      <c r="CS78" s="128">
        <v>1.75</v>
      </c>
      <c r="CT78" s="128">
        <v>1.75</v>
      </c>
      <c r="CU78" s="128">
        <v>1.75</v>
      </c>
      <c r="CV78" s="128">
        <v>1.75</v>
      </c>
      <c r="CW78" s="128">
        <v>1.75</v>
      </c>
      <c r="CX78" s="128">
        <v>1.75</v>
      </c>
      <c r="CZ78" s="126">
        <f>SUMIF(MatrixF1[[1]:[2]],MatrixF1[[#This Row],[Столбец1]])/MatrixF1[[#This Row],[Столбец1]]</f>
        <v>51</v>
      </c>
    </row>
    <row r="79" spans="1:104" ht="21" customHeight="1" x14ac:dyDescent="0.25">
      <c r="A79" s="127">
        <v>1.76</v>
      </c>
      <c r="B79" s="128">
        <v>1</v>
      </c>
      <c r="C79" s="128">
        <v>1.01</v>
      </c>
      <c r="D79" s="128">
        <v>1.03</v>
      </c>
      <c r="E79" s="128">
        <v>1.04</v>
      </c>
      <c r="F79" s="128">
        <v>1.05</v>
      </c>
      <c r="G79" s="128">
        <v>1.06</v>
      </c>
      <c r="H79" s="128">
        <v>1.07</v>
      </c>
      <c r="I79" s="128">
        <v>1.08</v>
      </c>
      <c r="J79" s="128">
        <v>1.1000000000000001</v>
      </c>
      <c r="K79" s="128">
        <v>1.1100000000000001</v>
      </c>
      <c r="L79" s="128">
        <v>1.1200000000000001</v>
      </c>
      <c r="M79" s="128">
        <v>1.1299999999999999</v>
      </c>
      <c r="N79" s="128">
        <v>1.1399999999999999</v>
      </c>
      <c r="O79" s="128">
        <v>1.1499999999999999</v>
      </c>
      <c r="P79" s="128">
        <v>1.1599999999999999</v>
      </c>
      <c r="Q79" s="128">
        <v>1.1599999999999999</v>
      </c>
      <c r="R79" s="128">
        <v>1.17</v>
      </c>
      <c r="S79" s="128">
        <v>1.18</v>
      </c>
      <c r="T79" s="128">
        <v>1.19</v>
      </c>
      <c r="U79" s="128">
        <v>1.2</v>
      </c>
      <c r="V79" s="128">
        <v>1.21</v>
      </c>
      <c r="W79" s="128">
        <v>1.22</v>
      </c>
      <c r="X79" s="128">
        <v>1.22</v>
      </c>
      <c r="Y79" s="128">
        <v>1.23</v>
      </c>
      <c r="Z79" s="128">
        <v>1.24</v>
      </c>
      <c r="AA79" s="128">
        <v>1.25</v>
      </c>
      <c r="AB79" s="128">
        <v>1.26</v>
      </c>
      <c r="AC79" s="128">
        <v>1.27</v>
      </c>
      <c r="AD79" s="128">
        <v>1.28</v>
      </c>
      <c r="AE79" s="128">
        <v>1.29</v>
      </c>
      <c r="AF79" s="128">
        <v>1.3</v>
      </c>
      <c r="AG79" s="128">
        <v>1.31</v>
      </c>
      <c r="AH79" s="128">
        <v>1.32</v>
      </c>
      <c r="AI79" s="128">
        <v>1.33</v>
      </c>
      <c r="AJ79" s="128">
        <v>1.34</v>
      </c>
      <c r="AK79" s="128">
        <v>1.35</v>
      </c>
      <c r="AL79" s="128">
        <v>1.36</v>
      </c>
      <c r="AM79" s="128">
        <v>1.37</v>
      </c>
      <c r="AN79" s="128">
        <v>1.38</v>
      </c>
      <c r="AO79" s="128">
        <v>1.39</v>
      </c>
      <c r="AP79" s="128">
        <v>1.4</v>
      </c>
      <c r="AQ79" s="128">
        <v>1.41</v>
      </c>
      <c r="AR79" s="128">
        <v>1.42</v>
      </c>
      <c r="AS79" s="128">
        <v>1.43</v>
      </c>
      <c r="AT79" s="128">
        <v>1.44</v>
      </c>
      <c r="AU79" s="128">
        <v>1.45</v>
      </c>
      <c r="AV79" s="128">
        <v>1.46</v>
      </c>
      <c r="AW79" s="128">
        <v>1.47</v>
      </c>
      <c r="AX79" s="128">
        <v>1.48</v>
      </c>
      <c r="AY79" s="128">
        <v>1.49</v>
      </c>
      <c r="AZ79" s="128">
        <v>1.5</v>
      </c>
      <c r="BA79" s="128">
        <v>1.51</v>
      </c>
      <c r="BB79" s="128">
        <v>1.52</v>
      </c>
      <c r="BC79" s="128">
        <v>1.53</v>
      </c>
      <c r="BD79" s="128">
        <v>1.54</v>
      </c>
      <c r="BE79" s="128">
        <v>1.55</v>
      </c>
      <c r="BF79" s="128">
        <v>1.56</v>
      </c>
      <c r="BG79" s="128">
        <v>1.57</v>
      </c>
      <c r="BH79" s="128">
        <v>1.58</v>
      </c>
      <c r="BI79" s="128">
        <v>1.59</v>
      </c>
      <c r="BJ79" s="128">
        <v>1.6</v>
      </c>
      <c r="BK79" s="128">
        <v>1.61</v>
      </c>
      <c r="BL79" s="128">
        <v>1.62</v>
      </c>
      <c r="BM79" s="128">
        <v>1.63</v>
      </c>
      <c r="BN79" s="128">
        <v>1.64</v>
      </c>
      <c r="BO79" s="128">
        <v>1.65</v>
      </c>
      <c r="BP79" s="128">
        <v>1.66</v>
      </c>
      <c r="BQ79" s="128">
        <v>1.67</v>
      </c>
      <c r="BR79" s="128">
        <v>1.68</v>
      </c>
      <c r="BS79" s="128">
        <v>1.69</v>
      </c>
      <c r="BT79" s="128">
        <v>1.7</v>
      </c>
      <c r="BU79" s="128">
        <v>1.71</v>
      </c>
      <c r="BV79" s="128">
        <v>1.72</v>
      </c>
      <c r="BW79" s="128">
        <v>1.73</v>
      </c>
      <c r="BX79" s="128">
        <v>1.74</v>
      </c>
      <c r="BY79" s="128">
        <v>1.75</v>
      </c>
      <c r="BZ79" s="128">
        <v>1.76</v>
      </c>
      <c r="CA79" s="128">
        <v>1.76</v>
      </c>
      <c r="CB79" s="128">
        <v>1.76</v>
      </c>
      <c r="CC79" s="128">
        <v>1.76</v>
      </c>
      <c r="CD79" s="128">
        <v>1.76</v>
      </c>
      <c r="CE79" s="128">
        <v>1.76</v>
      </c>
      <c r="CF79" s="128">
        <v>1.76</v>
      </c>
      <c r="CG79" s="128">
        <v>1.76</v>
      </c>
      <c r="CH79" s="128">
        <v>1.76</v>
      </c>
      <c r="CI79" s="128">
        <v>1.76</v>
      </c>
      <c r="CJ79" s="128">
        <v>1.76</v>
      </c>
      <c r="CK79" s="128">
        <v>1.76</v>
      </c>
      <c r="CL79" s="128">
        <v>1.76</v>
      </c>
      <c r="CM79" s="128">
        <v>1.76</v>
      </c>
      <c r="CN79" s="128">
        <v>1.76</v>
      </c>
      <c r="CO79" s="128">
        <v>1.76</v>
      </c>
      <c r="CP79" s="128">
        <v>1.76</v>
      </c>
      <c r="CQ79" s="128">
        <v>1.76</v>
      </c>
      <c r="CR79" s="128">
        <v>1.76</v>
      </c>
      <c r="CS79" s="128">
        <v>1.76</v>
      </c>
      <c r="CT79" s="128">
        <v>1.76</v>
      </c>
      <c r="CU79" s="128">
        <v>1.76</v>
      </c>
      <c r="CV79" s="128">
        <v>1.76</v>
      </c>
      <c r="CW79" s="128">
        <v>1.76</v>
      </c>
      <c r="CX79" s="128">
        <v>1.76</v>
      </c>
      <c r="CZ79" s="126">
        <f>SUMIF(MatrixF1[[1]:[2]],MatrixF1[[#This Row],[Столбец1]])/MatrixF1[[#This Row],[Столбец1]]</f>
        <v>49.000000000000021</v>
      </c>
    </row>
    <row r="80" spans="1:104" ht="21" customHeight="1" x14ac:dyDescent="0.25">
      <c r="A80" s="127">
        <v>1.77</v>
      </c>
      <c r="B80" s="128">
        <v>1</v>
      </c>
      <c r="C80" s="128">
        <v>1.01</v>
      </c>
      <c r="D80" s="128">
        <v>1.03</v>
      </c>
      <c r="E80" s="128">
        <v>1.04</v>
      </c>
      <c r="F80" s="128">
        <v>1.05</v>
      </c>
      <c r="G80" s="128">
        <v>1.06</v>
      </c>
      <c r="H80" s="128">
        <v>1.07</v>
      </c>
      <c r="I80" s="128">
        <v>1.08</v>
      </c>
      <c r="J80" s="128">
        <v>1.0900000000000001</v>
      </c>
      <c r="K80" s="128">
        <v>1.1000000000000001</v>
      </c>
      <c r="L80" s="128">
        <v>1.1100000000000001</v>
      </c>
      <c r="M80" s="128">
        <v>1.1200000000000001</v>
      </c>
      <c r="N80" s="128">
        <v>1.1299999999999999</v>
      </c>
      <c r="O80" s="128">
        <v>1.1399999999999999</v>
      </c>
      <c r="P80" s="128">
        <v>1.1499999999999999</v>
      </c>
      <c r="Q80" s="128">
        <v>1.1599999999999999</v>
      </c>
      <c r="R80" s="128">
        <v>1.17</v>
      </c>
      <c r="S80" s="128">
        <v>1.18</v>
      </c>
      <c r="T80" s="128">
        <v>1.19</v>
      </c>
      <c r="U80" s="128">
        <v>1.2</v>
      </c>
      <c r="V80" s="128">
        <v>1.21</v>
      </c>
      <c r="W80" s="128">
        <v>1.21</v>
      </c>
      <c r="X80" s="128">
        <v>1.22</v>
      </c>
      <c r="Y80" s="128">
        <v>1.23</v>
      </c>
      <c r="Z80" s="128">
        <v>1.24</v>
      </c>
      <c r="AA80" s="128">
        <v>1.25</v>
      </c>
      <c r="AB80" s="128">
        <v>1.26</v>
      </c>
      <c r="AC80" s="128">
        <v>1.27</v>
      </c>
      <c r="AD80" s="128">
        <v>1.28</v>
      </c>
      <c r="AE80" s="128">
        <v>1.29</v>
      </c>
      <c r="AF80" s="128">
        <v>1.3</v>
      </c>
      <c r="AG80" s="128">
        <v>1.31</v>
      </c>
      <c r="AH80" s="128">
        <v>1.32</v>
      </c>
      <c r="AI80" s="128">
        <v>1.33</v>
      </c>
      <c r="AJ80" s="128">
        <v>1.34</v>
      </c>
      <c r="AK80" s="128">
        <v>1.35</v>
      </c>
      <c r="AL80" s="128">
        <v>1.36</v>
      </c>
      <c r="AM80" s="128">
        <v>1.37</v>
      </c>
      <c r="AN80" s="128">
        <v>1.38</v>
      </c>
      <c r="AO80" s="128">
        <v>1.39</v>
      </c>
      <c r="AP80" s="128">
        <v>1.4</v>
      </c>
      <c r="AQ80" s="128">
        <v>1.41</v>
      </c>
      <c r="AR80" s="128">
        <v>1.42</v>
      </c>
      <c r="AS80" s="128">
        <v>1.43</v>
      </c>
      <c r="AT80" s="128">
        <v>1.44</v>
      </c>
      <c r="AU80" s="128">
        <v>1.45</v>
      </c>
      <c r="AV80" s="128">
        <v>1.46</v>
      </c>
      <c r="AW80" s="128">
        <v>1.47</v>
      </c>
      <c r="AX80" s="128">
        <v>1.48</v>
      </c>
      <c r="AY80" s="128">
        <v>1.49</v>
      </c>
      <c r="AZ80" s="128">
        <v>1.5</v>
      </c>
      <c r="BA80" s="128">
        <v>1.51</v>
      </c>
      <c r="BB80" s="128">
        <v>1.52</v>
      </c>
      <c r="BC80" s="128">
        <v>1.53</v>
      </c>
      <c r="BD80" s="128">
        <v>1.54</v>
      </c>
      <c r="BE80" s="128">
        <v>1.55</v>
      </c>
      <c r="BF80" s="128">
        <v>1.56</v>
      </c>
      <c r="BG80" s="128">
        <v>1.57</v>
      </c>
      <c r="BH80" s="128">
        <v>1.58</v>
      </c>
      <c r="BI80" s="128">
        <v>1.59</v>
      </c>
      <c r="BJ80" s="128">
        <v>1.6</v>
      </c>
      <c r="BK80" s="128">
        <v>1.61</v>
      </c>
      <c r="BL80" s="128">
        <v>1.62</v>
      </c>
      <c r="BM80" s="128">
        <v>1.63</v>
      </c>
      <c r="BN80" s="128">
        <v>1.64</v>
      </c>
      <c r="BO80" s="128">
        <v>1.65</v>
      </c>
      <c r="BP80" s="128">
        <v>1.66</v>
      </c>
      <c r="BQ80" s="128">
        <v>1.67</v>
      </c>
      <c r="BR80" s="128">
        <v>1.68</v>
      </c>
      <c r="BS80" s="128">
        <v>1.69</v>
      </c>
      <c r="BT80" s="128">
        <v>1.7</v>
      </c>
      <c r="BU80" s="128">
        <v>1.71</v>
      </c>
      <c r="BV80" s="128">
        <v>1.72</v>
      </c>
      <c r="BW80" s="128">
        <v>1.73</v>
      </c>
      <c r="BX80" s="128">
        <v>1.74</v>
      </c>
      <c r="BY80" s="128">
        <v>1.75</v>
      </c>
      <c r="BZ80" s="128">
        <v>1.76</v>
      </c>
      <c r="CA80" s="128">
        <v>1.77</v>
      </c>
      <c r="CB80" s="128">
        <v>1.77</v>
      </c>
      <c r="CC80" s="128">
        <v>1.77</v>
      </c>
      <c r="CD80" s="128">
        <v>1.77</v>
      </c>
      <c r="CE80" s="128">
        <v>1.77</v>
      </c>
      <c r="CF80" s="128">
        <v>1.77</v>
      </c>
      <c r="CG80" s="128">
        <v>1.77</v>
      </c>
      <c r="CH80" s="128">
        <v>1.77</v>
      </c>
      <c r="CI80" s="128">
        <v>1.77</v>
      </c>
      <c r="CJ80" s="128">
        <v>1.77</v>
      </c>
      <c r="CK80" s="128">
        <v>1.77</v>
      </c>
      <c r="CL80" s="128">
        <v>1.77</v>
      </c>
      <c r="CM80" s="128">
        <v>1.77</v>
      </c>
      <c r="CN80" s="128">
        <v>1.77</v>
      </c>
      <c r="CO80" s="128">
        <v>1.77</v>
      </c>
      <c r="CP80" s="128">
        <v>1.77</v>
      </c>
      <c r="CQ80" s="128">
        <v>1.77</v>
      </c>
      <c r="CR80" s="128">
        <v>1.77</v>
      </c>
      <c r="CS80" s="128">
        <v>1.77</v>
      </c>
      <c r="CT80" s="128">
        <v>1.77</v>
      </c>
      <c r="CU80" s="128">
        <v>1.77</v>
      </c>
      <c r="CV80" s="128">
        <v>1.77</v>
      </c>
      <c r="CW80" s="128">
        <v>1.77</v>
      </c>
      <c r="CX80" s="128">
        <v>1.77</v>
      </c>
      <c r="CZ80" s="126">
        <f>SUMIF(MatrixF1[[1]:[2]],MatrixF1[[#This Row],[Столбец1]])/MatrixF1[[#This Row],[Столбец1]]</f>
        <v>47.000000000000007</v>
      </c>
    </row>
    <row r="81" spans="1:104" ht="21" customHeight="1" x14ac:dyDescent="0.25">
      <c r="A81" s="127">
        <v>1.78</v>
      </c>
      <c r="B81" s="128">
        <v>1</v>
      </c>
      <c r="C81" s="128">
        <v>1.01</v>
      </c>
      <c r="D81" s="128">
        <v>1.03</v>
      </c>
      <c r="E81" s="128">
        <v>1.04</v>
      </c>
      <c r="F81" s="128">
        <v>1.05</v>
      </c>
      <c r="G81" s="128">
        <v>1.06</v>
      </c>
      <c r="H81" s="128">
        <v>1.07</v>
      </c>
      <c r="I81" s="128">
        <v>1.08</v>
      </c>
      <c r="J81" s="128">
        <v>1.0900000000000001</v>
      </c>
      <c r="K81" s="128">
        <v>1.1000000000000001</v>
      </c>
      <c r="L81" s="128">
        <v>1.1100000000000001</v>
      </c>
      <c r="M81" s="128">
        <v>1.1200000000000001</v>
      </c>
      <c r="N81" s="128">
        <v>1.1299999999999999</v>
      </c>
      <c r="O81" s="128">
        <v>1.1399999999999999</v>
      </c>
      <c r="P81" s="128">
        <v>1.1499999999999999</v>
      </c>
      <c r="Q81" s="128">
        <v>1.1599999999999999</v>
      </c>
      <c r="R81" s="128">
        <v>1.17</v>
      </c>
      <c r="S81" s="128">
        <v>1.18</v>
      </c>
      <c r="T81" s="128">
        <v>1.19</v>
      </c>
      <c r="U81" s="128">
        <v>1.2</v>
      </c>
      <c r="V81" s="128">
        <v>1.2</v>
      </c>
      <c r="W81" s="128">
        <v>1.21</v>
      </c>
      <c r="X81" s="128">
        <v>1.22</v>
      </c>
      <c r="Y81" s="128">
        <v>1.23</v>
      </c>
      <c r="Z81" s="128">
        <v>1.24</v>
      </c>
      <c r="AA81" s="128">
        <v>1.25</v>
      </c>
      <c r="AB81" s="128">
        <v>1.26</v>
      </c>
      <c r="AC81" s="128">
        <v>1.27</v>
      </c>
      <c r="AD81" s="128">
        <v>1.28</v>
      </c>
      <c r="AE81" s="128">
        <v>1.29</v>
      </c>
      <c r="AF81" s="128">
        <v>1.3</v>
      </c>
      <c r="AG81" s="128">
        <v>1.31</v>
      </c>
      <c r="AH81" s="128">
        <v>1.32</v>
      </c>
      <c r="AI81" s="128">
        <v>1.33</v>
      </c>
      <c r="AJ81" s="128">
        <v>1.34</v>
      </c>
      <c r="AK81" s="128">
        <v>1.35</v>
      </c>
      <c r="AL81" s="128">
        <v>1.36</v>
      </c>
      <c r="AM81" s="128">
        <v>1.37</v>
      </c>
      <c r="AN81" s="128">
        <v>1.38</v>
      </c>
      <c r="AO81" s="128">
        <v>1.39</v>
      </c>
      <c r="AP81" s="128">
        <v>1.4</v>
      </c>
      <c r="AQ81" s="128">
        <v>1.41</v>
      </c>
      <c r="AR81" s="128">
        <v>1.42</v>
      </c>
      <c r="AS81" s="128">
        <v>1.43</v>
      </c>
      <c r="AT81" s="128">
        <v>1.44</v>
      </c>
      <c r="AU81" s="128">
        <v>1.45</v>
      </c>
      <c r="AV81" s="128">
        <v>1.46</v>
      </c>
      <c r="AW81" s="128">
        <v>1.47</v>
      </c>
      <c r="AX81" s="128">
        <v>1.48</v>
      </c>
      <c r="AY81" s="128">
        <v>1.49</v>
      </c>
      <c r="AZ81" s="128">
        <v>1.5</v>
      </c>
      <c r="BA81" s="128">
        <v>1.51</v>
      </c>
      <c r="BB81" s="128">
        <v>1.52</v>
      </c>
      <c r="BC81" s="128">
        <v>1.53</v>
      </c>
      <c r="BD81" s="128">
        <v>1.54</v>
      </c>
      <c r="BE81" s="128">
        <v>1.55</v>
      </c>
      <c r="BF81" s="128">
        <v>1.56</v>
      </c>
      <c r="BG81" s="128">
        <v>1.57</v>
      </c>
      <c r="BH81" s="128">
        <v>1.58</v>
      </c>
      <c r="BI81" s="128">
        <v>1.59</v>
      </c>
      <c r="BJ81" s="128">
        <v>1.6</v>
      </c>
      <c r="BK81" s="128">
        <v>1.61</v>
      </c>
      <c r="BL81" s="128">
        <v>1.62</v>
      </c>
      <c r="BM81" s="128">
        <v>1.63</v>
      </c>
      <c r="BN81" s="128">
        <v>1.64</v>
      </c>
      <c r="BO81" s="128">
        <v>1.65</v>
      </c>
      <c r="BP81" s="128">
        <v>1.66</v>
      </c>
      <c r="BQ81" s="128">
        <v>1.67</v>
      </c>
      <c r="BR81" s="128">
        <v>1.68</v>
      </c>
      <c r="BS81" s="128">
        <v>1.69</v>
      </c>
      <c r="BT81" s="128">
        <v>1.7</v>
      </c>
      <c r="BU81" s="128">
        <v>1.71</v>
      </c>
      <c r="BV81" s="128">
        <v>1.72</v>
      </c>
      <c r="BW81" s="128">
        <v>1.73</v>
      </c>
      <c r="BX81" s="128">
        <v>1.74</v>
      </c>
      <c r="BY81" s="128">
        <v>1.75</v>
      </c>
      <c r="BZ81" s="128">
        <v>1.76</v>
      </c>
      <c r="CA81" s="128">
        <v>1.77</v>
      </c>
      <c r="CB81" s="128">
        <v>1.78</v>
      </c>
      <c r="CC81" s="128">
        <v>1.78</v>
      </c>
      <c r="CD81" s="128">
        <v>1.78</v>
      </c>
      <c r="CE81" s="128">
        <v>1.78</v>
      </c>
      <c r="CF81" s="128">
        <v>1.78</v>
      </c>
      <c r="CG81" s="128">
        <v>1.78</v>
      </c>
      <c r="CH81" s="128">
        <v>1.78</v>
      </c>
      <c r="CI81" s="128">
        <v>1.78</v>
      </c>
      <c r="CJ81" s="128">
        <v>1.78</v>
      </c>
      <c r="CK81" s="128">
        <v>1.78</v>
      </c>
      <c r="CL81" s="128">
        <v>1.78</v>
      </c>
      <c r="CM81" s="128">
        <v>1.78</v>
      </c>
      <c r="CN81" s="128">
        <v>1.78</v>
      </c>
      <c r="CO81" s="128">
        <v>1.78</v>
      </c>
      <c r="CP81" s="128">
        <v>1.78</v>
      </c>
      <c r="CQ81" s="128">
        <v>1.78</v>
      </c>
      <c r="CR81" s="128">
        <v>1.78</v>
      </c>
      <c r="CS81" s="128">
        <v>1.78</v>
      </c>
      <c r="CT81" s="128">
        <v>1.78</v>
      </c>
      <c r="CU81" s="128">
        <v>1.78</v>
      </c>
      <c r="CV81" s="128">
        <v>1.78</v>
      </c>
      <c r="CW81" s="128">
        <v>1.78</v>
      </c>
      <c r="CX81" s="128">
        <v>1.78</v>
      </c>
      <c r="CZ81" s="126">
        <f>SUMIF(MatrixF1[[1]:[2]],MatrixF1[[#This Row],[Столбец1]])/MatrixF1[[#This Row],[Столбец1]]</f>
        <v>45.000000000000021</v>
      </c>
    </row>
    <row r="82" spans="1:104" ht="21" customHeight="1" x14ac:dyDescent="0.25">
      <c r="A82" s="127">
        <v>1.79</v>
      </c>
      <c r="B82" s="128">
        <v>1</v>
      </c>
      <c r="C82" s="128">
        <v>1.01</v>
      </c>
      <c r="D82" s="128">
        <v>1.02</v>
      </c>
      <c r="E82" s="128">
        <v>1.04</v>
      </c>
      <c r="F82" s="128">
        <v>1.05</v>
      </c>
      <c r="G82" s="128">
        <v>1.06</v>
      </c>
      <c r="H82" s="128">
        <v>1.07</v>
      </c>
      <c r="I82" s="128">
        <v>1.08</v>
      </c>
      <c r="J82" s="128">
        <v>1.0900000000000001</v>
      </c>
      <c r="K82" s="128">
        <v>1.1000000000000001</v>
      </c>
      <c r="L82" s="128">
        <v>1.1100000000000001</v>
      </c>
      <c r="M82" s="128">
        <v>1.1200000000000001</v>
      </c>
      <c r="N82" s="128">
        <v>1.1299999999999999</v>
      </c>
      <c r="O82" s="128">
        <v>1.1399999999999999</v>
      </c>
      <c r="P82" s="128">
        <v>1.1499999999999999</v>
      </c>
      <c r="Q82" s="128">
        <v>1.1599999999999999</v>
      </c>
      <c r="R82" s="128">
        <v>1.17</v>
      </c>
      <c r="S82" s="128">
        <v>1.18</v>
      </c>
      <c r="T82" s="128">
        <v>1.19</v>
      </c>
      <c r="U82" s="128">
        <v>1.19</v>
      </c>
      <c r="V82" s="128">
        <v>1.2</v>
      </c>
      <c r="W82" s="128">
        <v>1.21</v>
      </c>
      <c r="X82" s="128">
        <v>1.22</v>
      </c>
      <c r="Y82" s="128">
        <v>1.23</v>
      </c>
      <c r="Z82" s="128">
        <v>1.24</v>
      </c>
      <c r="AA82" s="128">
        <v>1.25</v>
      </c>
      <c r="AB82" s="128">
        <v>1.26</v>
      </c>
      <c r="AC82" s="128">
        <v>1.27</v>
      </c>
      <c r="AD82" s="128">
        <v>1.28</v>
      </c>
      <c r="AE82" s="128">
        <v>1.29</v>
      </c>
      <c r="AF82" s="128">
        <v>1.3</v>
      </c>
      <c r="AG82" s="128">
        <v>1.31</v>
      </c>
      <c r="AH82" s="128">
        <v>1.32</v>
      </c>
      <c r="AI82" s="128">
        <v>1.33</v>
      </c>
      <c r="AJ82" s="128">
        <v>1.34</v>
      </c>
      <c r="AK82" s="128">
        <v>1.35</v>
      </c>
      <c r="AL82" s="128">
        <v>1.36</v>
      </c>
      <c r="AM82" s="128">
        <v>1.37</v>
      </c>
      <c r="AN82" s="128">
        <v>1.38</v>
      </c>
      <c r="AO82" s="128">
        <v>1.39</v>
      </c>
      <c r="AP82" s="128">
        <v>1.4</v>
      </c>
      <c r="AQ82" s="128">
        <v>1.41</v>
      </c>
      <c r="AR82" s="128">
        <v>1.42</v>
      </c>
      <c r="AS82" s="128">
        <v>1.43</v>
      </c>
      <c r="AT82" s="128">
        <v>1.44</v>
      </c>
      <c r="AU82" s="128">
        <v>1.45</v>
      </c>
      <c r="AV82" s="128">
        <v>1.46</v>
      </c>
      <c r="AW82" s="128">
        <v>1.47</v>
      </c>
      <c r="AX82" s="128">
        <v>1.48</v>
      </c>
      <c r="AY82" s="128">
        <v>1.49</v>
      </c>
      <c r="AZ82" s="128">
        <v>1.5</v>
      </c>
      <c r="BA82" s="128">
        <v>1.51</v>
      </c>
      <c r="BB82" s="128">
        <v>1.52</v>
      </c>
      <c r="BC82" s="128">
        <v>1.53</v>
      </c>
      <c r="BD82" s="128">
        <v>1.54</v>
      </c>
      <c r="BE82" s="128">
        <v>1.55</v>
      </c>
      <c r="BF82" s="128">
        <v>1.56</v>
      </c>
      <c r="BG82" s="128">
        <v>1.57</v>
      </c>
      <c r="BH82" s="128">
        <v>1.58</v>
      </c>
      <c r="BI82" s="128">
        <v>1.59</v>
      </c>
      <c r="BJ82" s="128">
        <v>1.6</v>
      </c>
      <c r="BK82" s="128">
        <v>1.61</v>
      </c>
      <c r="BL82" s="128">
        <v>1.62</v>
      </c>
      <c r="BM82" s="128">
        <v>1.63</v>
      </c>
      <c r="BN82" s="128">
        <v>1.64</v>
      </c>
      <c r="BO82" s="128">
        <v>1.65</v>
      </c>
      <c r="BP82" s="128">
        <v>1.66</v>
      </c>
      <c r="BQ82" s="128">
        <v>1.67</v>
      </c>
      <c r="BR82" s="128">
        <v>1.68</v>
      </c>
      <c r="BS82" s="128">
        <v>1.69</v>
      </c>
      <c r="BT82" s="128">
        <v>1.7</v>
      </c>
      <c r="BU82" s="128">
        <v>1.71</v>
      </c>
      <c r="BV82" s="128">
        <v>1.72</v>
      </c>
      <c r="BW82" s="128">
        <v>1.73</v>
      </c>
      <c r="BX82" s="128">
        <v>1.74</v>
      </c>
      <c r="BY82" s="128">
        <v>1.75</v>
      </c>
      <c r="BZ82" s="128">
        <v>1.76</v>
      </c>
      <c r="CA82" s="128">
        <v>1.77</v>
      </c>
      <c r="CB82" s="128">
        <v>1.78</v>
      </c>
      <c r="CC82" s="128">
        <v>1.79</v>
      </c>
      <c r="CD82" s="128">
        <v>1.79</v>
      </c>
      <c r="CE82" s="128">
        <v>1.79</v>
      </c>
      <c r="CF82" s="128">
        <v>1.79</v>
      </c>
      <c r="CG82" s="128">
        <v>1.79</v>
      </c>
      <c r="CH82" s="128">
        <v>1.79</v>
      </c>
      <c r="CI82" s="128">
        <v>1.79</v>
      </c>
      <c r="CJ82" s="128">
        <v>1.79</v>
      </c>
      <c r="CK82" s="128">
        <v>1.79</v>
      </c>
      <c r="CL82" s="128">
        <v>1.79</v>
      </c>
      <c r="CM82" s="128">
        <v>1.79</v>
      </c>
      <c r="CN82" s="128">
        <v>1.79</v>
      </c>
      <c r="CO82" s="128">
        <v>1.79</v>
      </c>
      <c r="CP82" s="128">
        <v>1.79</v>
      </c>
      <c r="CQ82" s="128">
        <v>1.79</v>
      </c>
      <c r="CR82" s="128">
        <v>1.79</v>
      </c>
      <c r="CS82" s="128">
        <v>1.79</v>
      </c>
      <c r="CT82" s="128">
        <v>1.79</v>
      </c>
      <c r="CU82" s="128">
        <v>1.79</v>
      </c>
      <c r="CV82" s="128">
        <v>1.79</v>
      </c>
      <c r="CW82" s="128">
        <v>1.79</v>
      </c>
      <c r="CX82" s="128">
        <v>1.79</v>
      </c>
      <c r="CZ82" s="126">
        <f>SUMIF(MatrixF1[[1]:[2]],MatrixF1[[#This Row],[Столбец1]])/MatrixF1[[#This Row],[Столбец1]]</f>
        <v>43.000000000000014</v>
      </c>
    </row>
    <row r="83" spans="1:104" ht="21" customHeight="1" x14ac:dyDescent="0.25">
      <c r="A83" s="127">
        <v>1.8</v>
      </c>
      <c r="B83" s="128">
        <v>1</v>
      </c>
      <c r="C83" s="128">
        <v>1.01</v>
      </c>
      <c r="D83" s="128">
        <v>1.02</v>
      </c>
      <c r="E83" s="128">
        <v>1.04</v>
      </c>
      <c r="F83" s="128">
        <v>1.05</v>
      </c>
      <c r="G83" s="128">
        <v>1.06</v>
      </c>
      <c r="H83" s="128">
        <v>1.07</v>
      </c>
      <c r="I83" s="128">
        <v>1.08</v>
      </c>
      <c r="J83" s="128">
        <v>1.0900000000000001</v>
      </c>
      <c r="K83" s="128">
        <v>1.1000000000000001</v>
      </c>
      <c r="L83" s="128">
        <v>1.1100000000000001</v>
      </c>
      <c r="M83" s="128">
        <v>1.1200000000000001</v>
      </c>
      <c r="N83" s="128">
        <v>1.1299999999999999</v>
      </c>
      <c r="O83" s="128">
        <v>1.1399999999999999</v>
      </c>
      <c r="P83" s="128">
        <v>1.1499999999999999</v>
      </c>
      <c r="Q83" s="128">
        <v>1.1599999999999999</v>
      </c>
      <c r="R83" s="128">
        <v>1.17</v>
      </c>
      <c r="S83" s="128">
        <v>1.18</v>
      </c>
      <c r="T83" s="128">
        <v>1.18</v>
      </c>
      <c r="U83" s="128">
        <v>1.19</v>
      </c>
      <c r="V83" s="128">
        <v>1.2</v>
      </c>
      <c r="W83" s="128">
        <v>1.21</v>
      </c>
      <c r="X83" s="128">
        <v>1.22</v>
      </c>
      <c r="Y83" s="128">
        <v>1.23</v>
      </c>
      <c r="Z83" s="128">
        <v>1.24</v>
      </c>
      <c r="AA83" s="128">
        <v>1.25</v>
      </c>
      <c r="AB83" s="128">
        <v>1.26</v>
      </c>
      <c r="AC83" s="128">
        <v>1.27</v>
      </c>
      <c r="AD83" s="128">
        <v>1.28</v>
      </c>
      <c r="AE83" s="128">
        <v>1.29</v>
      </c>
      <c r="AF83" s="128">
        <v>1.3</v>
      </c>
      <c r="AG83" s="128">
        <v>1.31</v>
      </c>
      <c r="AH83" s="128">
        <v>1.32</v>
      </c>
      <c r="AI83" s="128">
        <v>1.33</v>
      </c>
      <c r="AJ83" s="128">
        <v>1.34</v>
      </c>
      <c r="AK83" s="128">
        <v>1.35</v>
      </c>
      <c r="AL83" s="128">
        <v>1.36</v>
      </c>
      <c r="AM83" s="128">
        <v>1.37</v>
      </c>
      <c r="AN83" s="128">
        <v>1.38</v>
      </c>
      <c r="AO83" s="128">
        <v>1.39</v>
      </c>
      <c r="AP83" s="128">
        <v>1.4</v>
      </c>
      <c r="AQ83" s="128">
        <v>1.41</v>
      </c>
      <c r="AR83" s="128">
        <v>1.42</v>
      </c>
      <c r="AS83" s="128">
        <v>1.43</v>
      </c>
      <c r="AT83" s="128">
        <v>1.44</v>
      </c>
      <c r="AU83" s="128">
        <v>1.45</v>
      </c>
      <c r="AV83" s="128">
        <v>1.46</v>
      </c>
      <c r="AW83" s="128">
        <v>1.47</v>
      </c>
      <c r="AX83" s="128">
        <v>1.48</v>
      </c>
      <c r="AY83" s="128">
        <v>1.49</v>
      </c>
      <c r="AZ83" s="128">
        <v>1.5</v>
      </c>
      <c r="BA83" s="128">
        <v>1.51</v>
      </c>
      <c r="BB83" s="128">
        <v>1.52</v>
      </c>
      <c r="BC83" s="128">
        <v>1.53</v>
      </c>
      <c r="BD83" s="128">
        <v>1.54</v>
      </c>
      <c r="BE83" s="128">
        <v>1.55</v>
      </c>
      <c r="BF83" s="128">
        <v>1.56</v>
      </c>
      <c r="BG83" s="128">
        <v>1.57</v>
      </c>
      <c r="BH83" s="128">
        <v>1.58</v>
      </c>
      <c r="BI83" s="128">
        <v>1.59</v>
      </c>
      <c r="BJ83" s="128">
        <v>1.6</v>
      </c>
      <c r="BK83" s="128">
        <v>1.61</v>
      </c>
      <c r="BL83" s="128">
        <v>1.62</v>
      </c>
      <c r="BM83" s="128">
        <v>1.63</v>
      </c>
      <c r="BN83" s="128">
        <v>1.64</v>
      </c>
      <c r="BO83" s="128">
        <v>1.65</v>
      </c>
      <c r="BP83" s="128">
        <v>1.66</v>
      </c>
      <c r="BQ83" s="128">
        <v>1.67</v>
      </c>
      <c r="BR83" s="128">
        <v>1.68</v>
      </c>
      <c r="BS83" s="128">
        <v>1.69</v>
      </c>
      <c r="BT83" s="128">
        <v>1.7</v>
      </c>
      <c r="BU83" s="128">
        <v>1.71</v>
      </c>
      <c r="BV83" s="128">
        <v>1.72</v>
      </c>
      <c r="BW83" s="128">
        <v>1.73</v>
      </c>
      <c r="BX83" s="128">
        <v>1.74</v>
      </c>
      <c r="BY83" s="128">
        <v>1.75</v>
      </c>
      <c r="BZ83" s="128">
        <v>1.76</v>
      </c>
      <c r="CA83" s="128">
        <v>1.77</v>
      </c>
      <c r="CB83" s="128">
        <v>1.78</v>
      </c>
      <c r="CC83" s="128">
        <v>1.79</v>
      </c>
      <c r="CD83" s="128">
        <v>1.8</v>
      </c>
      <c r="CE83" s="128">
        <v>1.8</v>
      </c>
      <c r="CF83" s="128">
        <v>1.8</v>
      </c>
      <c r="CG83" s="128">
        <v>1.8</v>
      </c>
      <c r="CH83" s="128">
        <v>1.8</v>
      </c>
      <c r="CI83" s="128">
        <v>1.8</v>
      </c>
      <c r="CJ83" s="128">
        <v>1.8</v>
      </c>
      <c r="CK83" s="128">
        <v>1.8</v>
      </c>
      <c r="CL83" s="128">
        <v>1.8</v>
      </c>
      <c r="CM83" s="128">
        <v>1.8</v>
      </c>
      <c r="CN83" s="128">
        <v>1.8</v>
      </c>
      <c r="CO83" s="128">
        <v>1.8</v>
      </c>
      <c r="CP83" s="128">
        <v>1.8</v>
      </c>
      <c r="CQ83" s="128">
        <v>1.8</v>
      </c>
      <c r="CR83" s="128">
        <v>1.8</v>
      </c>
      <c r="CS83" s="128">
        <v>1.8</v>
      </c>
      <c r="CT83" s="128">
        <v>1.8</v>
      </c>
      <c r="CU83" s="128">
        <v>1.8</v>
      </c>
      <c r="CV83" s="128">
        <v>1.8</v>
      </c>
      <c r="CW83" s="128">
        <v>1.8</v>
      </c>
      <c r="CX83" s="128">
        <v>1.8</v>
      </c>
      <c r="CZ83" s="126">
        <f>SUMIF(MatrixF1[[1]:[2]],MatrixF1[[#This Row],[Столбец1]])/MatrixF1[[#This Row],[Столбец1]]</f>
        <v>40.999999999999964</v>
      </c>
    </row>
    <row r="84" spans="1:104" ht="21" customHeight="1" x14ac:dyDescent="0.25">
      <c r="A84" s="127">
        <v>1.81</v>
      </c>
      <c r="B84" s="128">
        <v>1</v>
      </c>
      <c r="C84" s="128">
        <v>1.01</v>
      </c>
      <c r="D84" s="128">
        <v>1.02</v>
      </c>
      <c r="E84" s="128">
        <v>1.04</v>
      </c>
      <c r="F84" s="128">
        <v>1.05</v>
      </c>
      <c r="G84" s="128">
        <v>1.06</v>
      </c>
      <c r="H84" s="128">
        <v>1.07</v>
      </c>
      <c r="I84" s="128">
        <v>1.08</v>
      </c>
      <c r="J84" s="128">
        <v>1.0900000000000001</v>
      </c>
      <c r="K84" s="128">
        <v>1.1000000000000001</v>
      </c>
      <c r="L84" s="128">
        <v>1.1100000000000001</v>
      </c>
      <c r="M84" s="128">
        <v>1.1200000000000001</v>
      </c>
      <c r="N84" s="128">
        <v>1.1299999999999999</v>
      </c>
      <c r="O84" s="128">
        <v>1.1399999999999999</v>
      </c>
      <c r="P84" s="128">
        <v>1.1499999999999999</v>
      </c>
      <c r="Q84" s="128">
        <v>1.1599999999999999</v>
      </c>
      <c r="R84" s="128">
        <v>1.1599999999999999</v>
      </c>
      <c r="S84" s="128">
        <v>1.17</v>
      </c>
      <c r="T84" s="128">
        <v>1.18</v>
      </c>
      <c r="U84" s="128">
        <v>1.19</v>
      </c>
      <c r="V84" s="128">
        <v>1.2</v>
      </c>
      <c r="W84" s="128">
        <v>1.21</v>
      </c>
      <c r="X84" s="128">
        <v>1.22</v>
      </c>
      <c r="Y84" s="128">
        <v>1.23</v>
      </c>
      <c r="Z84" s="128">
        <v>1.24</v>
      </c>
      <c r="AA84" s="128">
        <v>1.25</v>
      </c>
      <c r="AB84" s="128">
        <v>1.26</v>
      </c>
      <c r="AC84" s="128">
        <v>1.27</v>
      </c>
      <c r="AD84" s="128">
        <v>1.28</v>
      </c>
      <c r="AE84" s="128">
        <v>1.29</v>
      </c>
      <c r="AF84" s="128">
        <v>1.3</v>
      </c>
      <c r="AG84" s="128">
        <v>1.31</v>
      </c>
      <c r="AH84" s="128">
        <v>1.32</v>
      </c>
      <c r="AI84" s="128">
        <v>1.33</v>
      </c>
      <c r="AJ84" s="128">
        <v>1.34</v>
      </c>
      <c r="AK84" s="128">
        <v>1.35</v>
      </c>
      <c r="AL84" s="128">
        <v>1.36</v>
      </c>
      <c r="AM84" s="128">
        <v>1.37</v>
      </c>
      <c r="AN84" s="128">
        <v>1.38</v>
      </c>
      <c r="AO84" s="128">
        <v>1.39</v>
      </c>
      <c r="AP84" s="128">
        <v>1.4</v>
      </c>
      <c r="AQ84" s="128">
        <v>1.41</v>
      </c>
      <c r="AR84" s="128">
        <v>1.42</v>
      </c>
      <c r="AS84" s="128">
        <v>1.43</v>
      </c>
      <c r="AT84" s="128">
        <v>1.44</v>
      </c>
      <c r="AU84" s="128">
        <v>1.45</v>
      </c>
      <c r="AV84" s="128">
        <v>1.46</v>
      </c>
      <c r="AW84" s="128">
        <v>1.47</v>
      </c>
      <c r="AX84" s="128">
        <v>1.48</v>
      </c>
      <c r="AY84" s="128">
        <v>1.49</v>
      </c>
      <c r="AZ84" s="128">
        <v>1.5</v>
      </c>
      <c r="BA84" s="128">
        <v>1.51</v>
      </c>
      <c r="BB84" s="128">
        <v>1.52</v>
      </c>
      <c r="BC84" s="128">
        <v>1.53</v>
      </c>
      <c r="BD84" s="128">
        <v>1.54</v>
      </c>
      <c r="BE84" s="128">
        <v>1.55</v>
      </c>
      <c r="BF84" s="128">
        <v>1.56</v>
      </c>
      <c r="BG84" s="128">
        <v>1.57</v>
      </c>
      <c r="BH84" s="128">
        <v>1.58</v>
      </c>
      <c r="BI84" s="128">
        <v>1.59</v>
      </c>
      <c r="BJ84" s="128">
        <v>1.6</v>
      </c>
      <c r="BK84" s="128">
        <v>1.61</v>
      </c>
      <c r="BL84" s="128">
        <v>1.62</v>
      </c>
      <c r="BM84" s="128">
        <v>1.63</v>
      </c>
      <c r="BN84" s="128">
        <v>1.64</v>
      </c>
      <c r="BO84" s="128">
        <v>1.65</v>
      </c>
      <c r="BP84" s="128">
        <v>1.66</v>
      </c>
      <c r="BQ84" s="128">
        <v>1.67</v>
      </c>
      <c r="BR84" s="128">
        <v>1.68</v>
      </c>
      <c r="BS84" s="128">
        <v>1.69</v>
      </c>
      <c r="BT84" s="128">
        <v>1.7</v>
      </c>
      <c r="BU84" s="128">
        <v>1.71</v>
      </c>
      <c r="BV84" s="128">
        <v>1.72</v>
      </c>
      <c r="BW84" s="128">
        <v>1.73</v>
      </c>
      <c r="BX84" s="128">
        <v>1.74</v>
      </c>
      <c r="BY84" s="128">
        <v>1.75</v>
      </c>
      <c r="BZ84" s="128">
        <v>1.76</v>
      </c>
      <c r="CA84" s="128">
        <v>1.77</v>
      </c>
      <c r="CB84" s="128">
        <v>1.78</v>
      </c>
      <c r="CC84" s="128">
        <v>1.79</v>
      </c>
      <c r="CD84" s="128">
        <v>1.8</v>
      </c>
      <c r="CE84" s="128">
        <v>1.81</v>
      </c>
      <c r="CF84" s="128">
        <v>1.81</v>
      </c>
      <c r="CG84" s="128">
        <v>1.81</v>
      </c>
      <c r="CH84" s="128">
        <v>1.81</v>
      </c>
      <c r="CI84" s="128">
        <v>1.81</v>
      </c>
      <c r="CJ84" s="128">
        <v>1.81</v>
      </c>
      <c r="CK84" s="128">
        <v>1.81</v>
      </c>
      <c r="CL84" s="128">
        <v>1.81</v>
      </c>
      <c r="CM84" s="128">
        <v>1.81</v>
      </c>
      <c r="CN84" s="128">
        <v>1.81</v>
      </c>
      <c r="CO84" s="128">
        <v>1.81</v>
      </c>
      <c r="CP84" s="128">
        <v>1.81</v>
      </c>
      <c r="CQ84" s="128">
        <v>1.81</v>
      </c>
      <c r="CR84" s="128">
        <v>1.81</v>
      </c>
      <c r="CS84" s="128">
        <v>1.81</v>
      </c>
      <c r="CT84" s="128">
        <v>1.81</v>
      </c>
      <c r="CU84" s="128">
        <v>1.81</v>
      </c>
      <c r="CV84" s="128">
        <v>1.81</v>
      </c>
      <c r="CW84" s="128">
        <v>1.81</v>
      </c>
      <c r="CX84" s="128">
        <v>1.81</v>
      </c>
      <c r="CZ84" s="126">
        <f>SUMIF(MatrixF1[[1]:[2]],MatrixF1[[#This Row],[Столбец1]])/MatrixF1[[#This Row],[Столбец1]]</f>
        <v>39.000000000000014</v>
      </c>
    </row>
    <row r="85" spans="1:104" ht="21" customHeight="1" x14ac:dyDescent="0.25">
      <c r="A85" s="127">
        <v>1.82</v>
      </c>
      <c r="B85" s="128">
        <v>1</v>
      </c>
      <c r="C85" s="128">
        <v>1.01</v>
      </c>
      <c r="D85" s="128">
        <v>1.02</v>
      </c>
      <c r="E85" s="128">
        <v>1.04</v>
      </c>
      <c r="F85" s="128">
        <v>1.05</v>
      </c>
      <c r="G85" s="128">
        <v>1.06</v>
      </c>
      <c r="H85" s="128">
        <v>1.07</v>
      </c>
      <c r="I85" s="128">
        <v>1.08</v>
      </c>
      <c r="J85" s="128">
        <v>1.0900000000000001</v>
      </c>
      <c r="K85" s="128">
        <v>1.1000000000000001</v>
      </c>
      <c r="L85" s="128">
        <v>1.1100000000000001</v>
      </c>
      <c r="M85" s="128">
        <v>1.1200000000000001</v>
      </c>
      <c r="N85" s="128">
        <v>1.1299999999999999</v>
      </c>
      <c r="O85" s="128">
        <v>1.1399999999999999</v>
      </c>
      <c r="P85" s="128">
        <v>1.1499999999999999</v>
      </c>
      <c r="Q85" s="128">
        <v>1.1499999999999999</v>
      </c>
      <c r="R85" s="128">
        <v>1.1599999999999999</v>
      </c>
      <c r="S85" s="128">
        <v>1.17</v>
      </c>
      <c r="T85" s="128">
        <v>1.18</v>
      </c>
      <c r="U85" s="128">
        <v>1.19</v>
      </c>
      <c r="V85" s="128">
        <v>1.2</v>
      </c>
      <c r="W85" s="128">
        <v>1.21</v>
      </c>
      <c r="X85" s="128">
        <v>1.22</v>
      </c>
      <c r="Y85" s="128">
        <v>1.23</v>
      </c>
      <c r="Z85" s="128">
        <v>1.24</v>
      </c>
      <c r="AA85" s="128">
        <v>1.25</v>
      </c>
      <c r="AB85" s="128">
        <v>1.26</v>
      </c>
      <c r="AC85" s="128">
        <v>1.27</v>
      </c>
      <c r="AD85" s="128">
        <v>1.28</v>
      </c>
      <c r="AE85" s="128">
        <v>1.29</v>
      </c>
      <c r="AF85" s="128">
        <v>1.3</v>
      </c>
      <c r="AG85" s="128">
        <v>1.31</v>
      </c>
      <c r="AH85" s="128">
        <v>1.32</v>
      </c>
      <c r="AI85" s="128">
        <v>1.33</v>
      </c>
      <c r="AJ85" s="128">
        <v>1.34</v>
      </c>
      <c r="AK85" s="128">
        <v>1.35</v>
      </c>
      <c r="AL85" s="128">
        <v>1.36</v>
      </c>
      <c r="AM85" s="128">
        <v>1.37</v>
      </c>
      <c r="AN85" s="128">
        <v>1.38</v>
      </c>
      <c r="AO85" s="128">
        <v>1.39</v>
      </c>
      <c r="AP85" s="128">
        <v>1.4</v>
      </c>
      <c r="AQ85" s="128">
        <v>1.41</v>
      </c>
      <c r="AR85" s="128">
        <v>1.42</v>
      </c>
      <c r="AS85" s="128">
        <v>1.43</v>
      </c>
      <c r="AT85" s="128">
        <v>1.44</v>
      </c>
      <c r="AU85" s="128">
        <v>1.45</v>
      </c>
      <c r="AV85" s="128">
        <v>1.46</v>
      </c>
      <c r="AW85" s="128">
        <v>1.47</v>
      </c>
      <c r="AX85" s="128">
        <v>1.48</v>
      </c>
      <c r="AY85" s="128">
        <v>1.49</v>
      </c>
      <c r="AZ85" s="128">
        <v>1.5</v>
      </c>
      <c r="BA85" s="128">
        <v>1.51</v>
      </c>
      <c r="BB85" s="128">
        <v>1.52</v>
      </c>
      <c r="BC85" s="128">
        <v>1.53</v>
      </c>
      <c r="BD85" s="128">
        <v>1.54</v>
      </c>
      <c r="BE85" s="128">
        <v>1.55</v>
      </c>
      <c r="BF85" s="128">
        <v>1.56</v>
      </c>
      <c r="BG85" s="128">
        <v>1.57</v>
      </c>
      <c r="BH85" s="128">
        <v>1.58</v>
      </c>
      <c r="BI85" s="128">
        <v>1.59</v>
      </c>
      <c r="BJ85" s="128">
        <v>1.6</v>
      </c>
      <c r="BK85" s="128">
        <v>1.61</v>
      </c>
      <c r="BL85" s="128">
        <v>1.62</v>
      </c>
      <c r="BM85" s="128">
        <v>1.63</v>
      </c>
      <c r="BN85" s="128">
        <v>1.64</v>
      </c>
      <c r="BO85" s="128">
        <v>1.65</v>
      </c>
      <c r="BP85" s="128">
        <v>1.66</v>
      </c>
      <c r="BQ85" s="128">
        <v>1.67</v>
      </c>
      <c r="BR85" s="128">
        <v>1.68</v>
      </c>
      <c r="BS85" s="128">
        <v>1.69</v>
      </c>
      <c r="BT85" s="128">
        <v>1.7</v>
      </c>
      <c r="BU85" s="128">
        <v>1.71</v>
      </c>
      <c r="BV85" s="128">
        <v>1.72</v>
      </c>
      <c r="BW85" s="128">
        <v>1.73</v>
      </c>
      <c r="BX85" s="128">
        <v>1.74</v>
      </c>
      <c r="BY85" s="128">
        <v>1.75</v>
      </c>
      <c r="BZ85" s="128">
        <v>1.76</v>
      </c>
      <c r="CA85" s="128">
        <v>1.77</v>
      </c>
      <c r="CB85" s="128">
        <v>1.78</v>
      </c>
      <c r="CC85" s="128">
        <v>1.79</v>
      </c>
      <c r="CD85" s="128">
        <v>1.8</v>
      </c>
      <c r="CE85" s="128">
        <v>1.81</v>
      </c>
      <c r="CF85" s="128">
        <v>1.82</v>
      </c>
      <c r="CG85" s="128">
        <v>1.82</v>
      </c>
      <c r="CH85" s="128">
        <v>1.82</v>
      </c>
      <c r="CI85" s="128">
        <v>1.82</v>
      </c>
      <c r="CJ85" s="128">
        <v>1.82</v>
      </c>
      <c r="CK85" s="128">
        <v>1.82</v>
      </c>
      <c r="CL85" s="128">
        <v>1.82</v>
      </c>
      <c r="CM85" s="128">
        <v>1.82</v>
      </c>
      <c r="CN85" s="128">
        <v>1.82</v>
      </c>
      <c r="CO85" s="128">
        <v>1.82</v>
      </c>
      <c r="CP85" s="128">
        <v>1.82</v>
      </c>
      <c r="CQ85" s="128">
        <v>1.82</v>
      </c>
      <c r="CR85" s="128">
        <v>1.82</v>
      </c>
      <c r="CS85" s="128">
        <v>1.82</v>
      </c>
      <c r="CT85" s="128">
        <v>1.82</v>
      </c>
      <c r="CU85" s="128">
        <v>1.82</v>
      </c>
      <c r="CV85" s="128">
        <v>1.82</v>
      </c>
      <c r="CW85" s="128">
        <v>1.82</v>
      </c>
      <c r="CX85" s="128">
        <v>1.82</v>
      </c>
      <c r="CZ85" s="126">
        <f>SUMIF(MatrixF1[[1]:[2]],MatrixF1[[#This Row],[Столбец1]])/MatrixF1[[#This Row],[Столбец1]]</f>
        <v>36.999999999999993</v>
      </c>
    </row>
    <row r="86" spans="1:104" ht="21" customHeight="1" x14ac:dyDescent="0.25">
      <c r="A86" s="127">
        <v>1.83</v>
      </c>
      <c r="B86" s="128">
        <v>1</v>
      </c>
      <c r="C86" s="128">
        <v>1.01</v>
      </c>
      <c r="D86" s="128">
        <v>1.02</v>
      </c>
      <c r="E86" s="128">
        <v>1.03</v>
      </c>
      <c r="F86" s="128">
        <v>1.05</v>
      </c>
      <c r="G86" s="128">
        <v>1.06</v>
      </c>
      <c r="H86" s="128">
        <v>1.07</v>
      </c>
      <c r="I86" s="128">
        <v>1.08</v>
      </c>
      <c r="J86" s="128">
        <v>1.0900000000000001</v>
      </c>
      <c r="K86" s="128">
        <v>1.1000000000000001</v>
      </c>
      <c r="L86" s="128">
        <v>1.1100000000000001</v>
      </c>
      <c r="M86" s="128">
        <v>1.1200000000000001</v>
      </c>
      <c r="N86" s="128">
        <v>1.1299999999999999</v>
      </c>
      <c r="O86" s="128">
        <v>1.1399999999999999</v>
      </c>
      <c r="P86" s="128">
        <v>1.1399999999999999</v>
      </c>
      <c r="Q86" s="128">
        <v>1.1499999999999999</v>
      </c>
      <c r="R86" s="128">
        <v>1.1599999999999999</v>
      </c>
      <c r="S86" s="128">
        <v>1.17</v>
      </c>
      <c r="T86" s="128">
        <v>1.18</v>
      </c>
      <c r="U86" s="128">
        <v>1.19</v>
      </c>
      <c r="V86" s="128">
        <v>1.2</v>
      </c>
      <c r="W86" s="128">
        <v>1.21</v>
      </c>
      <c r="X86" s="128">
        <v>1.22</v>
      </c>
      <c r="Y86" s="128">
        <v>1.23</v>
      </c>
      <c r="Z86" s="128">
        <v>1.24</v>
      </c>
      <c r="AA86" s="128">
        <v>1.25</v>
      </c>
      <c r="AB86" s="128">
        <v>1.26</v>
      </c>
      <c r="AC86" s="128">
        <v>1.27</v>
      </c>
      <c r="AD86" s="128">
        <v>1.28</v>
      </c>
      <c r="AE86" s="128">
        <v>1.29</v>
      </c>
      <c r="AF86" s="128">
        <v>1.3</v>
      </c>
      <c r="AG86" s="128">
        <v>1.31</v>
      </c>
      <c r="AH86" s="128">
        <v>1.32</v>
      </c>
      <c r="AI86" s="128">
        <v>1.33</v>
      </c>
      <c r="AJ86" s="128">
        <v>1.34</v>
      </c>
      <c r="AK86" s="128">
        <v>1.35</v>
      </c>
      <c r="AL86" s="128">
        <v>1.36</v>
      </c>
      <c r="AM86" s="128">
        <v>1.37</v>
      </c>
      <c r="AN86" s="128">
        <v>1.38</v>
      </c>
      <c r="AO86" s="128">
        <v>1.39</v>
      </c>
      <c r="AP86" s="128">
        <v>1.4</v>
      </c>
      <c r="AQ86" s="128">
        <v>1.41</v>
      </c>
      <c r="AR86" s="128">
        <v>1.42</v>
      </c>
      <c r="AS86" s="128">
        <v>1.43</v>
      </c>
      <c r="AT86" s="128">
        <v>1.44</v>
      </c>
      <c r="AU86" s="128">
        <v>1.45</v>
      </c>
      <c r="AV86" s="128">
        <v>1.46</v>
      </c>
      <c r="AW86" s="128">
        <v>1.47</v>
      </c>
      <c r="AX86" s="128">
        <v>1.48</v>
      </c>
      <c r="AY86" s="128">
        <v>1.49</v>
      </c>
      <c r="AZ86" s="128">
        <v>1.5</v>
      </c>
      <c r="BA86" s="128">
        <v>1.51</v>
      </c>
      <c r="BB86" s="128">
        <v>1.52</v>
      </c>
      <c r="BC86" s="128">
        <v>1.53</v>
      </c>
      <c r="BD86" s="128">
        <v>1.54</v>
      </c>
      <c r="BE86" s="128">
        <v>1.55</v>
      </c>
      <c r="BF86" s="128">
        <v>1.56</v>
      </c>
      <c r="BG86" s="128">
        <v>1.57</v>
      </c>
      <c r="BH86" s="128">
        <v>1.58</v>
      </c>
      <c r="BI86" s="128">
        <v>1.59</v>
      </c>
      <c r="BJ86" s="128">
        <v>1.6</v>
      </c>
      <c r="BK86" s="128">
        <v>1.61</v>
      </c>
      <c r="BL86" s="128">
        <v>1.62</v>
      </c>
      <c r="BM86" s="128">
        <v>1.63</v>
      </c>
      <c r="BN86" s="128">
        <v>1.64</v>
      </c>
      <c r="BO86" s="128">
        <v>1.65</v>
      </c>
      <c r="BP86" s="128">
        <v>1.66</v>
      </c>
      <c r="BQ86" s="128">
        <v>1.67</v>
      </c>
      <c r="BR86" s="128">
        <v>1.68</v>
      </c>
      <c r="BS86" s="128">
        <v>1.69</v>
      </c>
      <c r="BT86" s="128">
        <v>1.7</v>
      </c>
      <c r="BU86" s="128">
        <v>1.71</v>
      </c>
      <c r="BV86" s="128">
        <v>1.72</v>
      </c>
      <c r="BW86" s="128">
        <v>1.73</v>
      </c>
      <c r="BX86" s="128">
        <v>1.74</v>
      </c>
      <c r="BY86" s="128">
        <v>1.75</v>
      </c>
      <c r="BZ86" s="128">
        <v>1.76</v>
      </c>
      <c r="CA86" s="128">
        <v>1.77</v>
      </c>
      <c r="CB86" s="128">
        <v>1.78</v>
      </c>
      <c r="CC86" s="128">
        <v>1.79</v>
      </c>
      <c r="CD86" s="128">
        <v>1.8</v>
      </c>
      <c r="CE86" s="128">
        <v>1.81</v>
      </c>
      <c r="CF86" s="128">
        <v>1.82</v>
      </c>
      <c r="CG86" s="128">
        <v>1.83</v>
      </c>
      <c r="CH86" s="128">
        <v>1.83</v>
      </c>
      <c r="CI86" s="128">
        <v>1.83</v>
      </c>
      <c r="CJ86" s="128">
        <v>1.83</v>
      </c>
      <c r="CK86" s="128">
        <v>1.83</v>
      </c>
      <c r="CL86" s="128">
        <v>1.83</v>
      </c>
      <c r="CM86" s="128">
        <v>1.83</v>
      </c>
      <c r="CN86" s="128">
        <v>1.83</v>
      </c>
      <c r="CO86" s="128">
        <v>1.83</v>
      </c>
      <c r="CP86" s="128">
        <v>1.83</v>
      </c>
      <c r="CQ86" s="128">
        <v>1.83</v>
      </c>
      <c r="CR86" s="128">
        <v>1.83</v>
      </c>
      <c r="CS86" s="128">
        <v>1.83</v>
      </c>
      <c r="CT86" s="128">
        <v>1.83</v>
      </c>
      <c r="CU86" s="128">
        <v>1.83</v>
      </c>
      <c r="CV86" s="128">
        <v>1.83</v>
      </c>
      <c r="CW86" s="128">
        <v>1.83</v>
      </c>
      <c r="CX86" s="128">
        <v>1.83</v>
      </c>
      <c r="CZ86" s="126">
        <f>SUMIF(MatrixF1[[1]:[2]],MatrixF1[[#This Row],[Столбец1]])/MatrixF1[[#This Row],[Столбец1]]</f>
        <v>34.999999999999972</v>
      </c>
    </row>
    <row r="87" spans="1:104" ht="21" customHeight="1" x14ac:dyDescent="0.25">
      <c r="A87" s="127">
        <v>1.84</v>
      </c>
      <c r="B87" s="128">
        <v>1</v>
      </c>
      <c r="C87" s="128">
        <v>1.01</v>
      </c>
      <c r="D87" s="128">
        <v>1.02</v>
      </c>
      <c r="E87" s="128">
        <v>1.03</v>
      </c>
      <c r="F87" s="128">
        <v>1.05</v>
      </c>
      <c r="G87" s="128">
        <v>1.06</v>
      </c>
      <c r="H87" s="128">
        <v>1.07</v>
      </c>
      <c r="I87" s="128">
        <v>1.08</v>
      </c>
      <c r="J87" s="128">
        <v>1.0900000000000001</v>
      </c>
      <c r="K87" s="128">
        <v>1.1000000000000001</v>
      </c>
      <c r="L87" s="128">
        <v>1.1100000000000001</v>
      </c>
      <c r="M87" s="128">
        <v>1.1200000000000001</v>
      </c>
      <c r="N87" s="128">
        <v>1.1200000000000001</v>
      </c>
      <c r="O87" s="128">
        <v>1.1299999999999999</v>
      </c>
      <c r="P87" s="128">
        <v>1.1399999999999999</v>
      </c>
      <c r="Q87" s="128">
        <v>1.1499999999999999</v>
      </c>
      <c r="R87" s="128">
        <v>1.1599999999999999</v>
      </c>
      <c r="S87" s="128">
        <v>1.17</v>
      </c>
      <c r="T87" s="128">
        <v>1.18</v>
      </c>
      <c r="U87" s="128">
        <v>1.19</v>
      </c>
      <c r="V87" s="128">
        <v>1.2</v>
      </c>
      <c r="W87" s="128">
        <v>1.21</v>
      </c>
      <c r="X87" s="128">
        <v>1.22</v>
      </c>
      <c r="Y87" s="128">
        <v>1.23</v>
      </c>
      <c r="Z87" s="128">
        <v>1.24</v>
      </c>
      <c r="AA87" s="128">
        <v>1.25</v>
      </c>
      <c r="AB87" s="128">
        <v>1.26</v>
      </c>
      <c r="AC87" s="128">
        <v>1.27</v>
      </c>
      <c r="AD87" s="128">
        <v>1.28</v>
      </c>
      <c r="AE87" s="128">
        <v>1.29</v>
      </c>
      <c r="AF87" s="128">
        <v>1.3</v>
      </c>
      <c r="AG87" s="128">
        <v>1.31</v>
      </c>
      <c r="AH87" s="128">
        <v>1.32</v>
      </c>
      <c r="AI87" s="128">
        <v>1.33</v>
      </c>
      <c r="AJ87" s="128">
        <v>1.34</v>
      </c>
      <c r="AK87" s="128">
        <v>1.35</v>
      </c>
      <c r="AL87" s="128">
        <v>1.36</v>
      </c>
      <c r="AM87" s="128">
        <v>1.37</v>
      </c>
      <c r="AN87" s="128">
        <v>1.38</v>
      </c>
      <c r="AO87" s="128">
        <v>1.39</v>
      </c>
      <c r="AP87" s="128">
        <v>1.4</v>
      </c>
      <c r="AQ87" s="128">
        <v>1.41</v>
      </c>
      <c r="AR87" s="128">
        <v>1.42</v>
      </c>
      <c r="AS87" s="128">
        <v>1.43</v>
      </c>
      <c r="AT87" s="128">
        <v>1.44</v>
      </c>
      <c r="AU87" s="128">
        <v>1.45</v>
      </c>
      <c r="AV87" s="128">
        <v>1.46</v>
      </c>
      <c r="AW87" s="128">
        <v>1.47</v>
      </c>
      <c r="AX87" s="128">
        <v>1.48</v>
      </c>
      <c r="AY87" s="128">
        <v>1.49</v>
      </c>
      <c r="AZ87" s="128">
        <v>1.5</v>
      </c>
      <c r="BA87" s="128">
        <v>1.51</v>
      </c>
      <c r="BB87" s="128">
        <v>1.52</v>
      </c>
      <c r="BC87" s="128">
        <v>1.53</v>
      </c>
      <c r="BD87" s="128">
        <v>1.54</v>
      </c>
      <c r="BE87" s="128">
        <v>1.55</v>
      </c>
      <c r="BF87" s="128">
        <v>1.56</v>
      </c>
      <c r="BG87" s="128">
        <v>1.57</v>
      </c>
      <c r="BH87" s="128">
        <v>1.58</v>
      </c>
      <c r="BI87" s="128">
        <v>1.59</v>
      </c>
      <c r="BJ87" s="128">
        <v>1.6</v>
      </c>
      <c r="BK87" s="128">
        <v>1.61</v>
      </c>
      <c r="BL87" s="128">
        <v>1.62</v>
      </c>
      <c r="BM87" s="128">
        <v>1.63</v>
      </c>
      <c r="BN87" s="128">
        <v>1.64</v>
      </c>
      <c r="BO87" s="128">
        <v>1.65</v>
      </c>
      <c r="BP87" s="128">
        <v>1.66</v>
      </c>
      <c r="BQ87" s="128">
        <v>1.67</v>
      </c>
      <c r="BR87" s="128">
        <v>1.68</v>
      </c>
      <c r="BS87" s="128">
        <v>1.69</v>
      </c>
      <c r="BT87" s="128">
        <v>1.7</v>
      </c>
      <c r="BU87" s="128">
        <v>1.71</v>
      </c>
      <c r="BV87" s="128">
        <v>1.72</v>
      </c>
      <c r="BW87" s="128">
        <v>1.73</v>
      </c>
      <c r="BX87" s="128">
        <v>1.74</v>
      </c>
      <c r="BY87" s="128">
        <v>1.75</v>
      </c>
      <c r="BZ87" s="128">
        <v>1.76</v>
      </c>
      <c r="CA87" s="128">
        <v>1.77</v>
      </c>
      <c r="CB87" s="128">
        <v>1.78</v>
      </c>
      <c r="CC87" s="128">
        <v>1.79</v>
      </c>
      <c r="CD87" s="128">
        <v>1.8</v>
      </c>
      <c r="CE87" s="128">
        <v>1.81</v>
      </c>
      <c r="CF87" s="128">
        <v>1.82</v>
      </c>
      <c r="CG87" s="128">
        <v>1.83</v>
      </c>
      <c r="CH87" s="128">
        <v>1.84</v>
      </c>
      <c r="CI87" s="128">
        <v>1.84</v>
      </c>
      <c r="CJ87" s="128">
        <v>1.84</v>
      </c>
      <c r="CK87" s="128">
        <v>1.84</v>
      </c>
      <c r="CL87" s="128">
        <v>1.84</v>
      </c>
      <c r="CM87" s="128">
        <v>1.84</v>
      </c>
      <c r="CN87" s="128">
        <v>1.84</v>
      </c>
      <c r="CO87" s="128">
        <v>1.84</v>
      </c>
      <c r="CP87" s="128">
        <v>1.84</v>
      </c>
      <c r="CQ87" s="128">
        <v>1.84</v>
      </c>
      <c r="CR87" s="128">
        <v>1.84</v>
      </c>
      <c r="CS87" s="128">
        <v>1.84</v>
      </c>
      <c r="CT87" s="128">
        <v>1.84</v>
      </c>
      <c r="CU87" s="128">
        <v>1.84</v>
      </c>
      <c r="CV87" s="128">
        <v>1.84</v>
      </c>
      <c r="CW87" s="128">
        <v>1.84</v>
      </c>
      <c r="CX87" s="128">
        <v>1.84</v>
      </c>
      <c r="CZ87" s="126">
        <f>SUMIF(MatrixF1[[1]:[2]],MatrixF1[[#This Row],[Столбец1]])/MatrixF1[[#This Row],[Столбец1]]</f>
        <v>33.000000000000028</v>
      </c>
    </row>
    <row r="88" spans="1:104" ht="21" customHeight="1" x14ac:dyDescent="0.25">
      <c r="A88" s="127">
        <v>1.85</v>
      </c>
      <c r="B88" s="128">
        <v>1</v>
      </c>
      <c r="C88" s="128">
        <v>1.01</v>
      </c>
      <c r="D88" s="128">
        <v>1.02</v>
      </c>
      <c r="E88" s="128">
        <v>1.03</v>
      </c>
      <c r="F88" s="128">
        <v>1.04</v>
      </c>
      <c r="G88" s="128">
        <v>1.06</v>
      </c>
      <c r="H88" s="128">
        <v>1.07</v>
      </c>
      <c r="I88" s="128">
        <v>1.08</v>
      </c>
      <c r="J88" s="128">
        <v>1.0900000000000001</v>
      </c>
      <c r="K88" s="128">
        <v>1.1000000000000001</v>
      </c>
      <c r="L88" s="128">
        <v>1.1100000000000001</v>
      </c>
      <c r="M88" s="128">
        <v>1.1100000000000001</v>
      </c>
      <c r="N88" s="128">
        <v>1.1200000000000001</v>
      </c>
      <c r="O88" s="128">
        <v>1.1299999999999999</v>
      </c>
      <c r="P88" s="128">
        <v>1.1399999999999999</v>
      </c>
      <c r="Q88" s="128">
        <v>1.1499999999999999</v>
      </c>
      <c r="R88" s="128">
        <v>1.1599999999999999</v>
      </c>
      <c r="S88" s="128">
        <v>1.17</v>
      </c>
      <c r="T88" s="128">
        <v>1.18</v>
      </c>
      <c r="U88" s="128">
        <v>1.19</v>
      </c>
      <c r="V88" s="128">
        <v>1.2</v>
      </c>
      <c r="W88" s="128">
        <v>1.21</v>
      </c>
      <c r="X88" s="128">
        <v>1.22</v>
      </c>
      <c r="Y88" s="128">
        <v>1.23</v>
      </c>
      <c r="Z88" s="128">
        <v>1.24</v>
      </c>
      <c r="AA88" s="128">
        <v>1.25</v>
      </c>
      <c r="AB88" s="128">
        <v>1.26</v>
      </c>
      <c r="AC88" s="128">
        <v>1.27</v>
      </c>
      <c r="AD88" s="128">
        <v>1.28</v>
      </c>
      <c r="AE88" s="128">
        <v>1.29</v>
      </c>
      <c r="AF88" s="128">
        <v>1.3</v>
      </c>
      <c r="AG88" s="128">
        <v>1.31</v>
      </c>
      <c r="AH88" s="128">
        <v>1.32</v>
      </c>
      <c r="AI88" s="128">
        <v>1.33</v>
      </c>
      <c r="AJ88" s="128">
        <v>1.34</v>
      </c>
      <c r="AK88" s="128">
        <v>1.35</v>
      </c>
      <c r="AL88" s="128">
        <v>1.36</v>
      </c>
      <c r="AM88" s="128">
        <v>1.37</v>
      </c>
      <c r="AN88" s="128">
        <v>1.38</v>
      </c>
      <c r="AO88" s="128">
        <v>1.39</v>
      </c>
      <c r="AP88" s="128">
        <v>1.4</v>
      </c>
      <c r="AQ88" s="128">
        <v>1.41</v>
      </c>
      <c r="AR88" s="128">
        <v>1.42</v>
      </c>
      <c r="AS88" s="128">
        <v>1.43</v>
      </c>
      <c r="AT88" s="128">
        <v>1.44</v>
      </c>
      <c r="AU88" s="128">
        <v>1.45</v>
      </c>
      <c r="AV88" s="128">
        <v>1.46</v>
      </c>
      <c r="AW88" s="128">
        <v>1.47</v>
      </c>
      <c r="AX88" s="128">
        <v>1.48</v>
      </c>
      <c r="AY88" s="128">
        <v>1.49</v>
      </c>
      <c r="AZ88" s="128">
        <v>1.5</v>
      </c>
      <c r="BA88" s="128">
        <v>1.51</v>
      </c>
      <c r="BB88" s="128">
        <v>1.52</v>
      </c>
      <c r="BC88" s="128">
        <v>1.53</v>
      </c>
      <c r="BD88" s="128">
        <v>1.54</v>
      </c>
      <c r="BE88" s="128">
        <v>1.55</v>
      </c>
      <c r="BF88" s="128">
        <v>1.56</v>
      </c>
      <c r="BG88" s="128">
        <v>1.57</v>
      </c>
      <c r="BH88" s="128">
        <v>1.58</v>
      </c>
      <c r="BI88" s="128">
        <v>1.59</v>
      </c>
      <c r="BJ88" s="128">
        <v>1.6</v>
      </c>
      <c r="BK88" s="128">
        <v>1.61</v>
      </c>
      <c r="BL88" s="128">
        <v>1.62</v>
      </c>
      <c r="BM88" s="128">
        <v>1.63</v>
      </c>
      <c r="BN88" s="128">
        <v>1.64</v>
      </c>
      <c r="BO88" s="128">
        <v>1.65</v>
      </c>
      <c r="BP88" s="128">
        <v>1.66</v>
      </c>
      <c r="BQ88" s="128">
        <v>1.67</v>
      </c>
      <c r="BR88" s="128">
        <v>1.68</v>
      </c>
      <c r="BS88" s="128">
        <v>1.69</v>
      </c>
      <c r="BT88" s="128">
        <v>1.7</v>
      </c>
      <c r="BU88" s="128">
        <v>1.71</v>
      </c>
      <c r="BV88" s="128">
        <v>1.72</v>
      </c>
      <c r="BW88" s="128">
        <v>1.73</v>
      </c>
      <c r="BX88" s="128">
        <v>1.74</v>
      </c>
      <c r="BY88" s="128">
        <v>1.75</v>
      </c>
      <c r="BZ88" s="128">
        <v>1.76</v>
      </c>
      <c r="CA88" s="128">
        <v>1.77</v>
      </c>
      <c r="CB88" s="128">
        <v>1.78</v>
      </c>
      <c r="CC88" s="128">
        <v>1.79</v>
      </c>
      <c r="CD88" s="128">
        <v>1.8</v>
      </c>
      <c r="CE88" s="128">
        <v>1.81</v>
      </c>
      <c r="CF88" s="128">
        <v>1.82</v>
      </c>
      <c r="CG88" s="128">
        <v>1.83</v>
      </c>
      <c r="CH88" s="128">
        <v>1.84</v>
      </c>
      <c r="CI88" s="128">
        <v>1.85</v>
      </c>
      <c r="CJ88" s="128">
        <v>1.85</v>
      </c>
      <c r="CK88" s="128">
        <v>1.85</v>
      </c>
      <c r="CL88" s="128">
        <v>1.85</v>
      </c>
      <c r="CM88" s="128">
        <v>1.85</v>
      </c>
      <c r="CN88" s="128">
        <v>1.85</v>
      </c>
      <c r="CO88" s="128">
        <v>1.85</v>
      </c>
      <c r="CP88" s="128">
        <v>1.85</v>
      </c>
      <c r="CQ88" s="128">
        <v>1.85</v>
      </c>
      <c r="CR88" s="128">
        <v>1.85</v>
      </c>
      <c r="CS88" s="128">
        <v>1.85</v>
      </c>
      <c r="CT88" s="128">
        <v>1.85</v>
      </c>
      <c r="CU88" s="128">
        <v>1.85</v>
      </c>
      <c r="CV88" s="128">
        <v>1.85</v>
      </c>
      <c r="CW88" s="128">
        <v>1.85</v>
      </c>
      <c r="CX88" s="128">
        <v>1.85</v>
      </c>
      <c r="CZ88" s="126">
        <f>SUMIF(MatrixF1[[1]:[2]],MatrixF1[[#This Row],[Столбец1]])/MatrixF1[[#This Row],[Столбец1]]</f>
        <v>31.000000000000014</v>
      </c>
    </row>
    <row r="89" spans="1:104" ht="21" customHeight="1" x14ac:dyDescent="0.25">
      <c r="A89" s="127">
        <v>1.86</v>
      </c>
      <c r="B89" s="128">
        <v>1</v>
      </c>
      <c r="C89" s="128">
        <v>1.01</v>
      </c>
      <c r="D89" s="128">
        <v>1.02</v>
      </c>
      <c r="E89" s="128">
        <v>1.03</v>
      </c>
      <c r="F89" s="128">
        <v>1.04</v>
      </c>
      <c r="G89" s="128">
        <v>1.05</v>
      </c>
      <c r="H89" s="128">
        <v>1.07</v>
      </c>
      <c r="I89" s="128">
        <v>1.08</v>
      </c>
      <c r="J89" s="128">
        <v>1.0900000000000001</v>
      </c>
      <c r="K89" s="128">
        <v>1.0900000000000001</v>
      </c>
      <c r="L89" s="128">
        <v>1.1000000000000001</v>
      </c>
      <c r="M89" s="128">
        <v>1.1100000000000001</v>
      </c>
      <c r="N89" s="128">
        <v>1.1200000000000001</v>
      </c>
      <c r="O89" s="128">
        <v>1.1299999999999999</v>
      </c>
      <c r="P89" s="128">
        <v>1.1399999999999999</v>
      </c>
      <c r="Q89" s="128">
        <v>1.1499999999999999</v>
      </c>
      <c r="R89" s="128">
        <v>1.1599999999999999</v>
      </c>
      <c r="S89" s="128">
        <v>1.17</v>
      </c>
      <c r="T89" s="128">
        <v>1.18</v>
      </c>
      <c r="U89" s="128">
        <v>1.19</v>
      </c>
      <c r="V89" s="128">
        <v>1.2</v>
      </c>
      <c r="W89" s="128">
        <v>1.21</v>
      </c>
      <c r="X89" s="128">
        <v>1.22</v>
      </c>
      <c r="Y89" s="128">
        <v>1.23</v>
      </c>
      <c r="Z89" s="128">
        <v>1.24</v>
      </c>
      <c r="AA89" s="128">
        <v>1.25</v>
      </c>
      <c r="AB89" s="128">
        <v>1.26</v>
      </c>
      <c r="AC89" s="128">
        <v>1.27</v>
      </c>
      <c r="AD89" s="128">
        <v>1.28</v>
      </c>
      <c r="AE89" s="128">
        <v>1.29</v>
      </c>
      <c r="AF89" s="128">
        <v>1.3</v>
      </c>
      <c r="AG89" s="128">
        <v>1.31</v>
      </c>
      <c r="AH89" s="128">
        <v>1.32</v>
      </c>
      <c r="AI89" s="128">
        <v>1.33</v>
      </c>
      <c r="AJ89" s="128">
        <v>1.34</v>
      </c>
      <c r="AK89" s="128">
        <v>1.35</v>
      </c>
      <c r="AL89" s="128">
        <v>1.36</v>
      </c>
      <c r="AM89" s="128">
        <v>1.37</v>
      </c>
      <c r="AN89" s="128">
        <v>1.38</v>
      </c>
      <c r="AO89" s="128">
        <v>1.39</v>
      </c>
      <c r="AP89" s="128">
        <v>1.4</v>
      </c>
      <c r="AQ89" s="128">
        <v>1.41</v>
      </c>
      <c r="AR89" s="128">
        <v>1.42</v>
      </c>
      <c r="AS89" s="128">
        <v>1.43</v>
      </c>
      <c r="AT89" s="128">
        <v>1.44</v>
      </c>
      <c r="AU89" s="128">
        <v>1.45</v>
      </c>
      <c r="AV89" s="128">
        <v>1.46</v>
      </c>
      <c r="AW89" s="128">
        <v>1.47</v>
      </c>
      <c r="AX89" s="128">
        <v>1.48</v>
      </c>
      <c r="AY89" s="128">
        <v>1.49</v>
      </c>
      <c r="AZ89" s="128">
        <v>1.5</v>
      </c>
      <c r="BA89" s="128">
        <v>1.51</v>
      </c>
      <c r="BB89" s="128">
        <v>1.52</v>
      </c>
      <c r="BC89" s="128">
        <v>1.53</v>
      </c>
      <c r="BD89" s="128">
        <v>1.54</v>
      </c>
      <c r="BE89" s="128">
        <v>1.55</v>
      </c>
      <c r="BF89" s="128">
        <v>1.56</v>
      </c>
      <c r="BG89" s="128">
        <v>1.57</v>
      </c>
      <c r="BH89" s="128">
        <v>1.58</v>
      </c>
      <c r="BI89" s="128">
        <v>1.59</v>
      </c>
      <c r="BJ89" s="128">
        <v>1.6</v>
      </c>
      <c r="BK89" s="128">
        <v>1.61</v>
      </c>
      <c r="BL89" s="128">
        <v>1.62</v>
      </c>
      <c r="BM89" s="128">
        <v>1.63</v>
      </c>
      <c r="BN89" s="128">
        <v>1.64</v>
      </c>
      <c r="BO89" s="128">
        <v>1.65</v>
      </c>
      <c r="BP89" s="128">
        <v>1.66</v>
      </c>
      <c r="BQ89" s="128">
        <v>1.67</v>
      </c>
      <c r="BR89" s="128">
        <v>1.68</v>
      </c>
      <c r="BS89" s="128">
        <v>1.69</v>
      </c>
      <c r="BT89" s="128">
        <v>1.7</v>
      </c>
      <c r="BU89" s="128">
        <v>1.71</v>
      </c>
      <c r="BV89" s="128">
        <v>1.72</v>
      </c>
      <c r="BW89" s="128">
        <v>1.73</v>
      </c>
      <c r="BX89" s="128">
        <v>1.74</v>
      </c>
      <c r="BY89" s="128">
        <v>1.75</v>
      </c>
      <c r="BZ89" s="128">
        <v>1.76</v>
      </c>
      <c r="CA89" s="128">
        <v>1.77</v>
      </c>
      <c r="CB89" s="128">
        <v>1.78</v>
      </c>
      <c r="CC89" s="128">
        <v>1.79</v>
      </c>
      <c r="CD89" s="128">
        <v>1.8</v>
      </c>
      <c r="CE89" s="128">
        <v>1.81</v>
      </c>
      <c r="CF89" s="128">
        <v>1.82</v>
      </c>
      <c r="CG89" s="128">
        <v>1.83</v>
      </c>
      <c r="CH89" s="128">
        <v>1.84</v>
      </c>
      <c r="CI89" s="128">
        <v>1.85</v>
      </c>
      <c r="CJ89" s="128">
        <v>1.86</v>
      </c>
      <c r="CK89" s="128">
        <v>1.86</v>
      </c>
      <c r="CL89" s="128">
        <v>1.86</v>
      </c>
      <c r="CM89" s="128">
        <v>1.86</v>
      </c>
      <c r="CN89" s="128">
        <v>1.86</v>
      </c>
      <c r="CO89" s="128">
        <v>1.86</v>
      </c>
      <c r="CP89" s="128">
        <v>1.86</v>
      </c>
      <c r="CQ89" s="128">
        <v>1.86</v>
      </c>
      <c r="CR89" s="128">
        <v>1.86</v>
      </c>
      <c r="CS89" s="128">
        <v>1.86</v>
      </c>
      <c r="CT89" s="128">
        <v>1.86</v>
      </c>
      <c r="CU89" s="128">
        <v>1.86</v>
      </c>
      <c r="CV89" s="128">
        <v>1.86</v>
      </c>
      <c r="CW89" s="128">
        <v>1.86</v>
      </c>
      <c r="CX89" s="128">
        <v>1.86</v>
      </c>
      <c r="CZ89" s="126">
        <f>SUMIF(MatrixF1[[1]:[2]],MatrixF1[[#This Row],[Столбец1]])/MatrixF1[[#This Row],[Столбец1]]</f>
        <v>28.999999999999993</v>
      </c>
    </row>
    <row r="90" spans="1:104" ht="21" customHeight="1" x14ac:dyDescent="0.25">
      <c r="A90" s="127">
        <v>1.87</v>
      </c>
      <c r="B90" s="128">
        <v>1</v>
      </c>
      <c r="C90" s="128">
        <v>1.01</v>
      </c>
      <c r="D90" s="128">
        <v>1.02</v>
      </c>
      <c r="E90" s="128">
        <v>1.03</v>
      </c>
      <c r="F90" s="128">
        <v>1.04</v>
      </c>
      <c r="G90" s="128">
        <v>1.05</v>
      </c>
      <c r="H90" s="128">
        <v>1.06</v>
      </c>
      <c r="I90" s="128">
        <v>1.07</v>
      </c>
      <c r="J90" s="128">
        <v>1.08</v>
      </c>
      <c r="K90" s="128">
        <v>1.0900000000000001</v>
      </c>
      <c r="L90" s="128">
        <v>1.1000000000000001</v>
      </c>
      <c r="M90" s="128">
        <v>1.1100000000000001</v>
      </c>
      <c r="N90" s="128">
        <v>1.1200000000000001</v>
      </c>
      <c r="O90" s="128">
        <v>1.1299999999999999</v>
      </c>
      <c r="P90" s="128">
        <v>1.1399999999999999</v>
      </c>
      <c r="Q90" s="128">
        <v>1.1499999999999999</v>
      </c>
      <c r="R90" s="128">
        <v>1.1599999999999999</v>
      </c>
      <c r="S90" s="128">
        <v>1.17</v>
      </c>
      <c r="T90" s="128">
        <v>1.18</v>
      </c>
      <c r="U90" s="128">
        <v>1.19</v>
      </c>
      <c r="V90" s="128">
        <v>1.2</v>
      </c>
      <c r="W90" s="128">
        <v>1.21</v>
      </c>
      <c r="X90" s="128">
        <v>1.22</v>
      </c>
      <c r="Y90" s="128">
        <v>1.23</v>
      </c>
      <c r="Z90" s="128">
        <v>1.24</v>
      </c>
      <c r="AA90" s="128">
        <v>1.25</v>
      </c>
      <c r="AB90" s="128">
        <v>1.26</v>
      </c>
      <c r="AC90" s="128">
        <v>1.27</v>
      </c>
      <c r="AD90" s="128">
        <v>1.28</v>
      </c>
      <c r="AE90" s="128">
        <v>1.29</v>
      </c>
      <c r="AF90" s="128">
        <v>1.3</v>
      </c>
      <c r="AG90" s="128">
        <v>1.31</v>
      </c>
      <c r="AH90" s="128">
        <v>1.32</v>
      </c>
      <c r="AI90" s="128">
        <v>1.33</v>
      </c>
      <c r="AJ90" s="128">
        <v>1.34</v>
      </c>
      <c r="AK90" s="128">
        <v>1.35</v>
      </c>
      <c r="AL90" s="128">
        <v>1.36</v>
      </c>
      <c r="AM90" s="128">
        <v>1.37</v>
      </c>
      <c r="AN90" s="128">
        <v>1.38</v>
      </c>
      <c r="AO90" s="128">
        <v>1.39</v>
      </c>
      <c r="AP90" s="128">
        <v>1.4</v>
      </c>
      <c r="AQ90" s="128">
        <v>1.41</v>
      </c>
      <c r="AR90" s="128">
        <v>1.42</v>
      </c>
      <c r="AS90" s="128">
        <v>1.43</v>
      </c>
      <c r="AT90" s="128">
        <v>1.44</v>
      </c>
      <c r="AU90" s="128">
        <v>1.45</v>
      </c>
      <c r="AV90" s="128">
        <v>1.46</v>
      </c>
      <c r="AW90" s="128">
        <v>1.47</v>
      </c>
      <c r="AX90" s="128">
        <v>1.48</v>
      </c>
      <c r="AY90" s="128">
        <v>1.49</v>
      </c>
      <c r="AZ90" s="128">
        <v>1.5</v>
      </c>
      <c r="BA90" s="128">
        <v>1.51</v>
      </c>
      <c r="BB90" s="128">
        <v>1.52</v>
      </c>
      <c r="BC90" s="128">
        <v>1.53</v>
      </c>
      <c r="BD90" s="128">
        <v>1.54</v>
      </c>
      <c r="BE90" s="128">
        <v>1.55</v>
      </c>
      <c r="BF90" s="128">
        <v>1.56</v>
      </c>
      <c r="BG90" s="128">
        <v>1.57</v>
      </c>
      <c r="BH90" s="128">
        <v>1.58</v>
      </c>
      <c r="BI90" s="128">
        <v>1.59</v>
      </c>
      <c r="BJ90" s="128">
        <v>1.6</v>
      </c>
      <c r="BK90" s="128">
        <v>1.61</v>
      </c>
      <c r="BL90" s="128">
        <v>1.62</v>
      </c>
      <c r="BM90" s="128">
        <v>1.63</v>
      </c>
      <c r="BN90" s="128">
        <v>1.64</v>
      </c>
      <c r="BO90" s="128">
        <v>1.65</v>
      </c>
      <c r="BP90" s="128">
        <v>1.66</v>
      </c>
      <c r="BQ90" s="128">
        <v>1.67</v>
      </c>
      <c r="BR90" s="128">
        <v>1.68</v>
      </c>
      <c r="BS90" s="128">
        <v>1.69</v>
      </c>
      <c r="BT90" s="128">
        <v>1.7</v>
      </c>
      <c r="BU90" s="128">
        <v>1.71</v>
      </c>
      <c r="BV90" s="128">
        <v>1.72</v>
      </c>
      <c r="BW90" s="128">
        <v>1.73</v>
      </c>
      <c r="BX90" s="128">
        <v>1.74</v>
      </c>
      <c r="BY90" s="128">
        <v>1.75</v>
      </c>
      <c r="BZ90" s="128">
        <v>1.76</v>
      </c>
      <c r="CA90" s="128">
        <v>1.77</v>
      </c>
      <c r="CB90" s="128">
        <v>1.78</v>
      </c>
      <c r="CC90" s="128">
        <v>1.79</v>
      </c>
      <c r="CD90" s="128">
        <v>1.8</v>
      </c>
      <c r="CE90" s="128">
        <v>1.81</v>
      </c>
      <c r="CF90" s="128">
        <v>1.82</v>
      </c>
      <c r="CG90" s="128">
        <v>1.83</v>
      </c>
      <c r="CH90" s="128">
        <v>1.84</v>
      </c>
      <c r="CI90" s="128">
        <v>1.85</v>
      </c>
      <c r="CJ90" s="128">
        <v>1.86</v>
      </c>
      <c r="CK90" s="128">
        <v>1.87</v>
      </c>
      <c r="CL90" s="128">
        <v>1.87</v>
      </c>
      <c r="CM90" s="128">
        <v>1.87</v>
      </c>
      <c r="CN90" s="128">
        <v>1.87</v>
      </c>
      <c r="CO90" s="128">
        <v>1.87</v>
      </c>
      <c r="CP90" s="128">
        <v>1.87</v>
      </c>
      <c r="CQ90" s="128">
        <v>1.87</v>
      </c>
      <c r="CR90" s="128">
        <v>1.87</v>
      </c>
      <c r="CS90" s="128">
        <v>1.87</v>
      </c>
      <c r="CT90" s="128">
        <v>1.87</v>
      </c>
      <c r="CU90" s="128">
        <v>1.87</v>
      </c>
      <c r="CV90" s="128">
        <v>1.87</v>
      </c>
      <c r="CW90" s="128">
        <v>1.87</v>
      </c>
      <c r="CX90" s="128">
        <v>1.87</v>
      </c>
      <c r="CZ90" s="126">
        <f>SUMIF(MatrixF1[[1]:[2]],MatrixF1[[#This Row],[Столбец1]])/MatrixF1[[#This Row],[Столбец1]]</f>
        <v>26.999999999999993</v>
      </c>
    </row>
    <row r="91" spans="1:104" ht="21" customHeight="1" x14ac:dyDescent="0.25">
      <c r="A91" s="127">
        <v>1.88</v>
      </c>
      <c r="B91" s="128">
        <v>1</v>
      </c>
      <c r="C91" s="128">
        <v>1.01</v>
      </c>
      <c r="D91" s="128">
        <v>1.02</v>
      </c>
      <c r="E91" s="128">
        <v>1.03</v>
      </c>
      <c r="F91" s="128">
        <v>1.04</v>
      </c>
      <c r="G91" s="128">
        <v>1.05</v>
      </c>
      <c r="H91" s="128">
        <v>1.06</v>
      </c>
      <c r="I91" s="128">
        <v>1.07</v>
      </c>
      <c r="J91" s="128">
        <v>1.08</v>
      </c>
      <c r="K91" s="128">
        <v>1.0900000000000001</v>
      </c>
      <c r="L91" s="128">
        <v>1.1000000000000001</v>
      </c>
      <c r="M91" s="128">
        <v>1.1100000000000001</v>
      </c>
      <c r="N91" s="128">
        <v>1.1200000000000001</v>
      </c>
      <c r="O91" s="128">
        <v>1.1299999999999999</v>
      </c>
      <c r="P91" s="128">
        <v>1.1399999999999999</v>
      </c>
      <c r="Q91" s="128">
        <v>1.1499999999999999</v>
      </c>
      <c r="R91" s="128">
        <v>1.1599999999999999</v>
      </c>
      <c r="S91" s="128">
        <v>1.17</v>
      </c>
      <c r="T91" s="128">
        <v>1.18</v>
      </c>
      <c r="U91" s="128">
        <v>1.19</v>
      </c>
      <c r="V91" s="128">
        <v>1.2</v>
      </c>
      <c r="W91" s="128">
        <v>1.21</v>
      </c>
      <c r="X91" s="128">
        <v>1.22</v>
      </c>
      <c r="Y91" s="128">
        <v>1.23</v>
      </c>
      <c r="Z91" s="128">
        <v>1.24</v>
      </c>
      <c r="AA91" s="128">
        <v>1.25</v>
      </c>
      <c r="AB91" s="128">
        <v>1.26</v>
      </c>
      <c r="AC91" s="128">
        <v>1.27</v>
      </c>
      <c r="AD91" s="128">
        <v>1.28</v>
      </c>
      <c r="AE91" s="128">
        <v>1.29</v>
      </c>
      <c r="AF91" s="128">
        <v>1.3</v>
      </c>
      <c r="AG91" s="128">
        <v>1.31</v>
      </c>
      <c r="AH91" s="128">
        <v>1.32</v>
      </c>
      <c r="AI91" s="128">
        <v>1.33</v>
      </c>
      <c r="AJ91" s="128">
        <v>1.34</v>
      </c>
      <c r="AK91" s="128">
        <v>1.35</v>
      </c>
      <c r="AL91" s="128">
        <v>1.36</v>
      </c>
      <c r="AM91" s="128">
        <v>1.37</v>
      </c>
      <c r="AN91" s="128">
        <v>1.38</v>
      </c>
      <c r="AO91" s="128">
        <v>1.39</v>
      </c>
      <c r="AP91" s="128">
        <v>1.4</v>
      </c>
      <c r="AQ91" s="128">
        <v>1.41</v>
      </c>
      <c r="AR91" s="128">
        <v>1.42</v>
      </c>
      <c r="AS91" s="128">
        <v>1.43</v>
      </c>
      <c r="AT91" s="128">
        <v>1.44</v>
      </c>
      <c r="AU91" s="128">
        <v>1.45</v>
      </c>
      <c r="AV91" s="128">
        <v>1.46</v>
      </c>
      <c r="AW91" s="128">
        <v>1.47</v>
      </c>
      <c r="AX91" s="128">
        <v>1.48</v>
      </c>
      <c r="AY91" s="128">
        <v>1.49</v>
      </c>
      <c r="AZ91" s="128">
        <v>1.5</v>
      </c>
      <c r="BA91" s="128">
        <v>1.51</v>
      </c>
      <c r="BB91" s="128">
        <v>1.52</v>
      </c>
      <c r="BC91" s="128">
        <v>1.53</v>
      </c>
      <c r="BD91" s="128">
        <v>1.54</v>
      </c>
      <c r="BE91" s="128">
        <v>1.55</v>
      </c>
      <c r="BF91" s="128">
        <v>1.56</v>
      </c>
      <c r="BG91" s="128">
        <v>1.57</v>
      </c>
      <c r="BH91" s="128">
        <v>1.58</v>
      </c>
      <c r="BI91" s="128">
        <v>1.59</v>
      </c>
      <c r="BJ91" s="128">
        <v>1.6</v>
      </c>
      <c r="BK91" s="128">
        <v>1.61</v>
      </c>
      <c r="BL91" s="128">
        <v>1.62</v>
      </c>
      <c r="BM91" s="128">
        <v>1.63</v>
      </c>
      <c r="BN91" s="128">
        <v>1.64</v>
      </c>
      <c r="BO91" s="128">
        <v>1.65</v>
      </c>
      <c r="BP91" s="128">
        <v>1.66</v>
      </c>
      <c r="BQ91" s="128">
        <v>1.67</v>
      </c>
      <c r="BR91" s="128">
        <v>1.68</v>
      </c>
      <c r="BS91" s="128">
        <v>1.69</v>
      </c>
      <c r="BT91" s="128">
        <v>1.7</v>
      </c>
      <c r="BU91" s="128">
        <v>1.71</v>
      </c>
      <c r="BV91" s="128">
        <v>1.72</v>
      </c>
      <c r="BW91" s="128">
        <v>1.73</v>
      </c>
      <c r="BX91" s="128">
        <v>1.74</v>
      </c>
      <c r="BY91" s="128">
        <v>1.75</v>
      </c>
      <c r="BZ91" s="128">
        <v>1.76</v>
      </c>
      <c r="CA91" s="128">
        <v>1.77</v>
      </c>
      <c r="CB91" s="128">
        <v>1.78</v>
      </c>
      <c r="CC91" s="128">
        <v>1.79</v>
      </c>
      <c r="CD91" s="128">
        <v>1.8</v>
      </c>
      <c r="CE91" s="128">
        <v>1.81</v>
      </c>
      <c r="CF91" s="128">
        <v>1.82</v>
      </c>
      <c r="CG91" s="128">
        <v>1.83</v>
      </c>
      <c r="CH91" s="128">
        <v>1.84</v>
      </c>
      <c r="CI91" s="128">
        <v>1.85</v>
      </c>
      <c r="CJ91" s="128">
        <v>1.86</v>
      </c>
      <c r="CK91" s="128">
        <v>1.87</v>
      </c>
      <c r="CL91" s="128">
        <v>1.88</v>
      </c>
      <c r="CM91" s="128">
        <v>1.88</v>
      </c>
      <c r="CN91" s="128">
        <v>1.88</v>
      </c>
      <c r="CO91" s="128">
        <v>1.88</v>
      </c>
      <c r="CP91" s="128">
        <v>1.88</v>
      </c>
      <c r="CQ91" s="128">
        <v>1.88</v>
      </c>
      <c r="CR91" s="128">
        <v>1.88</v>
      </c>
      <c r="CS91" s="128">
        <v>1.88</v>
      </c>
      <c r="CT91" s="128">
        <v>1.88</v>
      </c>
      <c r="CU91" s="128">
        <v>1.88</v>
      </c>
      <c r="CV91" s="128">
        <v>1.88</v>
      </c>
      <c r="CW91" s="128">
        <v>1.88</v>
      </c>
      <c r="CX91" s="128">
        <v>1.88</v>
      </c>
      <c r="CZ91" s="126">
        <f>SUMIF(MatrixF1[[1]:[2]],MatrixF1[[#This Row],[Столбец1]])/MatrixF1[[#This Row],[Столбец1]]</f>
        <v>25.000000000000004</v>
      </c>
    </row>
    <row r="92" spans="1:104" ht="21" customHeight="1" x14ac:dyDescent="0.25">
      <c r="A92" s="127">
        <v>1.89</v>
      </c>
      <c r="B92" s="128">
        <v>1</v>
      </c>
      <c r="C92" s="128">
        <v>1.01</v>
      </c>
      <c r="D92" s="128">
        <v>1.02</v>
      </c>
      <c r="E92" s="128">
        <v>1.03</v>
      </c>
      <c r="F92" s="128">
        <v>1.04</v>
      </c>
      <c r="G92" s="128">
        <v>1.05</v>
      </c>
      <c r="H92" s="128">
        <v>1.06</v>
      </c>
      <c r="I92" s="128">
        <v>1.07</v>
      </c>
      <c r="J92" s="128">
        <v>1.08</v>
      </c>
      <c r="K92" s="128">
        <v>1.0900000000000001</v>
      </c>
      <c r="L92" s="128">
        <v>1.1000000000000001</v>
      </c>
      <c r="M92" s="128">
        <v>1.1100000000000001</v>
      </c>
      <c r="N92" s="128">
        <v>1.1200000000000001</v>
      </c>
      <c r="O92" s="128">
        <v>1.1299999999999999</v>
      </c>
      <c r="P92" s="128">
        <v>1.1399999999999999</v>
      </c>
      <c r="Q92" s="128">
        <v>1.1499999999999999</v>
      </c>
      <c r="R92" s="128">
        <v>1.1599999999999999</v>
      </c>
      <c r="S92" s="128">
        <v>1.17</v>
      </c>
      <c r="T92" s="128">
        <v>1.18</v>
      </c>
      <c r="U92" s="128">
        <v>1.19</v>
      </c>
      <c r="V92" s="128">
        <v>1.2</v>
      </c>
      <c r="W92" s="128">
        <v>1.21</v>
      </c>
      <c r="X92" s="128">
        <v>1.22</v>
      </c>
      <c r="Y92" s="128">
        <v>1.23</v>
      </c>
      <c r="Z92" s="128">
        <v>1.24</v>
      </c>
      <c r="AA92" s="128">
        <v>1.25</v>
      </c>
      <c r="AB92" s="128">
        <v>1.26</v>
      </c>
      <c r="AC92" s="128">
        <v>1.27</v>
      </c>
      <c r="AD92" s="128">
        <v>1.28</v>
      </c>
      <c r="AE92" s="128">
        <v>1.29</v>
      </c>
      <c r="AF92" s="128">
        <v>1.3</v>
      </c>
      <c r="AG92" s="128">
        <v>1.31</v>
      </c>
      <c r="AH92" s="128">
        <v>1.32</v>
      </c>
      <c r="AI92" s="128">
        <v>1.33</v>
      </c>
      <c r="AJ92" s="128">
        <v>1.34</v>
      </c>
      <c r="AK92" s="128">
        <v>1.35</v>
      </c>
      <c r="AL92" s="128">
        <v>1.36</v>
      </c>
      <c r="AM92" s="128">
        <v>1.37</v>
      </c>
      <c r="AN92" s="128">
        <v>1.38</v>
      </c>
      <c r="AO92" s="128">
        <v>1.39</v>
      </c>
      <c r="AP92" s="128">
        <v>1.4</v>
      </c>
      <c r="AQ92" s="128">
        <v>1.41</v>
      </c>
      <c r="AR92" s="128">
        <v>1.42</v>
      </c>
      <c r="AS92" s="128">
        <v>1.43</v>
      </c>
      <c r="AT92" s="128">
        <v>1.44</v>
      </c>
      <c r="AU92" s="128">
        <v>1.45</v>
      </c>
      <c r="AV92" s="128">
        <v>1.46</v>
      </c>
      <c r="AW92" s="128">
        <v>1.47</v>
      </c>
      <c r="AX92" s="128">
        <v>1.48</v>
      </c>
      <c r="AY92" s="128">
        <v>1.49</v>
      </c>
      <c r="AZ92" s="128">
        <v>1.5</v>
      </c>
      <c r="BA92" s="128">
        <v>1.51</v>
      </c>
      <c r="BB92" s="128">
        <v>1.52</v>
      </c>
      <c r="BC92" s="128">
        <v>1.53</v>
      </c>
      <c r="BD92" s="128">
        <v>1.54</v>
      </c>
      <c r="BE92" s="128">
        <v>1.55</v>
      </c>
      <c r="BF92" s="128">
        <v>1.56</v>
      </c>
      <c r="BG92" s="128">
        <v>1.57</v>
      </c>
      <c r="BH92" s="128">
        <v>1.58</v>
      </c>
      <c r="BI92" s="128">
        <v>1.59</v>
      </c>
      <c r="BJ92" s="128">
        <v>1.6</v>
      </c>
      <c r="BK92" s="128">
        <v>1.61</v>
      </c>
      <c r="BL92" s="128">
        <v>1.62</v>
      </c>
      <c r="BM92" s="128">
        <v>1.63</v>
      </c>
      <c r="BN92" s="128">
        <v>1.64</v>
      </c>
      <c r="BO92" s="128">
        <v>1.65</v>
      </c>
      <c r="BP92" s="128">
        <v>1.66</v>
      </c>
      <c r="BQ92" s="128">
        <v>1.67</v>
      </c>
      <c r="BR92" s="128">
        <v>1.68</v>
      </c>
      <c r="BS92" s="128">
        <v>1.69</v>
      </c>
      <c r="BT92" s="128">
        <v>1.7</v>
      </c>
      <c r="BU92" s="128">
        <v>1.71</v>
      </c>
      <c r="BV92" s="128">
        <v>1.72</v>
      </c>
      <c r="BW92" s="128">
        <v>1.73</v>
      </c>
      <c r="BX92" s="128">
        <v>1.74</v>
      </c>
      <c r="BY92" s="128">
        <v>1.75</v>
      </c>
      <c r="BZ92" s="128">
        <v>1.76</v>
      </c>
      <c r="CA92" s="128">
        <v>1.77</v>
      </c>
      <c r="CB92" s="128">
        <v>1.78</v>
      </c>
      <c r="CC92" s="128">
        <v>1.79</v>
      </c>
      <c r="CD92" s="128">
        <v>1.8</v>
      </c>
      <c r="CE92" s="128">
        <v>1.81</v>
      </c>
      <c r="CF92" s="128">
        <v>1.82</v>
      </c>
      <c r="CG92" s="128">
        <v>1.83</v>
      </c>
      <c r="CH92" s="128">
        <v>1.84</v>
      </c>
      <c r="CI92" s="128">
        <v>1.85</v>
      </c>
      <c r="CJ92" s="128">
        <v>1.86</v>
      </c>
      <c r="CK92" s="128">
        <v>1.87</v>
      </c>
      <c r="CL92" s="128">
        <v>1.88</v>
      </c>
      <c r="CM92" s="128">
        <v>1.89</v>
      </c>
      <c r="CN92" s="128">
        <v>1.89</v>
      </c>
      <c r="CO92" s="128">
        <v>1.89</v>
      </c>
      <c r="CP92" s="128">
        <v>1.89</v>
      </c>
      <c r="CQ92" s="128">
        <v>1.89</v>
      </c>
      <c r="CR92" s="128">
        <v>1.89</v>
      </c>
      <c r="CS92" s="128">
        <v>1.89</v>
      </c>
      <c r="CT92" s="128">
        <v>1.89</v>
      </c>
      <c r="CU92" s="128">
        <v>1.89</v>
      </c>
      <c r="CV92" s="128">
        <v>1.89</v>
      </c>
      <c r="CW92" s="128">
        <v>1.89</v>
      </c>
      <c r="CX92" s="128">
        <v>1.89</v>
      </c>
      <c r="CZ92" s="126">
        <f>SUMIF(MatrixF1[[1]:[2]],MatrixF1[[#This Row],[Столбец1]])/MatrixF1[[#This Row],[Столбец1]]</f>
        <v>23.000000000000004</v>
      </c>
    </row>
    <row r="93" spans="1:104" ht="21" customHeight="1" x14ac:dyDescent="0.25">
      <c r="A93" s="127">
        <v>1.9</v>
      </c>
      <c r="B93" s="128">
        <v>1</v>
      </c>
      <c r="C93" s="128">
        <v>1.01</v>
      </c>
      <c r="D93" s="128">
        <v>1.02</v>
      </c>
      <c r="E93" s="128">
        <v>1.03</v>
      </c>
      <c r="F93" s="128">
        <v>1.04</v>
      </c>
      <c r="G93" s="128">
        <v>1.05</v>
      </c>
      <c r="H93" s="128">
        <v>1.06</v>
      </c>
      <c r="I93" s="128">
        <v>1.07</v>
      </c>
      <c r="J93" s="128">
        <v>1.08</v>
      </c>
      <c r="K93" s="128">
        <v>1.0900000000000001</v>
      </c>
      <c r="L93" s="128">
        <v>1.1000000000000001</v>
      </c>
      <c r="M93" s="128">
        <v>1.1100000000000001</v>
      </c>
      <c r="N93" s="128">
        <v>1.1200000000000001</v>
      </c>
      <c r="O93" s="128">
        <v>1.1299999999999999</v>
      </c>
      <c r="P93" s="128">
        <v>1.1399999999999999</v>
      </c>
      <c r="Q93" s="128">
        <v>1.1499999999999999</v>
      </c>
      <c r="R93" s="128">
        <v>1.1599999999999999</v>
      </c>
      <c r="S93" s="128">
        <v>1.17</v>
      </c>
      <c r="T93" s="128">
        <v>1.18</v>
      </c>
      <c r="U93" s="128">
        <v>1.19</v>
      </c>
      <c r="V93" s="128">
        <v>1.2</v>
      </c>
      <c r="W93" s="128">
        <v>1.21</v>
      </c>
      <c r="X93" s="128">
        <v>1.22</v>
      </c>
      <c r="Y93" s="128">
        <v>1.23</v>
      </c>
      <c r="Z93" s="128">
        <v>1.24</v>
      </c>
      <c r="AA93" s="128">
        <v>1.25</v>
      </c>
      <c r="AB93" s="128">
        <v>1.26</v>
      </c>
      <c r="AC93" s="128">
        <v>1.27</v>
      </c>
      <c r="AD93" s="128">
        <v>1.28</v>
      </c>
      <c r="AE93" s="128">
        <v>1.29</v>
      </c>
      <c r="AF93" s="128">
        <v>1.3</v>
      </c>
      <c r="AG93" s="128">
        <v>1.31</v>
      </c>
      <c r="AH93" s="128">
        <v>1.32</v>
      </c>
      <c r="AI93" s="128">
        <v>1.33</v>
      </c>
      <c r="AJ93" s="128">
        <v>1.34</v>
      </c>
      <c r="AK93" s="128">
        <v>1.35</v>
      </c>
      <c r="AL93" s="128">
        <v>1.36</v>
      </c>
      <c r="AM93" s="128">
        <v>1.37</v>
      </c>
      <c r="AN93" s="128">
        <v>1.38</v>
      </c>
      <c r="AO93" s="128">
        <v>1.39</v>
      </c>
      <c r="AP93" s="128">
        <v>1.4</v>
      </c>
      <c r="AQ93" s="128">
        <v>1.41</v>
      </c>
      <c r="AR93" s="128">
        <v>1.42</v>
      </c>
      <c r="AS93" s="128">
        <v>1.43</v>
      </c>
      <c r="AT93" s="128">
        <v>1.44</v>
      </c>
      <c r="AU93" s="128">
        <v>1.45</v>
      </c>
      <c r="AV93" s="128">
        <v>1.46</v>
      </c>
      <c r="AW93" s="128">
        <v>1.47</v>
      </c>
      <c r="AX93" s="128">
        <v>1.48</v>
      </c>
      <c r="AY93" s="128">
        <v>1.49</v>
      </c>
      <c r="AZ93" s="128">
        <v>1.5</v>
      </c>
      <c r="BA93" s="128">
        <v>1.51</v>
      </c>
      <c r="BB93" s="128">
        <v>1.52</v>
      </c>
      <c r="BC93" s="128">
        <v>1.53</v>
      </c>
      <c r="BD93" s="128">
        <v>1.54</v>
      </c>
      <c r="BE93" s="128">
        <v>1.55</v>
      </c>
      <c r="BF93" s="128">
        <v>1.56</v>
      </c>
      <c r="BG93" s="128">
        <v>1.57</v>
      </c>
      <c r="BH93" s="128">
        <v>1.58</v>
      </c>
      <c r="BI93" s="128">
        <v>1.59</v>
      </c>
      <c r="BJ93" s="128">
        <v>1.6</v>
      </c>
      <c r="BK93" s="128">
        <v>1.61</v>
      </c>
      <c r="BL93" s="128">
        <v>1.62</v>
      </c>
      <c r="BM93" s="128">
        <v>1.63</v>
      </c>
      <c r="BN93" s="128">
        <v>1.64</v>
      </c>
      <c r="BO93" s="128">
        <v>1.65</v>
      </c>
      <c r="BP93" s="128">
        <v>1.66</v>
      </c>
      <c r="BQ93" s="128">
        <v>1.67</v>
      </c>
      <c r="BR93" s="128">
        <v>1.68</v>
      </c>
      <c r="BS93" s="128">
        <v>1.69</v>
      </c>
      <c r="BT93" s="128">
        <v>1.7</v>
      </c>
      <c r="BU93" s="128">
        <v>1.71</v>
      </c>
      <c r="BV93" s="128">
        <v>1.72</v>
      </c>
      <c r="BW93" s="128">
        <v>1.73</v>
      </c>
      <c r="BX93" s="128">
        <v>1.74</v>
      </c>
      <c r="BY93" s="128">
        <v>1.75</v>
      </c>
      <c r="BZ93" s="128">
        <v>1.76</v>
      </c>
      <c r="CA93" s="128">
        <v>1.77</v>
      </c>
      <c r="CB93" s="128">
        <v>1.78</v>
      </c>
      <c r="CC93" s="128">
        <v>1.79</v>
      </c>
      <c r="CD93" s="128">
        <v>1.8</v>
      </c>
      <c r="CE93" s="128">
        <v>1.81</v>
      </c>
      <c r="CF93" s="128">
        <v>1.82</v>
      </c>
      <c r="CG93" s="128">
        <v>1.83</v>
      </c>
      <c r="CH93" s="128">
        <v>1.84</v>
      </c>
      <c r="CI93" s="128">
        <v>1.85</v>
      </c>
      <c r="CJ93" s="128">
        <v>1.86</v>
      </c>
      <c r="CK93" s="128">
        <v>1.87</v>
      </c>
      <c r="CL93" s="128">
        <v>1.88</v>
      </c>
      <c r="CM93" s="128">
        <v>1.89</v>
      </c>
      <c r="CN93" s="128">
        <v>1.9</v>
      </c>
      <c r="CO93" s="128">
        <v>1.9</v>
      </c>
      <c r="CP93" s="128">
        <v>1.9</v>
      </c>
      <c r="CQ93" s="128">
        <v>1.9</v>
      </c>
      <c r="CR93" s="128">
        <v>1.9</v>
      </c>
      <c r="CS93" s="128">
        <v>1.9</v>
      </c>
      <c r="CT93" s="128">
        <v>1.9</v>
      </c>
      <c r="CU93" s="128">
        <v>1.9</v>
      </c>
      <c r="CV93" s="128">
        <v>1.9</v>
      </c>
      <c r="CW93" s="128">
        <v>1.9</v>
      </c>
      <c r="CX93" s="128">
        <v>1.9</v>
      </c>
      <c r="CZ93" s="126">
        <f>SUMIF(MatrixF1[[1]:[2]],MatrixF1[[#This Row],[Столбец1]])/MatrixF1[[#This Row],[Столбец1]]</f>
        <v>20.999999999999993</v>
      </c>
    </row>
    <row r="94" spans="1:104" ht="21" customHeight="1" x14ac:dyDescent="0.25">
      <c r="A94" s="127">
        <v>1.91</v>
      </c>
      <c r="B94" s="128">
        <v>1</v>
      </c>
      <c r="C94" s="128">
        <v>1.01</v>
      </c>
      <c r="D94" s="128">
        <v>1.02</v>
      </c>
      <c r="E94" s="128">
        <v>1.03</v>
      </c>
      <c r="F94" s="128">
        <v>1.04</v>
      </c>
      <c r="G94" s="128">
        <v>1.05</v>
      </c>
      <c r="H94" s="128">
        <v>1.06</v>
      </c>
      <c r="I94" s="128">
        <v>1.07</v>
      </c>
      <c r="J94" s="128">
        <v>1.08</v>
      </c>
      <c r="K94" s="128">
        <v>1.0900000000000001</v>
      </c>
      <c r="L94" s="128">
        <v>1.1000000000000001</v>
      </c>
      <c r="M94" s="128">
        <v>1.1100000000000001</v>
      </c>
      <c r="N94" s="128">
        <v>1.1200000000000001</v>
      </c>
      <c r="O94" s="128">
        <v>1.1299999999999999</v>
      </c>
      <c r="P94" s="128">
        <v>1.1399999999999999</v>
      </c>
      <c r="Q94" s="128">
        <v>1.1499999999999999</v>
      </c>
      <c r="R94" s="128">
        <v>1.1599999999999999</v>
      </c>
      <c r="S94" s="128">
        <v>1.17</v>
      </c>
      <c r="T94" s="128">
        <v>1.18</v>
      </c>
      <c r="U94" s="128">
        <v>1.19</v>
      </c>
      <c r="V94" s="128">
        <v>1.2</v>
      </c>
      <c r="W94" s="128">
        <v>1.21</v>
      </c>
      <c r="X94" s="128">
        <v>1.22</v>
      </c>
      <c r="Y94" s="128">
        <v>1.23</v>
      </c>
      <c r="Z94" s="128">
        <v>1.24</v>
      </c>
      <c r="AA94" s="128">
        <v>1.25</v>
      </c>
      <c r="AB94" s="128">
        <v>1.26</v>
      </c>
      <c r="AC94" s="128">
        <v>1.27</v>
      </c>
      <c r="AD94" s="128">
        <v>1.28</v>
      </c>
      <c r="AE94" s="128">
        <v>1.29</v>
      </c>
      <c r="AF94" s="128">
        <v>1.3</v>
      </c>
      <c r="AG94" s="128">
        <v>1.31</v>
      </c>
      <c r="AH94" s="128">
        <v>1.32</v>
      </c>
      <c r="AI94" s="128">
        <v>1.33</v>
      </c>
      <c r="AJ94" s="128">
        <v>1.34</v>
      </c>
      <c r="AK94" s="128">
        <v>1.35</v>
      </c>
      <c r="AL94" s="128">
        <v>1.36</v>
      </c>
      <c r="AM94" s="128">
        <v>1.37</v>
      </c>
      <c r="AN94" s="128">
        <v>1.38</v>
      </c>
      <c r="AO94" s="128">
        <v>1.39</v>
      </c>
      <c r="AP94" s="128">
        <v>1.4</v>
      </c>
      <c r="AQ94" s="128">
        <v>1.41</v>
      </c>
      <c r="AR94" s="128">
        <v>1.42</v>
      </c>
      <c r="AS94" s="128">
        <v>1.43</v>
      </c>
      <c r="AT94" s="128">
        <v>1.44</v>
      </c>
      <c r="AU94" s="128">
        <v>1.45</v>
      </c>
      <c r="AV94" s="128">
        <v>1.46</v>
      </c>
      <c r="AW94" s="128">
        <v>1.47</v>
      </c>
      <c r="AX94" s="128">
        <v>1.48</v>
      </c>
      <c r="AY94" s="128">
        <v>1.49</v>
      </c>
      <c r="AZ94" s="128">
        <v>1.5</v>
      </c>
      <c r="BA94" s="128">
        <v>1.51</v>
      </c>
      <c r="BB94" s="128">
        <v>1.52</v>
      </c>
      <c r="BC94" s="128">
        <v>1.53</v>
      </c>
      <c r="BD94" s="128">
        <v>1.54</v>
      </c>
      <c r="BE94" s="128">
        <v>1.55</v>
      </c>
      <c r="BF94" s="128">
        <v>1.56</v>
      </c>
      <c r="BG94" s="128">
        <v>1.57</v>
      </c>
      <c r="BH94" s="128">
        <v>1.58</v>
      </c>
      <c r="BI94" s="128">
        <v>1.59</v>
      </c>
      <c r="BJ94" s="128">
        <v>1.6</v>
      </c>
      <c r="BK94" s="128">
        <v>1.61</v>
      </c>
      <c r="BL94" s="128">
        <v>1.62</v>
      </c>
      <c r="BM94" s="128">
        <v>1.63</v>
      </c>
      <c r="BN94" s="128">
        <v>1.64</v>
      </c>
      <c r="BO94" s="128">
        <v>1.65</v>
      </c>
      <c r="BP94" s="128">
        <v>1.66</v>
      </c>
      <c r="BQ94" s="128">
        <v>1.67</v>
      </c>
      <c r="BR94" s="128">
        <v>1.68</v>
      </c>
      <c r="BS94" s="128">
        <v>1.69</v>
      </c>
      <c r="BT94" s="128">
        <v>1.7</v>
      </c>
      <c r="BU94" s="128">
        <v>1.71</v>
      </c>
      <c r="BV94" s="128">
        <v>1.72</v>
      </c>
      <c r="BW94" s="128">
        <v>1.73</v>
      </c>
      <c r="BX94" s="128">
        <v>1.74</v>
      </c>
      <c r="BY94" s="128">
        <v>1.75</v>
      </c>
      <c r="BZ94" s="128">
        <v>1.76</v>
      </c>
      <c r="CA94" s="128">
        <v>1.77</v>
      </c>
      <c r="CB94" s="128">
        <v>1.78</v>
      </c>
      <c r="CC94" s="128">
        <v>1.79</v>
      </c>
      <c r="CD94" s="128">
        <v>1.8</v>
      </c>
      <c r="CE94" s="128">
        <v>1.81</v>
      </c>
      <c r="CF94" s="128">
        <v>1.82</v>
      </c>
      <c r="CG94" s="128">
        <v>1.83</v>
      </c>
      <c r="CH94" s="128">
        <v>1.84</v>
      </c>
      <c r="CI94" s="128">
        <v>1.85</v>
      </c>
      <c r="CJ94" s="128">
        <v>1.86</v>
      </c>
      <c r="CK94" s="128">
        <v>1.87</v>
      </c>
      <c r="CL94" s="128">
        <v>1.88</v>
      </c>
      <c r="CM94" s="128">
        <v>1.89</v>
      </c>
      <c r="CN94" s="128">
        <v>1.9</v>
      </c>
      <c r="CO94" s="128">
        <v>1.91</v>
      </c>
      <c r="CP94" s="128">
        <v>1.91</v>
      </c>
      <c r="CQ94" s="128">
        <v>1.91</v>
      </c>
      <c r="CR94" s="128">
        <v>1.91</v>
      </c>
      <c r="CS94" s="128">
        <v>1.91</v>
      </c>
      <c r="CT94" s="128">
        <v>1.91</v>
      </c>
      <c r="CU94" s="128">
        <v>1.91</v>
      </c>
      <c r="CV94" s="128">
        <v>1.91</v>
      </c>
      <c r="CW94" s="128">
        <v>1.91</v>
      </c>
      <c r="CX94" s="128">
        <v>1.91</v>
      </c>
      <c r="CZ94" s="126">
        <f>SUMIF(MatrixF1[[1]:[2]],MatrixF1[[#This Row],[Столбец1]])/MatrixF1[[#This Row],[Столбец1]]</f>
        <v>18.999999999999996</v>
      </c>
    </row>
    <row r="95" spans="1:104" ht="21" customHeight="1" x14ac:dyDescent="0.25">
      <c r="A95" s="127">
        <v>1.92</v>
      </c>
      <c r="B95" s="128">
        <v>1</v>
      </c>
      <c r="C95" s="128">
        <v>1.01</v>
      </c>
      <c r="D95" s="128">
        <v>1.02</v>
      </c>
      <c r="E95" s="128">
        <v>1.03</v>
      </c>
      <c r="F95" s="128">
        <v>1.04</v>
      </c>
      <c r="G95" s="128">
        <v>1.05</v>
      </c>
      <c r="H95" s="128">
        <v>1.06</v>
      </c>
      <c r="I95" s="128">
        <v>1.07</v>
      </c>
      <c r="J95" s="128">
        <v>1.08</v>
      </c>
      <c r="K95" s="128">
        <v>1.0900000000000001</v>
      </c>
      <c r="L95" s="128">
        <v>1.1000000000000001</v>
      </c>
      <c r="M95" s="128">
        <v>1.1100000000000001</v>
      </c>
      <c r="N95" s="128">
        <v>1.1200000000000001</v>
      </c>
      <c r="O95" s="128">
        <v>1.1299999999999999</v>
      </c>
      <c r="P95" s="128">
        <v>1.1399999999999999</v>
      </c>
      <c r="Q95" s="128">
        <v>1.1499999999999999</v>
      </c>
      <c r="R95" s="128">
        <v>1.1599999999999999</v>
      </c>
      <c r="S95" s="128">
        <v>1.17</v>
      </c>
      <c r="T95" s="128">
        <v>1.18</v>
      </c>
      <c r="U95" s="128">
        <v>1.19</v>
      </c>
      <c r="V95" s="128">
        <v>1.2</v>
      </c>
      <c r="W95" s="128">
        <v>1.21</v>
      </c>
      <c r="X95" s="128">
        <v>1.22</v>
      </c>
      <c r="Y95" s="128">
        <v>1.23</v>
      </c>
      <c r="Z95" s="128">
        <v>1.24</v>
      </c>
      <c r="AA95" s="128">
        <v>1.25</v>
      </c>
      <c r="AB95" s="128">
        <v>1.26</v>
      </c>
      <c r="AC95" s="128">
        <v>1.27</v>
      </c>
      <c r="AD95" s="128">
        <v>1.28</v>
      </c>
      <c r="AE95" s="128">
        <v>1.29</v>
      </c>
      <c r="AF95" s="128">
        <v>1.3</v>
      </c>
      <c r="AG95" s="128">
        <v>1.31</v>
      </c>
      <c r="AH95" s="128">
        <v>1.32</v>
      </c>
      <c r="AI95" s="128">
        <v>1.33</v>
      </c>
      <c r="AJ95" s="128">
        <v>1.34</v>
      </c>
      <c r="AK95" s="128">
        <v>1.35</v>
      </c>
      <c r="AL95" s="128">
        <v>1.36</v>
      </c>
      <c r="AM95" s="128">
        <v>1.37</v>
      </c>
      <c r="AN95" s="128">
        <v>1.38</v>
      </c>
      <c r="AO95" s="128">
        <v>1.39</v>
      </c>
      <c r="AP95" s="128">
        <v>1.4</v>
      </c>
      <c r="AQ95" s="128">
        <v>1.41</v>
      </c>
      <c r="AR95" s="128">
        <v>1.42</v>
      </c>
      <c r="AS95" s="128">
        <v>1.43</v>
      </c>
      <c r="AT95" s="128">
        <v>1.44</v>
      </c>
      <c r="AU95" s="128">
        <v>1.45</v>
      </c>
      <c r="AV95" s="128">
        <v>1.46</v>
      </c>
      <c r="AW95" s="128">
        <v>1.47</v>
      </c>
      <c r="AX95" s="128">
        <v>1.48</v>
      </c>
      <c r="AY95" s="128">
        <v>1.49</v>
      </c>
      <c r="AZ95" s="128">
        <v>1.5</v>
      </c>
      <c r="BA95" s="128">
        <v>1.51</v>
      </c>
      <c r="BB95" s="128">
        <v>1.52</v>
      </c>
      <c r="BC95" s="128">
        <v>1.53</v>
      </c>
      <c r="BD95" s="128">
        <v>1.54</v>
      </c>
      <c r="BE95" s="128">
        <v>1.55</v>
      </c>
      <c r="BF95" s="128">
        <v>1.56</v>
      </c>
      <c r="BG95" s="128">
        <v>1.57</v>
      </c>
      <c r="BH95" s="128">
        <v>1.58</v>
      </c>
      <c r="BI95" s="128">
        <v>1.59</v>
      </c>
      <c r="BJ95" s="128">
        <v>1.6</v>
      </c>
      <c r="BK95" s="128">
        <v>1.61</v>
      </c>
      <c r="BL95" s="128">
        <v>1.62</v>
      </c>
      <c r="BM95" s="128">
        <v>1.63</v>
      </c>
      <c r="BN95" s="128">
        <v>1.64</v>
      </c>
      <c r="BO95" s="128">
        <v>1.65</v>
      </c>
      <c r="BP95" s="128">
        <v>1.66</v>
      </c>
      <c r="BQ95" s="128">
        <v>1.67</v>
      </c>
      <c r="BR95" s="128">
        <v>1.68</v>
      </c>
      <c r="BS95" s="128">
        <v>1.69</v>
      </c>
      <c r="BT95" s="128">
        <v>1.7</v>
      </c>
      <c r="BU95" s="128">
        <v>1.71</v>
      </c>
      <c r="BV95" s="128">
        <v>1.72</v>
      </c>
      <c r="BW95" s="128">
        <v>1.73</v>
      </c>
      <c r="BX95" s="128">
        <v>1.74</v>
      </c>
      <c r="BY95" s="128">
        <v>1.75</v>
      </c>
      <c r="BZ95" s="128">
        <v>1.76</v>
      </c>
      <c r="CA95" s="128">
        <v>1.77</v>
      </c>
      <c r="CB95" s="128">
        <v>1.78</v>
      </c>
      <c r="CC95" s="128">
        <v>1.79</v>
      </c>
      <c r="CD95" s="128">
        <v>1.8</v>
      </c>
      <c r="CE95" s="128">
        <v>1.81</v>
      </c>
      <c r="CF95" s="128">
        <v>1.82</v>
      </c>
      <c r="CG95" s="128">
        <v>1.83</v>
      </c>
      <c r="CH95" s="128">
        <v>1.84</v>
      </c>
      <c r="CI95" s="128">
        <v>1.85</v>
      </c>
      <c r="CJ95" s="128">
        <v>1.86</v>
      </c>
      <c r="CK95" s="128">
        <v>1.87</v>
      </c>
      <c r="CL95" s="128">
        <v>1.88</v>
      </c>
      <c r="CM95" s="128">
        <v>1.89</v>
      </c>
      <c r="CN95" s="128">
        <v>1.9</v>
      </c>
      <c r="CO95" s="128">
        <v>1.91</v>
      </c>
      <c r="CP95" s="128">
        <v>1.92</v>
      </c>
      <c r="CQ95" s="128">
        <v>1.92</v>
      </c>
      <c r="CR95" s="128">
        <v>1.92</v>
      </c>
      <c r="CS95" s="128">
        <v>1.92</v>
      </c>
      <c r="CT95" s="128">
        <v>1.92</v>
      </c>
      <c r="CU95" s="128">
        <v>1.92</v>
      </c>
      <c r="CV95" s="128">
        <v>1.92</v>
      </c>
      <c r="CW95" s="128">
        <v>1.92</v>
      </c>
      <c r="CX95" s="128">
        <v>1.92</v>
      </c>
      <c r="CZ95" s="126">
        <f>SUMIF(MatrixF1[[1]:[2]],MatrixF1[[#This Row],[Столбец1]])/MatrixF1[[#This Row],[Столбец1]]</f>
        <v>17.000000000000007</v>
      </c>
    </row>
    <row r="96" spans="1:104" ht="21" customHeight="1" x14ac:dyDescent="0.25">
      <c r="A96" s="127">
        <v>1.93</v>
      </c>
      <c r="B96" s="128">
        <v>1</v>
      </c>
      <c r="C96" s="128">
        <v>1.01</v>
      </c>
      <c r="D96" s="128">
        <v>1.02</v>
      </c>
      <c r="E96" s="128">
        <v>1.03</v>
      </c>
      <c r="F96" s="128">
        <v>1.04</v>
      </c>
      <c r="G96" s="128">
        <v>1.05</v>
      </c>
      <c r="H96" s="128">
        <v>1.06</v>
      </c>
      <c r="I96" s="128">
        <v>1.07</v>
      </c>
      <c r="J96" s="128">
        <v>1.08</v>
      </c>
      <c r="K96" s="128">
        <v>1.0900000000000001</v>
      </c>
      <c r="L96" s="128">
        <v>1.1000000000000001</v>
      </c>
      <c r="M96" s="128">
        <v>1.1100000000000001</v>
      </c>
      <c r="N96" s="128">
        <v>1.1200000000000001</v>
      </c>
      <c r="O96" s="128">
        <v>1.1299999999999999</v>
      </c>
      <c r="P96" s="128">
        <v>1.1399999999999999</v>
      </c>
      <c r="Q96" s="128">
        <v>1.1499999999999999</v>
      </c>
      <c r="R96" s="128">
        <v>1.1599999999999999</v>
      </c>
      <c r="S96" s="128">
        <v>1.17</v>
      </c>
      <c r="T96" s="128">
        <v>1.18</v>
      </c>
      <c r="U96" s="128">
        <v>1.19</v>
      </c>
      <c r="V96" s="128">
        <v>1.2</v>
      </c>
      <c r="W96" s="128">
        <v>1.21</v>
      </c>
      <c r="X96" s="128">
        <v>1.22</v>
      </c>
      <c r="Y96" s="128">
        <v>1.23</v>
      </c>
      <c r="Z96" s="128">
        <v>1.24</v>
      </c>
      <c r="AA96" s="128">
        <v>1.25</v>
      </c>
      <c r="AB96" s="128">
        <v>1.26</v>
      </c>
      <c r="AC96" s="128">
        <v>1.27</v>
      </c>
      <c r="AD96" s="128">
        <v>1.28</v>
      </c>
      <c r="AE96" s="128">
        <v>1.29</v>
      </c>
      <c r="AF96" s="128">
        <v>1.3</v>
      </c>
      <c r="AG96" s="128">
        <v>1.31</v>
      </c>
      <c r="AH96" s="128">
        <v>1.32</v>
      </c>
      <c r="AI96" s="128">
        <v>1.33</v>
      </c>
      <c r="AJ96" s="128">
        <v>1.34</v>
      </c>
      <c r="AK96" s="128">
        <v>1.35</v>
      </c>
      <c r="AL96" s="128">
        <v>1.36</v>
      </c>
      <c r="AM96" s="128">
        <v>1.37</v>
      </c>
      <c r="AN96" s="128">
        <v>1.38</v>
      </c>
      <c r="AO96" s="128">
        <v>1.39</v>
      </c>
      <c r="AP96" s="128">
        <v>1.4</v>
      </c>
      <c r="AQ96" s="128">
        <v>1.41</v>
      </c>
      <c r="AR96" s="128">
        <v>1.42</v>
      </c>
      <c r="AS96" s="128">
        <v>1.43</v>
      </c>
      <c r="AT96" s="128">
        <v>1.44</v>
      </c>
      <c r="AU96" s="128">
        <v>1.45</v>
      </c>
      <c r="AV96" s="128">
        <v>1.46</v>
      </c>
      <c r="AW96" s="128">
        <v>1.47</v>
      </c>
      <c r="AX96" s="128">
        <v>1.48</v>
      </c>
      <c r="AY96" s="128">
        <v>1.49</v>
      </c>
      <c r="AZ96" s="128">
        <v>1.5</v>
      </c>
      <c r="BA96" s="128">
        <v>1.51</v>
      </c>
      <c r="BB96" s="128">
        <v>1.52</v>
      </c>
      <c r="BC96" s="128">
        <v>1.53</v>
      </c>
      <c r="BD96" s="128">
        <v>1.54</v>
      </c>
      <c r="BE96" s="128">
        <v>1.55</v>
      </c>
      <c r="BF96" s="128">
        <v>1.56</v>
      </c>
      <c r="BG96" s="128">
        <v>1.57</v>
      </c>
      <c r="BH96" s="128">
        <v>1.58</v>
      </c>
      <c r="BI96" s="128">
        <v>1.59</v>
      </c>
      <c r="BJ96" s="128">
        <v>1.6</v>
      </c>
      <c r="BK96" s="128">
        <v>1.61</v>
      </c>
      <c r="BL96" s="128">
        <v>1.62</v>
      </c>
      <c r="BM96" s="128">
        <v>1.63</v>
      </c>
      <c r="BN96" s="128">
        <v>1.64</v>
      </c>
      <c r="BO96" s="128">
        <v>1.65</v>
      </c>
      <c r="BP96" s="128">
        <v>1.66</v>
      </c>
      <c r="BQ96" s="128">
        <v>1.67</v>
      </c>
      <c r="BR96" s="128">
        <v>1.68</v>
      </c>
      <c r="BS96" s="128">
        <v>1.69</v>
      </c>
      <c r="BT96" s="128">
        <v>1.7</v>
      </c>
      <c r="BU96" s="128">
        <v>1.71</v>
      </c>
      <c r="BV96" s="128">
        <v>1.72</v>
      </c>
      <c r="BW96" s="128">
        <v>1.73</v>
      </c>
      <c r="BX96" s="128">
        <v>1.74</v>
      </c>
      <c r="BY96" s="128">
        <v>1.75</v>
      </c>
      <c r="BZ96" s="128">
        <v>1.76</v>
      </c>
      <c r="CA96" s="128">
        <v>1.77</v>
      </c>
      <c r="CB96" s="128">
        <v>1.78</v>
      </c>
      <c r="CC96" s="128">
        <v>1.79</v>
      </c>
      <c r="CD96" s="128">
        <v>1.8</v>
      </c>
      <c r="CE96" s="128">
        <v>1.81</v>
      </c>
      <c r="CF96" s="128">
        <v>1.82</v>
      </c>
      <c r="CG96" s="128">
        <v>1.83</v>
      </c>
      <c r="CH96" s="128">
        <v>1.84</v>
      </c>
      <c r="CI96" s="128">
        <v>1.85</v>
      </c>
      <c r="CJ96" s="128">
        <v>1.86</v>
      </c>
      <c r="CK96" s="128">
        <v>1.87</v>
      </c>
      <c r="CL96" s="128">
        <v>1.88</v>
      </c>
      <c r="CM96" s="128">
        <v>1.89</v>
      </c>
      <c r="CN96" s="128">
        <v>1.9</v>
      </c>
      <c r="CO96" s="128">
        <v>1.91</v>
      </c>
      <c r="CP96" s="128">
        <v>1.92</v>
      </c>
      <c r="CQ96" s="128">
        <v>1.93</v>
      </c>
      <c r="CR96" s="128">
        <v>1.93</v>
      </c>
      <c r="CS96" s="128">
        <v>1.93</v>
      </c>
      <c r="CT96" s="128">
        <v>1.93</v>
      </c>
      <c r="CU96" s="128">
        <v>1.93</v>
      </c>
      <c r="CV96" s="128">
        <v>1.93</v>
      </c>
      <c r="CW96" s="128">
        <v>1.93</v>
      </c>
      <c r="CX96" s="128">
        <v>1.93</v>
      </c>
      <c r="CZ96" s="126">
        <f>SUMIF(MatrixF1[[1]:[2]],MatrixF1[[#This Row],[Столбец1]])/MatrixF1[[#This Row],[Столбец1]]</f>
        <v>15</v>
      </c>
    </row>
    <row r="97" spans="1:104" ht="21" customHeight="1" x14ac:dyDescent="0.25">
      <c r="A97" s="127">
        <v>1.94</v>
      </c>
      <c r="B97" s="128">
        <v>1</v>
      </c>
      <c r="C97" s="128">
        <v>1.01</v>
      </c>
      <c r="D97" s="128">
        <v>1.02</v>
      </c>
      <c r="E97" s="128">
        <v>1.03</v>
      </c>
      <c r="F97" s="128">
        <v>1.04</v>
      </c>
      <c r="G97" s="128">
        <v>1.05</v>
      </c>
      <c r="H97" s="128">
        <v>1.06</v>
      </c>
      <c r="I97" s="128">
        <v>1.07</v>
      </c>
      <c r="J97" s="128">
        <v>1.08</v>
      </c>
      <c r="K97" s="128">
        <v>1.0900000000000001</v>
      </c>
      <c r="L97" s="128">
        <v>1.1000000000000001</v>
      </c>
      <c r="M97" s="128">
        <v>1.1100000000000001</v>
      </c>
      <c r="N97" s="128">
        <v>1.1200000000000001</v>
      </c>
      <c r="O97" s="128">
        <v>1.1299999999999999</v>
      </c>
      <c r="P97" s="128">
        <v>1.1399999999999999</v>
      </c>
      <c r="Q97" s="128">
        <v>1.1499999999999999</v>
      </c>
      <c r="R97" s="128">
        <v>1.1599999999999999</v>
      </c>
      <c r="S97" s="128">
        <v>1.17</v>
      </c>
      <c r="T97" s="128">
        <v>1.18</v>
      </c>
      <c r="U97" s="128">
        <v>1.19</v>
      </c>
      <c r="V97" s="128">
        <v>1.2</v>
      </c>
      <c r="W97" s="128">
        <v>1.21</v>
      </c>
      <c r="X97" s="128">
        <v>1.22</v>
      </c>
      <c r="Y97" s="128">
        <v>1.23</v>
      </c>
      <c r="Z97" s="128">
        <v>1.24</v>
      </c>
      <c r="AA97" s="128">
        <v>1.25</v>
      </c>
      <c r="AB97" s="128">
        <v>1.26</v>
      </c>
      <c r="AC97" s="128">
        <v>1.27</v>
      </c>
      <c r="AD97" s="128">
        <v>1.28</v>
      </c>
      <c r="AE97" s="128">
        <v>1.29</v>
      </c>
      <c r="AF97" s="128">
        <v>1.3</v>
      </c>
      <c r="AG97" s="128">
        <v>1.31</v>
      </c>
      <c r="AH97" s="128">
        <v>1.32</v>
      </c>
      <c r="AI97" s="128">
        <v>1.33</v>
      </c>
      <c r="AJ97" s="128">
        <v>1.34</v>
      </c>
      <c r="AK97" s="128">
        <v>1.35</v>
      </c>
      <c r="AL97" s="128">
        <v>1.36</v>
      </c>
      <c r="AM97" s="128">
        <v>1.37</v>
      </c>
      <c r="AN97" s="128">
        <v>1.38</v>
      </c>
      <c r="AO97" s="128">
        <v>1.39</v>
      </c>
      <c r="AP97" s="128">
        <v>1.4</v>
      </c>
      <c r="AQ97" s="128">
        <v>1.41</v>
      </c>
      <c r="AR97" s="128">
        <v>1.42</v>
      </c>
      <c r="AS97" s="128">
        <v>1.43</v>
      </c>
      <c r="AT97" s="128">
        <v>1.44</v>
      </c>
      <c r="AU97" s="128">
        <v>1.45</v>
      </c>
      <c r="AV97" s="128">
        <v>1.46</v>
      </c>
      <c r="AW97" s="128">
        <v>1.47</v>
      </c>
      <c r="AX97" s="128">
        <v>1.48</v>
      </c>
      <c r="AY97" s="128">
        <v>1.49</v>
      </c>
      <c r="AZ97" s="128">
        <v>1.5</v>
      </c>
      <c r="BA97" s="128">
        <v>1.51</v>
      </c>
      <c r="BB97" s="128">
        <v>1.52</v>
      </c>
      <c r="BC97" s="128">
        <v>1.53</v>
      </c>
      <c r="BD97" s="128">
        <v>1.54</v>
      </c>
      <c r="BE97" s="128">
        <v>1.55</v>
      </c>
      <c r="BF97" s="128">
        <v>1.56</v>
      </c>
      <c r="BG97" s="128">
        <v>1.57</v>
      </c>
      <c r="BH97" s="128">
        <v>1.58</v>
      </c>
      <c r="BI97" s="128">
        <v>1.59</v>
      </c>
      <c r="BJ97" s="128">
        <v>1.6</v>
      </c>
      <c r="BK97" s="128">
        <v>1.61</v>
      </c>
      <c r="BL97" s="128">
        <v>1.62</v>
      </c>
      <c r="BM97" s="128">
        <v>1.63</v>
      </c>
      <c r="BN97" s="128">
        <v>1.64</v>
      </c>
      <c r="BO97" s="128">
        <v>1.65</v>
      </c>
      <c r="BP97" s="128">
        <v>1.66</v>
      </c>
      <c r="BQ97" s="128">
        <v>1.67</v>
      </c>
      <c r="BR97" s="128">
        <v>1.68</v>
      </c>
      <c r="BS97" s="128">
        <v>1.69</v>
      </c>
      <c r="BT97" s="128">
        <v>1.7</v>
      </c>
      <c r="BU97" s="128">
        <v>1.71</v>
      </c>
      <c r="BV97" s="128">
        <v>1.72</v>
      </c>
      <c r="BW97" s="128">
        <v>1.73</v>
      </c>
      <c r="BX97" s="128">
        <v>1.74</v>
      </c>
      <c r="BY97" s="128">
        <v>1.75</v>
      </c>
      <c r="BZ97" s="128">
        <v>1.76</v>
      </c>
      <c r="CA97" s="128">
        <v>1.77</v>
      </c>
      <c r="CB97" s="128">
        <v>1.78</v>
      </c>
      <c r="CC97" s="128">
        <v>1.79</v>
      </c>
      <c r="CD97" s="128">
        <v>1.8</v>
      </c>
      <c r="CE97" s="128">
        <v>1.81</v>
      </c>
      <c r="CF97" s="128">
        <v>1.82</v>
      </c>
      <c r="CG97" s="128">
        <v>1.83</v>
      </c>
      <c r="CH97" s="128">
        <v>1.84</v>
      </c>
      <c r="CI97" s="128">
        <v>1.85</v>
      </c>
      <c r="CJ97" s="128">
        <v>1.86</v>
      </c>
      <c r="CK97" s="128">
        <v>1.87</v>
      </c>
      <c r="CL97" s="128">
        <v>1.88</v>
      </c>
      <c r="CM97" s="128">
        <v>1.89</v>
      </c>
      <c r="CN97" s="128">
        <v>1.9</v>
      </c>
      <c r="CO97" s="128">
        <v>1.91</v>
      </c>
      <c r="CP97" s="128">
        <v>1.92</v>
      </c>
      <c r="CQ97" s="128">
        <v>1.93</v>
      </c>
      <c r="CR97" s="128">
        <v>1.94</v>
      </c>
      <c r="CS97" s="128">
        <v>1.94</v>
      </c>
      <c r="CT97" s="128">
        <v>1.94</v>
      </c>
      <c r="CU97" s="128">
        <v>1.94</v>
      </c>
      <c r="CV97" s="128">
        <v>1.94</v>
      </c>
      <c r="CW97" s="128">
        <v>1.94</v>
      </c>
      <c r="CX97" s="128">
        <v>1.94</v>
      </c>
      <c r="CZ97" s="126">
        <f>SUMIF(MatrixF1[[1]:[2]],MatrixF1[[#This Row],[Столбец1]])/MatrixF1[[#This Row],[Столбец1]]</f>
        <v>13.000000000000002</v>
      </c>
    </row>
    <row r="98" spans="1:104" ht="21" customHeight="1" x14ac:dyDescent="0.25">
      <c r="A98" s="127">
        <v>1.95</v>
      </c>
      <c r="B98" s="128">
        <v>1</v>
      </c>
      <c r="C98" s="128">
        <v>1.01</v>
      </c>
      <c r="D98" s="128">
        <v>1.02</v>
      </c>
      <c r="E98" s="128">
        <v>1.03</v>
      </c>
      <c r="F98" s="128">
        <v>1.04</v>
      </c>
      <c r="G98" s="128">
        <v>1.05</v>
      </c>
      <c r="H98" s="128">
        <v>1.06</v>
      </c>
      <c r="I98" s="128">
        <v>1.07</v>
      </c>
      <c r="J98" s="128">
        <v>1.08</v>
      </c>
      <c r="K98" s="128">
        <v>1.0900000000000001</v>
      </c>
      <c r="L98" s="128">
        <v>1.1000000000000001</v>
      </c>
      <c r="M98" s="128">
        <v>1.1100000000000001</v>
      </c>
      <c r="N98" s="128">
        <v>1.1200000000000001</v>
      </c>
      <c r="O98" s="128">
        <v>1.1299999999999999</v>
      </c>
      <c r="P98" s="128">
        <v>1.1399999999999999</v>
      </c>
      <c r="Q98" s="128">
        <v>1.1499999999999999</v>
      </c>
      <c r="R98" s="128">
        <v>1.1599999999999999</v>
      </c>
      <c r="S98" s="128">
        <v>1.17</v>
      </c>
      <c r="T98" s="128">
        <v>1.18</v>
      </c>
      <c r="U98" s="128">
        <v>1.19</v>
      </c>
      <c r="V98" s="128">
        <v>1.2</v>
      </c>
      <c r="W98" s="128">
        <v>1.21</v>
      </c>
      <c r="X98" s="128">
        <v>1.22</v>
      </c>
      <c r="Y98" s="128">
        <v>1.23</v>
      </c>
      <c r="Z98" s="128">
        <v>1.24</v>
      </c>
      <c r="AA98" s="128">
        <v>1.25</v>
      </c>
      <c r="AB98" s="128">
        <v>1.26</v>
      </c>
      <c r="AC98" s="128">
        <v>1.27</v>
      </c>
      <c r="AD98" s="128">
        <v>1.28</v>
      </c>
      <c r="AE98" s="128">
        <v>1.29</v>
      </c>
      <c r="AF98" s="128">
        <v>1.3</v>
      </c>
      <c r="AG98" s="128">
        <v>1.31</v>
      </c>
      <c r="AH98" s="128">
        <v>1.32</v>
      </c>
      <c r="AI98" s="128">
        <v>1.33</v>
      </c>
      <c r="AJ98" s="128">
        <v>1.34</v>
      </c>
      <c r="AK98" s="128">
        <v>1.35</v>
      </c>
      <c r="AL98" s="128">
        <v>1.36</v>
      </c>
      <c r="AM98" s="128">
        <v>1.37</v>
      </c>
      <c r="AN98" s="128">
        <v>1.38</v>
      </c>
      <c r="AO98" s="128">
        <v>1.39</v>
      </c>
      <c r="AP98" s="128">
        <v>1.4</v>
      </c>
      <c r="AQ98" s="128">
        <v>1.41</v>
      </c>
      <c r="AR98" s="128">
        <v>1.42</v>
      </c>
      <c r="AS98" s="128">
        <v>1.43</v>
      </c>
      <c r="AT98" s="128">
        <v>1.44</v>
      </c>
      <c r="AU98" s="128">
        <v>1.45</v>
      </c>
      <c r="AV98" s="128">
        <v>1.46</v>
      </c>
      <c r="AW98" s="128">
        <v>1.47</v>
      </c>
      <c r="AX98" s="128">
        <v>1.48</v>
      </c>
      <c r="AY98" s="128">
        <v>1.49</v>
      </c>
      <c r="AZ98" s="128">
        <v>1.5</v>
      </c>
      <c r="BA98" s="128">
        <v>1.51</v>
      </c>
      <c r="BB98" s="128">
        <v>1.52</v>
      </c>
      <c r="BC98" s="128">
        <v>1.53</v>
      </c>
      <c r="BD98" s="128">
        <v>1.54</v>
      </c>
      <c r="BE98" s="128">
        <v>1.55</v>
      </c>
      <c r="BF98" s="128">
        <v>1.56</v>
      </c>
      <c r="BG98" s="128">
        <v>1.57</v>
      </c>
      <c r="BH98" s="128">
        <v>1.58</v>
      </c>
      <c r="BI98" s="128">
        <v>1.59</v>
      </c>
      <c r="BJ98" s="128">
        <v>1.6</v>
      </c>
      <c r="BK98" s="128">
        <v>1.61</v>
      </c>
      <c r="BL98" s="128">
        <v>1.62</v>
      </c>
      <c r="BM98" s="128">
        <v>1.63</v>
      </c>
      <c r="BN98" s="128">
        <v>1.64</v>
      </c>
      <c r="BO98" s="128">
        <v>1.65</v>
      </c>
      <c r="BP98" s="128">
        <v>1.66</v>
      </c>
      <c r="BQ98" s="128">
        <v>1.67</v>
      </c>
      <c r="BR98" s="128">
        <v>1.68</v>
      </c>
      <c r="BS98" s="128">
        <v>1.69</v>
      </c>
      <c r="BT98" s="128">
        <v>1.7</v>
      </c>
      <c r="BU98" s="128">
        <v>1.71</v>
      </c>
      <c r="BV98" s="128">
        <v>1.72</v>
      </c>
      <c r="BW98" s="128">
        <v>1.73</v>
      </c>
      <c r="BX98" s="128">
        <v>1.74</v>
      </c>
      <c r="BY98" s="128">
        <v>1.75</v>
      </c>
      <c r="BZ98" s="128">
        <v>1.76</v>
      </c>
      <c r="CA98" s="128">
        <v>1.77</v>
      </c>
      <c r="CB98" s="128">
        <v>1.78</v>
      </c>
      <c r="CC98" s="128">
        <v>1.79</v>
      </c>
      <c r="CD98" s="128">
        <v>1.8</v>
      </c>
      <c r="CE98" s="128">
        <v>1.81</v>
      </c>
      <c r="CF98" s="128">
        <v>1.82</v>
      </c>
      <c r="CG98" s="128">
        <v>1.83</v>
      </c>
      <c r="CH98" s="128">
        <v>1.84</v>
      </c>
      <c r="CI98" s="128">
        <v>1.85</v>
      </c>
      <c r="CJ98" s="128">
        <v>1.86</v>
      </c>
      <c r="CK98" s="128">
        <v>1.87</v>
      </c>
      <c r="CL98" s="128">
        <v>1.88</v>
      </c>
      <c r="CM98" s="128">
        <v>1.89</v>
      </c>
      <c r="CN98" s="128">
        <v>1.9</v>
      </c>
      <c r="CO98" s="128">
        <v>1.91</v>
      </c>
      <c r="CP98" s="128">
        <v>1.92</v>
      </c>
      <c r="CQ98" s="128">
        <v>1.93</v>
      </c>
      <c r="CR98" s="128">
        <v>1.94</v>
      </c>
      <c r="CS98" s="128">
        <v>1.95</v>
      </c>
      <c r="CT98" s="128">
        <v>1.95</v>
      </c>
      <c r="CU98" s="128">
        <v>1.95</v>
      </c>
      <c r="CV98" s="128">
        <v>1.95</v>
      </c>
      <c r="CW98" s="128">
        <v>1.95</v>
      </c>
      <c r="CX98" s="128">
        <v>1.95</v>
      </c>
      <c r="CZ98" s="126">
        <f>SUMIF(MatrixF1[[1]:[2]],MatrixF1[[#This Row],[Столбец1]])/MatrixF1[[#This Row],[Столбец1]]</f>
        <v>10.999999999999998</v>
      </c>
    </row>
    <row r="99" spans="1:104" ht="21" customHeight="1" x14ac:dyDescent="0.25">
      <c r="A99" s="127">
        <v>1.96</v>
      </c>
      <c r="B99" s="128">
        <v>1</v>
      </c>
      <c r="C99" s="128">
        <v>1.01</v>
      </c>
      <c r="D99" s="128">
        <v>1.02</v>
      </c>
      <c r="E99" s="128">
        <v>1.03</v>
      </c>
      <c r="F99" s="128">
        <v>1.04</v>
      </c>
      <c r="G99" s="128">
        <v>1.05</v>
      </c>
      <c r="H99" s="128">
        <v>1.06</v>
      </c>
      <c r="I99" s="128">
        <v>1.07</v>
      </c>
      <c r="J99" s="128">
        <v>1.08</v>
      </c>
      <c r="K99" s="128">
        <v>1.0900000000000001</v>
      </c>
      <c r="L99" s="128">
        <v>1.1000000000000001</v>
      </c>
      <c r="M99" s="128">
        <v>1.1100000000000001</v>
      </c>
      <c r="N99" s="128">
        <v>1.1200000000000001</v>
      </c>
      <c r="O99" s="128">
        <v>1.1299999999999999</v>
      </c>
      <c r="P99" s="128">
        <v>1.1399999999999999</v>
      </c>
      <c r="Q99" s="128">
        <v>1.1499999999999999</v>
      </c>
      <c r="R99" s="128">
        <v>1.1599999999999999</v>
      </c>
      <c r="S99" s="128">
        <v>1.17</v>
      </c>
      <c r="T99" s="128">
        <v>1.18</v>
      </c>
      <c r="U99" s="128">
        <v>1.19</v>
      </c>
      <c r="V99" s="128">
        <v>1.2</v>
      </c>
      <c r="W99" s="128">
        <v>1.21</v>
      </c>
      <c r="X99" s="128">
        <v>1.22</v>
      </c>
      <c r="Y99" s="128">
        <v>1.23</v>
      </c>
      <c r="Z99" s="128">
        <v>1.24</v>
      </c>
      <c r="AA99" s="128">
        <v>1.25</v>
      </c>
      <c r="AB99" s="128">
        <v>1.26</v>
      </c>
      <c r="AC99" s="128">
        <v>1.27</v>
      </c>
      <c r="AD99" s="128">
        <v>1.28</v>
      </c>
      <c r="AE99" s="128">
        <v>1.29</v>
      </c>
      <c r="AF99" s="128">
        <v>1.3</v>
      </c>
      <c r="AG99" s="128">
        <v>1.31</v>
      </c>
      <c r="AH99" s="128">
        <v>1.32</v>
      </c>
      <c r="AI99" s="128">
        <v>1.33</v>
      </c>
      <c r="AJ99" s="128">
        <v>1.34</v>
      </c>
      <c r="AK99" s="128">
        <v>1.35</v>
      </c>
      <c r="AL99" s="128">
        <v>1.36</v>
      </c>
      <c r="AM99" s="128">
        <v>1.37</v>
      </c>
      <c r="AN99" s="128">
        <v>1.38</v>
      </c>
      <c r="AO99" s="128">
        <v>1.39</v>
      </c>
      <c r="AP99" s="128">
        <v>1.4</v>
      </c>
      <c r="AQ99" s="128">
        <v>1.41</v>
      </c>
      <c r="AR99" s="128">
        <v>1.42</v>
      </c>
      <c r="AS99" s="128">
        <v>1.43</v>
      </c>
      <c r="AT99" s="128">
        <v>1.44</v>
      </c>
      <c r="AU99" s="128">
        <v>1.45</v>
      </c>
      <c r="AV99" s="128">
        <v>1.46</v>
      </c>
      <c r="AW99" s="128">
        <v>1.47</v>
      </c>
      <c r="AX99" s="128">
        <v>1.48</v>
      </c>
      <c r="AY99" s="128">
        <v>1.49</v>
      </c>
      <c r="AZ99" s="128">
        <v>1.5</v>
      </c>
      <c r="BA99" s="128">
        <v>1.51</v>
      </c>
      <c r="BB99" s="128">
        <v>1.52</v>
      </c>
      <c r="BC99" s="128">
        <v>1.53</v>
      </c>
      <c r="BD99" s="128">
        <v>1.54</v>
      </c>
      <c r="BE99" s="128">
        <v>1.55</v>
      </c>
      <c r="BF99" s="128">
        <v>1.56</v>
      </c>
      <c r="BG99" s="128">
        <v>1.57</v>
      </c>
      <c r="BH99" s="128">
        <v>1.58</v>
      </c>
      <c r="BI99" s="128">
        <v>1.59</v>
      </c>
      <c r="BJ99" s="128">
        <v>1.6</v>
      </c>
      <c r="BK99" s="128">
        <v>1.61</v>
      </c>
      <c r="BL99" s="128">
        <v>1.62</v>
      </c>
      <c r="BM99" s="128">
        <v>1.63</v>
      </c>
      <c r="BN99" s="128">
        <v>1.64</v>
      </c>
      <c r="BO99" s="128">
        <v>1.65</v>
      </c>
      <c r="BP99" s="128">
        <v>1.66</v>
      </c>
      <c r="BQ99" s="128">
        <v>1.67</v>
      </c>
      <c r="BR99" s="128">
        <v>1.68</v>
      </c>
      <c r="BS99" s="128">
        <v>1.69</v>
      </c>
      <c r="BT99" s="128">
        <v>1.7</v>
      </c>
      <c r="BU99" s="128">
        <v>1.71</v>
      </c>
      <c r="BV99" s="128">
        <v>1.72</v>
      </c>
      <c r="BW99" s="128">
        <v>1.73</v>
      </c>
      <c r="BX99" s="128">
        <v>1.74</v>
      </c>
      <c r="BY99" s="128">
        <v>1.75</v>
      </c>
      <c r="BZ99" s="128">
        <v>1.76</v>
      </c>
      <c r="CA99" s="128">
        <v>1.77</v>
      </c>
      <c r="CB99" s="128">
        <v>1.78</v>
      </c>
      <c r="CC99" s="128">
        <v>1.79</v>
      </c>
      <c r="CD99" s="128">
        <v>1.8</v>
      </c>
      <c r="CE99" s="128">
        <v>1.81</v>
      </c>
      <c r="CF99" s="128">
        <v>1.82</v>
      </c>
      <c r="CG99" s="128">
        <v>1.83</v>
      </c>
      <c r="CH99" s="128">
        <v>1.84</v>
      </c>
      <c r="CI99" s="128">
        <v>1.85</v>
      </c>
      <c r="CJ99" s="128">
        <v>1.86</v>
      </c>
      <c r="CK99" s="128">
        <v>1.87</v>
      </c>
      <c r="CL99" s="128">
        <v>1.88</v>
      </c>
      <c r="CM99" s="128">
        <v>1.89</v>
      </c>
      <c r="CN99" s="128">
        <v>1.9</v>
      </c>
      <c r="CO99" s="128">
        <v>1.91</v>
      </c>
      <c r="CP99" s="128">
        <v>1.92</v>
      </c>
      <c r="CQ99" s="128">
        <v>1.93</v>
      </c>
      <c r="CR99" s="128">
        <v>1.94</v>
      </c>
      <c r="CS99" s="128">
        <v>1.95</v>
      </c>
      <c r="CT99" s="128">
        <v>1.96</v>
      </c>
      <c r="CU99" s="128">
        <v>1.96</v>
      </c>
      <c r="CV99" s="128">
        <v>1.96</v>
      </c>
      <c r="CW99" s="128">
        <v>1.96</v>
      </c>
      <c r="CX99" s="128">
        <v>1.96</v>
      </c>
      <c r="CZ99" s="126">
        <f>SUMIF(MatrixF1[[1]:[2]],MatrixF1[[#This Row],[Столбец1]])/MatrixF1[[#This Row],[Столбец1]]</f>
        <v>9.0000000000000018</v>
      </c>
    </row>
    <row r="100" spans="1:104" ht="21" customHeight="1" x14ac:dyDescent="0.25">
      <c r="A100" s="127">
        <v>1.97</v>
      </c>
      <c r="B100" s="128">
        <v>1</v>
      </c>
      <c r="C100" s="128">
        <v>1.01</v>
      </c>
      <c r="D100" s="128">
        <v>1.02</v>
      </c>
      <c r="E100" s="128">
        <v>1.03</v>
      </c>
      <c r="F100" s="128">
        <v>1.04</v>
      </c>
      <c r="G100" s="128">
        <v>1.05</v>
      </c>
      <c r="H100" s="128">
        <v>1.06</v>
      </c>
      <c r="I100" s="128">
        <v>1.07</v>
      </c>
      <c r="J100" s="128">
        <v>1.08</v>
      </c>
      <c r="K100" s="128">
        <v>1.0900000000000001</v>
      </c>
      <c r="L100" s="128">
        <v>1.1000000000000001</v>
      </c>
      <c r="M100" s="128">
        <v>1.1100000000000001</v>
      </c>
      <c r="N100" s="128">
        <v>1.1200000000000001</v>
      </c>
      <c r="O100" s="128">
        <v>1.1299999999999999</v>
      </c>
      <c r="P100" s="128">
        <v>1.1399999999999999</v>
      </c>
      <c r="Q100" s="128">
        <v>1.1499999999999999</v>
      </c>
      <c r="R100" s="128">
        <v>1.1599999999999999</v>
      </c>
      <c r="S100" s="128">
        <v>1.17</v>
      </c>
      <c r="T100" s="128">
        <v>1.18</v>
      </c>
      <c r="U100" s="128">
        <v>1.19</v>
      </c>
      <c r="V100" s="128">
        <v>1.2</v>
      </c>
      <c r="W100" s="128">
        <v>1.21</v>
      </c>
      <c r="X100" s="128">
        <v>1.22</v>
      </c>
      <c r="Y100" s="128">
        <v>1.23</v>
      </c>
      <c r="Z100" s="128">
        <v>1.24</v>
      </c>
      <c r="AA100" s="128">
        <v>1.25</v>
      </c>
      <c r="AB100" s="128">
        <v>1.26</v>
      </c>
      <c r="AC100" s="128">
        <v>1.27</v>
      </c>
      <c r="AD100" s="128">
        <v>1.28</v>
      </c>
      <c r="AE100" s="128">
        <v>1.29</v>
      </c>
      <c r="AF100" s="128">
        <v>1.3</v>
      </c>
      <c r="AG100" s="128">
        <v>1.31</v>
      </c>
      <c r="AH100" s="128">
        <v>1.32</v>
      </c>
      <c r="AI100" s="128">
        <v>1.33</v>
      </c>
      <c r="AJ100" s="128">
        <v>1.34</v>
      </c>
      <c r="AK100" s="128">
        <v>1.35</v>
      </c>
      <c r="AL100" s="128">
        <v>1.36</v>
      </c>
      <c r="AM100" s="128">
        <v>1.37</v>
      </c>
      <c r="AN100" s="128">
        <v>1.38</v>
      </c>
      <c r="AO100" s="128">
        <v>1.39</v>
      </c>
      <c r="AP100" s="128">
        <v>1.4</v>
      </c>
      <c r="AQ100" s="128">
        <v>1.41</v>
      </c>
      <c r="AR100" s="128">
        <v>1.42</v>
      </c>
      <c r="AS100" s="128">
        <v>1.43</v>
      </c>
      <c r="AT100" s="128">
        <v>1.44</v>
      </c>
      <c r="AU100" s="128">
        <v>1.45</v>
      </c>
      <c r="AV100" s="128">
        <v>1.46</v>
      </c>
      <c r="AW100" s="128">
        <v>1.47</v>
      </c>
      <c r="AX100" s="128">
        <v>1.48</v>
      </c>
      <c r="AY100" s="128">
        <v>1.49</v>
      </c>
      <c r="AZ100" s="128">
        <v>1.5</v>
      </c>
      <c r="BA100" s="128">
        <v>1.51</v>
      </c>
      <c r="BB100" s="128">
        <v>1.52</v>
      </c>
      <c r="BC100" s="128">
        <v>1.53</v>
      </c>
      <c r="BD100" s="128">
        <v>1.54</v>
      </c>
      <c r="BE100" s="128">
        <v>1.55</v>
      </c>
      <c r="BF100" s="128">
        <v>1.56</v>
      </c>
      <c r="BG100" s="128">
        <v>1.57</v>
      </c>
      <c r="BH100" s="128">
        <v>1.58</v>
      </c>
      <c r="BI100" s="128">
        <v>1.59</v>
      </c>
      <c r="BJ100" s="128">
        <v>1.6</v>
      </c>
      <c r="BK100" s="128">
        <v>1.61</v>
      </c>
      <c r="BL100" s="128">
        <v>1.62</v>
      </c>
      <c r="BM100" s="128">
        <v>1.63</v>
      </c>
      <c r="BN100" s="128">
        <v>1.64</v>
      </c>
      <c r="BO100" s="128">
        <v>1.65</v>
      </c>
      <c r="BP100" s="128">
        <v>1.66</v>
      </c>
      <c r="BQ100" s="128">
        <v>1.67</v>
      </c>
      <c r="BR100" s="128">
        <v>1.68</v>
      </c>
      <c r="BS100" s="128">
        <v>1.69</v>
      </c>
      <c r="BT100" s="128">
        <v>1.7</v>
      </c>
      <c r="BU100" s="128">
        <v>1.71</v>
      </c>
      <c r="BV100" s="128">
        <v>1.72</v>
      </c>
      <c r="BW100" s="128">
        <v>1.73</v>
      </c>
      <c r="BX100" s="128">
        <v>1.74</v>
      </c>
      <c r="BY100" s="128">
        <v>1.75</v>
      </c>
      <c r="BZ100" s="128">
        <v>1.76</v>
      </c>
      <c r="CA100" s="128">
        <v>1.77</v>
      </c>
      <c r="CB100" s="128">
        <v>1.78</v>
      </c>
      <c r="CC100" s="128">
        <v>1.79</v>
      </c>
      <c r="CD100" s="128">
        <v>1.8</v>
      </c>
      <c r="CE100" s="128">
        <v>1.81</v>
      </c>
      <c r="CF100" s="128">
        <v>1.82</v>
      </c>
      <c r="CG100" s="128">
        <v>1.83</v>
      </c>
      <c r="CH100" s="128">
        <v>1.84</v>
      </c>
      <c r="CI100" s="128">
        <v>1.85</v>
      </c>
      <c r="CJ100" s="128">
        <v>1.86</v>
      </c>
      <c r="CK100" s="128">
        <v>1.87</v>
      </c>
      <c r="CL100" s="128">
        <v>1.88</v>
      </c>
      <c r="CM100" s="128">
        <v>1.89</v>
      </c>
      <c r="CN100" s="128">
        <v>1.9</v>
      </c>
      <c r="CO100" s="128">
        <v>1.91</v>
      </c>
      <c r="CP100" s="128">
        <v>1.92</v>
      </c>
      <c r="CQ100" s="128">
        <v>1.93</v>
      </c>
      <c r="CR100" s="128">
        <v>1.94</v>
      </c>
      <c r="CS100" s="128">
        <v>1.95</v>
      </c>
      <c r="CT100" s="128">
        <v>1.96</v>
      </c>
      <c r="CU100" s="128">
        <v>1.97</v>
      </c>
      <c r="CV100" s="128">
        <v>1.97</v>
      </c>
      <c r="CW100" s="128">
        <v>1.97</v>
      </c>
      <c r="CX100" s="128">
        <v>1.97</v>
      </c>
      <c r="CZ100" s="126">
        <f>SUMIF(MatrixF1[[1]:[2]],MatrixF1[[#This Row],[Столбец1]])/MatrixF1[[#This Row],[Столбец1]]</f>
        <v>7.0000000000000009</v>
      </c>
    </row>
    <row r="101" spans="1:104" ht="21" customHeight="1" x14ac:dyDescent="0.25">
      <c r="A101" s="127">
        <v>1.98</v>
      </c>
      <c r="B101" s="128">
        <v>1</v>
      </c>
      <c r="C101" s="128">
        <v>1.01</v>
      </c>
      <c r="D101" s="128">
        <v>1.02</v>
      </c>
      <c r="E101" s="128">
        <v>1.03</v>
      </c>
      <c r="F101" s="128">
        <v>1.04</v>
      </c>
      <c r="G101" s="128">
        <v>1.05</v>
      </c>
      <c r="H101" s="128">
        <v>1.06</v>
      </c>
      <c r="I101" s="128">
        <v>1.07</v>
      </c>
      <c r="J101" s="128">
        <v>1.08</v>
      </c>
      <c r="K101" s="128">
        <v>1.0900000000000001</v>
      </c>
      <c r="L101" s="128">
        <v>1.1000000000000001</v>
      </c>
      <c r="M101" s="128">
        <v>1.1100000000000001</v>
      </c>
      <c r="N101" s="128">
        <v>1.1200000000000001</v>
      </c>
      <c r="O101" s="128">
        <v>1.1299999999999999</v>
      </c>
      <c r="P101" s="128">
        <v>1.1399999999999999</v>
      </c>
      <c r="Q101" s="128">
        <v>1.1499999999999999</v>
      </c>
      <c r="R101" s="128">
        <v>1.1599999999999999</v>
      </c>
      <c r="S101" s="128">
        <v>1.17</v>
      </c>
      <c r="T101" s="128">
        <v>1.18</v>
      </c>
      <c r="U101" s="128">
        <v>1.19</v>
      </c>
      <c r="V101" s="128">
        <v>1.2</v>
      </c>
      <c r="W101" s="128">
        <v>1.21</v>
      </c>
      <c r="X101" s="128">
        <v>1.22</v>
      </c>
      <c r="Y101" s="128">
        <v>1.23</v>
      </c>
      <c r="Z101" s="128">
        <v>1.24</v>
      </c>
      <c r="AA101" s="128">
        <v>1.25</v>
      </c>
      <c r="AB101" s="128">
        <v>1.26</v>
      </c>
      <c r="AC101" s="128">
        <v>1.27</v>
      </c>
      <c r="AD101" s="128">
        <v>1.28</v>
      </c>
      <c r="AE101" s="128">
        <v>1.29</v>
      </c>
      <c r="AF101" s="128">
        <v>1.3</v>
      </c>
      <c r="AG101" s="128">
        <v>1.31</v>
      </c>
      <c r="AH101" s="128">
        <v>1.32</v>
      </c>
      <c r="AI101" s="128">
        <v>1.33</v>
      </c>
      <c r="AJ101" s="128">
        <v>1.34</v>
      </c>
      <c r="AK101" s="128">
        <v>1.35</v>
      </c>
      <c r="AL101" s="128">
        <v>1.36</v>
      </c>
      <c r="AM101" s="128">
        <v>1.37</v>
      </c>
      <c r="AN101" s="128">
        <v>1.38</v>
      </c>
      <c r="AO101" s="128">
        <v>1.39</v>
      </c>
      <c r="AP101" s="128">
        <v>1.4</v>
      </c>
      <c r="AQ101" s="128">
        <v>1.41</v>
      </c>
      <c r="AR101" s="128">
        <v>1.42</v>
      </c>
      <c r="AS101" s="128">
        <v>1.43</v>
      </c>
      <c r="AT101" s="128">
        <v>1.44</v>
      </c>
      <c r="AU101" s="128">
        <v>1.45</v>
      </c>
      <c r="AV101" s="128">
        <v>1.46</v>
      </c>
      <c r="AW101" s="128">
        <v>1.47</v>
      </c>
      <c r="AX101" s="128">
        <v>1.48</v>
      </c>
      <c r="AY101" s="128">
        <v>1.49</v>
      </c>
      <c r="AZ101" s="128">
        <v>1.5</v>
      </c>
      <c r="BA101" s="128">
        <v>1.51</v>
      </c>
      <c r="BB101" s="128">
        <v>1.52</v>
      </c>
      <c r="BC101" s="128">
        <v>1.53</v>
      </c>
      <c r="BD101" s="128">
        <v>1.54</v>
      </c>
      <c r="BE101" s="128">
        <v>1.55</v>
      </c>
      <c r="BF101" s="128">
        <v>1.56</v>
      </c>
      <c r="BG101" s="128">
        <v>1.57</v>
      </c>
      <c r="BH101" s="128">
        <v>1.58</v>
      </c>
      <c r="BI101" s="128">
        <v>1.59</v>
      </c>
      <c r="BJ101" s="128">
        <v>1.6</v>
      </c>
      <c r="BK101" s="128">
        <v>1.61</v>
      </c>
      <c r="BL101" s="128">
        <v>1.62</v>
      </c>
      <c r="BM101" s="128">
        <v>1.63</v>
      </c>
      <c r="BN101" s="128">
        <v>1.64</v>
      </c>
      <c r="BO101" s="128">
        <v>1.65</v>
      </c>
      <c r="BP101" s="128">
        <v>1.66</v>
      </c>
      <c r="BQ101" s="128">
        <v>1.67</v>
      </c>
      <c r="BR101" s="128">
        <v>1.68</v>
      </c>
      <c r="BS101" s="128">
        <v>1.69</v>
      </c>
      <c r="BT101" s="128">
        <v>1.7</v>
      </c>
      <c r="BU101" s="128">
        <v>1.71</v>
      </c>
      <c r="BV101" s="128">
        <v>1.72</v>
      </c>
      <c r="BW101" s="128">
        <v>1.73</v>
      </c>
      <c r="BX101" s="128">
        <v>1.74</v>
      </c>
      <c r="BY101" s="128">
        <v>1.75</v>
      </c>
      <c r="BZ101" s="128">
        <v>1.76</v>
      </c>
      <c r="CA101" s="128">
        <v>1.77</v>
      </c>
      <c r="CB101" s="128">
        <v>1.78</v>
      </c>
      <c r="CC101" s="128">
        <v>1.79</v>
      </c>
      <c r="CD101" s="128">
        <v>1.8</v>
      </c>
      <c r="CE101" s="128">
        <v>1.81</v>
      </c>
      <c r="CF101" s="128">
        <v>1.82</v>
      </c>
      <c r="CG101" s="128">
        <v>1.83</v>
      </c>
      <c r="CH101" s="128">
        <v>1.84</v>
      </c>
      <c r="CI101" s="128">
        <v>1.85</v>
      </c>
      <c r="CJ101" s="128">
        <v>1.86</v>
      </c>
      <c r="CK101" s="128">
        <v>1.87</v>
      </c>
      <c r="CL101" s="128">
        <v>1.88</v>
      </c>
      <c r="CM101" s="128">
        <v>1.89</v>
      </c>
      <c r="CN101" s="128">
        <v>1.9</v>
      </c>
      <c r="CO101" s="128">
        <v>1.91</v>
      </c>
      <c r="CP101" s="128">
        <v>1.92</v>
      </c>
      <c r="CQ101" s="128">
        <v>1.93</v>
      </c>
      <c r="CR101" s="128">
        <v>1.94</v>
      </c>
      <c r="CS101" s="128">
        <v>1.95</v>
      </c>
      <c r="CT101" s="128">
        <v>1.96</v>
      </c>
      <c r="CU101" s="128">
        <v>1.97</v>
      </c>
      <c r="CV101" s="128">
        <v>1.98</v>
      </c>
      <c r="CW101" s="128">
        <v>1.98</v>
      </c>
      <c r="CX101" s="128">
        <v>1.98</v>
      </c>
      <c r="CZ101" s="126">
        <f>SUMIF(MatrixF1[[1]:[2]],MatrixF1[[#This Row],[Столбец1]])/MatrixF1[[#This Row],[Столбец1]]</f>
        <v>5</v>
      </c>
    </row>
    <row r="102" spans="1:104" ht="21" customHeight="1" x14ac:dyDescent="0.25">
      <c r="A102" s="127">
        <v>1.99</v>
      </c>
      <c r="B102" s="128">
        <v>1</v>
      </c>
      <c r="C102" s="128">
        <v>1.01</v>
      </c>
      <c r="D102" s="128">
        <v>1.02</v>
      </c>
      <c r="E102" s="128">
        <v>1.03</v>
      </c>
      <c r="F102" s="128">
        <v>1.04</v>
      </c>
      <c r="G102" s="128">
        <v>1.05</v>
      </c>
      <c r="H102" s="128">
        <v>1.06</v>
      </c>
      <c r="I102" s="128">
        <v>1.07</v>
      </c>
      <c r="J102" s="128">
        <v>1.08</v>
      </c>
      <c r="K102" s="128">
        <v>1.0900000000000001</v>
      </c>
      <c r="L102" s="128">
        <v>1.1000000000000001</v>
      </c>
      <c r="M102" s="128">
        <v>1.1100000000000001</v>
      </c>
      <c r="N102" s="128">
        <v>1.1200000000000001</v>
      </c>
      <c r="O102" s="128">
        <v>1.1299999999999999</v>
      </c>
      <c r="P102" s="128">
        <v>1.1399999999999999</v>
      </c>
      <c r="Q102" s="128">
        <v>1.1499999999999999</v>
      </c>
      <c r="R102" s="128">
        <v>1.1599999999999999</v>
      </c>
      <c r="S102" s="128">
        <v>1.17</v>
      </c>
      <c r="T102" s="128">
        <v>1.18</v>
      </c>
      <c r="U102" s="128">
        <v>1.19</v>
      </c>
      <c r="V102" s="128">
        <v>1.2</v>
      </c>
      <c r="W102" s="128">
        <v>1.21</v>
      </c>
      <c r="X102" s="128">
        <v>1.22</v>
      </c>
      <c r="Y102" s="128">
        <v>1.23</v>
      </c>
      <c r="Z102" s="128">
        <v>1.24</v>
      </c>
      <c r="AA102" s="128">
        <v>1.25</v>
      </c>
      <c r="AB102" s="128">
        <v>1.26</v>
      </c>
      <c r="AC102" s="128">
        <v>1.27</v>
      </c>
      <c r="AD102" s="128">
        <v>1.28</v>
      </c>
      <c r="AE102" s="128">
        <v>1.29</v>
      </c>
      <c r="AF102" s="128">
        <v>1.3</v>
      </c>
      <c r="AG102" s="128">
        <v>1.31</v>
      </c>
      <c r="AH102" s="128">
        <v>1.32</v>
      </c>
      <c r="AI102" s="128">
        <v>1.33</v>
      </c>
      <c r="AJ102" s="128">
        <v>1.34</v>
      </c>
      <c r="AK102" s="128">
        <v>1.35</v>
      </c>
      <c r="AL102" s="128">
        <v>1.36</v>
      </c>
      <c r="AM102" s="128">
        <v>1.37</v>
      </c>
      <c r="AN102" s="128">
        <v>1.38</v>
      </c>
      <c r="AO102" s="128">
        <v>1.39</v>
      </c>
      <c r="AP102" s="128">
        <v>1.4</v>
      </c>
      <c r="AQ102" s="128">
        <v>1.41</v>
      </c>
      <c r="AR102" s="128">
        <v>1.42</v>
      </c>
      <c r="AS102" s="128">
        <v>1.43</v>
      </c>
      <c r="AT102" s="128">
        <v>1.44</v>
      </c>
      <c r="AU102" s="128">
        <v>1.45</v>
      </c>
      <c r="AV102" s="128">
        <v>1.46</v>
      </c>
      <c r="AW102" s="128">
        <v>1.47</v>
      </c>
      <c r="AX102" s="128">
        <v>1.48</v>
      </c>
      <c r="AY102" s="128">
        <v>1.49</v>
      </c>
      <c r="AZ102" s="128">
        <v>1.5</v>
      </c>
      <c r="BA102" s="128">
        <v>1.51</v>
      </c>
      <c r="BB102" s="128">
        <v>1.52</v>
      </c>
      <c r="BC102" s="128">
        <v>1.53</v>
      </c>
      <c r="BD102" s="128">
        <v>1.54</v>
      </c>
      <c r="BE102" s="128">
        <v>1.55</v>
      </c>
      <c r="BF102" s="128">
        <v>1.56</v>
      </c>
      <c r="BG102" s="128">
        <v>1.57</v>
      </c>
      <c r="BH102" s="128">
        <v>1.58</v>
      </c>
      <c r="BI102" s="128">
        <v>1.59</v>
      </c>
      <c r="BJ102" s="128">
        <v>1.6</v>
      </c>
      <c r="BK102" s="128">
        <v>1.61</v>
      </c>
      <c r="BL102" s="128">
        <v>1.62</v>
      </c>
      <c r="BM102" s="128">
        <v>1.63</v>
      </c>
      <c r="BN102" s="128">
        <v>1.64</v>
      </c>
      <c r="BO102" s="128">
        <v>1.65</v>
      </c>
      <c r="BP102" s="128">
        <v>1.66</v>
      </c>
      <c r="BQ102" s="128">
        <v>1.67</v>
      </c>
      <c r="BR102" s="128">
        <v>1.68</v>
      </c>
      <c r="BS102" s="128">
        <v>1.69</v>
      </c>
      <c r="BT102" s="128">
        <v>1.7</v>
      </c>
      <c r="BU102" s="128">
        <v>1.71</v>
      </c>
      <c r="BV102" s="128">
        <v>1.72</v>
      </c>
      <c r="BW102" s="128">
        <v>1.73</v>
      </c>
      <c r="BX102" s="128">
        <v>1.74</v>
      </c>
      <c r="BY102" s="128">
        <v>1.75</v>
      </c>
      <c r="BZ102" s="128">
        <v>1.76</v>
      </c>
      <c r="CA102" s="128">
        <v>1.77</v>
      </c>
      <c r="CB102" s="128">
        <v>1.78</v>
      </c>
      <c r="CC102" s="128">
        <v>1.79</v>
      </c>
      <c r="CD102" s="128">
        <v>1.8</v>
      </c>
      <c r="CE102" s="128">
        <v>1.81</v>
      </c>
      <c r="CF102" s="128">
        <v>1.82</v>
      </c>
      <c r="CG102" s="128">
        <v>1.83</v>
      </c>
      <c r="CH102" s="128">
        <v>1.84</v>
      </c>
      <c r="CI102" s="128">
        <v>1.85</v>
      </c>
      <c r="CJ102" s="128">
        <v>1.86</v>
      </c>
      <c r="CK102" s="128">
        <v>1.87</v>
      </c>
      <c r="CL102" s="128">
        <v>1.88</v>
      </c>
      <c r="CM102" s="128">
        <v>1.89</v>
      </c>
      <c r="CN102" s="128">
        <v>1.9</v>
      </c>
      <c r="CO102" s="128">
        <v>1.91</v>
      </c>
      <c r="CP102" s="128">
        <v>1.92</v>
      </c>
      <c r="CQ102" s="128">
        <v>1.93</v>
      </c>
      <c r="CR102" s="128">
        <v>1.94</v>
      </c>
      <c r="CS102" s="128">
        <v>1.95</v>
      </c>
      <c r="CT102" s="128">
        <v>1.96</v>
      </c>
      <c r="CU102" s="128">
        <v>1.97</v>
      </c>
      <c r="CV102" s="128">
        <v>1.98</v>
      </c>
      <c r="CW102" s="128">
        <v>1.99</v>
      </c>
      <c r="CX102" s="128">
        <v>1.99</v>
      </c>
      <c r="CZ102" s="126">
        <f>SUMIF(MatrixF1[[1]:[2]],MatrixF1[[#This Row],[Столбец1]])/MatrixF1[[#This Row],[Столбец1]]</f>
        <v>3</v>
      </c>
    </row>
    <row r="103" spans="1:104" ht="21" customHeight="1" x14ac:dyDescent="0.25">
      <c r="A103" s="127">
        <v>2</v>
      </c>
      <c r="B103" s="128">
        <v>1</v>
      </c>
      <c r="C103" s="128">
        <v>1.01</v>
      </c>
      <c r="D103" s="128">
        <v>1.02</v>
      </c>
      <c r="E103" s="128">
        <v>1.03</v>
      </c>
      <c r="F103" s="128">
        <v>1.04</v>
      </c>
      <c r="G103" s="128">
        <v>1.05</v>
      </c>
      <c r="H103" s="128">
        <v>1.06</v>
      </c>
      <c r="I103" s="128">
        <v>1.07</v>
      </c>
      <c r="J103" s="128">
        <v>1.08</v>
      </c>
      <c r="K103" s="128">
        <v>1.0900000000000001</v>
      </c>
      <c r="L103" s="128">
        <v>1.1000000000000001</v>
      </c>
      <c r="M103" s="128">
        <v>1.1100000000000001</v>
      </c>
      <c r="N103" s="128">
        <v>1.1200000000000001</v>
      </c>
      <c r="O103" s="128">
        <v>1.1299999999999999</v>
      </c>
      <c r="P103" s="128">
        <v>1.1399999999999999</v>
      </c>
      <c r="Q103" s="128">
        <v>1.1499999999999999</v>
      </c>
      <c r="R103" s="128">
        <v>1.1599999999999999</v>
      </c>
      <c r="S103" s="128">
        <v>1.17</v>
      </c>
      <c r="T103" s="128">
        <v>1.18</v>
      </c>
      <c r="U103" s="128">
        <v>1.19</v>
      </c>
      <c r="V103" s="128">
        <v>1.2</v>
      </c>
      <c r="W103" s="128">
        <v>1.21</v>
      </c>
      <c r="X103" s="128">
        <v>1.22</v>
      </c>
      <c r="Y103" s="128">
        <v>1.23</v>
      </c>
      <c r="Z103" s="128">
        <v>1.24</v>
      </c>
      <c r="AA103" s="128">
        <v>1.25</v>
      </c>
      <c r="AB103" s="128">
        <v>1.26</v>
      </c>
      <c r="AC103" s="128">
        <v>1.27</v>
      </c>
      <c r="AD103" s="128">
        <v>1.28</v>
      </c>
      <c r="AE103" s="128">
        <v>1.29</v>
      </c>
      <c r="AF103" s="128">
        <v>1.3</v>
      </c>
      <c r="AG103" s="128">
        <v>1.31</v>
      </c>
      <c r="AH103" s="128">
        <v>1.32</v>
      </c>
      <c r="AI103" s="128">
        <v>1.33</v>
      </c>
      <c r="AJ103" s="128">
        <v>1.34</v>
      </c>
      <c r="AK103" s="128">
        <v>1.35</v>
      </c>
      <c r="AL103" s="128">
        <v>1.36</v>
      </c>
      <c r="AM103" s="128">
        <v>1.37</v>
      </c>
      <c r="AN103" s="128">
        <v>1.38</v>
      </c>
      <c r="AO103" s="128">
        <v>1.39</v>
      </c>
      <c r="AP103" s="128">
        <v>1.4</v>
      </c>
      <c r="AQ103" s="128">
        <v>1.41</v>
      </c>
      <c r="AR103" s="128">
        <v>1.42</v>
      </c>
      <c r="AS103" s="128">
        <v>1.43</v>
      </c>
      <c r="AT103" s="128">
        <v>1.44</v>
      </c>
      <c r="AU103" s="128">
        <v>1.45</v>
      </c>
      <c r="AV103" s="128">
        <v>1.46</v>
      </c>
      <c r="AW103" s="128">
        <v>1.47</v>
      </c>
      <c r="AX103" s="128">
        <v>1.48</v>
      </c>
      <c r="AY103" s="128">
        <v>1.49</v>
      </c>
      <c r="AZ103" s="128">
        <v>1.5</v>
      </c>
      <c r="BA103" s="128">
        <v>1.51</v>
      </c>
      <c r="BB103" s="128">
        <v>1.52</v>
      </c>
      <c r="BC103" s="128">
        <v>1.53</v>
      </c>
      <c r="BD103" s="128">
        <v>1.54</v>
      </c>
      <c r="BE103" s="128">
        <v>1.55</v>
      </c>
      <c r="BF103" s="128">
        <v>1.56</v>
      </c>
      <c r="BG103" s="128">
        <v>1.57</v>
      </c>
      <c r="BH103" s="128">
        <v>1.58</v>
      </c>
      <c r="BI103" s="128">
        <v>1.59</v>
      </c>
      <c r="BJ103" s="128">
        <v>1.6</v>
      </c>
      <c r="BK103" s="128">
        <v>1.61</v>
      </c>
      <c r="BL103" s="128">
        <v>1.62</v>
      </c>
      <c r="BM103" s="128">
        <v>1.63</v>
      </c>
      <c r="BN103" s="128">
        <v>1.64</v>
      </c>
      <c r="BO103" s="128">
        <v>1.65</v>
      </c>
      <c r="BP103" s="128">
        <v>1.66</v>
      </c>
      <c r="BQ103" s="128">
        <v>1.67</v>
      </c>
      <c r="BR103" s="128">
        <v>1.68</v>
      </c>
      <c r="BS103" s="128">
        <v>1.69</v>
      </c>
      <c r="BT103" s="128">
        <v>1.7</v>
      </c>
      <c r="BU103" s="128">
        <v>1.71</v>
      </c>
      <c r="BV103" s="128">
        <v>1.72</v>
      </c>
      <c r="BW103" s="128">
        <v>1.73</v>
      </c>
      <c r="BX103" s="128">
        <v>1.74</v>
      </c>
      <c r="BY103" s="128">
        <v>1.75</v>
      </c>
      <c r="BZ103" s="128">
        <v>1.76</v>
      </c>
      <c r="CA103" s="128">
        <v>1.77</v>
      </c>
      <c r="CB103" s="128">
        <v>1.78</v>
      </c>
      <c r="CC103" s="128">
        <v>1.79</v>
      </c>
      <c r="CD103" s="128">
        <v>1.8</v>
      </c>
      <c r="CE103" s="128">
        <v>1.81</v>
      </c>
      <c r="CF103" s="128">
        <v>1.82</v>
      </c>
      <c r="CG103" s="128">
        <v>1.83</v>
      </c>
      <c r="CH103" s="128">
        <v>1.84</v>
      </c>
      <c r="CI103" s="128">
        <v>1.85</v>
      </c>
      <c r="CJ103" s="128">
        <v>1.86</v>
      </c>
      <c r="CK103" s="128">
        <v>1.87</v>
      </c>
      <c r="CL103" s="128">
        <v>1.88</v>
      </c>
      <c r="CM103" s="128">
        <v>1.89</v>
      </c>
      <c r="CN103" s="128">
        <v>1.9</v>
      </c>
      <c r="CO103" s="128">
        <v>1.91</v>
      </c>
      <c r="CP103" s="128">
        <v>1.92</v>
      </c>
      <c r="CQ103" s="128">
        <v>1.93</v>
      </c>
      <c r="CR103" s="128">
        <v>1.94</v>
      </c>
      <c r="CS103" s="128">
        <v>1.95</v>
      </c>
      <c r="CT103" s="128">
        <v>1.96</v>
      </c>
      <c r="CU103" s="128">
        <v>1.97</v>
      </c>
      <c r="CV103" s="128">
        <v>1.98</v>
      </c>
      <c r="CW103" s="128">
        <v>1.99</v>
      </c>
      <c r="CX103" s="128">
        <v>2</v>
      </c>
      <c r="CZ103" s="126">
        <f>SUMIF(MatrixF1[[1]:[2]],MatrixF1[[#This Row],[Столбец1]])/MatrixF1[[#This Row],[Столбец1]]</f>
        <v>1</v>
      </c>
    </row>
    <row r="105" spans="1:104" s="126" customFormat="1" ht="21" customHeight="1" x14ac:dyDescent="0.25">
      <c r="B105" s="126">
        <f>SUMIF(MatrixF1[[1]:[2]],MatrixF1[[#Headers],[1]])/MatrixF1[[#Headers],[1]]</f>
        <v>201</v>
      </c>
      <c r="C105" s="126">
        <f>SUMIF(MatrixF1[[1]:[2]],MatrixF1[[#Headers],[1,01]])/MatrixF1[[#Headers],[1,01]]</f>
        <v>137.00000000000017</v>
      </c>
      <c r="D105" s="126">
        <f>SUMIF(MatrixF1[[1]:[2]],MatrixF1[[#Headers],[1,02]])/MatrixF1[[#Headers],[1,02]]</f>
        <v>145.00000000000003</v>
      </c>
      <c r="E105" s="126">
        <f>SUMIF(MatrixF1[[1]:[2]],MatrixF1[[#Headers],[1,03]])/MatrixF1[[#Headers],[1,03]]</f>
        <v>157.00000000000014</v>
      </c>
      <c r="F105" s="126">
        <f>SUMIF(MatrixF1[[1]:[2]],MatrixF1[[#Headers],[1,04]])/MatrixF1[[#Headers],[1,04]]</f>
        <v>153.00000000000011</v>
      </c>
      <c r="G105" s="126">
        <f>SUMIF(MatrixF1[[1]:[2]],MatrixF1[[#Headers],[1,05]])/MatrixF1[[#Headers],[1,05]]</f>
        <v>161.0000000000002</v>
      </c>
      <c r="H105" s="126">
        <f>SUMIF(MatrixF1[[1]:[2]],MatrixF1[[#Headers],[1,06]])/MatrixF1[[#Headers],[1,06]]</f>
        <v>149.00000000000023</v>
      </c>
      <c r="I105" s="126">
        <f>SUMIF(MatrixF1[[1]:[2]],MatrixF1[[#Headers],[1,07]])/MatrixF1[[#Headers],[1,07]]</f>
        <v>158.99999999999937</v>
      </c>
      <c r="J105" s="126">
        <f>SUMIF(MatrixF1[[1]:[2]],MatrixF1[[#Headers],[1,08]])/MatrixF1[[#Headers],[1,08]]</f>
        <v>155.00000000000026</v>
      </c>
      <c r="K105" s="126">
        <f>SUMIF(MatrixF1[[1]:[2]],MatrixF1[[#Headers],[1,09]])/MatrixF1[[#Headers],[1,09]]</f>
        <v>159.00000000000037</v>
      </c>
      <c r="L105" s="126">
        <f>SUMIF(MatrixF1[[1]:[2]],MatrixF1[[#Headers],[1,1]])/MatrixF1[[#Headers],[1,1]]</f>
        <v>158.99999999999952</v>
      </c>
      <c r="M105" s="126">
        <f>SUMIF(MatrixF1[[1]:[2]],MatrixF1[[#Headers],[1,11]])/MatrixF1[[#Headers],[1,11]]</f>
        <v>163.00000000000054</v>
      </c>
      <c r="N105" s="126">
        <f>SUMIF(MatrixF1[[1]:[2]],MatrixF1[[#Headers],[1,12]])/MatrixF1[[#Headers],[1,12]]</f>
        <v>165.00000000000037</v>
      </c>
      <c r="O105" s="126">
        <f>SUMIF(MatrixF1[[1]:[2]],MatrixF1[[#Headers],[1,13]])/MatrixF1[[#Headers],[1,13]]</f>
        <v>152.99999999999969</v>
      </c>
      <c r="P105" s="126">
        <f>SUMIF(MatrixF1[[1]:[2]],MatrixF1[[#Headers],[1,14]])/MatrixF1[[#Headers],[1,14]]</f>
        <v>164.99999999999943</v>
      </c>
      <c r="Q105" s="126">
        <f>SUMIF(MatrixF1[[1]:[2]],MatrixF1[[#Headers],[1,15]])/MatrixF1[[#Headers],[1,15]]</f>
        <v>163.00000000000048</v>
      </c>
      <c r="R105" s="126">
        <f>SUMIF(MatrixF1[[1]:[2]],MatrixF1[[#Headers],[1,16]])/MatrixF1[[#Headers],[1,16]]</f>
        <v>166.99999999999963</v>
      </c>
      <c r="S105" s="126">
        <f>SUMIF(MatrixF1[[1]:[2]],MatrixF1[[#Headers],[1,17]])/MatrixF1[[#Headers],[1,17]]</f>
        <v>150.99999999999972</v>
      </c>
      <c r="T105" s="126">
        <f>SUMIF(MatrixF1[[1]:[2]],MatrixF1[[#Headers],[1,18]])/MatrixF1[[#Headers],[1,18]]</f>
        <v>165.00000000000063</v>
      </c>
      <c r="U105" s="126">
        <f>SUMIF(MatrixF1[[1]:[2]],MatrixF1[[#Headers],[1,19]])/MatrixF1[[#Headers],[1,19]]</f>
        <v>162.99999999999977</v>
      </c>
      <c r="V105" s="126">
        <f>SUMIF(MatrixF1[[1]:[2]],MatrixF1[[#Headers],[1,2]])/MatrixF1[[#Headers],[1,2]]</f>
        <v>162.99999999999966</v>
      </c>
      <c r="W105" s="126">
        <f>SUMIF(MatrixF1[[1]:[2]],MatrixF1[[#Headers],[1,21]])/MatrixF1[[#Headers],[1,21]]</f>
        <v>159.00000000000011</v>
      </c>
      <c r="X105" s="126">
        <f>SUMIF(MatrixF1[[1]:[2]],MatrixF1[[#Headers],[1,22]])/MatrixF1[[#Headers],[1,22]]</f>
        <v>168.99999999999986</v>
      </c>
      <c r="Y105" s="126">
        <f>SUMIF(MatrixF1[[1]:[2]],MatrixF1[[#Headers],[1,23]])/MatrixF1[[#Headers],[1,23]]</f>
        <v>158.99999999999966</v>
      </c>
      <c r="Z105" s="126">
        <f>SUMIF(MatrixF1[[1]:[2]],MatrixF1[[#Headers],[1,24]])/MatrixF1[[#Headers],[1,24]]</f>
        <v>169.00000000000031</v>
      </c>
      <c r="AA105" s="126">
        <f>SUMIF(MatrixF1[[1]:[2]],MatrixF1[[#Headers],[1,25]])/MatrixF1[[#Headers],[1,25]]</f>
        <v>151</v>
      </c>
      <c r="AB105" s="126">
        <f>SUMIF(MatrixF1[[1]:[2]],MatrixF1[[#Headers],[1,26]])/MatrixF1[[#Headers],[1,26]]</f>
        <v>164.99999999999974</v>
      </c>
      <c r="AC105" s="126">
        <f>SUMIF(MatrixF1[[1]:[2]],MatrixF1[[#Headers],[1,27]])/MatrixF1[[#Headers],[1,27]]</f>
        <v>161.00000000000037</v>
      </c>
      <c r="AD105" s="126">
        <f>SUMIF(MatrixF1[[1]:[2]],MatrixF1[[#Headers],[1,28]])/MatrixF1[[#Headers],[1,28]]</f>
        <v>161.00000000000011</v>
      </c>
      <c r="AE105" s="126">
        <f>SUMIF(MatrixF1[[1]:[2]],MatrixF1[[#Headers],[1,29]])/MatrixF1[[#Headers],[1,29]]</f>
        <v>162.99999999999983</v>
      </c>
      <c r="AF105" s="126">
        <f>SUMIF(MatrixF1[[1]:[2]],MatrixF1[[#Headers],[1,3]])/MatrixF1[[#Headers],[1,3]]</f>
        <v>157.00000000000037</v>
      </c>
      <c r="AG105" s="126">
        <f>SUMIF(MatrixF1[[1]:[2]],MatrixF1[[#Headers],[1,31]])/MatrixF1[[#Headers],[1,31]]</f>
        <v>155.0000000000002</v>
      </c>
      <c r="AH105" s="126">
        <f>SUMIF(MatrixF1[[1]:[2]],MatrixF1[[#Headers],[1,32]])/MatrixF1[[#Headers],[1,32]]</f>
        <v>158.99999999999943</v>
      </c>
      <c r="AI105" s="126">
        <f>SUMIF(MatrixF1[[1]:[2]],MatrixF1[[#Headers],[1,33]])/MatrixF1[[#Headers],[1,33]]</f>
        <v>159.00000000000048</v>
      </c>
      <c r="AJ105" s="126">
        <f>SUMIF(MatrixF1[[1]:[2]],MatrixF1[[#Headers],[1,34]])/MatrixF1[[#Headers],[1,34]]</f>
        <v>153.00000000000031</v>
      </c>
      <c r="AK105" s="126">
        <f>SUMIF(MatrixF1[[1]:[2]],MatrixF1[[#Headers],[1,35]])/MatrixF1[[#Headers],[1,35]]</f>
        <v>154.99999999999957</v>
      </c>
      <c r="AL105" s="126">
        <f>SUMIF(MatrixF1[[1]:[2]],MatrixF1[[#Headers],[1,36]])/MatrixF1[[#Headers],[1,36]]</f>
        <v>149.00000000000051</v>
      </c>
      <c r="AM105" s="126">
        <f>SUMIF(MatrixF1[[1]:[2]],MatrixF1[[#Headers],[1,37]])/MatrixF1[[#Headers],[1,37]]</f>
        <v>143.00000000000028</v>
      </c>
      <c r="AN105" s="126">
        <f>SUMIF(MatrixF1[[1]:[2]],MatrixF1[[#Headers],[1,38]])/MatrixF1[[#Headers],[1,38]]</f>
        <v>150.99999999999969</v>
      </c>
      <c r="AO105" s="126">
        <f>SUMIF(MatrixF1[[1]:[2]],MatrixF1[[#Headers],[1,39]])/MatrixF1[[#Headers],[1,39]]</f>
        <v>142.99999999999955</v>
      </c>
      <c r="AP105" s="126">
        <f>SUMIF(MatrixF1[[1]:[2]],MatrixF1[[#Headers],[1,4]])/MatrixF1[[#Headers],[1,4]]</f>
        <v>147.00000000000037</v>
      </c>
      <c r="AQ105" s="126">
        <f>SUMIF(MatrixF1[[1]:[2]],MatrixF1[[#Headers],[1,41]])/MatrixF1[[#Headers],[1,41]]</f>
        <v>138.99999999999974</v>
      </c>
      <c r="AR105" s="126">
        <f>SUMIF(MatrixF1[[1]:[2]],MatrixF1[[#Headers],[1,42]])/MatrixF1[[#Headers],[1,42]]</f>
        <v>132.99999999999972</v>
      </c>
      <c r="AS105" s="126">
        <f>SUMIF(MatrixF1[[1]:[2]],MatrixF1[[#Headers],[1,43]])/MatrixF1[[#Headers],[1,43]]</f>
        <v>137.00000000000045</v>
      </c>
      <c r="AT105" s="126">
        <f>SUMIF(MatrixF1[[1]:[2]],MatrixF1[[#Headers],[1,44]])/MatrixF1[[#Headers],[1,44]]</f>
        <v>126.99999999999986</v>
      </c>
      <c r="AU105" s="126">
        <f>SUMIF(MatrixF1[[1]:[2]],MatrixF1[[#Headers],[1,45]])/MatrixF1[[#Headers],[1,45]]</f>
        <v>126.99999999999982</v>
      </c>
      <c r="AV105" s="126">
        <f>SUMIF(MatrixF1[[1]:[2]],MatrixF1[[#Headers],[1,46]])/MatrixF1[[#Headers],[1,46]]</f>
        <v>123.00000000000003</v>
      </c>
      <c r="AW105" s="126">
        <f>SUMIF(MatrixF1[[1]:[2]],MatrixF1[[#Headers],[1,47]])/MatrixF1[[#Headers],[1,47]]</f>
        <v>116.99999999999993</v>
      </c>
      <c r="AX105" s="126">
        <f>SUMIF(MatrixF1[[1]:[2]],MatrixF1[[#Headers],[1,48]])/MatrixF1[[#Headers],[1,48]]</f>
        <v>110.9999999999999</v>
      </c>
      <c r="AY105" s="126">
        <f>SUMIF(MatrixF1[[1]:[2]],MatrixF1[[#Headers],[1,49]])/MatrixF1[[#Headers],[1,49]]</f>
        <v>105</v>
      </c>
      <c r="AZ105" s="126">
        <f>SUMIF(MatrixF1[[1]:[2]],MatrixF1[[#Headers],[1,5]])/MatrixF1[[#Headers],[1,5]]</f>
        <v>101</v>
      </c>
      <c r="BA105" s="126">
        <f>SUMIF(MatrixF1[[1]:[2]],MatrixF1[[#Headers],[1,51]])/MatrixF1[[#Headers],[1,51]]</f>
        <v>99.000000000000043</v>
      </c>
      <c r="BB105" s="126">
        <f>SUMIF(MatrixF1[[1]:[2]],MatrixF1[[#Headers],[1,52]])/MatrixF1[[#Headers],[1,52]]</f>
        <v>97.000000000000014</v>
      </c>
      <c r="BC105" s="126">
        <f>SUMIF(MatrixF1[[1]:[2]],MatrixF1[[#Headers],[1,53]])/MatrixF1[[#Headers],[1,53]]</f>
        <v>95.000000000000057</v>
      </c>
      <c r="BD105" s="126">
        <f>SUMIF(MatrixF1[[1]:[2]],MatrixF1[[#Headers],[1,54]])/MatrixF1[[#Headers],[1,54]]</f>
        <v>93.000000000000114</v>
      </c>
      <c r="BE105" s="126">
        <f>SUMIF(MatrixF1[[1]:[2]],MatrixF1[[#Headers],[1,55]])/MatrixF1[[#Headers],[1,55]]</f>
        <v>90.999999999999943</v>
      </c>
      <c r="BF105" s="126">
        <f>SUMIF(MatrixF1[[1]:[2]],MatrixF1[[#Headers],[1,56]])/MatrixF1[[#Headers],[1,56]]</f>
        <v>89.000000000000085</v>
      </c>
      <c r="BG105" s="126">
        <f>SUMIF(MatrixF1[[1]:[2]],MatrixF1[[#Headers],[1,57]])/MatrixF1[[#Headers],[1,57]]</f>
        <v>86.999999999999801</v>
      </c>
      <c r="BH105" s="126">
        <f>SUMIF(MatrixF1[[1]:[2]],MatrixF1[[#Headers],[1,58]])/MatrixF1[[#Headers],[1,58]]</f>
        <v>84.999999999999943</v>
      </c>
      <c r="BI105" s="126">
        <f>SUMIF(MatrixF1[[1]:[2]],MatrixF1[[#Headers],[1,59]])/MatrixF1[[#Headers],[1,59]]</f>
        <v>83.000000000000114</v>
      </c>
      <c r="BJ105" s="126">
        <f>SUMIF(MatrixF1[[1]:[2]],MatrixF1[[#Headers],[1,6]])/MatrixF1[[#Headers],[1,6]]</f>
        <v>80.999999999999872</v>
      </c>
      <c r="BK105" s="126">
        <f>SUMIF(MatrixF1[[1]:[2]],MatrixF1[[#Headers],[1,61]])/MatrixF1[[#Headers],[1,61]]</f>
        <v>78.999999999999972</v>
      </c>
      <c r="BL105" s="126">
        <f>SUMIF(MatrixF1[[1]:[2]],MatrixF1[[#Headers],[1,62]])/MatrixF1[[#Headers],[1,62]]</f>
        <v>77.000000000000085</v>
      </c>
      <c r="BM105" s="126">
        <f>SUMIF(MatrixF1[[1]:[2]],MatrixF1[[#Headers],[1,63]])/MatrixF1[[#Headers],[1,63]]</f>
        <v>74.999999999999929</v>
      </c>
      <c r="BN105" s="126">
        <f>SUMIF(MatrixF1[[1]:[2]],MatrixF1[[#Headers],[1,64]])/MatrixF1[[#Headers],[1,64]]</f>
        <v>73.000000000000014</v>
      </c>
      <c r="BO105" s="126">
        <f>SUMIF(MatrixF1[[1]:[2]],MatrixF1[[#Headers],[1,65]])/MatrixF1[[#Headers],[1,65]]</f>
        <v>71.000000000000099</v>
      </c>
      <c r="BP105" s="126">
        <f>SUMIF(MatrixF1[[1]:[2]],MatrixF1[[#Headers],[1,66]])/MatrixF1[[#Headers],[1,66]]</f>
        <v>68.999999999999901</v>
      </c>
      <c r="BQ105" s="126">
        <f>SUMIF(MatrixF1[[1]:[2]],MatrixF1[[#Headers],[1,67]])/MatrixF1[[#Headers],[1,67]]</f>
        <v>67.000000000000057</v>
      </c>
      <c r="BR105" s="126">
        <f>SUMIF(MatrixF1[[1]:[2]],MatrixF1[[#Headers],[1,68]])/MatrixF1[[#Headers],[1,68]]</f>
        <v>65.000000000000099</v>
      </c>
      <c r="BS105" s="126">
        <f>SUMIF(MatrixF1[[1]:[2]],MatrixF1[[#Headers],[1,69]])/MatrixF1[[#Headers],[1,69]]</f>
        <v>62.99999999999995</v>
      </c>
      <c r="BT105" s="126">
        <f>SUMIF(MatrixF1[[1]:[2]],MatrixF1[[#Headers],[1,7]])/MatrixF1[[#Headers],[1,7]]</f>
        <v>61.000000000000064</v>
      </c>
      <c r="BU105" s="126">
        <f>SUMIF(MatrixF1[[1]:[2]],MatrixF1[[#Headers],[1,71]])/MatrixF1[[#Headers],[1,71]]</f>
        <v>58.999999999999936</v>
      </c>
      <c r="BV105" s="126">
        <f>SUMIF(MatrixF1[[1]:[2]],MatrixF1[[#Headers],[1,72]])/MatrixF1[[#Headers],[1,72]]</f>
        <v>56.999999999999972</v>
      </c>
      <c r="BW105" s="126">
        <f>SUMIF(MatrixF1[[1]:[2]],MatrixF1[[#Headers],[1,73]])/MatrixF1[[#Headers],[1,73]]</f>
        <v>55.000000000000014</v>
      </c>
      <c r="BX105" s="126">
        <f>SUMIF(MatrixF1[[1]:[2]],MatrixF1[[#Headers],[1,74]])/MatrixF1[[#Headers],[1,74]]</f>
        <v>52.999999999999964</v>
      </c>
      <c r="BY105" s="126">
        <f>SUMIF(MatrixF1[[1]:[2]],MatrixF1[[#Headers],[1,75]])/MatrixF1[[#Headers],[1,75]]</f>
        <v>51</v>
      </c>
      <c r="BZ105" s="126">
        <f>SUMIF(MatrixF1[[1]:[2]],MatrixF1[[#Headers],[1,76]])/MatrixF1[[#Headers],[1,76]]</f>
        <v>49.000000000000021</v>
      </c>
      <c r="CA105" s="126">
        <f>SUMIF(MatrixF1[[1]:[2]],MatrixF1[[#Headers],[1,77]])/MatrixF1[[#Headers],[1,77]]</f>
        <v>47.000000000000007</v>
      </c>
      <c r="CB105" s="126">
        <f>SUMIF(MatrixF1[[1]:[2]],MatrixF1[[#Headers],[1,78]])/MatrixF1[[#Headers],[1,78]]</f>
        <v>45.000000000000021</v>
      </c>
      <c r="CC105" s="126">
        <f>SUMIF(MatrixF1[[1]:[2]],MatrixF1[[#Headers],[1,79]])/MatrixF1[[#Headers],[1,79]]</f>
        <v>43.000000000000014</v>
      </c>
      <c r="CD105" s="126">
        <f>SUMIF(MatrixF1[[1]:[2]],MatrixF1[[#Headers],[1,8]])/MatrixF1[[#Headers],[1,8]]</f>
        <v>40.999999999999964</v>
      </c>
      <c r="CE105" s="126">
        <f>SUMIF(MatrixF1[[1]:[2]],MatrixF1[[#Headers],[1,81]])/MatrixF1[[#Headers],[1,81]]</f>
        <v>39.000000000000014</v>
      </c>
      <c r="CF105" s="126">
        <f>SUMIF(MatrixF1[[1]:[2]],MatrixF1[[#Headers],[1,82]])/MatrixF1[[#Headers],[1,82]]</f>
        <v>36.999999999999993</v>
      </c>
      <c r="CG105" s="126">
        <f>SUMIF(MatrixF1[[1]:[2]],MatrixF1[[#Headers],[1,83]])/MatrixF1[[#Headers],[1,83]]</f>
        <v>34.999999999999972</v>
      </c>
      <c r="CH105" s="126">
        <f>SUMIF(MatrixF1[[1]:[2]],MatrixF1[[#Headers],[1,84]])/MatrixF1[[#Headers],[1,84]]</f>
        <v>33.000000000000028</v>
      </c>
      <c r="CI105" s="126">
        <f>SUMIF(MatrixF1[[1]:[2]],MatrixF1[[#Headers],[1,85]])/MatrixF1[[#Headers],[1,85]]</f>
        <v>31.000000000000014</v>
      </c>
      <c r="CJ105" s="126">
        <f>SUMIF(MatrixF1[[1]:[2]],MatrixF1[[#Headers],[1,86]])/MatrixF1[[#Headers],[1,86]]</f>
        <v>28.999999999999993</v>
      </c>
      <c r="CK105" s="126">
        <f>SUMIF(MatrixF1[[1]:[2]],MatrixF1[[#Headers],[1,87]])/MatrixF1[[#Headers],[1,87]]</f>
        <v>26.999999999999993</v>
      </c>
      <c r="CL105" s="126">
        <f>SUMIF(MatrixF1[[1]:[2]],MatrixF1[[#Headers],[1,88]])/MatrixF1[[#Headers],[1,88]]</f>
        <v>25.000000000000004</v>
      </c>
      <c r="CM105" s="126">
        <f>SUMIF(MatrixF1[[1]:[2]],MatrixF1[[#Headers],[1,89]])/MatrixF1[[#Headers],[1,89]]</f>
        <v>23.000000000000004</v>
      </c>
      <c r="CN105" s="126">
        <f>SUMIF(MatrixF1[[1]:[2]],MatrixF1[[#Headers],[1,9]])/MatrixF1[[#Headers],[1,9]]</f>
        <v>20.999999999999993</v>
      </c>
      <c r="CO105" s="126">
        <f>SUMIF(MatrixF1[[1]:[2]],MatrixF1[[#Headers],[1,91]])/MatrixF1[[#Headers],[1,91]]</f>
        <v>18.999999999999996</v>
      </c>
      <c r="CP105" s="126">
        <f>SUMIF(MatrixF1[[1]:[2]],MatrixF1[[#Headers],[1,92]])/MatrixF1[[#Headers],[1,92]]</f>
        <v>17.000000000000007</v>
      </c>
      <c r="CQ105" s="126">
        <f>SUMIF(MatrixF1[[1]:[2]],MatrixF1[[#Headers],[1,93]])/MatrixF1[[#Headers],[1,93]]</f>
        <v>15</v>
      </c>
      <c r="CR105" s="126">
        <f>SUMIF(MatrixF1[[1]:[2]],MatrixF1[[#Headers],[1,94]])/MatrixF1[[#Headers],[1,94]]</f>
        <v>13.000000000000002</v>
      </c>
      <c r="CS105" s="126">
        <f>SUMIF(MatrixF1[[1]:[2]],MatrixF1[[#Headers],[1,95]])/MatrixF1[[#Headers],[1,95]]</f>
        <v>10.999999999999998</v>
      </c>
      <c r="CT105" s="126">
        <f>SUMIF(MatrixF1[[1]:[2]],MatrixF1[[#Headers],[1,96]])/MatrixF1[[#Headers],[1,96]]</f>
        <v>9.0000000000000018</v>
      </c>
      <c r="CU105" s="126">
        <f>SUMIF(MatrixF1[[1]:[2]],MatrixF1[[#Headers],[1,97]])/MatrixF1[[#Headers],[1,97]]</f>
        <v>7.0000000000000009</v>
      </c>
      <c r="CV105" s="126">
        <f>SUMIF(MatrixF1[[1]:[2]],MatrixF1[[#Headers],[1,98]])/MatrixF1[[#Headers],[1,98]]</f>
        <v>5</v>
      </c>
      <c r="CW105" s="126">
        <f>SUMIF(MatrixF1[[1]:[2]],MatrixF1[[#Headers],[1,99]])/MatrixF1[[#Headers],[1,99]]</f>
        <v>3</v>
      </c>
      <c r="CX105" s="126">
        <f>SUMIF(MatrixF1[[1]:[2]],MatrixF1[[#Headers],[2]])/MatrixF1[[#Headers],[2]]</f>
        <v>1</v>
      </c>
      <c r="CZ105" s="126">
        <f>SUM(CZ3:CZ103)</f>
        <v>10201</v>
      </c>
    </row>
  </sheetData>
  <mergeCells count="1">
    <mergeCell ref="A1:C1"/>
  </mergeCells>
  <conditionalFormatting sqref="B3:CX103">
    <cfRule type="cellIs" dxfId="532" priority="1" operator="equal">
      <formula>1.57</formula>
    </cfRule>
    <cfRule type="colorScale" priority="2">
      <colorScale>
        <cfvo type="min"/>
        <cfvo type="percentile" val="50"/>
        <cfvo type="max"/>
        <color rgb="FFF8696B"/>
        <color rgb="FFFFEB84"/>
        <color rgb="FF63BE7B"/>
      </colorScale>
    </cfRule>
  </conditionalFormatting>
  <hyperlinks>
    <hyperlink ref="A1:C1" location="Содержание!A1" display="&lt;&lt;НАЗАД" xr:uid="{00000000-0004-0000-0D00-000000000000}"/>
  </hyperlinks>
  <pageMargins left="0.7" right="0.7" top="0.75" bottom="0.75" header="0.3" footer="0.3"/>
  <pageSetup paperSize="9"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Лист711"/>
  <dimension ref="A1:CZ105"/>
  <sheetViews>
    <sheetView zoomScale="205" zoomScaleNormal="205" workbookViewId="0">
      <pane xSplit="1" ySplit="2" topLeftCell="D3" activePane="bottomRight" state="frozen"/>
      <selection pane="topRight" activeCell="B1" sqref="B1"/>
      <selection pane="bottomLeft" activeCell="A3" sqref="A3"/>
      <selection pane="bottomRight" activeCell="E1" sqref="E1:G1"/>
    </sheetView>
  </sheetViews>
  <sheetFormatPr defaultColWidth="4.7109375" defaultRowHeight="21" customHeight="1" x14ac:dyDescent="0.25"/>
  <cols>
    <col min="1" max="103" width="4.7109375" style="2"/>
    <col min="104" max="104" width="4.7109375" style="126" customWidth="1"/>
    <col min="105" max="16384" width="4.7109375" style="2"/>
  </cols>
  <sheetData>
    <row r="1" spans="1:104" ht="21" customHeight="1" x14ac:dyDescent="0.25">
      <c r="A1" s="261" t="s">
        <v>109</v>
      </c>
      <c r="B1" s="261"/>
      <c r="C1" s="261"/>
      <c r="E1" s="205">
        <v>1.57</v>
      </c>
      <c r="F1" s="206" t="s">
        <v>614</v>
      </c>
      <c r="G1" s="205">
        <f>COUNTIF(MatrixF2[[1]:[2]],"="&amp;E1)</f>
        <v>112</v>
      </c>
    </row>
    <row r="2" spans="1:104" ht="21" customHeight="1" x14ac:dyDescent="0.25">
      <c r="A2" s="127" t="s">
        <v>99</v>
      </c>
      <c r="B2" s="127" t="s">
        <v>100</v>
      </c>
      <c r="C2" s="127" t="s">
        <v>0</v>
      </c>
      <c r="D2" s="127" t="s">
        <v>1</v>
      </c>
      <c r="E2" s="127" t="s">
        <v>2</v>
      </c>
      <c r="F2" s="127" t="s">
        <v>3</v>
      </c>
      <c r="G2" s="127" t="s">
        <v>4</v>
      </c>
      <c r="H2" s="127" t="s">
        <v>5</v>
      </c>
      <c r="I2" s="127" t="s">
        <v>6</v>
      </c>
      <c r="J2" s="127" t="s">
        <v>7</v>
      </c>
      <c r="K2" s="127" t="s">
        <v>8</v>
      </c>
      <c r="L2" s="127" t="s">
        <v>9</v>
      </c>
      <c r="M2" s="127" t="s">
        <v>10</v>
      </c>
      <c r="N2" s="127" t="s">
        <v>11</v>
      </c>
      <c r="O2" s="127" t="s">
        <v>12</v>
      </c>
      <c r="P2" s="127" t="s">
        <v>13</v>
      </c>
      <c r="Q2" s="127" t="s">
        <v>14</v>
      </c>
      <c r="R2" s="127" t="s">
        <v>15</v>
      </c>
      <c r="S2" s="127" t="s">
        <v>16</v>
      </c>
      <c r="T2" s="127" t="s">
        <v>17</v>
      </c>
      <c r="U2" s="127" t="s">
        <v>18</v>
      </c>
      <c r="V2" s="127" t="s">
        <v>19</v>
      </c>
      <c r="W2" s="127" t="s">
        <v>20</v>
      </c>
      <c r="X2" s="127" t="s">
        <v>21</v>
      </c>
      <c r="Y2" s="127" t="s">
        <v>22</v>
      </c>
      <c r="Z2" s="127" t="s">
        <v>23</v>
      </c>
      <c r="AA2" s="127" t="s">
        <v>24</v>
      </c>
      <c r="AB2" s="127" t="s">
        <v>25</v>
      </c>
      <c r="AC2" s="127" t="s">
        <v>26</v>
      </c>
      <c r="AD2" s="127" t="s">
        <v>27</v>
      </c>
      <c r="AE2" s="127" t="s">
        <v>28</v>
      </c>
      <c r="AF2" s="127" t="s">
        <v>29</v>
      </c>
      <c r="AG2" s="127" t="s">
        <v>30</v>
      </c>
      <c r="AH2" s="127" t="s">
        <v>31</v>
      </c>
      <c r="AI2" s="127" t="s">
        <v>32</v>
      </c>
      <c r="AJ2" s="127" t="s">
        <v>33</v>
      </c>
      <c r="AK2" s="127" t="s">
        <v>34</v>
      </c>
      <c r="AL2" s="127" t="s">
        <v>35</v>
      </c>
      <c r="AM2" s="127" t="s">
        <v>36</v>
      </c>
      <c r="AN2" s="127" t="s">
        <v>37</v>
      </c>
      <c r="AO2" s="127" t="s">
        <v>38</v>
      </c>
      <c r="AP2" s="127" t="s">
        <v>39</v>
      </c>
      <c r="AQ2" s="127" t="s">
        <v>40</v>
      </c>
      <c r="AR2" s="127" t="s">
        <v>41</v>
      </c>
      <c r="AS2" s="127" t="s">
        <v>42</v>
      </c>
      <c r="AT2" s="127" t="s">
        <v>43</v>
      </c>
      <c r="AU2" s="127" t="s">
        <v>44</v>
      </c>
      <c r="AV2" s="127" t="s">
        <v>45</v>
      </c>
      <c r="AW2" s="127" t="s">
        <v>46</v>
      </c>
      <c r="AX2" s="127" t="s">
        <v>47</v>
      </c>
      <c r="AY2" s="127" t="s">
        <v>48</v>
      </c>
      <c r="AZ2" s="127" t="s">
        <v>49</v>
      </c>
      <c r="BA2" s="127" t="s">
        <v>50</v>
      </c>
      <c r="BB2" s="127" t="s">
        <v>51</v>
      </c>
      <c r="BC2" s="127" t="s">
        <v>52</v>
      </c>
      <c r="BD2" s="127" t="s">
        <v>53</v>
      </c>
      <c r="BE2" s="127" t="s">
        <v>54</v>
      </c>
      <c r="BF2" s="127" t="s">
        <v>55</v>
      </c>
      <c r="BG2" s="127" t="s">
        <v>56</v>
      </c>
      <c r="BH2" s="127" t="s">
        <v>57</v>
      </c>
      <c r="BI2" s="127" t="s">
        <v>58</v>
      </c>
      <c r="BJ2" s="127" t="s">
        <v>59</v>
      </c>
      <c r="BK2" s="127" t="s">
        <v>60</v>
      </c>
      <c r="BL2" s="127" t="s">
        <v>61</v>
      </c>
      <c r="BM2" s="127" t="s">
        <v>62</v>
      </c>
      <c r="BN2" s="127" t="s">
        <v>63</v>
      </c>
      <c r="BO2" s="127" t="s">
        <v>64</v>
      </c>
      <c r="BP2" s="127" t="s">
        <v>65</v>
      </c>
      <c r="BQ2" s="127" t="s">
        <v>66</v>
      </c>
      <c r="BR2" s="127" t="s">
        <v>67</v>
      </c>
      <c r="BS2" s="127" t="s">
        <v>68</v>
      </c>
      <c r="BT2" s="127" t="s">
        <v>69</v>
      </c>
      <c r="BU2" s="127" t="s">
        <v>70</v>
      </c>
      <c r="BV2" s="127" t="s">
        <v>71</v>
      </c>
      <c r="BW2" s="127" t="s">
        <v>72</v>
      </c>
      <c r="BX2" s="127" t="s">
        <v>73</v>
      </c>
      <c r="BY2" s="127" t="s">
        <v>74</v>
      </c>
      <c r="BZ2" s="127" t="s">
        <v>75</v>
      </c>
      <c r="CA2" s="127" t="s">
        <v>76</v>
      </c>
      <c r="CB2" s="127" t="s">
        <v>77</v>
      </c>
      <c r="CC2" s="127" t="s">
        <v>78</v>
      </c>
      <c r="CD2" s="127" t="s">
        <v>79</v>
      </c>
      <c r="CE2" s="127" t="s">
        <v>80</v>
      </c>
      <c r="CF2" s="127" t="s">
        <v>81</v>
      </c>
      <c r="CG2" s="127" t="s">
        <v>82</v>
      </c>
      <c r="CH2" s="127" t="s">
        <v>83</v>
      </c>
      <c r="CI2" s="127" t="s">
        <v>84</v>
      </c>
      <c r="CJ2" s="127" t="s">
        <v>85</v>
      </c>
      <c r="CK2" s="127" t="s">
        <v>86</v>
      </c>
      <c r="CL2" s="127" t="s">
        <v>87</v>
      </c>
      <c r="CM2" s="127" t="s">
        <v>88</v>
      </c>
      <c r="CN2" s="127" t="s">
        <v>89</v>
      </c>
      <c r="CO2" s="127" t="s">
        <v>90</v>
      </c>
      <c r="CP2" s="127" t="s">
        <v>91</v>
      </c>
      <c r="CQ2" s="127" t="s">
        <v>92</v>
      </c>
      <c r="CR2" s="127" t="s">
        <v>93</v>
      </c>
      <c r="CS2" s="127" t="s">
        <v>94</v>
      </c>
      <c r="CT2" s="127" t="s">
        <v>95</v>
      </c>
      <c r="CU2" s="127" t="s">
        <v>96</v>
      </c>
      <c r="CV2" s="127" t="s">
        <v>97</v>
      </c>
      <c r="CW2" s="127" t="s">
        <v>98</v>
      </c>
      <c r="CX2" s="127" t="s">
        <v>101</v>
      </c>
    </row>
    <row r="3" spans="1:104" ht="21" customHeight="1" x14ac:dyDescent="0.25">
      <c r="A3" s="127">
        <v>1</v>
      </c>
      <c r="B3" s="128">
        <v>1</v>
      </c>
      <c r="C3" s="128">
        <v>1.01</v>
      </c>
      <c r="D3" s="128">
        <v>1.02</v>
      </c>
      <c r="E3" s="128">
        <v>1.03</v>
      </c>
      <c r="F3" s="128">
        <v>1.04</v>
      </c>
      <c r="G3" s="128">
        <v>1.05</v>
      </c>
      <c r="H3" s="128">
        <v>1.06</v>
      </c>
      <c r="I3" s="128">
        <v>1.07</v>
      </c>
      <c r="J3" s="128">
        <v>1.08</v>
      </c>
      <c r="K3" s="128">
        <v>1.0900000000000001</v>
      </c>
      <c r="L3" s="128">
        <v>1.1000000000000001</v>
      </c>
      <c r="M3" s="128">
        <v>1.1100000000000001</v>
      </c>
      <c r="N3" s="128">
        <v>1.1200000000000001</v>
      </c>
      <c r="O3" s="128">
        <v>1.1299999999999999</v>
      </c>
      <c r="P3" s="128">
        <v>1.1399999999999999</v>
      </c>
      <c r="Q3" s="128">
        <v>1.1499999999999999</v>
      </c>
      <c r="R3" s="128">
        <v>1.1599999999999999</v>
      </c>
      <c r="S3" s="128">
        <v>1.17</v>
      </c>
      <c r="T3" s="128">
        <v>1.18</v>
      </c>
      <c r="U3" s="128">
        <v>1.19</v>
      </c>
      <c r="V3" s="128">
        <v>1.2</v>
      </c>
      <c r="W3" s="128">
        <v>1.21</v>
      </c>
      <c r="X3" s="128">
        <v>1.22</v>
      </c>
      <c r="Y3" s="128">
        <v>1.23</v>
      </c>
      <c r="Z3" s="128">
        <v>1.24</v>
      </c>
      <c r="AA3" s="128">
        <v>1.25</v>
      </c>
      <c r="AB3" s="128">
        <v>1.26</v>
      </c>
      <c r="AC3" s="128">
        <v>1.27</v>
      </c>
      <c r="AD3" s="128">
        <v>1.28</v>
      </c>
      <c r="AE3" s="128">
        <v>1.29</v>
      </c>
      <c r="AF3" s="128">
        <v>1.3</v>
      </c>
      <c r="AG3" s="128">
        <v>1.31</v>
      </c>
      <c r="AH3" s="128">
        <v>1.32</v>
      </c>
      <c r="AI3" s="128">
        <v>1.33</v>
      </c>
      <c r="AJ3" s="128">
        <v>1.34</v>
      </c>
      <c r="AK3" s="128">
        <v>1.35</v>
      </c>
      <c r="AL3" s="128">
        <v>1.36</v>
      </c>
      <c r="AM3" s="128">
        <v>1.37</v>
      </c>
      <c r="AN3" s="128">
        <v>1.38</v>
      </c>
      <c r="AO3" s="128">
        <v>1.39</v>
      </c>
      <c r="AP3" s="128">
        <v>1.4</v>
      </c>
      <c r="AQ3" s="128">
        <v>1.41</v>
      </c>
      <c r="AR3" s="128">
        <v>1.42</v>
      </c>
      <c r="AS3" s="128">
        <v>1.43</v>
      </c>
      <c r="AT3" s="128">
        <v>1.44</v>
      </c>
      <c r="AU3" s="128">
        <v>1.45</v>
      </c>
      <c r="AV3" s="128">
        <v>1.46</v>
      </c>
      <c r="AW3" s="128">
        <v>1.47</v>
      </c>
      <c r="AX3" s="128">
        <v>1.48</v>
      </c>
      <c r="AY3" s="128">
        <v>1.49</v>
      </c>
      <c r="AZ3" s="128">
        <v>1.5</v>
      </c>
      <c r="BA3" s="128">
        <v>1.51</v>
      </c>
      <c r="BB3" s="128">
        <v>1.52</v>
      </c>
      <c r="BC3" s="128">
        <v>1.53</v>
      </c>
      <c r="BD3" s="128">
        <v>1.54</v>
      </c>
      <c r="BE3" s="128">
        <v>1.55</v>
      </c>
      <c r="BF3" s="128">
        <v>1.56</v>
      </c>
      <c r="BG3" s="128">
        <v>1.57</v>
      </c>
      <c r="BH3" s="128">
        <v>1.58</v>
      </c>
      <c r="BI3" s="128">
        <v>1.59</v>
      </c>
      <c r="BJ3" s="128">
        <v>1.6</v>
      </c>
      <c r="BK3" s="128">
        <v>1.61</v>
      </c>
      <c r="BL3" s="128">
        <v>1.62</v>
      </c>
      <c r="BM3" s="128">
        <v>1.63</v>
      </c>
      <c r="BN3" s="128">
        <v>1.64</v>
      </c>
      <c r="BO3" s="128">
        <v>1.65</v>
      </c>
      <c r="BP3" s="128">
        <v>1.66</v>
      </c>
      <c r="BQ3" s="128">
        <v>1.67</v>
      </c>
      <c r="BR3" s="128">
        <v>1.68</v>
      </c>
      <c r="BS3" s="128">
        <v>1.69</v>
      </c>
      <c r="BT3" s="128">
        <v>1.7</v>
      </c>
      <c r="BU3" s="128">
        <v>1.71</v>
      </c>
      <c r="BV3" s="128">
        <v>1.72</v>
      </c>
      <c r="BW3" s="128">
        <v>1.73</v>
      </c>
      <c r="BX3" s="128">
        <v>1.74</v>
      </c>
      <c r="BY3" s="128">
        <v>1.75</v>
      </c>
      <c r="BZ3" s="128">
        <v>1.76</v>
      </c>
      <c r="CA3" s="128">
        <v>1.77</v>
      </c>
      <c r="CB3" s="128">
        <v>1.78</v>
      </c>
      <c r="CC3" s="128">
        <v>1.79</v>
      </c>
      <c r="CD3" s="128">
        <v>1.8</v>
      </c>
      <c r="CE3" s="128">
        <v>1.81</v>
      </c>
      <c r="CF3" s="128">
        <v>1.82</v>
      </c>
      <c r="CG3" s="128">
        <v>1.83</v>
      </c>
      <c r="CH3" s="128">
        <v>1.84</v>
      </c>
      <c r="CI3" s="128">
        <v>1.85</v>
      </c>
      <c r="CJ3" s="128">
        <v>1.86</v>
      </c>
      <c r="CK3" s="128">
        <v>1.87</v>
      </c>
      <c r="CL3" s="128">
        <v>1.88</v>
      </c>
      <c r="CM3" s="128">
        <v>1.89</v>
      </c>
      <c r="CN3" s="128">
        <v>1.9</v>
      </c>
      <c r="CO3" s="128">
        <v>1.91</v>
      </c>
      <c r="CP3" s="128">
        <v>1.92</v>
      </c>
      <c r="CQ3" s="128">
        <v>1.93</v>
      </c>
      <c r="CR3" s="128">
        <v>1.94</v>
      </c>
      <c r="CS3" s="128">
        <v>1.95</v>
      </c>
      <c r="CT3" s="128">
        <v>1.96</v>
      </c>
      <c r="CU3" s="128">
        <v>1.97</v>
      </c>
      <c r="CV3" s="128">
        <v>1.98</v>
      </c>
      <c r="CW3" s="128">
        <v>1.99</v>
      </c>
      <c r="CX3" s="128">
        <v>2</v>
      </c>
      <c r="CZ3" s="126">
        <f>SUMIF(MatrixF2[[1]:[2]],MatrixF2[[#This Row],[Столбец1]])/MatrixF2[[#This Row],[Столбец1]]</f>
        <v>101</v>
      </c>
    </row>
    <row r="4" spans="1:104" ht="21" customHeight="1" x14ac:dyDescent="0.25">
      <c r="A4" s="127">
        <v>1.01</v>
      </c>
      <c r="B4" s="128">
        <v>1</v>
      </c>
      <c r="C4" s="128">
        <v>1.01</v>
      </c>
      <c r="D4" s="128">
        <v>1.02</v>
      </c>
      <c r="E4" s="128">
        <v>1.03</v>
      </c>
      <c r="F4" s="128">
        <v>1.04</v>
      </c>
      <c r="G4" s="128">
        <v>1.05</v>
      </c>
      <c r="H4" s="128">
        <v>1.06</v>
      </c>
      <c r="I4" s="128">
        <v>1.07</v>
      </c>
      <c r="J4" s="128">
        <v>1.08</v>
      </c>
      <c r="K4" s="128">
        <v>1.0900000000000001</v>
      </c>
      <c r="L4" s="128">
        <v>1.1000000000000001</v>
      </c>
      <c r="M4" s="128">
        <v>1.1100000000000001</v>
      </c>
      <c r="N4" s="128">
        <v>1.1200000000000001</v>
      </c>
      <c r="O4" s="128">
        <v>1.1299999999999999</v>
      </c>
      <c r="P4" s="128">
        <v>1.1399999999999999</v>
      </c>
      <c r="Q4" s="128">
        <v>1.1499999999999999</v>
      </c>
      <c r="R4" s="128">
        <v>1.1599999999999999</v>
      </c>
      <c r="S4" s="128">
        <v>1.17</v>
      </c>
      <c r="T4" s="128">
        <v>1.18</v>
      </c>
      <c r="U4" s="128">
        <v>1.19</v>
      </c>
      <c r="V4" s="128">
        <v>1.2</v>
      </c>
      <c r="W4" s="128">
        <v>1.21</v>
      </c>
      <c r="X4" s="128">
        <v>1.22</v>
      </c>
      <c r="Y4" s="128">
        <v>1.23</v>
      </c>
      <c r="Z4" s="128">
        <v>1.24</v>
      </c>
      <c r="AA4" s="128">
        <v>1.25</v>
      </c>
      <c r="AB4" s="128">
        <v>1.26</v>
      </c>
      <c r="AC4" s="128">
        <v>1.27</v>
      </c>
      <c r="AD4" s="128">
        <v>1.28</v>
      </c>
      <c r="AE4" s="128">
        <v>1.29</v>
      </c>
      <c r="AF4" s="128">
        <v>1.3</v>
      </c>
      <c r="AG4" s="128">
        <v>1.31</v>
      </c>
      <c r="AH4" s="128">
        <v>1.32</v>
      </c>
      <c r="AI4" s="128">
        <v>1.33</v>
      </c>
      <c r="AJ4" s="128">
        <v>1.34</v>
      </c>
      <c r="AK4" s="128">
        <v>1.35</v>
      </c>
      <c r="AL4" s="128">
        <v>1.36</v>
      </c>
      <c r="AM4" s="128">
        <v>1.37</v>
      </c>
      <c r="AN4" s="128">
        <v>1.38</v>
      </c>
      <c r="AO4" s="128">
        <v>1.39</v>
      </c>
      <c r="AP4" s="128">
        <v>1.4</v>
      </c>
      <c r="AQ4" s="128">
        <v>1.41</v>
      </c>
      <c r="AR4" s="128">
        <v>1.42</v>
      </c>
      <c r="AS4" s="128">
        <v>1.43</v>
      </c>
      <c r="AT4" s="128">
        <v>1.44</v>
      </c>
      <c r="AU4" s="128">
        <v>1.45</v>
      </c>
      <c r="AV4" s="128">
        <v>1.46</v>
      </c>
      <c r="AW4" s="128">
        <v>1.47</v>
      </c>
      <c r="AX4" s="128">
        <v>1.48</v>
      </c>
      <c r="AY4" s="128">
        <v>1.49</v>
      </c>
      <c r="AZ4" s="128">
        <v>1.5</v>
      </c>
      <c r="BA4" s="128">
        <v>1.51</v>
      </c>
      <c r="BB4" s="128">
        <v>1.52</v>
      </c>
      <c r="BC4" s="128">
        <v>1.53</v>
      </c>
      <c r="BD4" s="128">
        <v>1.54</v>
      </c>
      <c r="BE4" s="128">
        <v>1.55</v>
      </c>
      <c r="BF4" s="128">
        <v>1.56</v>
      </c>
      <c r="BG4" s="128">
        <v>1.57</v>
      </c>
      <c r="BH4" s="128">
        <v>1.58</v>
      </c>
      <c r="BI4" s="128">
        <v>1.59</v>
      </c>
      <c r="BJ4" s="128">
        <v>1.6</v>
      </c>
      <c r="BK4" s="128">
        <v>1.61</v>
      </c>
      <c r="BL4" s="128">
        <v>1.62</v>
      </c>
      <c r="BM4" s="128">
        <v>1.63</v>
      </c>
      <c r="BN4" s="128">
        <v>1.64</v>
      </c>
      <c r="BO4" s="128">
        <v>1.65</v>
      </c>
      <c r="BP4" s="128">
        <v>1.66</v>
      </c>
      <c r="BQ4" s="128">
        <v>1.67</v>
      </c>
      <c r="BR4" s="128">
        <v>1.68</v>
      </c>
      <c r="BS4" s="128">
        <v>1.69</v>
      </c>
      <c r="BT4" s="128">
        <v>1.7</v>
      </c>
      <c r="BU4" s="128">
        <v>1.71</v>
      </c>
      <c r="BV4" s="128">
        <v>1.72</v>
      </c>
      <c r="BW4" s="128">
        <v>1.73</v>
      </c>
      <c r="BX4" s="128">
        <v>1.74</v>
      </c>
      <c r="BY4" s="128">
        <v>1.75</v>
      </c>
      <c r="BZ4" s="128">
        <v>1.76</v>
      </c>
      <c r="CA4" s="128">
        <v>1.77</v>
      </c>
      <c r="CB4" s="128">
        <v>1.78</v>
      </c>
      <c r="CC4" s="128">
        <v>1.79</v>
      </c>
      <c r="CD4" s="128">
        <v>1.8</v>
      </c>
      <c r="CE4" s="128">
        <v>1.81</v>
      </c>
      <c r="CF4" s="128">
        <v>1.82</v>
      </c>
      <c r="CG4" s="128">
        <v>1.83</v>
      </c>
      <c r="CH4" s="128">
        <v>1.84</v>
      </c>
      <c r="CI4" s="128">
        <v>1.85</v>
      </c>
      <c r="CJ4" s="128">
        <v>1.86</v>
      </c>
      <c r="CK4" s="128">
        <v>1.87</v>
      </c>
      <c r="CL4" s="128">
        <v>1.88</v>
      </c>
      <c r="CM4" s="128">
        <v>1.89</v>
      </c>
      <c r="CN4" s="128">
        <v>1.9</v>
      </c>
      <c r="CO4" s="128">
        <v>1.91</v>
      </c>
      <c r="CP4" s="128">
        <v>1.92</v>
      </c>
      <c r="CQ4" s="128">
        <v>1.93</v>
      </c>
      <c r="CR4" s="128">
        <v>1.94</v>
      </c>
      <c r="CS4" s="128">
        <v>1.95</v>
      </c>
      <c r="CT4" s="128">
        <v>1.96</v>
      </c>
      <c r="CU4" s="128">
        <v>1.97</v>
      </c>
      <c r="CV4" s="128">
        <v>1.98</v>
      </c>
      <c r="CW4" s="128">
        <v>1.99</v>
      </c>
      <c r="CX4" s="128">
        <v>2</v>
      </c>
      <c r="CZ4" s="126">
        <f>SUMIF(MatrixF2[[1]:[2]],MatrixF2[[#This Row],[Столбец1]])/MatrixF2[[#This Row],[Столбец1]]</f>
        <v>69.999999999999986</v>
      </c>
    </row>
    <row r="5" spans="1:104" ht="21" customHeight="1" x14ac:dyDescent="0.25">
      <c r="A5" s="127">
        <v>1.02</v>
      </c>
      <c r="B5" s="128">
        <v>1</v>
      </c>
      <c r="C5" s="128">
        <v>1.01</v>
      </c>
      <c r="D5" s="128">
        <v>1.02</v>
      </c>
      <c r="E5" s="128">
        <v>1.03</v>
      </c>
      <c r="F5" s="128">
        <v>1.04</v>
      </c>
      <c r="G5" s="128">
        <v>1.05</v>
      </c>
      <c r="H5" s="128">
        <v>1.06</v>
      </c>
      <c r="I5" s="128">
        <v>1.07</v>
      </c>
      <c r="J5" s="128">
        <v>1.08</v>
      </c>
      <c r="K5" s="128">
        <v>1.0900000000000001</v>
      </c>
      <c r="L5" s="128">
        <v>1.1000000000000001</v>
      </c>
      <c r="M5" s="128">
        <v>1.1100000000000001</v>
      </c>
      <c r="N5" s="128">
        <v>1.1200000000000001</v>
      </c>
      <c r="O5" s="128">
        <v>1.1299999999999999</v>
      </c>
      <c r="P5" s="128">
        <v>1.1399999999999999</v>
      </c>
      <c r="Q5" s="128">
        <v>1.1499999999999999</v>
      </c>
      <c r="R5" s="128">
        <v>1.1599999999999999</v>
      </c>
      <c r="S5" s="128">
        <v>1.17</v>
      </c>
      <c r="T5" s="128">
        <v>1.18</v>
      </c>
      <c r="U5" s="128">
        <v>1.19</v>
      </c>
      <c r="V5" s="128">
        <v>1.2</v>
      </c>
      <c r="W5" s="128">
        <v>1.21</v>
      </c>
      <c r="X5" s="128">
        <v>1.22</v>
      </c>
      <c r="Y5" s="128">
        <v>1.23</v>
      </c>
      <c r="Z5" s="128">
        <v>1.24</v>
      </c>
      <c r="AA5" s="128">
        <v>1.25</v>
      </c>
      <c r="AB5" s="128">
        <v>1.26</v>
      </c>
      <c r="AC5" s="128">
        <v>1.27</v>
      </c>
      <c r="AD5" s="128">
        <v>1.28</v>
      </c>
      <c r="AE5" s="128">
        <v>1.29</v>
      </c>
      <c r="AF5" s="128">
        <v>1.3</v>
      </c>
      <c r="AG5" s="128">
        <v>1.31</v>
      </c>
      <c r="AH5" s="128">
        <v>1.32</v>
      </c>
      <c r="AI5" s="128">
        <v>1.33</v>
      </c>
      <c r="AJ5" s="128">
        <v>1.34</v>
      </c>
      <c r="AK5" s="128">
        <v>1.35</v>
      </c>
      <c r="AL5" s="128">
        <v>1.36</v>
      </c>
      <c r="AM5" s="128">
        <v>1.37</v>
      </c>
      <c r="AN5" s="128">
        <v>1.38</v>
      </c>
      <c r="AO5" s="128">
        <v>1.39</v>
      </c>
      <c r="AP5" s="128">
        <v>1.4</v>
      </c>
      <c r="AQ5" s="128">
        <v>1.41</v>
      </c>
      <c r="AR5" s="128">
        <v>1.42</v>
      </c>
      <c r="AS5" s="128">
        <v>1.43</v>
      </c>
      <c r="AT5" s="128">
        <v>1.44</v>
      </c>
      <c r="AU5" s="128">
        <v>1.45</v>
      </c>
      <c r="AV5" s="128">
        <v>1.46</v>
      </c>
      <c r="AW5" s="128">
        <v>1.47</v>
      </c>
      <c r="AX5" s="128">
        <v>1.48</v>
      </c>
      <c r="AY5" s="128">
        <v>1.49</v>
      </c>
      <c r="AZ5" s="128">
        <v>1.5</v>
      </c>
      <c r="BA5" s="128">
        <v>1.51</v>
      </c>
      <c r="BB5" s="128">
        <v>1.52</v>
      </c>
      <c r="BC5" s="128">
        <v>1.53</v>
      </c>
      <c r="BD5" s="128">
        <v>1.54</v>
      </c>
      <c r="BE5" s="128">
        <v>1.55</v>
      </c>
      <c r="BF5" s="128">
        <v>1.56</v>
      </c>
      <c r="BG5" s="128">
        <v>1.57</v>
      </c>
      <c r="BH5" s="128">
        <v>1.58</v>
      </c>
      <c r="BI5" s="128">
        <v>1.59</v>
      </c>
      <c r="BJ5" s="128">
        <v>1.6</v>
      </c>
      <c r="BK5" s="128">
        <v>1.61</v>
      </c>
      <c r="BL5" s="128">
        <v>1.62</v>
      </c>
      <c r="BM5" s="128">
        <v>1.63</v>
      </c>
      <c r="BN5" s="128">
        <v>1.64</v>
      </c>
      <c r="BO5" s="128">
        <v>1.65</v>
      </c>
      <c r="BP5" s="128">
        <v>1.66</v>
      </c>
      <c r="BQ5" s="128">
        <v>1.67</v>
      </c>
      <c r="BR5" s="128">
        <v>1.68</v>
      </c>
      <c r="BS5" s="128">
        <v>1.69</v>
      </c>
      <c r="BT5" s="128">
        <v>1.7</v>
      </c>
      <c r="BU5" s="128">
        <v>1.71</v>
      </c>
      <c r="BV5" s="128">
        <v>1.72</v>
      </c>
      <c r="BW5" s="128">
        <v>1.73</v>
      </c>
      <c r="BX5" s="128">
        <v>1.74</v>
      </c>
      <c r="BY5" s="128">
        <v>1.75</v>
      </c>
      <c r="BZ5" s="128">
        <v>1.76</v>
      </c>
      <c r="CA5" s="128">
        <v>1.77</v>
      </c>
      <c r="CB5" s="128">
        <v>1.78</v>
      </c>
      <c r="CC5" s="128">
        <v>1.79</v>
      </c>
      <c r="CD5" s="128">
        <v>1.8</v>
      </c>
      <c r="CE5" s="128">
        <v>1.81</v>
      </c>
      <c r="CF5" s="128">
        <v>1.82</v>
      </c>
      <c r="CG5" s="128">
        <v>1.83</v>
      </c>
      <c r="CH5" s="128">
        <v>1.84</v>
      </c>
      <c r="CI5" s="128">
        <v>1.85</v>
      </c>
      <c r="CJ5" s="128">
        <v>1.86</v>
      </c>
      <c r="CK5" s="128">
        <v>1.87</v>
      </c>
      <c r="CL5" s="128">
        <v>1.88</v>
      </c>
      <c r="CM5" s="128">
        <v>1.89</v>
      </c>
      <c r="CN5" s="128">
        <v>1.9</v>
      </c>
      <c r="CO5" s="128">
        <v>1.91</v>
      </c>
      <c r="CP5" s="128">
        <v>1.92</v>
      </c>
      <c r="CQ5" s="128">
        <v>1.93</v>
      </c>
      <c r="CR5" s="128">
        <v>1.94</v>
      </c>
      <c r="CS5" s="128">
        <v>1.95</v>
      </c>
      <c r="CT5" s="128">
        <v>1.96</v>
      </c>
      <c r="CU5" s="128">
        <v>1.97</v>
      </c>
      <c r="CV5" s="128">
        <v>1.98</v>
      </c>
      <c r="CW5" s="128">
        <v>1.99</v>
      </c>
      <c r="CX5" s="128">
        <v>2</v>
      </c>
      <c r="CZ5" s="126">
        <f>SUMIF(MatrixF2[[1]:[2]],MatrixF2[[#This Row],[Столбец1]])/MatrixF2[[#This Row],[Столбец1]]</f>
        <v>75.000000000000043</v>
      </c>
    </row>
    <row r="6" spans="1:104" ht="21" customHeight="1" x14ac:dyDescent="0.25">
      <c r="A6" s="127">
        <v>1.03</v>
      </c>
      <c r="B6" s="128">
        <v>1</v>
      </c>
      <c r="C6" s="128">
        <v>1.01</v>
      </c>
      <c r="D6" s="128">
        <v>1.02</v>
      </c>
      <c r="E6" s="128">
        <v>1.03</v>
      </c>
      <c r="F6" s="128">
        <v>1.04</v>
      </c>
      <c r="G6" s="128">
        <v>1.05</v>
      </c>
      <c r="H6" s="128">
        <v>1.06</v>
      </c>
      <c r="I6" s="128">
        <v>1.07</v>
      </c>
      <c r="J6" s="128">
        <v>1.08</v>
      </c>
      <c r="K6" s="128">
        <v>1.0900000000000001</v>
      </c>
      <c r="L6" s="128">
        <v>1.1000000000000001</v>
      </c>
      <c r="M6" s="128">
        <v>1.1100000000000001</v>
      </c>
      <c r="N6" s="128">
        <v>1.1200000000000001</v>
      </c>
      <c r="O6" s="128">
        <v>1.1299999999999999</v>
      </c>
      <c r="P6" s="128">
        <v>1.1399999999999999</v>
      </c>
      <c r="Q6" s="128">
        <v>1.1499999999999999</v>
      </c>
      <c r="R6" s="128">
        <v>1.1599999999999999</v>
      </c>
      <c r="S6" s="128">
        <v>1.17</v>
      </c>
      <c r="T6" s="128">
        <v>1.18</v>
      </c>
      <c r="U6" s="128">
        <v>1.19</v>
      </c>
      <c r="V6" s="128">
        <v>1.2</v>
      </c>
      <c r="W6" s="128">
        <v>1.21</v>
      </c>
      <c r="X6" s="128">
        <v>1.22</v>
      </c>
      <c r="Y6" s="128">
        <v>1.23</v>
      </c>
      <c r="Z6" s="128">
        <v>1.24</v>
      </c>
      <c r="AA6" s="128">
        <v>1.25</v>
      </c>
      <c r="AB6" s="128">
        <v>1.26</v>
      </c>
      <c r="AC6" s="128">
        <v>1.27</v>
      </c>
      <c r="AD6" s="128">
        <v>1.28</v>
      </c>
      <c r="AE6" s="128">
        <v>1.29</v>
      </c>
      <c r="AF6" s="128">
        <v>1.3</v>
      </c>
      <c r="AG6" s="128">
        <v>1.31</v>
      </c>
      <c r="AH6" s="128">
        <v>1.32</v>
      </c>
      <c r="AI6" s="128">
        <v>1.33</v>
      </c>
      <c r="AJ6" s="128">
        <v>1.34</v>
      </c>
      <c r="AK6" s="128">
        <v>1.35</v>
      </c>
      <c r="AL6" s="128">
        <v>1.36</v>
      </c>
      <c r="AM6" s="128">
        <v>1.37</v>
      </c>
      <c r="AN6" s="128">
        <v>1.38</v>
      </c>
      <c r="AO6" s="128">
        <v>1.39</v>
      </c>
      <c r="AP6" s="128">
        <v>1.4</v>
      </c>
      <c r="AQ6" s="128">
        <v>1.41</v>
      </c>
      <c r="AR6" s="128">
        <v>1.42</v>
      </c>
      <c r="AS6" s="128">
        <v>1.43</v>
      </c>
      <c r="AT6" s="128">
        <v>1.44</v>
      </c>
      <c r="AU6" s="128">
        <v>1.45</v>
      </c>
      <c r="AV6" s="128">
        <v>1.46</v>
      </c>
      <c r="AW6" s="128">
        <v>1.47</v>
      </c>
      <c r="AX6" s="128">
        <v>1.48</v>
      </c>
      <c r="AY6" s="128">
        <v>1.49</v>
      </c>
      <c r="AZ6" s="128">
        <v>1.5</v>
      </c>
      <c r="BA6" s="128">
        <v>1.51</v>
      </c>
      <c r="BB6" s="128">
        <v>1.52</v>
      </c>
      <c r="BC6" s="128">
        <v>1.53</v>
      </c>
      <c r="BD6" s="128">
        <v>1.54</v>
      </c>
      <c r="BE6" s="128">
        <v>1.55</v>
      </c>
      <c r="BF6" s="128">
        <v>1.56</v>
      </c>
      <c r="BG6" s="128">
        <v>1.57</v>
      </c>
      <c r="BH6" s="128">
        <v>1.58</v>
      </c>
      <c r="BI6" s="128">
        <v>1.59</v>
      </c>
      <c r="BJ6" s="128">
        <v>1.6</v>
      </c>
      <c r="BK6" s="128">
        <v>1.61</v>
      </c>
      <c r="BL6" s="128">
        <v>1.62</v>
      </c>
      <c r="BM6" s="128">
        <v>1.63</v>
      </c>
      <c r="BN6" s="128">
        <v>1.64</v>
      </c>
      <c r="BO6" s="128">
        <v>1.65</v>
      </c>
      <c r="BP6" s="128">
        <v>1.66</v>
      </c>
      <c r="BQ6" s="128">
        <v>1.67</v>
      </c>
      <c r="BR6" s="128">
        <v>1.68</v>
      </c>
      <c r="BS6" s="128">
        <v>1.69</v>
      </c>
      <c r="BT6" s="128">
        <v>1.7</v>
      </c>
      <c r="BU6" s="128">
        <v>1.71</v>
      </c>
      <c r="BV6" s="128">
        <v>1.72</v>
      </c>
      <c r="BW6" s="128">
        <v>1.73</v>
      </c>
      <c r="BX6" s="128">
        <v>1.74</v>
      </c>
      <c r="BY6" s="128">
        <v>1.75</v>
      </c>
      <c r="BZ6" s="128">
        <v>1.76</v>
      </c>
      <c r="CA6" s="128">
        <v>1.77</v>
      </c>
      <c r="CB6" s="128">
        <v>1.78</v>
      </c>
      <c r="CC6" s="128">
        <v>1.79</v>
      </c>
      <c r="CD6" s="128">
        <v>1.8</v>
      </c>
      <c r="CE6" s="128">
        <v>1.81</v>
      </c>
      <c r="CF6" s="128">
        <v>1.82</v>
      </c>
      <c r="CG6" s="128">
        <v>1.83</v>
      </c>
      <c r="CH6" s="128">
        <v>1.84</v>
      </c>
      <c r="CI6" s="128">
        <v>1.85</v>
      </c>
      <c r="CJ6" s="128">
        <v>1.86</v>
      </c>
      <c r="CK6" s="128">
        <v>1.87</v>
      </c>
      <c r="CL6" s="128">
        <v>1.88</v>
      </c>
      <c r="CM6" s="128">
        <v>1.89</v>
      </c>
      <c r="CN6" s="128">
        <v>1.9</v>
      </c>
      <c r="CO6" s="128">
        <v>1.91</v>
      </c>
      <c r="CP6" s="128">
        <v>1.92</v>
      </c>
      <c r="CQ6" s="128">
        <v>1.93</v>
      </c>
      <c r="CR6" s="128">
        <v>1.94</v>
      </c>
      <c r="CS6" s="128">
        <v>1.95</v>
      </c>
      <c r="CT6" s="128">
        <v>1.96</v>
      </c>
      <c r="CU6" s="128">
        <v>1.97</v>
      </c>
      <c r="CV6" s="128">
        <v>1.98</v>
      </c>
      <c r="CW6" s="128">
        <v>1.99</v>
      </c>
      <c r="CX6" s="128">
        <v>2</v>
      </c>
      <c r="CZ6" s="126">
        <f>SUMIF(MatrixF2[[1]:[2]],MatrixF2[[#This Row],[Столбец1]])/MatrixF2[[#This Row],[Столбец1]]</f>
        <v>82.000000000000057</v>
      </c>
    </row>
    <row r="7" spans="1:104" ht="21" customHeight="1" x14ac:dyDescent="0.25">
      <c r="A7" s="127">
        <v>1.04</v>
      </c>
      <c r="B7" s="128">
        <v>1</v>
      </c>
      <c r="C7" s="128">
        <v>1.01</v>
      </c>
      <c r="D7" s="128">
        <v>1.02</v>
      </c>
      <c r="E7" s="128">
        <v>1.03</v>
      </c>
      <c r="F7" s="128">
        <v>1.04</v>
      </c>
      <c r="G7" s="128">
        <v>1.05</v>
      </c>
      <c r="H7" s="128">
        <v>1.06</v>
      </c>
      <c r="I7" s="128">
        <v>1.07</v>
      </c>
      <c r="J7" s="128">
        <v>1.08</v>
      </c>
      <c r="K7" s="128">
        <v>1.0900000000000001</v>
      </c>
      <c r="L7" s="128">
        <v>1.1000000000000001</v>
      </c>
      <c r="M7" s="128">
        <v>1.1100000000000001</v>
      </c>
      <c r="N7" s="128">
        <v>1.1200000000000001</v>
      </c>
      <c r="O7" s="128">
        <v>1.1299999999999999</v>
      </c>
      <c r="P7" s="128">
        <v>1.1399999999999999</v>
      </c>
      <c r="Q7" s="128">
        <v>1.1499999999999999</v>
      </c>
      <c r="R7" s="128">
        <v>1.1599999999999999</v>
      </c>
      <c r="S7" s="128">
        <v>1.17</v>
      </c>
      <c r="T7" s="128">
        <v>1.18</v>
      </c>
      <c r="U7" s="128">
        <v>1.19</v>
      </c>
      <c r="V7" s="128">
        <v>1.2</v>
      </c>
      <c r="W7" s="128">
        <v>1.21</v>
      </c>
      <c r="X7" s="128">
        <v>1.22</v>
      </c>
      <c r="Y7" s="128">
        <v>1.23</v>
      </c>
      <c r="Z7" s="128">
        <v>1.24</v>
      </c>
      <c r="AA7" s="128">
        <v>1.25</v>
      </c>
      <c r="AB7" s="128">
        <v>1.26</v>
      </c>
      <c r="AC7" s="128">
        <v>1.27</v>
      </c>
      <c r="AD7" s="128">
        <v>1.28</v>
      </c>
      <c r="AE7" s="128">
        <v>1.29</v>
      </c>
      <c r="AF7" s="128">
        <v>1.3</v>
      </c>
      <c r="AG7" s="128">
        <v>1.31</v>
      </c>
      <c r="AH7" s="128">
        <v>1.32</v>
      </c>
      <c r="AI7" s="128">
        <v>1.33</v>
      </c>
      <c r="AJ7" s="128">
        <v>1.34</v>
      </c>
      <c r="AK7" s="128">
        <v>1.35</v>
      </c>
      <c r="AL7" s="128">
        <v>1.36</v>
      </c>
      <c r="AM7" s="128">
        <v>1.37</v>
      </c>
      <c r="AN7" s="128">
        <v>1.38</v>
      </c>
      <c r="AO7" s="128">
        <v>1.39</v>
      </c>
      <c r="AP7" s="128">
        <v>1.4</v>
      </c>
      <c r="AQ7" s="128">
        <v>1.41</v>
      </c>
      <c r="AR7" s="128">
        <v>1.42</v>
      </c>
      <c r="AS7" s="128">
        <v>1.43</v>
      </c>
      <c r="AT7" s="128">
        <v>1.44</v>
      </c>
      <c r="AU7" s="128">
        <v>1.45</v>
      </c>
      <c r="AV7" s="128">
        <v>1.46</v>
      </c>
      <c r="AW7" s="128">
        <v>1.47</v>
      </c>
      <c r="AX7" s="128">
        <v>1.48</v>
      </c>
      <c r="AY7" s="128">
        <v>1.49</v>
      </c>
      <c r="AZ7" s="128">
        <v>1.5</v>
      </c>
      <c r="BA7" s="128">
        <v>1.51</v>
      </c>
      <c r="BB7" s="128">
        <v>1.52</v>
      </c>
      <c r="BC7" s="128">
        <v>1.53</v>
      </c>
      <c r="BD7" s="128">
        <v>1.54</v>
      </c>
      <c r="BE7" s="128">
        <v>1.55</v>
      </c>
      <c r="BF7" s="128">
        <v>1.56</v>
      </c>
      <c r="BG7" s="128">
        <v>1.57</v>
      </c>
      <c r="BH7" s="128">
        <v>1.58</v>
      </c>
      <c r="BI7" s="128">
        <v>1.59</v>
      </c>
      <c r="BJ7" s="128">
        <v>1.6</v>
      </c>
      <c r="BK7" s="128">
        <v>1.61</v>
      </c>
      <c r="BL7" s="128">
        <v>1.62</v>
      </c>
      <c r="BM7" s="128">
        <v>1.63</v>
      </c>
      <c r="BN7" s="128">
        <v>1.64</v>
      </c>
      <c r="BO7" s="128">
        <v>1.65</v>
      </c>
      <c r="BP7" s="128">
        <v>1.66</v>
      </c>
      <c r="BQ7" s="128">
        <v>1.67</v>
      </c>
      <c r="BR7" s="128">
        <v>1.68</v>
      </c>
      <c r="BS7" s="128">
        <v>1.69</v>
      </c>
      <c r="BT7" s="128">
        <v>1.7</v>
      </c>
      <c r="BU7" s="128">
        <v>1.71</v>
      </c>
      <c r="BV7" s="128">
        <v>1.72</v>
      </c>
      <c r="BW7" s="128">
        <v>1.73</v>
      </c>
      <c r="BX7" s="128">
        <v>1.74</v>
      </c>
      <c r="BY7" s="128">
        <v>1.75</v>
      </c>
      <c r="BZ7" s="128">
        <v>1.76</v>
      </c>
      <c r="CA7" s="128">
        <v>1.77</v>
      </c>
      <c r="CB7" s="128">
        <v>1.78</v>
      </c>
      <c r="CC7" s="128">
        <v>1.79</v>
      </c>
      <c r="CD7" s="128">
        <v>1.8</v>
      </c>
      <c r="CE7" s="128">
        <v>1.81</v>
      </c>
      <c r="CF7" s="128">
        <v>1.82</v>
      </c>
      <c r="CG7" s="128">
        <v>1.83</v>
      </c>
      <c r="CH7" s="128">
        <v>1.84</v>
      </c>
      <c r="CI7" s="128">
        <v>1.85</v>
      </c>
      <c r="CJ7" s="128">
        <v>1.86</v>
      </c>
      <c r="CK7" s="128">
        <v>1.87</v>
      </c>
      <c r="CL7" s="128">
        <v>1.88</v>
      </c>
      <c r="CM7" s="128">
        <v>1.89</v>
      </c>
      <c r="CN7" s="128">
        <v>1.9</v>
      </c>
      <c r="CO7" s="128">
        <v>1.91</v>
      </c>
      <c r="CP7" s="128">
        <v>1.92</v>
      </c>
      <c r="CQ7" s="128">
        <v>1.93</v>
      </c>
      <c r="CR7" s="128">
        <v>1.94</v>
      </c>
      <c r="CS7" s="128">
        <v>1.95</v>
      </c>
      <c r="CT7" s="128">
        <v>1.96</v>
      </c>
      <c r="CU7" s="128">
        <v>1.97</v>
      </c>
      <c r="CV7" s="128">
        <v>1.98</v>
      </c>
      <c r="CW7" s="128">
        <v>1.99</v>
      </c>
      <c r="CX7" s="128">
        <v>2</v>
      </c>
      <c r="CZ7" s="126">
        <f>SUMIF(MatrixF2[[1]:[2]],MatrixF2[[#This Row],[Столбец1]])/MatrixF2[[#This Row],[Столбец1]]</f>
        <v>81.000000000000071</v>
      </c>
    </row>
    <row r="8" spans="1:104" ht="21" customHeight="1" x14ac:dyDescent="0.25">
      <c r="A8" s="127">
        <v>1.05</v>
      </c>
      <c r="B8" s="128">
        <v>1</v>
      </c>
      <c r="C8" s="128">
        <v>1.01</v>
      </c>
      <c r="D8" s="128">
        <v>1.02</v>
      </c>
      <c r="E8" s="128">
        <v>1.03</v>
      </c>
      <c r="F8" s="128">
        <v>1.04</v>
      </c>
      <c r="G8" s="128">
        <v>1.05</v>
      </c>
      <c r="H8" s="128">
        <v>1.06</v>
      </c>
      <c r="I8" s="128">
        <v>1.07</v>
      </c>
      <c r="J8" s="128">
        <v>1.08</v>
      </c>
      <c r="K8" s="128">
        <v>1.0900000000000001</v>
      </c>
      <c r="L8" s="128">
        <v>1.1000000000000001</v>
      </c>
      <c r="M8" s="128">
        <v>1.1100000000000001</v>
      </c>
      <c r="N8" s="128">
        <v>1.1200000000000001</v>
      </c>
      <c r="O8" s="128">
        <v>1.1299999999999999</v>
      </c>
      <c r="P8" s="128">
        <v>1.1399999999999999</v>
      </c>
      <c r="Q8" s="128">
        <v>1.1499999999999999</v>
      </c>
      <c r="R8" s="128">
        <v>1.1599999999999999</v>
      </c>
      <c r="S8" s="128">
        <v>1.17</v>
      </c>
      <c r="T8" s="128">
        <v>1.18</v>
      </c>
      <c r="U8" s="128">
        <v>1.19</v>
      </c>
      <c r="V8" s="128">
        <v>1.2</v>
      </c>
      <c r="W8" s="128">
        <v>1.21</v>
      </c>
      <c r="X8" s="128">
        <v>1.22</v>
      </c>
      <c r="Y8" s="128">
        <v>1.23</v>
      </c>
      <c r="Z8" s="128">
        <v>1.24</v>
      </c>
      <c r="AA8" s="128">
        <v>1.25</v>
      </c>
      <c r="AB8" s="128">
        <v>1.26</v>
      </c>
      <c r="AC8" s="128">
        <v>1.27</v>
      </c>
      <c r="AD8" s="128">
        <v>1.28</v>
      </c>
      <c r="AE8" s="128">
        <v>1.29</v>
      </c>
      <c r="AF8" s="128">
        <v>1.3</v>
      </c>
      <c r="AG8" s="128">
        <v>1.31</v>
      </c>
      <c r="AH8" s="128">
        <v>1.32</v>
      </c>
      <c r="AI8" s="128">
        <v>1.33</v>
      </c>
      <c r="AJ8" s="128">
        <v>1.34</v>
      </c>
      <c r="AK8" s="128">
        <v>1.35</v>
      </c>
      <c r="AL8" s="128">
        <v>1.36</v>
      </c>
      <c r="AM8" s="128">
        <v>1.37</v>
      </c>
      <c r="AN8" s="128">
        <v>1.38</v>
      </c>
      <c r="AO8" s="128">
        <v>1.39</v>
      </c>
      <c r="AP8" s="128">
        <v>1.4</v>
      </c>
      <c r="AQ8" s="128">
        <v>1.41</v>
      </c>
      <c r="AR8" s="128">
        <v>1.42</v>
      </c>
      <c r="AS8" s="128">
        <v>1.43</v>
      </c>
      <c r="AT8" s="128">
        <v>1.44</v>
      </c>
      <c r="AU8" s="128">
        <v>1.45</v>
      </c>
      <c r="AV8" s="128">
        <v>1.46</v>
      </c>
      <c r="AW8" s="128">
        <v>1.47</v>
      </c>
      <c r="AX8" s="128">
        <v>1.48</v>
      </c>
      <c r="AY8" s="128">
        <v>1.49</v>
      </c>
      <c r="AZ8" s="128">
        <v>1.5</v>
      </c>
      <c r="BA8" s="128">
        <v>1.51</v>
      </c>
      <c r="BB8" s="128">
        <v>1.52</v>
      </c>
      <c r="BC8" s="128">
        <v>1.53</v>
      </c>
      <c r="BD8" s="128">
        <v>1.54</v>
      </c>
      <c r="BE8" s="128">
        <v>1.55</v>
      </c>
      <c r="BF8" s="128">
        <v>1.56</v>
      </c>
      <c r="BG8" s="128">
        <v>1.57</v>
      </c>
      <c r="BH8" s="128">
        <v>1.58</v>
      </c>
      <c r="BI8" s="128">
        <v>1.59</v>
      </c>
      <c r="BJ8" s="128">
        <v>1.6</v>
      </c>
      <c r="BK8" s="128">
        <v>1.61</v>
      </c>
      <c r="BL8" s="128">
        <v>1.62</v>
      </c>
      <c r="BM8" s="128">
        <v>1.63</v>
      </c>
      <c r="BN8" s="128">
        <v>1.64</v>
      </c>
      <c r="BO8" s="128">
        <v>1.65</v>
      </c>
      <c r="BP8" s="128">
        <v>1.66</v>
      </c>
      <c r="BQ8" s="128">
        <v>1.67</v>
      </c>
      <c r="BR8" s="128">
        <v>1.68</v>
      </c>
      <c r="BS8" s="128">
        <v>1.69</v>
      </c>
      <c r="BT8" s="128">
        <v>1.7</v>
      </c>
      <c r="BU8" s="128">
        <v>1.71</v>
      </c>
      <c r="BV8" s="128">
        <v>1.72</v>
      </c>
      <c r="BW8" s="128">
        <v>1.73</v>
      </c>
      <c r="BX8" s="128">
        <v>1.74</v>
      </c>
      <c r="BY8" s="128">
        <v>1.75</v>
      </c>
      <c r="BZ8" s="128">
        <v>1.76</v>
      </c>
      <c r="CA8" s="128">
        <v>1.77</v>
      </c>
      <c r="CB8" s="128">
        <v>1.78</v>
      </c>
      <c r="CC8" s="128">
        <v>1.79</v>
      </c>
      <c r="CD8" s="128">
        <v>1.8</v>
      </c>
      <c r="CE8" s="128">
        <v>1.81</v>
      </c>
      <c r="CF8" s="128">
        <v>1.82</v>
      </c>
      <c r="CG8" s="128">
        <v>1.83</v>
      </c>
      <c r="CH8" s="128">
        <v>1.84</v>
      </c>
      <c r="CI8" s="128">
        <v>1.85</v>
      </c>
      <c r="CJ8" s="128">
        <v>1.86</v>
      </c>
      <c r="CK8" s="128">
        <v>1.87</v>
      </c>
      <c r="CL8" s="128">
        <v>1.88</v>
      </c>
      <c r="CM8" s="128">
        <v>1.89</v>
      </c>
      <c r="CN8" s="128">
        <v>1.9</v>
      </c>
      <c r="CO8" s="128">
        <v>1.91</v>
      </c>
      <c r="CP8" s="128">
        <v>1.92</v>
      </c>
      <c r="CQ8" s="128">
        <v>1.93</v>
      </c>
      <c r="CR8" s="128">
        <v>1.94</v>
      </c>
      <c r="CS8" s="128">
        <v>1.95</v>
      </c>
      <c r="CT8" s="128">
        <v>1.96</v>
      </c>
      <c r="CU8" s="128">
        <v>1.97</v>
      </c>
      <c r="CV8" s="128">
        <v>1.98</v>
      </c>
      <c r="CW8" s="128">
        <v>1.99</v>
      </c>
      <c r="CX8" s="128">
        <v>2</v>
      </c>
      <c r="CZ8" s="126">
        <f>SUMIF(MatrixF2[[1]:[2]],MatrixF2[[#This Row],[Столбец1]])/MatrixF2[[#This Row],[Столбец1]]</f>
        <v>85.999999999999858</v>
      </c>
    </row>
    <row r="9" spans="1:104" ht="21" customHeight="1" x14ac:dyDescent="0.25">
      <c r="A9" s="127">
        <v>1.06</v>
      </c>
      <c r="B9" s="128">
        <v>1</v>
      </c>
      <c r="C9" s="128">
        <v>1.01</v>
      </c>
      <c r="D9" s="128">
        <v>1.02</v>
      </c>
      <c r="E9" s="128">
        <v>1.03</v>
      </c>
      <c r="F9" s="128">
        <v>1.04</v>
      </c>
      <c r="G9" s="128">
        <v>1.05</v>
      </c>
      <c r="H9" s="128">
        <v>1.06</v>
      </c>
      <c r="I9" s="128">
        <v>1.07</v>
      </c>
      <c r="J9" s="128">
        <v>1.08</v>
      </c>
      <c r="K9" s="128">
        <v>1.0900000000000001</v>
      </c>
      <c r="L9" s="128">
        <v>1.1000000000000001</v>
      </c>
      <c r="M9" s="128">
        <v>1.1100000000000001</v>
      </c>
      <c r="N9" s="128">
        <v>1.1200000000000001</v>
      </c>
      <c r="O9" s="128">
        <v>1.1299999999999999</v>
      </c>
      <c r="P9" s="128">
        <v>1.1399999999999999</v>
      </c>
      <c r="Q9" s="128">
        <v>1.1499999999999999</v>
      </c>
      <c r="R9" s="128">
        <v>1.1599999999999999</v>
      </c>
      <c r="S9" s="128">
        <v>1.17</v>
      </c>
      <c r="T9" s="128">
        <v>1.18</v>
      </c>
      <c r="U9" s="128">
        <v>1.19</v>
      </c>
      <c r="V9" s="128">
        <v>1.2</v>
      </c>
      <c r="W9" s="128">
        <v>1.21</v>
      </c>
      <c r="X9" s="128">
        <v>1.22</v>
      </c>
      <c r="Y9" s="128">
        <v>1.23</v>
      </c>
      <c r="Z9" s="128">
        <v>1.24</v>
      </c>
      <c r="AA9" s="128">
        <v>1.25</v>
      </c>
      <c r="AB9" s="128">
        <v>1.26</v>
      </c>
      <c r="AC9" s="128">
        <v>1.27</v>
      </c>
      <c r="AD9" s="128">
        <v>1.28</v>
      </c>
      <c r="AE9" s="128">
        <v>1.29</v>
      </c>
      <c r="AF9" s="128">
        <v>1.3</v>
      </c>
      <c r="AG9" s="128">
        <v>1.31</v>
      </c>
      <c r="AH9" s="128">
        <v>1.32</v>
      </c>
      <c r="AI9" s="128">
        <v>1.33</v>
      </c>
      <c r="AJ9" s="128">
        <v>1.34</v>
      </c>
      <c r="AK9" s="128">
        <v>1.35</v>
      </c>
      <c r="AL9" s="128">
        <v>1.36</v>
      </c>
      <c r="AM9" s="128">
        <v>1.37</v>
      </c>
      <c r="AN9" s="128">
        <v>1.38</v>
      </c>
      <c r="AO9" s="128">
        <v>1.39</v>
      </c>
      <c r="AP9" s="128">
        <v>1.4</v>
      </c>
      <c r="AQ9" s="128">
        <v>1.41</v>
      </c>
      <c r="AR9" s="128">
        <v>1.42</v>
      </c>
      <c r="AS9" s="128">
        <v>1.43</v>
      </c>
      <c r="AT9" s="128">
        <v>1.44</v>
      </c>
      <c r="AU9" s="128">
        <v>1.45</v>
      </c>
      <c r="AV9" s="128">
        <v>1.46</v>
      </c>
      <c r="AW9" s="128">
        <v>1.47</v>
      </c>
      <c r="AX9" s="128">
        <v>1.48</v>
      </c>
      <c r="AY9" s="128">
        <v>1.49</v>
      </c>
      <c r="AZ9" s="128">
        <v>1.5</v>
      </c>
      <c r="BA9" s="128">
        <v>1.51</v>
      </c>
      <c r="BB9" s="128">
        <v>1.52</v>
      </c>
      <c r="BC9" s="128">
        <v>1.53</v>
      </c>
      <c r="BD9" s="128">
        <v>1.54</v>
      </c>
      <c r="BE9" s="128">
        <v>1.55</v>
      </c>
      <c r="BF9" s="128">
        <v>1.56</v>
      </c>
      <c r="BG9" s="128">
        <v>1.57</v>
      </c>
      <c r="BH9" s="128">
        <v>1.58</v>
      </c>
      <c r="BI9" s="128">
        <v>1.59</v>
      </c>
      <c r="BJ9" s="128">
        <v>1.6</v>
      </c>
      <c r="BK9" s="128">
        <v>1.61</v>
      </c>
      <c r="BL9" s="128">
        <v>1.62</v>
      </c>
      <c r="BM9" s="128">
        <v>1.63</v>
      </c>
      <c r="BN9" s="128">
        <v>1.64</v>
      </c>
      <c r="BO9" s="128">
        <v>1.65</v>
      </c>
      <c r="BP9" s="128">
        <v>1.66</v>
      </c>
      <c r="BQ9" s="128">
        <v>1.67</v>
      </c>
      <c r="BR9" s="128">
        <v>1.68</v>
      </c>
      <c r="BS9" s="128">
        <v>1.69</v>
      </c>
      <c r="BT9" s="128">
        <v>1.7</v>
      </c>
      <c r="BU9" s="128">
        <v>1.71</v>
      </c>
      <c r="BV9" s="128">
        <v>1.72</v>
      </c>
      <c r="BW9" s="128">
        <v>1.73</v>
      </c>
      <c r="BX9" s="128">
        <v>1.74</v>
      </c>
      <c r="BY9" s="128">
        <v>1.75</v>
      </c>
      <c r="BZ9" s="128">
        <v>1.76</v>
      </c>
      <c r="CA9" s="128">
        <v>1.77</v>
      </c>
      <c r="CB9" s="128">
        <v>1.78</v>
      </c>
      <c r="CC9" s="128">
        <v>1.79</v>
      </c>
      <c r="CD9" s="128">
        <v>1.8</v>
      </c>
      <c r="CE9" s="128">
        <v>1.81</v>
      </c>
      <c r="CF9" s="128">
        <v>1.82</v>
      </c>
      <c r="CG9" s="128">
        <v>1.83</v>
      </c>
      <c r="CH9" s="128">
        <v>1.84</v>
      </c>
      <c r="CI9" s="128">
        <v>1.85</v>
      </c>
      <c r="CJ9" s="128">
        <v>1.86</v>
      </c>
      <c r="CK9" s="128">
        <v>1.87</v>
      </c>
      <c r="CL9" s="128">
        <v>1.88</v>
      </c>
      <c r="CM9" s="128">
        <v>1.89</v>
      </c>
      <c r="CN9" s="128">
        <v>1.9</v>
      </c>
      <c r="CO9" s="128">
        <v>1.91</v>
      </c>
      <c r="CP9" s="128">
        <v>1.92</v>
      </c>
      <c r="CQ9" s="128">
        <v>1.93</v>
      </c>
      <c r="CR9" s="128">
        <v>1.94</v>
      </c>
      <c r="CS9" s="128">
        <v>1.95</v>
      </c>
      <c r="CT9" s="128">
        <v>1.96</v>
      </c>
      <c r="CU9" s="128">
        <v>1.97</v>
      </c>
      <c r="CV9" s="128">
        <v>1.98</v>
      </c>
      <c r="CW9" s="128">
        <v>1.99</v>
      </c>
      <c r="CX9" s="128">
        <v>2</v>
      </c>
      <c r="CZ9" s="126">
        <f>SUMIF(MatrixF2[[1]:[2]],MatrixF2[[#This Row],[Столбец1]])/MatrixF2[[#This Row],[Столбец1]]</f>
        <v>81.000000000000085</v>
      </c>
    </row>
    <row r="10" spans="1:104" ht="21" customHeight="1" x14ac:dyDescent="0.25">
      <c r="A10" s="127">
        <v>1.07</v>
      </c>
      <c r="B10" s="128">
        <v>1</v>
      </c>
      <c r="C10" s="128">
        <v>1.01</v>
      </c>
      <c r="D10" s="128">
        <v>1.02</v>
      </c>
      <c r="E10" s="128">
        <v>1.03</v>
      </c>
      <c r="F10" s="128">
        <v>1.04</v>
      </c>
      <c r="G10" s="128">
        <v>1.05</v>
      </c>
      <c r="H10" s="128">
        <v>1.06</v>
      </c>
      <c r="I10" s="128">
        <v>1.07</v>
      </c>
      <c r="J10" s="128">
        <v>1.08</v>
      </c>
      <c r="K10" s="128">
        <v>1.0900000000000001</v>
      </c>
      <c r="L10" s="128">
        <v>1.1000000000000001</v>
      </c>
      <c r="M10" s="128">
        <v>1.1100000000000001</v>
      </c>
      <c r="N10" s="128">
        <v>1.1200000000000001</v>
      </c>
      <c r="O10" s="128">
        <v>1.1299999999999999</v>
      </c>
      <c r="P10" s="128">
        <v>1.1399999999999999</v>
      </c>
      <c r="Q10" s="128">
        <v>1.1499999999999999</v>
      </c>
      <c r="R10" s="128">
        <v>1.1599999999999999</v>
      </c>
      <c r="S10" s="128">
        <v>1.17</v>
      </c>
      <c r="T10" s="128">
        <v>1.18</v>
      </c>
      <c r="U10" s="128">
        <v>1.19</v>
      </c>
      <c r="V10" s="128">
        <v>1.2</v>
      </c>
      <c r="W10" s="128">
        <v>1.21</v>
      </c>
      <c r="X10" s="128">
        <v>1.22</v>
      </c>
      <c r="Y10" s="128">
        <v>1.23</v>
      </c>
      <c r="Z10" s="128">
        <v>1.24</v>
      </c>
      <c r="AA10" s="128">
        <v>1.25</v>
      </c>
      <c r="AB10" s="128">
        <v>1.26</v>
      </c>
      <c r="AC10" s="128">
        <v>1.27</v>
      </c>
      <c r="AD10" s="128">
        <v>1.28</v>
      </c>
      <c r="AE10" s="128">
        <v>1.29</v>
      </c>
      <c r="AF10" s="128">
        <v>1.3</v>
      </c>
      <c r="AG10" s="128">
        <v>1.31</v>
      </c>
      <c r="AH10" s="128">
        <v>1.32</v>
      </c>
      <c r="AI10" s="128">
        <v>1.33</v>
      </c>
      <c r="AJ10" s="128">
        <v>1.34</v>
      </c>
      <c r="AK10" s="128">
        <v>1.35</v>
      </c>
      <c r="AL10" s="128">
        <v>1.36</v>
      </c>
      <c r="AM10" s="128">
        <v>1.37</v>
      </c>
      <c r="AN10" s="128">
        <v>1.38</v>
      </c>
      <c r="AO10" s="128">
        <v>1.39</v>
      </c>
      <c r="AP10" s="128">
        <v>1.4</v>
      </c>
      <c r="AQ10" s="128">
        <v>1.41</v>
      </c>
      <c r="AR10" s="128">
        <v>1.42</v>
      </c>
      <c r="AS10" s="128">
        <v>1.43</v>
      </c>
      <c r="AT10" s="128">
        <v>1.44</v>
      </c>
      <c r="AU10" s="128">
        <v>1.45</v>
      </c>
      <c r="AV10" s="128">
        <v>1.46</v>
      </c>
      <c r="AW10" s="128">
        <v>1.47</v>
      </c>
      <c r="AX10" s="128">
        <v>1.48</v>
      </c>
      <c r="AY10" s="128">
        <v>1.49</v>
      </c>
      <c r="AZ10" s="128">
        <v>1.5</v>
      </c>
      <c r="BA10" s="128">
        <v>1.51</v>
      </c>
      <c r="BB10" s="128">
        <v>1.52</v>
      </c>
      <c r="BC10" s="128">
        <v>1.53</v>
      </c>
      <c r="BD10" s="128">
        <v>1.54</v>
      </c>
      <c r="BE10" s="128">
        <v>1.55</v>
      </c>
      <c r="BF10" s="128">
        <v>1.56</v>
      </c>
      <c r="BG10" s="128">
        <v>1.57</v>
      </c>
      <c r="BH10" s="128">
        <v>1.58</v>
      </c>
      <c r="BI10" s="128">
        <v>1.59</v>
      </c>
      <c r="BJ10" s="128">
        <v>1.6</v>
      </c>
      <c r="BK10" s="128">
        <v>1.61</v>
      </c>
      <c r="BL10" s="128">
        <v>1.62</v>
      </c>
      <c r="BM10" s="128">
        <v>1.63</v>
      </c>
      <c r="BN10" s="128">
        <v>1.64</v>
      </c>
      <c r="BO10" s="128">
        <v>1.65</v>
      </c>
      <c r="BP10" s="128">
        <v>1.66</v>
      </c>
      <c r="BQ10" s="128">
        <v>1.67</v>
      </c>
      <c r="BR10" s="128">
        <v>1.68</v>
      </c>
      <c r="BS10" s="128">
        <v>1.69</v>
      </c>
      <c r="BT10" s="128">
        <v>1.7</v>
      </c>
      <c r="BU10" s="128">
        <v>1.71</v>
      </c>
      <c r="BV10" s="128">
        <v>1.72</v>
      </c>
      <c r="BW10" s="128">
        <v>1.73</v>
      </c>
      <c r="BX10" s="128">
        <v>1.74</v>
      </c>
      <c r="BY10" s="128">
        <v>1.75</v>
      </c>
      <c r="BZ10" s="128">
        <v>1.76</v>
      </c>
      <c r="CA10" s="128">
        <v>1.77</v>
      </c>
      <c r="CB10" s="128">
        <v>1.78</v>
      </c>
      <c r="CC10" s="128">
        <v>1.79</v>
      </c>
      <c r="CD10" s="128">
        <v>1.8</v>
      </c>
      <c r="CE10" s="128">
        <v>1.81</v>
      </c>
      <c r="CF10" s="128">
        <v>1.82</v>
      </c>
      <c r="CG10" s="128">
        <v>1.83</v>
      </c>
      <c r="CH10" s="128">
        <v>1.84</v>
      </c>
      <c r="CI10" s="128">
        <v>1.85</v>
      </c>
      <c r="CJ10" s="128">
        <v>1.86</v>
      </c>
      <c r="CK10" s="128">
        <v>1.87</v>
      </c>
      <c r="CL10" s="128">
        <v>1.88</v>
      </c>
      <c r="CM10" s="128">
        <v>1.89</v>
      </c>
      <c r="CN10" s="128">
        <v>1.9</v>
      </c>
      <c r="CO10" s="128">
        <v>1.91</v>
      </c>
      <c r="CP10" s="128">
        <v>1.92</v>
      </c>
      <c r="CQ10" s="128">
        <v>1.93</v>
      </c>
      <c r="CR10" s="128">
        <v>1.94</v>
      </c>
      <c r="CS10" s="128">
        <v>1.95</v>
      </c>
      <c r="CT10" s="128">
        <v>1.96</v>
      </c>
      <c r="CU10" s="128">
        <v>1.97</v>
      </c>
      <c r="CV10" s="128">
        <v>1.98</v>
      </c>
      <c r="CW10" s="128">
        <v>1.99</v>
      </c>
      <c r="CX10" s="128">
        <v>2</v>
      </c>
      <c r="CZ10" s="126">
        <f>SUMIF(MatrixF2[[1]:[2]],MatrixF2[[#This Row],[Столбец1]])/MatrixF2[[#This Row],[Столбец1]]</f>
        <v>86.999999999999829</v>
      </c>
    </row>
    <row r="11" spans="1:104" ht="21" customHeight="1" x14ac:dyDescent="0.25">
      <c r="A11" s="127">
        <v>1.08</v>
      </c>
      <c r="B11" s="128">
        <v>1</v>
      </c>
      <c r="C11" s="128">
        <v>1.01</v>
      </c>
      <c r="D11" s="128">
        <v>1.02</v>
      </c>
      <c r="E11" s="128">
        <v>1.03</v>
      </c>
      <c r="F11" s="128">
        <v>1.04</v>
      </c>
      <c r="G11" s="128">
        <v>1.05</v>
      </c>
      <c r="H11" s="128">
        <v>1.06</v>
      </c>
      <c r="I11" s="128">
        <v>1.07</v>
      </c>
      <c r="J11" s="128">
        <v>1.08</v>
      </c>
      <c r="K11" s="128">
        <v>1.0900000000000001</v>
      </c>
      <c r="L11" s="128">
        <v>1.1000000000000001</v>
      </c>
      <c r="M11" s="128">
        <v>1.1100000000000001</v>
      </c>
      <c r="N11" s="128">
        <v>1.1200000000000001</v>
      </c>
      <c r="O11" s="128">
        <v>1.1299999999999999</v>
      </c>
      <c r="P11" s="128">
        <v>1.1399999999999999</v>
      </c>
      <c r="Q11" s="128">
        <v>1.1499999999999999</v>
      </c>
      <c r="R11" s="128">
        <v>1.1599999999999999</v>
      </c>
      <c r="S11" s="128">
        <v>1.17</v>
      </c>
      <c r="T11" s="128">
        <v>1.18</v>
      </c>
      <c r="U11" s="128">
        <v>1.19</v>
      </c>
      <c r="V11" s="128">
        <v>1.2</v>
      </c>
      <c r="W11" s="128">
        <v>1.21</v>
      </c>
      <c r="X11" s="128">
        <v>1.22</v>
      </c>
      <c r="Y11" s="128">
        <v>1.23</v>
      </c>
      <c r="Z11" s="128">
        <v>1.24</v>
      </c>
      <c r="AA11" s="128">
        <v>1.25</v>
      </c>
      <c r="AB11" s="128">
        <v>1.26</v>
      </c>
      <c r="AC11" s="128">
        <v>1.27</v>
      </c>
      <c r="AD11" s="128">
        <v>1.28</v>
      </c>
      <c r="AE11" s="128">
        <v>1.29</v>
      </c>
      <c r="AF11" s="128">
        <v>1.3</v>
      </c>
      <c r="AG11" s="128">
        <v>1.31</v>
      </c>
      <c r="AH11" s="128">
        <v>1.32</v>
      </c>
      <c r="AI11" s="128">
        <v>1.33</v>
      </c>
      <c r="AJ11" s="128">
        <v>1.34</v>
      </c>
      <c r="AK11" s="128">
        <v>1.35</v>
      </c>
      <c r="AL11" s="128">
        <v>1.36</v>
      </c>
      <c r="AM11" s="128">
        <v>1.37</v>
      </c>
      <c r="AN11" s="128">
        <v>1.38</v>
      </c>
      <c r="AO11" s="128">
        <v>1.39</v>
      </c>
      <c r="AP11" s="128">
        <v>1.4</v>
      </c>
      <c r="AQ11" s="128">
        <v>1.41</v>
      </c>
      <c r="AR11" s="128">
        <v>1.42</v>
      </c>
      <c r="AS11" s="128">
        <v>1.43</v>
      </c>
      <c r="AT11" s="128">
        <v>1.44</v>
      </c>
      <c r="AU11" s="128">
        <v>1.45</v>
      </c>
      <c r="AV11" s="128">
        <v>1.46</v>
      </c>
      <c r="AW11" s="128">
        <v>1.47</v>
      </c>
      <c r="AX11" s="128">
        <v>1.48</v>
      </c>
      <c r="AY11" s="128">
        <v>1.49</v>
      </c>
      <c r="AZ11" s="128">
        <v>1.5</v>
      </c>
      <c r="BA11" s="128">
        <v>1.51</v>
      </c>
      <c r="BB11" s="128">
        <v>1.52</v>
      </c>
      <c r="BC11" s="128">
        <v>1.53</v>
      </c>
      <c r="BD11" s="128">
        <v>1.54</v>
      </c>
      <c r="BE11" s="128">
        <v>1.55</v>
      </c>
      <c r="BF11" s="128">
        <v>1.56</v>
      </c>
      <c r="BG11" s="128">
        <v>1.57</v>
      </c>
      <c r="BH11" s="128">
        <v>1.58</v>
      </c>
      <c r="BI11" s="128">
        <v>1.59</v>
      </c>
      <c r="BJ11" s="128">
        <v>1.6</v>
      </c>
      <c r="BK11" s="128">
        <v>1.61</v>
      </c>
      <c r="BL11" s="128">
        <v>1.62</v>
      </c>
      <c r="BM11" s="128">
        <v>1.63</v>
      </c>
      <c r="BN11" s="128">
        <v>1.64</v>
      </c>
      <c r="BO11" s="128">
        <v>1.65</v>
      </c>
      <c r="BP11" s="128">
        <v>1.66</v>
      </c>
      <c r="BQ11" s="128">
        <v>1.67</v>
      </c>
      <c r="BR11" s="128">
        <v>1.68</v>
      </c>
      <c r="BS11" s="128">
        <v>1.69</v>
      </c>
      <c r="BT11" s="128">
        <v>1.7</v>
      </c>
      <c r="BU11" s="128">
        <v>1.71</v>
      </c>
      <c r="BV11" s="128">
        <v>1.72</v>
      </c>
      <c r="BW11" s="128">
        <v>1.73</v>
      </c>
      <c r="BX11" s="128">
        <v>1.74</v>
      </c>
      <c r="BY11" s="128">
        <v>1.75</v>
      </c>
      <c r="BZ11" s="128">
        <v>1.76</v>
      </c>
      <c r="CA11" s="128">
        <v>1.77</v>
      </c>
      <c r="CB11" s="128">
        <v>1.78</v>
      </c>
      <c r="CC11" s="128">
        <v>1.79</v>
      </c>
      <c r="CD11" s="128">
        <v>1.8</v>
      </c>
      <c r="CE11" s="128">
        <v>1.81</v>
      </c>
      <c r="CF11" s="128">
        <v>1.82</v>
      </c>
      <c r="CG11" s="128">
        <v>1.83</v>
      </c>
      <c r="CH11" s="128">
        <v>1.84</v>
      </c>
      <c r="CI11" s="128">
        <v>1.85</v>
      </c>
      <c r="CJ11" s="128">
        <v>1.86</v>
      </c>
      <c r="CK11" s="128">
        <v>1.87</v>
      </c>
      <c r="CL11" s="128">
        <v>1.88</v>
      </c>
      <c r="CM11" s="128">
        <v>1.89</v>
      </c>
      <c r="CN11" s="128">
        <v>1.9</v>
      </c>
      <c r="CO11" s="128">
        <v>1.91</v>
      </c>
      <c r="CP11" s="128">
        <v>1.92</v>
      </c>
      <c r="CQ11" s="128">
        <v>1.93</v>
      </c>
      <c r="CR11" s="128">
        <v>1.94</v>
      </c>
      <c r="CS11" s="128">
        <v>1.95</v>
      </c>
      <c r="CT11" s="128">
        <v>1.96</v>
      </c>
      <c r="CU11" s="128">
        <v>1.97</v>
      </c>
      <c r="CV11" s="128">
        <v>1.98</v>
      </c>
      <c r="CW11" s="128">
        <v>1.99</v>
      </c>
      <c r="CX11" s="128">
        <v>2</v>
      </c>
      <c r="CZ11" s="126">
        <f>SUMIF(MatrixF2[[1]:[2]],MatrixF2[[#This Row],[Столбец1]])/MatrixF2[[#This Row],[Столбец1]]</f>
        <v>85.999999999999886</v>
      </c>
    </row>
    <row r="12" spans="1:104" ht="21" customHeight="1" x14ac:dyDescent="0.25">
      <c r="A12" s="127">
        <v>1.0900000000000001</v>
      </c>
      <c r="B12" s="128">
        <v>1</v>
      </c>
      <c r="C12" s="128">
        <v>1.01</v>
      </c>
      <c r="D12" s="128">
        <v>1.02</v>
      </c>
      <c r="E12" s="128">
        <v>1.03</v>
      </c>
      <c r="F12" s="128">
        <v>1.04</v>
      </c>
      <c r="G12" s="128">
        <v>1.05</v>
      </c>
      <c r="H12" s="128">
        <v>1.06</v>
      </c>
      <c r="I12" s="128">
        <v>1.07</v>
      </c>
      <c r="J12" s="128">
        <v>1.08</v>
      </c>
      <c r="K12" s="128">
        <v>1.0900000000000001</v>
      </c>
      <c r="L12" s="128">
        <v>1.1000000000000001</v>
      </c>
      <c r="M12" s="128">
        <v>1.1100000000000001</v>
      </c>
      <c r="N12" s="128">
        <v>1.1200000000000001</v>
      </c>
      <c r="O12" s="128">
        <v>1.1299999999999999</v>
      </c>
      <c r="P12" s="128">
        <v>1.1399999999999999</v>
      </c>
      <c r="Q12" s="128">
        <v>1.1499999999999999</v>
      </c>
      <c r="R12" s="128">
        <v>1.1599999999999999</v>
      </c>
      <c r="S12" s="128">
        <v>1.17</v>
      </c>
      <c r="T12" s="128">
        <v>1.18</v>
      </c>
      <c r="U12" s="128">
        <v>1.19</v>
      </c>
      <c r="V12" s="128">
        <v>1.2</v>
      </c>
      <c r="W12" s="128">
        <v>1.21</v>
      </c>
      <c r="X12" s="128">
        <v>1.22</v>
      </c>
      <c r="Y12" s="128">
        <v>1.23</v>
      </c>
      <c r="Z12" s="128">
        <v>1.24</v>
      </c>
      <c r="AA12" s="128">
        <v>1.25</v>
      </c>
      <c r="AB12" s="128">
        <v>1.26</v>
      </c>
      <c r="AC12" s="128">
        <v>1.27</v>
      </c>
      <c r="AD12" s="128">
        <v>1.28</v>
      </c>
      <c r="AE12" s="128">
        <v>1.29</v>
      </c>
      <c r="AF12" s="128">
        <v>1.3</v>
      </c>
      <c r="AG12" s="128">
        <v>1.31</v>
      </c>
      <c r="AH12" s="128">
        <v>1.32</v>
      </c>
      <c r="AI12" s="128">
        <v>1.33</v>
      </c>
      <c r="AJ12" s="128">
        <v>1.34</v>
      </c>
      <c r="AK12" s="128">
        <v>1.35</v>
      </c>
      <c r="AL12" s="128">
        <v>1.36</v>
      </c>
      <c r="AM12" s="128">
        <v>1.37</v>
      </c>
      <c r="AN12" s="128">
        <v>1.38</v>
      </c>
      <c r="AO12" s="128">
        <v>1.39</v>
      </c>
      <c r="AP12" s="128">
        <v>1.4</v>
      </c>
      <c r="AQ12" s="128">
        <v>1.41</v>
      </c>
      <c r="AR12" s="128">
        <v>1.42</v>
      </c>
      <c r="AS12" s="128">
        <v>1.43</v>
      </c>
      <c r="AT12" s="128">
        <v>1.44</v>
      </c>
      <c r="AU12" s="128">
        <v>1.45</v>
      </c>
      <c r="AV12" s="128">
        <v>1.46</v>
      </c>
      <c r="AW12" s="128">
        <v>1.47</v>
      </c>
      <c r="AX12" s="128">
        <v>1.48</v>
      </c>
      <c r="AY12" s="128">
        <v>1.49</v>
      </c>
      <c r="AZ12" s="128">
        <v>1.5</v>
      </c>
      <c r="BA12" s="128">
        <v>1.51</v>
      </c>
      <c r="BB12" s="128">
        <v>1.52</v>
      </c>
      <c r="BC12" s="128">
        <v>1.53</v>
      </c>
      <c r="BD12" s="128">
        <v>1.54</v>
      </c>
      <c r="BE12" s="128">
        <v>1.55</v>
      </c>
      <c r="BF12" s="128">
        <v>1.56</v>
      </c>
      <c r="BG12" s="128">
        <v>1.57</v>
      </c>
      <c r="BH12" s="128">
        <v>1.58</v>
      </c>
      <c r="BI12" s="128">
        <v>1.59</v>
      </c>
      <c r="BJ12" s="128">
        <v>1.6</v>
      </c>
      <c r="BK12" s="128">
        <v>1.61</v>
      </c>
      <c r="BL12" s="128">
        <v>1.62</v>
      </c>
      <c r="BM12" s="128">
        <v>1.63</v>
      </c>
      <c r="BN12" s="128">
        <v>1.64</v>
      </c>
      <c r="BO12" s="128">
        <v>1.65</v>
      </c>
      <c r="BP12" s="128">
        <v>1.66</v>
      </c>
      <c r="BQ12" s="128">
        <v>1.67</v>
      </c>
      <c r="BR12" s="128">
        <v>1.68</v>
      </c>
      <c r="BS12" s="128">
        <v>1.69</v>
      </c>
      <c r="BT12" s="128">
        <v>1.7</v>
      </c>
      <c r="BU12" s="128">
        <v>1.71</v>
      </c>
      <c r="BV12" s="128">
        <v>1.72</v>
      </c>
      <c r="BW12" s="128">
        <v>1.73</v>
      </c>
      <c r="BX12" s="128">
        <v>1.74</v>
      </c>
      <c r="BY12" s="128">
        <v>1.75</v>
      </c>
      <c r="BZ12" s="128">
        <v>1.76</v>
      </c>
      <c r="CA12" s="128">
        <v>1.77</v>
      </c>
      <c r="CB12" s="128">
        <v>1.78</v>
      </c>
      <c r="CC12" s="128">
        <v>1.79</v>
      </c>
      <c r="CD12" s="128">
        <v>1.8</v>
      </c>
      <c r="CE12" s="128">
        <v>1.81</v>
      </c>
      <c r="CF12" s="128">
        <v>1.82</v>
      </c>
      <c r="CG12" s="128">
        <v>1.83</v>
      </c>
      <c r="CH12" s="128">
        <v>1.84</v>
      </c>
      <c r="CI12" s="128">
        <v>1.85</v>
      </c>
      <c r="CJ12" s="128">
        <v>1.86</v>
      </c>
      <c r="CK12" s="128">
        <v>1.87</v>
      </c>
      <c r="CL12" s="128">
        <v>1.88</v>
      </c>
      <c r="CM12" s="128">
        <v>1.89</v>
      </c>
      <c r="CN12" s="128">
        <v>1.9</v>
      </c>
      <c r="CO12" s="128">
        <v>1.91</v>
      </c>
      <c r="CP12" s="128">
        <v>1.92</v>
      </c>
      <c r="CQ12" s="128">
        <v>1.93</v>
      </c>
      <c r="CR12" s="128">
        <v>1.94</v>
      </c>
      <c r="CS12" s="128">
        <v>1.95</v>
      </c>
      <c r="CT12" s="128">
        <v>1.96</v>
      </c>
      <c r="CU12" s="128">
        <v>1.97</v>
      </c>
      <c r="CV12" s="128">
        <v>1.98</v>
      </c>
      <c r="CW12" s="128">
        <v>1.99</v>
      </c>
      <c r="CX12" s="128">
        <v>2</v>
      </c>
      <c r="CZ12" s="126">
        <f>SUMIF(MatrixF2[[1]:[2]],MatrixF2[[#This Row],[Столбец1]])/MatrixF2[[#This Row],[Столбец1]]</f>
        <v>89.000000000000185</v>
      </c>
    </row>
    <row r="13" spans="1:104" ht="21" customHeight="1" x14ac:dyDescent="0.25">
      <c r="A13" s="127">
        <v>1.1000000000000001</v>
      </c>
      <c r="B13" s="128">
        <v>1</v>
      </c>
      <c r="C13" s="128">
        <v>1.01</v>
      </c>
      <c r="D13" s="128">
        <v>1.02</v>
      </c>
      <c r="E13" s="128">
        <v>1.03</v>
      </c>
      <c r="F13" s="128">
        <v>1.04</v>
      </c>
      <c r="G13" s="128">
        <v>1.05</v>
      </c>
      <c r="H13" s="128">
        <v>1.06</v>
      </c>
      <c r="I13" s="128">
        <v>1.07</v>
      </c>
      <c r="J13" s="128">
        <v>1.08</v>
      </c>
      <c r="K13" s="128">
        <v>1.0900000000000001</v>
      </c>
      <c r="L13" s="128">
        <v>1.1000000000000001</v>
      </c>
      <c r="M13" s="128">
        <v>1.1100000000000001</v>
      </c>
      <c r="N13" s="128">
        <v>1.1200000000000001</v>
      </c>
      <c r="O13" s="128">
        <v>1.1299999999999999</v>
      </c>
      <c r="P13" s="128">
        <v>1.1399999999999999</v>
      </c>
      <c r="Q13" s="128">
        <v>1.1499999999999999</v>
      </c>
      <c r="R13" s="128">
        <v>1.1599999999999999</v>
      </c>
      <c r="S13" s="128">
        <v>1.17</v>
      </c>
      <c r="T13" s="128">
        <v>1.18</v>
      </c>
      <c r="U13" s="128">
        <v>1.19</v>
      </c>
      <c r="V13" s="128">
        <v>1.2</v>
      </c>
      <c r="W13" s="128">
        <v>1.21</v>
      </c>
      <c r="X13" s="128">
        <v>1.22</v>
      </c>
      <c r="Y13" s="128">
        <v>1.23</v>
      </c>
      <c r="Z13" s="128">
        <v>1.24</v>
      </c>
      <c r="AA13" s="128">
        <v>1.25</v>
      </c>
      <c r="AB13" s="128">
        <v>1.26</v>
      </c>
      <c r="AC13" s="128">
        <v>1.27</v>
      </c>
      <c r="AD13" s="128">
        <v>1.28</v>
      </c>
      <c r="AE13" s="128">
        <v>1.29</v>
      </c>
      <c r="AF13" s="128">
        <v>1.3</v>
      </c>
      <c r="AG13" s="128">
        <v>1.31</v>
      </c>
      <c r="AH13" s="128">
        <v>1.32</v>
      </c>
      <c r="AI13" s="128">
        <v>1.33</v>
      </c>
      <c r="AJ13" s="128">
        <v>1.34</v>
      </c>
      <c r="AK13" s="128">
        <v>1.35</v>
      </c>
      <c r="AL13" s="128">
        <v>1.36</v>
      </c>
      <c r="AM13" s="128">
        <v>1.37</v>
      </c>
      <c r="AN13" s="128">
        <v>1.38</v>
      </c>
      <c r="AO13" s="128">
        <v>1.39</v>
      </c>
      <c r="AP13" s="128">
        <v>1.4</v>
      </c>
      <c r="AQ13" s="128">
        <v>1.41</v>
      </c>
      <c r="AR13" s="128">
        <v>1.42</v>
      </c>
      <c r="AS13" s="128">
        <v>1.43</v>
      </c>
      <c r="AT13" s="128">
        <v>1.44</v>
      </c>
      <c r="AU13" s="128">
        <v>1.45</v>
      </c>
      <c r="AV13" s="128">
        <v>1.46</v>
      </c>
      <c r="AW13" s="128">
        <v>1.47</v>
      </c>
      <c r="AX13" s="128">
        <v>1.48</v>
      </c>
      <c r="AY13" s="128">
        <v>1.49</v>
      </c>
      <c r="AZ13" s="128">
        <v>1.5</v>
      </c>
      <c r="BA13" s="128">
        <v>1.51</v>
      </c>
      <c r="BB13" s="128">
        <v>1.52</v>
      </c>
      <c r="BC13" s="128">
        <v>1.53</v>
      </c>
      <c r="BD13" s="128">
        <v>1.54</v>
      </c>
      <c r="BE13" s="128">
        <v>1.55</v>
      </c>
      <c r="BF13" s="128">
        <v>1.56</v>
      </c>
      <c r="BG13" s="128">
        <v>1.57</v>
      </c>
      <c r="BH13" s="128">
        <v>1.58</v>
      </c>
      <c r="BI13" s="128">
        <v>1.59</v>
      </c>
      <c r="BJ13" s="128">
        <v>1.6</v>
      </c>
      <c r="BK13" s="128">
        <v>1.61</v>
      </c>
      <c r="BL13" s="128">
        <v>1.62</v>
      </c>
      <c r="BM13" s="128">
        <v>1.63</v>
      </c>
      <c r="BN13" s="128">
        <v>1.64</v>
      </c>
      <c r="BO13" s="128">
        <v>1.65</v>
      </c>
      <c r="BP13" s="128">
        <v>1.66</v>
      </c>
      <c r="BQ13" s="128">
        <v>1.67</v>
      </c>
      <c r="BR13" s="128">
        <v>1.68</v>
      </c>
      <c r="BS13" s="128">
        <v>1.69</v>
      </c>
      <c r="BT13" s="128">
        <v>1.7</v>
      </c>
      <c r="BU13" s="128">
        <v>1.71</v>
      </c>
      <c r="BV13" s="128">
        <v>1.72</v>
      </c>
      <c r="BW13" s="128">
        <v>1.73</v>
      </c>
      <c r="BX13" s="128">
        <v>1.74</v>
      </c>
      <c r="BY13" s="128">
        <v>1.75</v>
      </c>
      <c r="BZ13" s="128">
        <v>1.76</v>
      </c>
      <c r="CA13" s="128">
        <v>1.77</v>
      </c>
      <c r="CB13" s="128">
        <v>1.78</v>
      </c>
      <c r="CC13" s="128">
        <v>1.79</v>
      </c>
      <c r="CD13" s="128">
        <v>1.8</v>
      </c>
      <c r="CE13" s="128">
        <v>1.81</v>
      </c>
      <c r="CF13" s="128">
        <v>1.82</v>
      </c>
      <c r="CG13" s="128">
        <v>1.83</v>
      </c>
      <c r="CH13" s="128">
        <v>1.84</v>
      </c>
      <c r="CI13" s="128">
        <v>1.85</v>
      </c>
      <c r="CJ13" s="128">
        <v>1.86</v>
      </c>
      <c r="CK13" s="128">
        <v>1.87</v>
      </c>
      <c r="CL13" s="128">
        <v>1.88</v>
      </c>
      <c r="CM13" s="128">
        <v>1.89</v>
      </c>
      <c r="CN13" s="128">
        <v>1.9</v>
      </c>
      <c r="CO13" s="128">
        <v>1.91</v>
      </c>
      <c r="CP13" s="128">
        <v>1.92</v>
      </c>
      <c r="CQ13" s="128">
        <v>1.93</v>
      </c>
      <c r="CR13" s="128">
        <v>1.94</v>
      </c>
      <c r="CS13" s="128">
        <v>1.95</v>
      </c>
      <c r="CT13" s="128">
        <v>1.96</v>
      </c>
      <c r="CU13" s="128">
        <v>1.97</v>
      </c>
      <c r="CV13" s="128">
        <v>1.98</v>
      </c>
      <c r="CW13" s="128">
        <v>1.99</v>
      </c>
      <c r="CX13" s="128">
        <v>2</v>
      </c>
      <c r="CZ13" s="126">
        <f>SUMIF(MatrixF2[[1]:[2]],MatrixF2[[#This Row],[Столбец1]])/MatrixF2[[#This Row],[Столбец1]]</f>
        <v>89.999999999999872</v>
      </c>
    </row>
    <row r="14" spans="1:104" ht="21" customHeight="1" x14ac:dyDescent="0.25">
      <c r="A14" s="127">
        <v>1.1100000000000001</v>
      </c>
      <c r="B14" s="128">
        <v>1</v>
      </c>
      <c r="C14" s="128">
        <v>1.01</v>
      </c>
      <c r="D14" s="128">
        <v>1.02</v>
      </c>
      <c r="E14" s="128">
        <v>1.03</v>
      </c>
      <c r="F14" s="128">
        <v>1.04</v>
      </c>
      <c r="G14" s="128">
        <v>1.05</v>
      </c>
      <c r="H14" s="128">
        <v>1.06</v>
      </c>
      <c r="I14" s="128">
        <v>1.07</v>
      </c>
      <c r="J14" s="128">
        <v>1.08</v>
      </c>
      <c r="K14" s="128">
        <v>1.0900000000000001</v>
      </c>
      <c r="L14" s="128">
        <v>1.1000000000000001</v>
      </c>
      <c r="M14" s="128">
        <v>1.1100000000000001</v>
      </c>
      <c r="N14" s="128">
        <v>1.1200000000000001</v>
      </c>
      <c r="O14" s="128">
        <v>1.1299999999999999</v>
      </c>
      <c r="P14" s="128">
        <v>1.1399999999999999</v>
      </c>
      <c r="Q14" s="128">
        <v>1.1499999999999999</v>
      </c>
      <c r="R14" s="128">
        <v>1.1599999999999999</v>
      </c>
      <c r="S14" s="128">
        <v>1.17</v>
      </c>
      <c r="T14" s="128">
        <v>1.18</v>
      </c>
      <c r="U14" s="128">
        <v>1.19</v>
      </c>
      <c r="V14" s="128">
        <v>1.2</v>
      </c>
      <c r="W14" s="128">
        <v>1.21</v>
      </c>
      <c r="X14" s="128">
        <v>1.22</v>
      </c>
      <c r="Y14" s="128">
        <v>1.23</v>
      </c>
      <c r="Z14" s="128">
        <v>1.24</v>
      </c>
      <c r="AA14" s="128">
        <v>1.25</v>
      </c>
      <c r="AB14" s="128">
        <v>1.26</v>
      </c>
      <c r="AC14" s="128">
        <v>1.27</v>
      </c>
      <c r="AD14" s="128">
        <v>1.28</v>
      </c>
      <c r="AE14" s="128">
        <v>1.29</v>
      </c>
      <c r="AF14" s="128">
        <v>1.3</v>
      </c>
      <c r="AG14" s="128">
        <v>1.31</v>
      </c>
      <c r="AH14" s="128">
        <v>1.32</v>
      </c>
      <c r="AI14" s="128">
        <v>1.33</v>
      </c>
      <c r="AJ14" s="128">
        <v>1.34</v>
      </c>
      <c r="AK14" s="128">
        <v>1.35</v>
      </c>
      <c r="AL14" s="128">
        <v>1.36</v>
      </c>
      <c r="AM14" s="128">
        <v>1.37</v>
      </c>
      <c r="AN14" s="128">
        <v>1.38</v>
      </c>
      <c r="AO14" s="128">
        <v>1.39</v>
      </c>
      <c r="AP14" s="128">
        <v>1.4</v>
      </c>
      <c r="AQ14" s="128">
        <v>1.41</v>
      </c>
      <c r="AR14" s="128">
        <v>1.42</v>
      </c>
      <c r="AS14" s="128">
        <v>1.43</v>
      </c>
      <c r="AT14" s="128">
        <v>1.44</v>
      </c>
      <c r="AU14" s="128">
        <v>1.45</v>
      </c>
      <c r="AV14" s="128">
        <v>1.46</v>
      </c>
      <c r="AW14" s="128">
        <v>1.47</v>
      </c>
      <c r="AX14" s="128">
        <v>1.48</v>
      </c>
      <c r="AY14" s="128">
        <v>1.49</v>
      </c>
      <c r="AZ14" s="128">
        <v>1.5</v>
      </c>
      <c r="BA14" s="128">
        <v>1.51</v>
      </c>
      <c r="BB14" s="128">
        <v>1.52</v>
      </c>
      <c r="BC14" s="128">
        <v>1.53</v>
      </c>
      <c r="BD14" s="128">
        <v>1.54</v>
      </c>
      <c r="BE14" s="128">
        <v>1.55</v>
      </c>
      <c r="BF14" s="128">
        <v>1.56</v>
      </c>
      <c r="BG14" s="128">
        <v>1.57</v>
      </c>
      <c r="BH14" s="128">
        <v>1.58</v>
      </c>
      <c r="BI14" s="128">
        <v>1.59</v>
      </c>
      <c r="BJ14" s="128">
        <v>1.6</v>
      </c>
      <c r="BK14" s="128">
        <v>1.61</v>
      </c>
      <c r="BL14" s="128">
        <v>1.62</v>
      </c>
      <c r="BM14" s="128">
        <v>1.63</v>
      </c>
      <c r="BN14" s="128">
        <v>1.64</v>
      </c>
      <c r="BO14" s="128">
        <v>1.65</v>
      </c>
      <c r="BP14" s="128">
        <v>1.66</v>
      </c>
      <c r="BQ14" s="128">
        <v>1.67</v>
      </c>
      <c r="BR14" s="128">
        <v>1.68</v>
      </c>
      <c r="BS14" s="128">
        <v>1.69</v>
      </c>
      <c r="BT14" s="128">
        <v>1.7</v>
      </c>
      <c r="BU14" s="128">
        <v>1.71</v>
      </c>
      <c r="BV14" s="128">
        <v>1.72</v>
      </c>
      <c r="BW14" s="128">
        <v>1.73</v>
      </c>
      <c r="BX14" s="128">
        <v>1.74</v>
      </c>
      <c r="BY14" s="128">
        <v>1.75</v>
      </c>
      <c r="BZ14" s="128">
        <v>1.76</v>
      </c>
      <c r="CA14" s="128">
        <v>1.77</v>
      </c>
      <c r="CB14" s="128">
        <v>1.78</v>
      </c>
      <c r="CC14" s="128">
        <v>1.79</v>
      </c>
      <c r="CD14" s="128">
        <v>1.8</v>
      </c>
      <c r="CE14" s="128">
        <v>1.81</v>
      </c>
      <c r="CF14" s="128">
        <v>1.82</v>
      </c>
      <c r="CG14" s="128">
        <v>1.83</v>
      </c>
      <c r="CH14" s="128">
        <v>1.84</v>
      </c>
      <c r="CI14" s="128">
        <v>1.85</v>
      </c>
      <c r="CJ14" s="128">
        <v>1.86</v>
      </c>
      <c r="CK14" s="128">
        <v>1.87</v>
      </c>
      <c r="CL14" s="128">
        <v>1.88</v>
      </c>
      <c r="CM14" s="128">
        <v>1.89</v>
      </c>
      <c r="CN14" s="128">
        <v>1.9</v>
      </c>
      <c r="CO14" s="128">
        <v>1.91</v>
      </c>
      <c r="CP14" s="128">
        <v>1.92</v>
      </c>
      <c r="CQ14" s="128">
        <v>1.93</v>
      </c>
      <c r="CR14" s="128">
        <v>1.94</v>
      </c>
      <c r="CS14" s="128">
        <v>1.95</v>
      </c>
      <c r="CT14" s="128">
        <v>1.96</v>
      </c>
      <c r="CU14" s="128">
        <v>1.97</v>
      </c>
      <c r="CV14" s="128">
        <v>1.98</v>
      </c>
      <c r="CW14" s="128">
        <v>1.99</v>
      </c>
      <c r="CX14" s="128">
        <v>2</v>
      </c>
      <c r="CZ14" s="126">
        <f>SUMIF(MatrixF2[[1]:[2]],MatrixF2[[#This Row],[Столбец1]])/MatrixF2[[#This Row],[Столбец1]]</f>
        <v>92.999999999999957</v>
      </c>
    </row>
    <row r="15" spans="1:104" ht="21" customHeight="1" x14ac:dyDescent="0.25">
      <c r="A15" s="127">
        <v>1.1200000000000001</v>
      </c>
      <c r="B15" s="128">
        <v>1</v>
      </c>
      <c r="C15" s="128">
        <v>1.01</v>
      </c>
      <c r="D15" s="128">
        <v>1.02</v>
      </c>
      <c r="E15" s="128">
        <v>1.03</v>
      </c>
      <c r="F15" s="128">
        <v>1.04</v>
      </c>
      <c r="G15" s="128">
        <v>1.05</v>
      </c>
      <c r="H15" s="128">
        <v>1.06</v>
      </c>
      <c r="I15" s="128">
        <v>1.07</v>
      </c>
      <c r="J15" s="128">
        <v>1.08</v>
      </c>
      <c r="K15" s="128">
        <v>1.0900000000000001</v>
      </c>
      <c r="L15" s="128">
        <v>1.1000000000000001</v>
      </c>
      <c r="M15" s="128">
        <v>1.1100000000000001</v>
      </c>
      <c r="N15" s="128">
        <v>1.1200000000000001</v>
      </c>
      <c r="O15" s="128">
        <v>1.1299999999999999</v>
      </c>
      <c r="P15" s="128">
        <v>1.1399999999999999</v>
      </c>
      <c r="Q15" s="128">
        <v>1.1499999999999999</v>
      </c>
      <c r="R15" s="128">
        <v>1.1599999999999999</v>
      </c>
      <c r="S15" s="128">
        <v>1.17</v>
      </c>
      <c r="T15" s="128">
        <v>1.18</v>
      </c>
      <c r="U15" s="128">
        <v>1.19</v>
      </c>
      <c r="V15" s="128">
        <v>1.2</v>
      </c>
      <c r="W15" s="128">
        <v>1.21</v>
      </c>
      <c r="X15" s="128">
        <v>1.22</v>
      </c>
      <c r="Y15" s="128">
        <v>1.23</v>
      </c>
      <c r="Z15" s="128">
        <v>1.24</v>
      </c>
      <c r="AA15" s="128">
        <v>1.25</v>
      </c>
      <c r="AB15" s="128">
        <v>1.26</v>
      </c>
      <c r="AC15" s="128">
        <v>1.27</v>
      </c>
      <c r="AD15" s="128">
        <v>1.28</v>
      </c>
      <c r="AE15" s="128">
        <v>1.29</v>
      </c>
      <c r="AF15" s="128">
        <v>1.3</v>
      </c>
      <c r="AG15" s="128">
        <v>1.31</v>
      </c>
      <c r="AH15" s="128">
        <v>1.32</v>
      </c>
      <c r="AI15" s="128">
        <v>1.33</v>
      </c>
      <c r="AJ15" s="128">
        <v>1.34</v>
      </c>
      <c r="AK15" s="128">
        <v>1.35</v>
      </c>
      <c r="AL15" s="128">
        <v>1.36</v>
      </c>
      <c r="AM15" s="128">
        <v>1.37</v>
      </c>
      <c r="AN15" s="128">
        <v>1.38</v>
      </c>
      <c r="AO15" s="128">
        <v>1.39</v>
      </c>
      <c r="AP15" s="128">
        <v>1.4</v>
      </c>
      <c r="AQ15" s="128">
        <v>1.41</v>
      </c>
      <c r="AR15" s="128">
        <v>1.42</v>
      </c>
      <c r="AS15" s="128">
        <v>1.43</v>
      </c>
      <c r="AT15" s="128">
        <v>1.44</v>
      </c>
      <c r="AU15" s="128">
        <v>1.45</v>
      </c>
      <c r="AV15" s="128">
        <v>1.46</v>
      </c>
      <c r="AW15" s="128">
        <v>1.47</v>
      </c>
      <c r="AX15" s="128">
        <v>1.48</v>
      </c>
      <c r="AY15" s="128">
        <v>1.49</v>
      </c>
      <c r="AZ15" s="128">
        <v>1.5</v>
      </c>
      <c r="BA15" s="128">
        <v>1.51</v>
      </c>
      <c r="BB15" s="128">
        <v>1.52</v>
      </c>
      <c r="BC15" s="128">
        <v>1.53</v>
      </c>
      <c r="BD15" s="128">
        <v>1.54</v>
      </c>
      <c r="BE15" s="128">
        <v>1.55</v>
      </c>
      <c r="BF15" s="128">
        <v>1.56</v>
      </c>
      <c r="BG15" s="128">
        <v>1.57</v>
      </c>
      <c r="BH15" s="128">
        <v>1.58</v>
      </c>
      <c r="BI15" s="128">
        <v>1.59</v>
      </c>
      <c r="BJ15" s="128">
        <v>1.6</v>
      </c>
      <c r="BK15" s="128">
        <v>1.61</v>
      </c>
      <c r="BL15" s="128">
        <v>1.62</v>
      </c>
      <c r="BM15" s="128">
        <v>1.63</v>
      </c>
      <c r="BN15" s="128">
        <v>1.64</v>
      </c>
      <c r="BO15" s="128">
        <v>1.65</v>
      </c>
      <c r="BP15" s="128">
        <v>1.66</v>
      </c>
      <c r="BQ15" s="128">
        <v>1.67</v>
      </c>
      <c r="BR15" s="128">
        <v>1.68</v>
      </c>
      <c r="BS15" s="128">
        <v>1.69</v>
      </c>
      <c r="BT15" s="128">
        <v>1.7</v>
      </c>
      <c r="BU15" s="128">
        <v>1.71</v>
      </c>
      <c r="BV15" s="128">
        <v>1.72</v>
      </c>
      <c r="BW15" s="128">
        <v>1.73</v>
      </c>
      <c r="BX15" s="128">
        <v>1.74</v>
      </c>
      <c r="BY15" s="128">
        <v>1.75</v>
      </c>
      <c r="BZ15" s="128">
        <v>1.76</v>
      </c>
      <c r="CA15" s="128">
        <v>1.77</v>
      </c>
      <c r="CB15" s="128">
        <v>1.78</v>
      </c>
      <c r="CC15" s="128">
        <v>1.79</v>
      </c>
      <c r="CD15" s="128">
        <v>1.8</v>
      </c>
      <c r="CE15" s="128">
        <v>1.81</v>
      </c>
      <c r="CF15" s="128">
        <v>1.82</v>
      </c>
      <c r="CG15" s="128">
        <v>1.83</v>
      </c>
      <c r="CH15" s="128">
        <v>1.84</v>
      </c>
      <c r="CI15" s="128">
        <v>1.85</v>
      </c>
      <c r="CJ15" s="128">
        <v>1.86</v>
      </c>
      <c r="CK15" s="128">
        <v>1.87</v>
      </c>
      <c r="CL15" s="128">
        <v>1.88</v>
      </c>
      <c r="CM15" s="128">
        <v>1.89</v>
      </c>
      <c r="CN15" s="128">
        <v>1.9</v>
      </c>
      <c r="CO15" s="128">
        <v>1.91</v>
      </c>
      <c r="CP15" s="128">
        <v>1.92</v>
      </c>
      <c r="CQ15" s="128">
        <v>1.93</v>
      </c>
      <c r="CR15" s="128">
        <v>1.94</v>
      </c>
      <c r="CS15" s="128">
        <v>1.95</v>
      </c>
      <c r="CT15" s="128">
        <v>1.96</v>
      </c>
      <c r="CU15" s="128">
        <v>1.97</v>
      </c>
      <c r="CV15" s="128">
        <v>1.98</v>
      </c>
      <c r="CW15" s="128">
        <v>1.99</v>
      </c>
      <c r="CX15" s="128">
        <v>2</v>
      </c>
      <c r="CZ15" s="126">
        <f>SUMIF(MatrixF2[[1]:[2]],MatrixF2[[#This Row],[Столбец1]])/MatrixF2[[#This Row],[Столбец1]]</f>
        <v>95.000000000000099</v>
      </c>
    </row>
    <row r="16" spans="1:104" ht="21" customHeight="1" x14ac:dyDescent="0.25">
      <c r="A16" s="127">
        <v>1.1299999999999999</v>
      </c>
      <c r="B16" s="128">
        <v>1</v>
      </c>
      <c r="C16" s="128">
        <v>1.01</v>
      </c>
      <c r="D16" s="128">
        <v>1.02</v>
      </c>
      <c r="E16" s="128">
        <v>1.03</v>
      </c>
      <c r="F16" s="128">
        <v>1.04</v>
      </c>
      <c r="G16" s="128">
        <v>1.05</v>
      </c>
      <c r="H16" s="128">
        <v>1.06</v>
      </c>
      <c r="I16" s="128">
        <v>1.07</v>
      </c>
      <c r="J16" s="128">
        <v>1.08</v>
      </c>
      <c r="K16" s="128">
        <v>1.0900000000000001</v>
      </c>
      <c r="L16" s="128">
        <v>1.1000000000000001</v>
      </c>
      <c r="M16" s="128">
        <v>1.1100000000000001</v>
      </c>
      <c r="N16" s="128">
        <v>1.1200000000000001</v>
      </c>
      <c r="O16" s="128">
        <v>1.1299999999999999</v>
      </c>
      <c r="P16" s="128">
        <v>1.1399999999999999</v>
      </c>
      <c r="Q16" s="128">
        <v>1.1499999999999999</v>
      </c>
      <c r="R16" s="128">
        <v>1.1599999999999999</v>
      </c>
      <c r="S16" s="128">
        <v>1.17</v>
      </c>
      <c r="T16" s="128">
        <v>1.18</v>
      </c>
      <c r="U16" s="128">
        <v>1.19</v>
      </c>
      <c r="V16" s="128">
        <v>1.2</v>
      </c>
      <c r="W16" s="128">
        <v>1.21</v>
      </c>
      <c r="X16" s="128">
        <v>1.22</v>
      </c>
      <c r="Y16" s="128">
        <v>1.23</v>
      </c>
      <c r="Z16" s="128">
        <v>1.24</v>
      </c>
      <c r="AA16" s="128">
        <v>1.25</v>
      </c>
      <c r="AB16" s="128">
        <v>1.26</v>
      </c>
      <c r="AC16" s="128">
        <v>1.27</v>
      </c>
      <c r="AD16" s="128">
        <v>1.28</v>
      </c>
      <c r="AE16" s="128">
        <v>1.29</v>
      </c>
      <c r="AF16" s="128">
        <v>1.3</v>
      </c>
      <c r="AG16" s="128">
        <v>1.31</v>
      </c>
      <c r="AH16" s="128">
        <v>1.32</v>
      </c>
      <c r="AI16" s="128">
        <v>1.33</v>
      </c>
      <c r="AJ16" s="128">
        <v>1.34</v>
      </c>
      <c r="AK16" s="128">
        <v>1.35</v>
      </c>
      <c r="AL16" s="128">
        <v>1.36</v>
      </c>
      <c r="AM16" s="128">
        <v>1.37</v>
      </c>
      <c r="AN16" s="128">
        <v>1.38</v>
      </c>
      <c r="AO16" s="128">
        <v>1.39</v>
      </c>
      <c r="AP16" s="128">
        <v>1.4</v>
      </c>
      <c r="AQ16" s="128">
        <v>1.41</v>
      </c>
      <c r="AR16" s="128">
        <v>1.42</v>
      </c>
      <c r="AS16" s="128">
        <v>1.43</v>
      </c>
      <c r="AT16" s="128">
        <v>1.44</v>
      </c>
      <c r="AU16" s="128">
        <v>1.45</v>
      </c>
      <c r="AV16" s="128">
        <v>1.46</v>
      </c>
      <c r="AW16" s="128">
        <v>1.47</v>
      </c>
      <c r="AX16" s="128">
        <v>1.48</v>
      </c>
      <c r="AY16" s="128">
        <v>1.49</v>
      </c>
      <c r="AZ16" s="128">
        <v>1.5</v>
      </c>
      <c r="BA16" s="128">
        <v>1.51</v>
      </c>
      <c r="BB16" s="128">
        <v>1.52</v>
      </c>
      <c r="BC16" s="128">
        <v>1.53</v>
      </c>
      <c r="BD16" s="128">
        <v>1.54</v>
      </c>
      <c r="BE16" s="128">
        <v>1.55</v>
      </c>
      <c r="BF16" s="128">
        <v>1.56</v>
      </c>
      <c r="BG16" s="128">
        <v>1.57</v>
      </c>
      <c r="BH16" s="128">
        <v>1.58</v>
      </c>
      <c r="BI16" s="128">
        <v>1.59</v>
      </c>
      <c r="BJ16" s="128">
        <v>1.6</v>
      </c>
      <c r="BK16" s="128">
        <v>1.61</v>
      </c>
      <c r="BL16" s="128">
        <v>1.62</v>
      </c>
      <c r="BM16" s="128">
        <v>1.63</v>
      </c>
      <c r="BN16" s="128">
        <v>1.64</v>
      </c>
      <c r="BO16" s="128">
        <v>1.65</v>
      </c>
      <c r="BP16" s="128">
        <v>1.66</v>
      </c>
      <c r="BQ16" s="128">
        <v>1.67</v>
      </c>
      <c r="BR16" s="128">
        <v>1.68</v>
      </c>
      <c r="BS16" s="128">
        <v>1.69</v>
      </c>
      <c r="BT16" s="128">
        <v>1.7</v>
      </c>
      <c r="BU16" s="128">
        <v>1.71</v>
      </c>
      <c r="BV16" s="128">
        <v>1.72</v>
      </c>
      <c r="BW16" s="128">
        <v>1.73</v>
      </c>
      <c r="BX16" s="128">
        <v>1.74</v>
      </c>
      <c r="BY16" s="128">
        <v>1.75</v>
      </c>
      <c r="BZ16" s="128">
        <v>1.76</v>
      </c>
      <c r="CA16" s="128">
        <v>1.77</v>
      </c>
      <c r="CB16" s="128">
        <v>1.78</v>
      </c>
      <c r="CC16" s="128">
        <v>1.79</v>
      </c>
      <c r="CD16" s="128">
        <v>1.8</v>
      </c>
      <c r="CE16" s="128">
        <v>1.81</v>
      </c>
      <c r="CF16" s="128">
        <v>1.82</v>
      </c>
      <c r="CG16" s="128">
        <v>1.83</v>
      </c>
      <c r="CH16" s="128">
        <v>1.84</v>
      </c>
      <c r="CI16" s="128">
        <v>1.85</v>
      </c>
      <c r="CJ16" s="128">
        <v>1.86</v>
      </c>
      <c r="CK16" s="128">
        <v>1.87</v>
      </c>
      <c r="CL16" s="128">
        <v>1.88</v>
      </c>
      <c r="CM16" s="128">
        <v>1.89</v>
      </c>
      <c r="CN16" s="128">
        <v>1.9</v>
      </c>
      <c r="CO16" s="128">
        <v>1.91</v>
      </c>
      <c r="CP16" s="128">
        <v>1.92</v>
      </c>
      <c r="CQ16" s="128">
        <v>1.93</v>
      </c>
      <c r="CR16" s="128">
        <v>1.94</v>
      </c>
      <c r="CS16" s="128">
        <v>1.95</v>
      </c>
      <c r="CT16" s="128">
        <v>1.96</v>
      </c>
      <c r="CU16" s="128">
        <v>1.97</v>
      </c>
      <c r="CV16" s="128">
        <v>1.98</v>
      </c>
      <c r="CW16" s="128">
        <v>1.99</v>
      </c>
      <c r="CX16" s="128">
        <v>2</v>
      </c>
      <c r="CZ16" s="126">
        <f>SUMIF(MatrixF2[[1]:[2]],MatrixF2[[#This Row],[Столбец1]])/MatrixF2[[#This Row],[Столбец1]]</f>
        <v>89.999999999999929</v>
      </c>
    </row>
    <row r="17" spans="1:104" ht="21" customHeight="1" x14ac:dyDescent="0.25">
      <c r="A17" s="127">
        <v>1.1399999999999999</v>
      </c>
      <c r="B17" s="128">
        <v>1</v>
      </c>
      <c r="C17" s="128">
        <v>1.01</v>
      </c>
      <c r="D17" s="128">
        <v>1.02</v>
      </c>
      <c r="E17" s="128">
        <v>1.03</v>
      </c>
      <c r="F17" s="128">
        <v>1.04</v>
      </c>
      <c r="G17" s="128">
        <v>1.05</v>
      </c>
      <c r="H17" s="128">
        <v>1.07</v>
      </c>
      <c r="I17" s="128">
        <v>1.08</v>
      </c>
      <c r="J17" s="128">
        <v>1.0900000000000001</v>
      </c>
      <c r="K17" s="128">
        <v>1.0900000000000001</v>
      </c>
      <c r="L17" s="128">
        <v>1.1000000000000001</v>
      </c>
      <c r="M17" s="128">
        <v>1.1100000000000001</v>
      </c>
      <c r="N17" s="128">
        <v>1.1200000000000001</v>
      </c>
      <c r="O17" s="128">
        <v>1.1299999999999999</v>
      </c>
      <c r="P17" s="128">
        <v>1.1399999999999999</v>
      </c>
      <c r="Q17" s="128">
        <v>1.1499999999999999</v>
      </c>
      <c r="R17" s="128">
        <v>1.1599999999999999</v>
      </c>
      <c r="S17" s="128">
        <v>1.17</v>
      </c>
      <c r="T17" s="128">
        <v>1.18</v>
      </c>
      <c r="U17" s="128">
        <v>1.19</v>
      </c>
      <c r="V17" s="128">
        <v>1.2</v>
      </c>
      <c r="W17" s="128">
        <v>1.21</v>
      </c>
      <c r="X17" s="128">
        <v>1.22</v>
      </c>
      <c r="Y17" s="128">
        <v>1.23</v>
      </c>
      <c r="Z17" s="128">
        <v>1.24</v>
      </c>
      <c r="AA17" s="128">
        <v>1.25</v>
      </c>
      <c r="AB17" s="128">
        <v>1.26</v>
      </c>
      <c r="AC17" s="128">
        <v>1.27</v>
      </c>
      <c r="AD17" s="128">
        <v>1.28</v>
      </c>
      <c r="AE17" s="128">
        <v>1.29</v>
      </c>
      <c r="AF17" s="128">
        <v>1.3</v>
      </c>
      <c r="AG17" s="128">
        <v>1.31</v>
      </c>
      <c r="AH17" s="128">
        <v>1.32</v>
      </c>
      <c r="AI17" s="128">
        <v>1.33</v>
      </c>
      <c r="AJ17" s="128">
        <v>1.34</v>
      </c>
      <c r="AK17" s="128">
        <v>1.35</v>
      </c>
      <c r="AL17" s="128">
        <v>1.36</v>
      </c>
      <c r="AM17" s="128">
        <v>1.37</v>
      </c>
      <c r="AN17" s="128">
        <v>1.38</v>
      </c>
      <c r="AO17" s="128">
        <v>1.39</v>
      </c>
      <c r="AP17" s="128">
        <v>1.4</v>
      </c>
      <c r="AQ17" s="128">
        <v>1.41</v>
      </c>
      <c r="AR17" s="128">
        <v>1.42</v>
      </c>
      <c r="AS17" s="128">
        <v>1.43</v>
      </c>
      <c r="AT17" s="128">
        <v>1.44</v>
      </c>
      <c r="AU17" s="128">
        <v>1.45</v>
      </c>
      <c r="AV17" s="128">
        <v>1.46</v>
      </c>
      <c r="AW17" s="128">
        <v>1.47</v>
      </c>
      <c r="AX17" s="128">
        <v>1.48</v>
      </c>
      <c r="AY17" s="128">
        <v>1.49</v>
      </c>
      <c r="AZ17" s="128">
        <v>1.5</v>
      </c>
      <c r="BA17" s="128">
        <v>1.51</v>
      </c>
      <c r="BB17" s="128">
        <v>1.52</v>
      </c>
      <c r="BC17" s="128">
        <v>1.53</v>
      </c>
      <c r="BD17" s="128">
        <v>1.54</v>
      </c>
      <c r="BE17" s="128">
        <v>1.55</v>
      </c>
      <c r="BF17" s="128">
        <v>1.56</v>
      </c>
      <c r="BG17" s="128">
        <v>1.57</v>
      </c>
      <c r="BH17" s="128">
        <v>1.58</v>
      </c>
      <c r="BI17" s="128">
        <v>1.59</v>
      </c>
      <c r="BJ17" s="128">
        <v>1.6</v>
      </c>
      <c r="BK17" s="128">
        <v>1.61</v>
      </c>
      <c r="BL17" s="128">
        <v>1.62</v>
      </c>
      <c r="BM17" s="128">
        <v>1.63</v>
      </c>
      <c r="BN17" s="128">
        <v>1.64</v>
      </c>
      <c r="BO17" s="128">
        <v>1.65</v>
      </c>
      <c r="BP17" s="128">
        <v>1.66</v>
      </c>
      <c r="BQ17" s="128">
        <v>1.67</v>
      </c>
      <c r="BR17" s="128">
        <v>1.68</v>
      </c>
      <c r="BS17" s="128">
        <v>1.69</v>
      </c>
      <c r="BT17" s="128">
        <v>1.7</v>
      </c>
      <c r="BU17" s="128">
        <v>1.71</v>
      </c>
      <c r="BV17" s="128">
        <v>1.72</v>
      </c>
      <c r="BW17" s="128">
        <v>1.73</v>
      </c>
      <c r="BX17" s="128">
        <v>1.74</v>
      </c>
      <c r="BY17" s="128">
        <v>1.75</v>
      </c>
      <c r="BZ17" s="128">
        <v>1.76</v>
      </c>
      <c r="CA17" s="128">
        <v>1.77</v>
      </c>
      <c r="CB17" s="128">
        <v>1.78</v>
      </c>
      <c r="CC17" s="128">
        <v>1.79</v>
      </c>
      <c r="CD17" s="128">
        <v>1.8</v>
      </c>
      <c r="CE17" s="128">
        <v>1.81</v>
      </c>
      <c r="CF17" s="128">
        <v>1.82</v>
      </c>
      <c r="CG17" s="128">
        <v>1.83</v>
      </c>
      <c r="CH17" s="128">
        <v>1.84</v>
      </c>
      <c r="CI17" s="128">
        <v>1.85</v>
      </c>
      <c r="CJ17" s="128">
        <v>1.86</v>
      </c>
      <c r="CK17" s="128">
        <v>1.87</v>
      </c>
      <c r="CL17" s="128">
        <v>1.88</v>
      </c>
      <c r="CM17" s="128">
        <v>1.89</v>
      </c>
      <c r="CN17" s="128">
        <v>1.9</v>
      </c>
      <c r="CO17" s="128">
        <v>1.91</v>
      </c>
      <c r="CP17" s="128">
        <v>1.91</v>
      </c>
      <c r="CQ17" s="128">
        <v>1.92</v>
      </c>
      <c r="CR17" s="128">
        <v>1.93</v>
      </c>
      <c r="CS17" s="128">
        <v>1.95</v>
      </c>
      <c r="CT17" s="128">
        <v>1.96</v>
      </c>
      <c r="CU17" s="128">
        <v>1.97</v>
      </c>
      <c r="CV17" s="128">
        <v>1.98</v>
      </c>
      <c r="CW17" s="128">
        <v>1.99</v>
      </c>
      <c r="CX17" s="128">
        <v>2</v>
      </c>
      <c r="CZ17" s="126">
        <f>SUMIF(MatrixF2[[1]:[2]],MatrixF2[[#This Row],[Столбец1]])/MatrixF2[[#This Row],[Столбец1]]</f>
        <v>97.000000000000043</v>
      </c>
    </row>
    <row r="18" spans="1:104" ht="21" customHeight="1" x14ac:dyDescent="0.25">
      <c r="A18" s="127">
        <v>1.1499999999999999</v>
      </c>
      <c r="B18" s="128">
        <v>1</v>
      </c>
      <c r="C18" s="128">
        <v>1.01</v>
      </c>
      <c r="D18" s="128">
        <v>1.02</v>
      </c>
      <c r="E18" s="128">
        <v>1.03</v>
      </c>
      <c r="F18" s="128">
        <v>1.04</v>
      </c>
      <c r="G18" s="128">
        <v>1.06</v>
      </c>
      <c r="H18" s="128">
        <v>1.07</v>
      </c>
      <c r="I18" s="128">
        <v>1.08</v>
      </c>
      <c r="J18" s="128">
        <v>1.0900000000000001</v>
      </c>
      <c r="K18" s="128">
        <v>1.1000000000000001</v>
      </c>
      <c r="L18" s="128">
        <v>1.1100000000000001</v>
      </c>
      <c r="M18" s="128">
        <v>1.1100000000000001</v>
      </c>
      <c r="N18" s="128">
        <v>1.1200000000000001</v>
      </c>
      <c r="O18" s="128">
        <v>1.1299999999999999</v>
      </c>
      <c r="P18" s="128">
        <v>1.1399999999999999</v>
      </c>
      <c r="Q18" s="128">
        <v>1.1499999999999999</v>
      </c>
      <c r="R18" s="128">
        <v>1.1599999999999999</v>
      </c>
      <c r="S18" s="128">
        <v>1.17</v>
      </c>
      <c r="T18" s="128">
        <v>1.18</v>
      </c>
      <c r="U18" s="128">
        <v>1.19</v>
      </c>
      <c r="V18" s="128">
        <v>1.2</v>
      </c>
      <c r="W18" s="128">
        <v>1.21</v>
      </c>
      <c r="X18" s="128">
        <v>1.22</v>
      </c>
      <c r="Y18" s="128">
        <v>1.23</v>
      </c>
      <c r="Z18" s="128">
        <v>1.24</v>
      </c>
      <c r="AA18" s="128">
        <v>1.25</v>
      </c>
      <c r="AB18" s="128">
        <v>1.26</v>
      </c>
      <c r="AC18" s="128">
        <v>1.27</v>
      </c>
      <c r="AD18" s="128">
        <v>1.28</v>
      </c>
      <c r="AE18" s="128">
        <v>1.29</v>
      </c>
      <c r="AF18" s="128">
        <v>1.3</v>
      </c>
      <c r="AG18" s="128">
        <v>1.31</v>
      </c>
      <c r="AH18" s="128">
        <v>1.32</v>
      </c>
      <c r="AI18" s="128">
        <v>1.33</v>
      </c>
      <c r="AJ18" s="128">
        <v>1.34</v>
      </c>
      <c r="AK18" s="128">
        <v>1.35</v>
      </c>
      <c r="AL18" s="128">
        <v>1.36</v>
      </c>
      <c r="AM18" s="128">
        <v>1.37</v>
      </c>
      <c r="AN18" s="128">
        <v>1.38</v>
      </c>
      <c r="AO18" s="128">
        <v>1.39</v>
      </c>
      <c r="AP18" s="128">
        <v>1.4</v>
      </c>
      <c r="AQ18" s="128">
        <v>1.41</v>
      </c>
      <c r="AR18" s="128">
        <v>1.42</v>
      </c>
      <c r="AS18" s="128">
        <v>1.43</v>
      </c>
      <c r="AT18" s="128">
        <v>1.44</v>
      </c>
      <c r="AU18" s="128">
        <v>1.45</v>
      </c>
      <c r="AV18" s="128">
        <v>1.46</v>
      </c>
      <c r="AW18" s="128">
        <v>1.47</v>
      </c>
      <c r="AX18" s="128">
        <v>1.48</v>
      </c>
      <c r="AY18" s="128">
        <v>1.49</v>
      </c>
      <c r="AZ18" s="128">
        <v>1.5</v>
      </c>
      <c r="BA18" s="128">
        <v>1.51</v>
      </c>
      <c r="BB18" s="128">
        <v>1.52</v>
      </c>
      <c r="BC18" s="128">
        <v>1.53</v>
      </c>
      <c r="BD18" s="128">
        <v>1.54</v>
      </c>
      <c r="BE18" s="128">
        <v>1.55</v>
      </c>
      <c r="BF18" s="128">
        <v>1.56</v>
      </c>
      <c r="BG18" s="128">
        <v>1.57</v>
      </c>
      <c r="BH18" s="128">
        <v>1.58</v>
      </c>
      <c r="BI18" s="128">
        <v>1.59</v>
      </c>
      <c r="BJ18" s="128">
        <v>1.6</v>
      </c>
      <c r="BK18" s="128">
        <v>1.61</v>
      </c>
      <c r="BL18" s="128">
        <v>1.62</v>
      </c>
      <c r="BM18" s="128">
        <v>1.63</v>
      </c>
      <c r="BN18" s="128">
        <v>1.64</v>
      </c>
      <c r="BO18" s="128">
        <v>1.65</v>
      </c>
      <c r="BP18" s="128">
        <v>1.66</v>
      </c>
      <c r="BQ18" s="128">
        <v>1.67</v>
      </c>
      <c r="BR18" s="128">
        <v>1.68</v>
      </c>
      <c r="BS18" s="128">
        <v>1.69</v>
      </c>
      <c r="BT18" s="128">
        <v>1.7</v>
      </c>
      <c r="BU18" s="128">
        <v>1.71</v>
      </c>
      <c r="BV18" s="128">
        <v>1.72</v>
      </c>
      <c r="BW18" s="128">
        <v>1.73</v>
      </c>
      <c r="BX18" s="128">
        <v>1.74</v>
      </c>
      <c r="BY18" s="128">
        <v>1.75</v>
      </c>
      <c r="BZ18" s="128">
        <v>1.76</v>
      </c>
      <c r="CA18" s="128">
        <v>1.77</v>
      </c>
      <c r="CB18" s="128">
        <v>1.78</v>
      </c>
      <c r="CC18" s="128">
        <v>1.79</v>
      </c>
      <c r="CD18" s="128">
        <v>1.8</v>
      </c>
      <c r="CE18" s="128">
        <v>1.81</v>
      </c>
      <c r="CF18" s="128">
        <v>1.82</v>
      </c>
      <c r="CG18" s="128">
        <v>1.83</v>
      </c>
      <c r="CH18" s="128">
        <v>1.84</v>
      </c>
      <c r="CI18" s="128">
        <v>1.85</v>
      </c>
      <c r="CJ18" s="128">
        <v>1.86</v>
      </c>
      <c r="CK18" s="128">
        <v>1.87</v>
      </c>
      <c r="CL18" s="128">
        <v>1.88</v>
      </c>
      <c r="CM18" s="128">
        <v>1.89</v>
      </c>
      <c r="CN18" s="128">
        <v>1.89</v>
      </c>
      <c r="CO18" s="128">
        <v>1.9</v>
      </c>
      <c r="CP18" s="128">
        <v>1.91</v>
      </c>
      <c r="CQ18" s="128">
        <v>1.92</v>
      </c>
      <c r="CR18" s="128">
        <v>1.93</v>
      </c>
      <c r="CS18" s="128">
        <v>1.94</v>
      </c>
      <c r="CT18" s="128">
        <v>1.96</v>
      </c>
      <c r="CU18" s="128">
        <v>1.97</v>
      </c>
      <c r="CV18" s="128">
        <v>1.98</v>
      </c>
      <c r="CW18" s="128">
        <v>1.99</v>
      </c>
      <c r="CX18" s="128">
        <v>2</v>
      </c>
      <c r="CZ18" s="126">
        <f>SUMIF(MatrixF2[[1]:[2]],MatrixF2[[#This Row],[Столбец1]])/MatrixF2[[#This Row],[Столбец1]]</f>
        <v>97.000000000000171</v>
      </c>
    </row>
    <row r="19" spans="1:104" ht="21" customHeight="1" x14ac:dyDescent="0.25">
      <c r="A19" s="127">
        <v>1.1599999999999999</v>
      </c>
      <c r="B19" s="128">
        <v>1</v>
      </c>
      <c r="C19" s="128">
        <v>1.01</v>
      </c>
      <c r="D19" s="128">
        <v>1.02</v>
      </c>
      <c r="E19" s="128">
        <v>1.03</v>
      </c>
      <c r="F19" s="128">
        <v>1.05</v>
      </c>
      <c r="G19" s="128">
        <v>1.06</v>
      </c>
      <c r="H19" s="128">
        <v>1.07</v>
      </c>
      <c r="I19" s="128">
        <v>1.08</v>
      </c>
      <c r="J19" s="128">
        <v>1.0900000000000001</v>
      </c>
      <c r="K19" s="128">
        <v>1.1000000000000001</v>
      </c>
      <c r="L19" s="128">
        <v>1.1100000000000001</v>
      </c>
      <c r="M19" s="128">
        <v>1.1200000000000001</v>
      </c>
      <c r="N19" s="128">
        <v>1.1200000000000001</v>
      </c>
      <c r="O19" s="128">
        <v>1.1299999999999999</v>
      </c>
      <c r="P19" s="128">
        <v>1.1399999999999999</v>
      </c>
      <c r="Q19" s="128">
        <v>1.1499999999999999</v>
      </c>
      <c r="R19" s="128">
        <v>1.1599999999999999</v>
      </c>
      <c r="S19" s="128">
        <v>1.17</v>
      </c>
      <c r="T19" s="128">
        <v>1.18</v>
      </c>
      <c r="U19" s="128">
        <v>1.19</v>
      </c>
      <c r="V19" s="128">
        <v>1.2</v>
      </c>
      <c r="W19" s="128">
        <v>1.21</v>
      </c>
      <c r="X19" s="128">
        <v>1.22</v>
      </c>
      <c r="Y19" s="128">
        <v>1.23</v>
      </c>
      <c r="Z19" s="128">
        <v>1.24</v>
      </c>
      <c r="AA19" s="128">
        <v>1.25</v>
      </c>
      <c r="AB19" s="128">
        <v>1.26</v>
      </c>
      <c r="AC19" s="128">
        <v>1.27</v>
      </c>
      <c r="AD19" s="128">
        <v>1.28</v>
      </c>
      <c r="AE19" s="128">
        <v>1.29</v>
      </c>
      <c r="AF19" s="128">
        <v>1.3</v>
      </c>
      <c r="AG19" s="128">
        <v>1.31</v>
      </c>
      <c r="AH19" s="128">
        <v>1.32</v>
      </c>
      <c r="AI19" s="128">
        <v>1.33</v>
      </c>
      <c r="AJ19" s="128">
        <v>1.34</v>
      </c>
      <c r="AK19" s="128">
        <v>1.35</v>
      </c>
      <c r="AL19" s="128">
        <v>1.36</v>
      </c>
      <c r="AM19" s="128">
        <v>1.37</v>
      </c>
      <c r="AN19" s="128">
        <v>1.38</v>
      </c>
      <c r="AO19" s="128">
        <v>1.39</v>
      </c>
      <c r="AP19" s="128">
        <v>1.4</v>
      </c>
      <c r="AQ19" s="128">
        <v>1.41</v>
      </c>
      <c r="AR19" s="128">
        <v>1.42</v>
      </c>
      <c r="AS19" s="128">
        <v>1.43</v>
      </c>
      <c r="AT19" s="128">
        <v>1.44</v>
      </c>
      <c r="AU19" s="128">
        <v>1.45</v>
      </c>
      <c r="AV19" s="128">
        <v>1.46</v>
      </c>
      <c r="AW19" s="128">
        <v>1.47</v>
      </c>
      <c r="AX19" s="128">
        <v>1.48</v>
      </c>
      <c r="AY19" s="128">
        <v>1.49</v>
      </c>
      <c r="AZ19" s="128">
        <v>1.5</v>
      </c>
      <c r="BA19" s="128">
        <v>1.51</v>
      </c>
      <c r="BB19" s="128">
        <v>1.52</v>
      </c>
      <c r="BC19" s="128">
        <v>1.53</v>
      </c>
      <c r="BD19" s="128">
        <v>1.54</v>
      </c>
      <c r="BE19" s="128">
        <v>1.55</v>
      </c>
      <c r="BF19" s="128">
        <v>1.56</v>
      </c>
      <c r="BG19" s="128">
        <v>1.57</v>
      </c>
      <c r="BH19" s="128">
        <v>1.58</v>
      </c>
      <c r="BI19" s="128">
        <v>1.59</v>
      </c>
      <c r="BJ19" s="128">
        <v>1.6</v>
      </c>
      <c r="BK19" s="128">
        <v>1.61</v>
      </c>
      <c r="BL19" s="128">
        <v>1.62</v>
      </c>
      <c r="BM19" s="128">
        <v>1.63</v>
      </c>
      <c r="BN19" s="128">
        <v>1.64</v>
      </c>
      <c r="BO19" s="128">
        <v>1.65</v>
      </c>
      <c r="BP19" s="128">
        <v>1.66</v>
      </c>
      <c r="BQ19" s="128">
        <v>1.67</v>
      </c>
      <c r="BR19" s="128">
        <v>1.68</v>
      </c>
      <c r="BS19" s="128">
        <v>1.69</v>
      </c>
      <c r="BT19" s="128">
        <v>1.7</v>
      </c>
      <c r="BU19" s="128">
        <v>1.71</v>
      </c>
      <c r="BV19" s="128">
        <v>1.72</v>
      </c>
      <c r="BW19" s="128">
        <v>1.73</v>
      </c>
      <c r="BX19" s="128">
        <v>1.74</v>
      </c>
      <c r="BY19" s="128">
        <v>1.75</v>
      </c>
      <c r="BZ19" s="128">
        <v>1.76</v>
      </c>
      <c r="CA19" s="128">
        <v>1.77</v>
      </c>
      <c r="CB19" s="128">
        <v>1.78</v>
      </c>
      <c r="CC19" s="128">
        <v>1.79</v>
      </c>
      <c r="CD19" s="128">
        <v>1.8</v>
      </c>
      <c r="CE19" s="128">
        <v>1.81</v>
      </c>
      <c r="CF19" s="128">
        <v>1.82</v>
      </c>
      <c r="CG19" s="128">
        <v>1.83</v>
      </c>
      <c r="CH19" s="128">
        <v>1.84</v>
      </c>
      <c r="CI19" s="128">
        <v>1.85</v>
      </c>
      <c r="CJ19" s="128">
        <v>1.86</v>
      </c>
      <c r="CK19" s="128">
        <v>1.87</v>
      </c>
      <c r="CL19" s="128">
        <v>1.88</v>
      </c>
      <c r="CM19" s="128">
        <v>1.88</v>
      </c>
      <c r="CN19" s="128">
        <v>1.89</v>
      </c>
      <c r="CO19" s="128">
        <v>1.9</v>
      </c>
      <c r="CP19" s="128">
        <v>1.91</v>
      </c>
      <c r="CQ19" s="128">
        <v>1.92</v>
      </c>
      <c r="CR19" s="128">
        <v>1.93</v>
      </c>
      <c r="CS19" s="128">
        <v>1.94</v>
      </c>
      <c r="CT19" s="128">
        <v>1.95</v>
      </c>
      <c r="CU19" s="128">
        <v>1.97</v>
      </c>
      <c r="CV19" s="128">
        <v>1.98</v>
      </c>
      <c r="CW19" s="128">
        <v>1.99</v>
      </c>
      <c r="CX19" s="128">
        <v>2</v>
      </c>
      <c r="CZ19" s="126">
        <f>SUMIF(MatrixF2[[1]:[2]],MatrixF2[[#This Row],[Столбец1]])/MatrixF2[[#This Row],[Столбец1]]</f>
        <v>99.999999999999801</v>
      </c>
    </row>
    <row r="20" spans="1:104" ht="21" customHeight="1" x14ac:dyDescent="0.25">
      <c r="A20" s="127">
        <v>1.17</v>
      </c>
      <c r="B20" s="128">
        <v>1</v>
      </c>
      <c r="C20" s="128">
        <v>1.01</v>
      </c>
      <c r="D20" s="128">
        <v>1.02</v>
      </c>
      <c r="E20" s="128">
        <v>1.03</v>
      </c>
      <c r="F20" s="128">
        <v>1.05</v>
      </c>
      <c r="G20" s="128">
        <v>1.06</v>
      </c>
      <c r="H20" s="128">
        <v>1.07</v>
      </c>
      <c r="I20" s="128">
        <v>1.08</v>
      </c>
      <c r="J20" s="128">
        <v>1.0900000000000001</v>
      </c>
      <c r="K20" s="128">
        <v>1.1000000000000001</v>
      </c>
      <c r="L20" s="128">
        <v>1.1100000000000001</v>
      </c>
      <c r="M20" s="128">
        <v>1.1200000000000001</v>
      </c>
      <c r="N20" s="128">
        <v>1.1299999999999999</v>
      </c>
      <c r="O20" s="128">
        <v>1.1399999999999999</v>
      </c>
      <c r="P20" s="128">
        <v>1.1399999999999999</v>
      </c>
      <c r="Q20" s="128">
        <v>1.1499999999999999</v>
      </c>
      <c r="R20" s="128">
        <v>1.1599999999999999</v>
      </c>
      <c r="S20" s="128">
        <v>1.17</v>
      </c>
      <c r="T20" s="128">
        <v>1.18</v>
      </c>
      <c r="U20" s="128">
        <v>1.19</v>
      </c>
      <c r="V20" s="128">
        <v>1.2</v>
      </c>
      <c r="W20" s="128">
        <v>1.21</v>
      </c>
      <c r="X20" s="128">
        <v>1.22</v>
      </c>
      <c r="Y20" s="128">
        <v>1.23</v>
      </c>
      <c r="Z20" s="128">
        <v>1.24</v>
      </c>
      <c r="AA20" s="128">
        <v>1.25</v>
      </c>
      <c r="AB20" s="128">
        <v>1.26</v>
      </c>
      <c r="AC20" s="128">
        <v>1.27</v>
      </c>
      <c r="AD20" s="128">
        <v>1.28</v>
      </c>
      <c r="AE20" s="128">
        <v>1.29</v>
      </c>
      <c r="AF20" s="128">
        <v>1.3</v>
      </c>
      <c r="AG20" s="128">
        <v>1.31</v>
      </c>
      <c r="AH20" s="128">
        <v>1.32</v>
      </c>
      <c r="AI20" s="128">
        <v>1.33</v>
      </c>
      <c r="AJ20" s="128">
        <v>1.34</v>
      </c>
      <c r="AK20" s="128">
        <v>1.35</v>
      </c>
      <c r="AL20" s="128">
        <v>1.36</v>
      </c>
      <c r="AM20" s="128">
        <v>1.37</v>
      </c>
      <c r="AN20" s="128">
        <v>1.38</v>
      </c>
      <c r="AO20" s="128">
        <v>1.39</v>
      </c>
      <c r="AP20" s="128">
        <v>1.4</v>
      </c>
      <c r="AQ20" s="128">
        <v>1.41</v>
      </c>
      <c r="AR20" s="128">
        <v>1.42</v>
      </c>
      <c r="AS20" s="128">
        <v>1.43</v>
      </c>
      <c r="AT20" s="128">
        <v>1.44</v>
      </c>
      <c r="AU20" s="128">
        <v>1.45</v>
      </c>
      <c r="AV20" s="128">
        <v>1.46</v>
      </c>
      <c r="AW20" s="128">
        <v>1.47</v>
      </c>
      <c r="AX20" s="128">
        <v>1.48</v>
      </c>
      <c r="AY20" s="128">
        <v>1.49</v>
      </c>
      <c r="AZ20" s="128">
        <v>1.5</v>
      </c>
      <c r="BA20" s="128">
        <v>1.51</v>
      </c>
      <c r="BB20" s="128">
        <v>1.52</v>
      </c>
      <c r="BC20" s="128">
        <v>1.53</v>
      </c>
      <c r="BD20" s="128">
        <v>1.54</v>
      </c>
      <c r="BE20" s="128">
        <v>1.55</v>
      </c>
      <c r="BF20" s="128">
        <v>1.56</v>
      </c>
      <c r="BG20" s="128">
        <v>1.57</v>
      </c>
      <c r="BH20" s="128">
        <v>1.58</v>
      </c>
      <c r="BI20" s="128">
        <v>1.59</v>
      </c>
      <c r="BJ20" s="128">
        <v>1.6</v>
      </c>
      <c r="BK20" s="128">
        <v>1.61</v>
      </c>
      <c r="BL20" s="128">
        <v>1.62</v>
      </c>
      <c r="BM20" s="128">
        <v>1.63</v>
      </c>
      <c r="BN20" s="128">
        <v>1.64</v>
      </c>
      <c r="BO20" s="128">
        <v>1.65</v>
      </c>
      <c r="BP20" s="128">
        <v>1.66</v>
      </c>
      <c r="BQ20" s="128">
        <v>1.67</v>
      </c>
      <c r="BR20" s="128">
        <v>1.68</v>
      </c>
      <c r="BS20" s="128">
        <v>1.69</v>
      </c>
      <c r="BT20" s="128">
        <v>1.7</v>
      </c>
      <c r="BU20" s="128">
        <v>1.71</v>
      </c>
      <c r="BV20" s="128">
        <v>1.72</v>
      </c>
      <c r="BW20" s="128">
        <v>1.73</v>
      </c>
      <c r="BX20" s="128">
        <v>1.74</v>
      </c>
      <c r="BY20" s="128">
        <v>1.75</v>
      </c>
      <c r="BZ20" s="128">
        <v>1.76</v>
      </c>
      <c r="CA20" s="128">
        <v>1.77</v>
      </c>
      <c r="CB20" s="128">
        <v>1.78</v>
      </c>
      <c r="CC20" s="128">
        <v>1.79</v>
      </c>
      <c r="CD20" s="128">
        <v>1.8</v>
      </c>
      <c r="CE20" s="128">
        <v>1.81</v>
      </c>
      <c r="CF20" s="128">
        <v>1.82</v>
      </c>
      <c r="CG20" s="128">
        <v>1.83</v>
      </c>
      <c r="CH20" s="128">
        <v>1.84</v>
      </c>
      <c r="CI20" s="128">
        <v>1.85</v>
      </c>
      <c r="CJ20" s="128">
        <v>1.86</v>
      </c>
      <c r="CK20" s="128">
        <v>1.86</v>
      </c>
      <c r="CL20" s="128">
        <v>1.87</v>
      </c>
      <c r="CM20" s="128">
        <v>1.88</v>
      </c>
      <c r="CN20" s="128">
        <v>1.89</v>
      </c>
      <c r="CO20" s="128">
        <v>1.9</v>
      </c>
      <c r="CP20" s="128">
        <v>1.91</v>
      </c>
      <c r="CQ20" s="128">
        <v>1.92</v>
      </c>
      <c r="CR20" s="128">
        <v>1.93</v>
      </c>
      <c r="CS20" s="128">
        <v>1.94</v>
      </c>
      <c r="CT20" s="128">
        <v>1.95</v>
      </c>
      <c r="CU20" s="128">
        <v>1.97</v>
      </c>
      <c r="CV20" s="128">
        <v>1.98</v>
      </c>
      <c r="CW20" s="128">
        <v>1.99</v>
      </c>
      <c r="CX20" s="128">
        <v>2</v>
      </c>
      <c r="CZ20" s="126">
        <f>SUMIF(MatrixF2[[1]:[2]],MatrixF2[[#This Row],[Столбец1]])/MatrixF2[[#This Row],[Столбец1]]</f>
        <v>93.000000000000114</v>
      </c>
    </row>
    <row r="21" spans="1:104" ht="21" customHeight="1" x14ac:dyDescent="0.25">
      <c r="A21" s="127">
        <v>1.18</v>
      </c>
      <c r="B21" s="128">
        <v>1</v>
      </c>
      <c r="C21" s="128">
        <v>1.01</v>
      </c>
      <c r="D21" s="128">
        <v>1.02</v>
      </c>
      <c r="E21" s="128">
        <v>1.04</v>
      </c>
      <c r="F21" s="128">
        <v>1.05</v>
      </c>
      <c r="G21" s="128">
        <v>1.06</v>
      </c>
      <c r="H21" s="128">
        <v>1.07</v>
      </c>
      <c r="I21" s="128">
        <v>1.08</v>
      </c>
      <c r="J21" s="128">
        <v>1.0900000000000001</v>
      </c>
      <c r="K21" s="128">
        <v>1.1000000000000001</v>
      </c>
      <c r="L21" s="128">
        <v>1.1100000000000001</v>
      </c>
      <c r="M21" s="128">
        <v>1.1200000000000001</v>
      </c>
      <c r="N21" s="128">
        <v>1.1299999999999999</v>
      </c>
      <c r="O21" s="128">
        <v>1.1399999999999999</v>
      </c>
      <c r="P21" s="128">
        <v>1.1499999999999999</v>
      </c>
      <c r="Q21" s="128">
        <v>1.1499999999999999</v>
      </c>
      <c r="R21" s="128">
        <v>1.1599999999999999</v>
      </c>
      <c r="S21" s="128">
        <v>1.17</v>
      </c>
      <c r="T21" s="128">
        <v>1.18</v>
      </c>
      <c r="U21" s="128">
        <v>1.19</v>
      </c>
      <c r="V21" s="128">
        <v>1.2</v>
      </c>
      <c r="W21" s="128">
        <v>1.21</v>
      </c>
      <c r="X21" s="128">
        <v>1.22</v>
      </c>
      <c r="Y21" s="128">
        <v>1.23</v>
      </c>
      <c r="Z21" s="128">
        <v>1.24</v>
      </c>
      <c r="AA21" s="128">
        <v>1.25</v>
      </c>
      <c r="AB21" s="128">
        <v>1.26</v>
      </c>
      <c r="AC21" s="128">
        <v>1.27</v>
      </c>
      <c r="AD21" s="128">
        <v>1.28</v>
      </c>
      <c r="AE21" s="128">
        <v>1.29</v>
      </c>
      <c r="AF21" s="128">
        <v>1.3</v>
      </c>
      <c r="AG21" s="128">
        <v>1.31</v>
      </c>
      <c r="AH21" s="128">
        <v>1.32</v>
      </c>
      <c r="AI21" s="128">
        <v>1.33</v>
      </c>
      <c r="AJ21" s="128">
        <v>1.34</v>
      </c>
      <c r="AK21" s="128">
        <v>1.35</v>
      </c>
      <c r="AL21" s="128">
        <v>1.36</v>
      </c>
      <c r="AM21" s="128">
        <v>1.37</v>
      </c>
      <c r="AN21" s="128">
        <v>1.38</v>
      </c>
      <c r="AO21" s="128">
        <v>1.39</v>
      </c>
      <c r="AP21" s="128">
        <v>1.4</v>
      </c>
      <c r="AQ21" s="128">
        <v>1.41</v>
      </c>
      <c r="AR21" s="128">
        <v>1.42</v>
      </c>
      <c r="AS21" s="128">
        <v>1.43</v>
      </c>
      <c r="AT21" s="128">
        <v>1.44</v>
      </c>
      <c r="AU21" s="128">
        <v>1.45</v>
      </c>
      <c r="AV21" s="128">
        <v>1.46</v>
      </c>
      <c r="AW21" s="128">
        <v>1.47</v>
      </c>
      <c r="AX21" s="128">
        <v>1.48</v>
      </c>
      <c r="AY21" s="128">
        <v>1.49</v>
      </c>
      <c r="AZ21" s="128">
        <v>1.5</v>
      </c>
      <c r="BA21" s="128">
        <v>1.51</v>
      </c>
      <c r="BB21" s="128">
        <v>1.52</v>
      </c>
      <c r="BC21" s="128">
        <v>1.53</v>
      </c>
      <c r="BD21" s="128">
        <v>1.54</v>
      </c>
      <c r="BE21" s="128">
        <v>1.55</v>
      </c>
      <c r="BF21" s="128">
        <v>1.56</v>
      </c>
      <c r="BG21" s="128">
        <v>1.57</v>
      </c>
      <c r="BH21" s="128">
        <v>1.58</v>
      </c>
      <c r="BI21" s="128">
        <v>1.59</v>
      </c>
      <c r="BJ21" s="128">
        <v>1.6</v>
      </c>
      <c r="BK21" s="128">
        <v>1.61</v>
      </c>
      <c r="BL21" s="128">
        <v>1.62</v>
      </c>
      <c r="BM21" s="128">
        <v>1.63</v>
      </c>
      <c r="BN21" s="128">
        <v>1.64</v>
      </c>
      <c r="BO21" s="128">
        <v>1.65</v>
      </c>
      <c r="BP21" s="128">
        <v>1.66</v>
      </c>
      <c r="BQ21" s="128">
        <v>1.67</v>
      </c>
      <c r="BR21" s="128">
        <v>1.68</v>
      </c>
      <c r="BS21" s="128">
        <v>1.69</v>
      </c>
      <c r="BT21" s="128">
        <v>1.7</v>
      </c>
      <c r="BU21" s="128">
        <v>1.71</v>
      </c>
      <c r="BV21" s="128">
        <v>1.72</v>
      </c>
      <c r="BW21" s="128">
        <v>1.73</v>
      </c>
      <c r="BX21" s="128">
        <v>1.74</v>
      </c>
      <c r="BY21" s="128">
        <v>1.75</v>
      </c>
      <c r="BZ21" s="128">
        <v>1.76</v>
      </c>
      <c r="CA21" s="128">
        <v>1.77</v>
      </c>
      <c r="CB21" s="128">
        <v>1.78</v>
      </c>
      <c r="CC21" s="128">
        <v>1.79</v>
      </c>
      <c r="CD21" s="128">
        <v>1.8</v>
      </c>
      <c r="CE21" s="128">
        <v>1.81</v>
      </c>
      <c r="CF21" s="128">
        <v>1.82</v>
      </c>
      <c r="CG21" s="128">
        <v>1.83</v>
      </c>
      <c r="CH21" s="128">
        <v>1.84</v>
      </c>
      <c r="CI21" s="128">
        <v>1.85</v>
      </c>
      <c r="CJ21" s="128">
        <v>1.85</v>
      </c>
      <c r="CK21" s="128">
        <v>1.86</v>
      </c>
      <c r="CL21" s="128">
        <v>1.87</v>
      </c>
      <c r="CM21" s="128">
        <v>1.88</v>
      </c>
      <c r="CN21" s="128">
        <v>1.89</v>
      </c>
      <c r="CO21" s="128">
        <v>1.9</v>
      </c>
      <c r="CP21" s="128">
        <v>1.91</v>
      </c>
      <c r="CQ21" s="128">
        <v>1.92</v>
      </c>
      <c r="CR21" s="128">
        <v>1.93</v>
      </c>
      <c r="CS21" s="128">
        <v>1.94</v>
      </c>
      <c r="CT21" s="128">
        <v>1.95</v>
      </c>
      <c r="CU21" s="128">
        <v>1.96</v>
      </c>
      <c r="CV21" s="128">
        <v>1.98</v>
      </c>
      <c r="CW21" s="128">
        <v>1.99</v>
      </c>
      <c r="CX21" s="128">
        <v>2</v>
      </c>
      <c r="CZ21" s="126">
        <f>SUMIF(MatrixF2[[1]:[2]],MatrixF2[[#This Row],[Столбец1]])/MatrixF2[[#This Row],[Столбец1]]</f>
        <v>101.00000000000027</v>
      </c>
    </row>
    <row r="22" spans="1:104" ht="21" customHeight="1" x14ac:dyDescent="0.25">
      <c r="A22" s="127">
        <v>1.19</v>
      </c>
      <c r="B22" s="128">
        <v>1</v>
      </c>
      <c r="C22" s="128">
        <v>1.01</v>
      </c>
      <c r="D22" s="128">
        <v>1.02</v>
      </c>
      <c r="E22" s="128">
        <v>1.04</v>
      </c>
      <c r="F22" s="128">
        <v>1.05</v>
      </c>
      <c r="G22" s="128">
        <v>1.06</v>
      </c>
      <c r="H22" s="128">
        <v>1.07</v>
      </c>
      <c r="I22" s="128">
        <v>1.08</v>
      </c>
      <c r="J22" s="128">
        <v>1.0900000000000001</v>
      </c>
      <c r="K22" s="128">
        <v>1.1000000000000001</v>
      </c>
      <c r="L22" s="128">
        <v>1.1100000000000001</v>
      </c>
      <c r="M22" s="128">
        <v>1.1200000000000001</v>
      </c>
      <c r="N22" s="128">
        <v>1.1299999999999999</v>
      </c>
      <c r="O22" s="128">
        <v>1.1399999999999999</v>
      </c>
      <c r="P22" s="128">
        <v>1.1499999999999999</v>
      </c>
      <c r="Q22" s="128">
        <v>1.1599999999999999</v>
      </c>
      <c r="R22" s="128">
        <v>1.1599999999999999</v>
      </c>
      <c r="S22" s="128">
        <v>1.17</v>
      </c>
      <c r="T22" s="128">
        <v>1.18</v>
      </c>
      <c r="U22" s="128">
        <v>1.19</v>
      </c>
      <c r="V22" s="128">
        <v>1.2</v>
      </c>
      <c r="W22" s="128">
        <v>1.21</v>
      </c>
      <c r="X22" s="128">
        <v>1.22</v>
      </c>
      <c r="Y22" s="128">
        <v>1.23</v>
      </c>
      <c r="Z22" s="128">
        <v>1.24</v>
      </c>
      <c r="AA22" s="128">
        <v>1.25</v>
      </c>
      <c r="AB22" s="128">
        <v>1.26</v>
      </c>
      <c r="AC22" s="128">
        <v>1.27</v>
      </c>
      <c r="AD22" s="128">
        <v>1.28</v>
      </c>
      <c r="AE22" s="128">
        <v>1.29</v>
      </c>
      <c r="AF22" s="128">
        <v>1.3</v>
      </c>
      <c r="AG22" s="128">
        <v>1.31</v>
      </c>
      <c r="AH22" s="128">
        <v>1.32</v>
      </c>
      <c r="AI22" s="128">
        <v>1.33</v>
      </c>
      <c r="AJ22" s="128">
        <v>1.34</v>
      </c>
      <c r="AK22" s="128">
        <v>1.35</v>
      </c>
      <c r="AL22" s="128">
        <v>1.36</v>
      </c>
      <c r="AM22" s="128">
        <v>1.37</v>
      </c>
      <c r="AN22" s="128">
        <v>1.38</v>
      </c>
      <c r="AO22" s="128">
        <v>1.39</v>
      </c>
      <c r="AP22" s="128">
        <v>1.4</v>
      </c>
      <c r="AQ22" s="128">
        <v>1.41</v>
      </c>
      <c r="AR22" s="128">
        <v>1.42</v>
      </c>
      <c r="AS22" s="128">
        <v>1.43</v>
      </c>
      <c r="AT22" s="128">
        <v>1.44</v>
      </c>
      <c r="AU22" s="128">
        <v>1.45</v>
      </c>
      <c r="AV22" s="128">
        <v>1.46</v>
      </c>
      <c r="AW22" s="128">
        <v>1.47</v>
      </c>
      <c r="AX22" s="128">
        <v>1.48</v>
      </c>
      <c r="AY22" s="128">
        <v>1.49</v>
      </c>
      <c r="AZ22" s="128">
        <v>1.5</v>
      </c>
      <c r="BA22" s="128">
        <v>1.51</v>
      </c>
      <c r="BB22" s="128">
        <v>1.52</v>
      </c>
      <c r="BC22" s="128">
        <v>1.53</v>
      </c>
      <c r="BD22" s="128">
        <v>1.54</v>
      </c>
      <c r="BE22" s="128">
        <v>1.55</v>
      </c>
      <c r="BF22" s="128">
        <v>1.56</v>
      </c>
      <c r="BG22" s="128">
        <v>1.57</v>
      </c>
      <c r="BH22" s="128">
        <v>1.58</v>
      </c>
      <c r="BI22" s="128">
        <v>1.59</v>
      </c>
      <c r="BJ22" s="128">
        <v>1.6</v>
      </c>
      <c r="BK22" s="128">
        <v>1.61</v>
      </c>
      <c r="BL22" s="128">
        <v>1.62</v>
      </c>
      <c r="BM22" s="128">
        <v>1.63</v>
      </c>
      <c r="BN22" s="128">
        <v>1.64</v>
      </c>
      <c r="BO22" s="128">
        <v>1.65</v>
      </c>
      <c r="BP22" s="128">
        <v>1.66</v>
      </c>
      <c r="BQ22" s="128">
        <v>1.67</v>
      </c>
      <c r="BR22" s="128">
        <v>1.68</v>
      </c>
      <c r="BS22" s="128">
        <v>1.69</v>
      </c>
      <c r="BT22" s="128">
        <v>1.7</v>
      </c>
      <c r="BU22" s="128">
        <v>1.71</v>
      </c>
      <c r="BV22" s="128">
        <v>1.72</v>
      </c>
      <c r="BW22" s="128">
        <v>1.73</v>
      </c>
      <c r="BX22" s="128">
        <v>1.74</v>
      </c>
      <c r="BY22" s="128">
        <v>1.75</v>
      </c>
      <c r="BZ22" s="128">
        <v>1.76</v>
      </c>
      <c r="CA22" s="128">
        <v>1.77</v>
      </c>
      <c r="CB22" s="128">
        <v>1.78</v>
      </c>
      <c r="CC22" s="128">
        <v>1.79</v>
      </c>
      <c r="CD22" s="128">
        <v>1.8</v>
      </c>
      <c r="CE22" s="128">
        <v>1.81</v>
      </c>
      <c r="CF22" s="128">
        <v>1.82</v>
      </c>
      <c r="CG22" s="128">
        <v>1.83</v>
      </c>
      <c r="CH22" s="128">
        <v>1.84</v>
      </c>
      <c r="CI22" s="128">
        <v>1.84</v>
      </c>
      <c r="CJ22" s="128">
        <v>1.85</v>
      </c>
      <c r="CK22" s="128">
        <v>1.86</v>
      </c>
      <c r="CL22" s="128">
        <v>1.87</v>
      </c>
      <c r="CM22" s="128">
        <v>1.88</v>
      </c>
      <c r="CN22" s="128">
        <v>1.89</v>
      </c>
      <c r="CO22" s="128">
        <v>1.9</v>
      </c>
      <c r="CP22" s="128">
        <v>1.91</v>
      </c>
      <c r="CQ22" s="128">
        <v>1.92</v>
      </c>
      <c r="CR22" s="128">
        <v>1.93</v>
      </c>
      <c r="CS22" s="128">
        <v>1.94</v>
      </c>
      <c r="CT22" s="128">
        <v>1.95</v>
      </c>
      <c r="CU22" s="128">
        <v>1.96</v>
      </c>
      <c r="CV22" s="128">
        <v>1.98</v>
      </c>
      <c r="CW22" s="128">
        <v>1.99</v>
      </c>
      <c r="CX22" s="128">
        <v>2</v>
      </c>
      <c r="CZ22" s="126">
        <f>SUMIF(MatrixF2[[1]:[2]],MatrixF2[[#This Row],[Столбец1]])/MatrixF2[[#This Row],[Столбец1]]</f>
        <v>100.99999999999987</v>
      </c>
    </row>
    <row r="23" spans="1:104" ht="21" customHeight="1" x14ac:dyDescent="0.25">
      <c r="A23" s="127">
        <v>1.2</v>
      </c>
      <c r="B23" s="128">
        <v>1</v>
      </c>
      <c r="C23" s="128">
        <v>1.01</v>
      </c>
      <c r="D23" s="128">
        <v>1.02</v>
      </c>
      <c r="E23" s="128">
        <v>1.04</v>
      </c>
      <c r="F23" s="128">
        <v>1.05</v>
      </c>
      <c r="G23" s="128">
        <v>1.06</v>
      </c>
      <c r="H23" s="128">
        <v>1.07</v>
      </c>
      <c r="I23" s="128">
        <v>1.08</v>
      </c>
      <c r="J23" s="128">
        <v>1.0900000000000001</v>
      </c>
      <c r="K23" s="128">
        <v>1.1000000000000001</v>
      </c>
      <c r="L23" s="128">
        <v>1.1100000000000001</v>
      </c>
      <c r="M23" s="128">
        <v>1.1200000000000001</v>
      </c>
      <c r="N23" s="128">
        <v>1.1299999999999999</v>
      </c>
      <c r="O23" s="128">
        <v>1.1399999999999999</v>
      </c>
      <c r="P23" s="128">
        <v>1.1499999999999999</v>
      </c>
      <c r="Q23" s="128">
        <v>1.1599999999999999</v>
      </c>
      <c r="R23" s="128">
        <v>1.17</v>
      </c>
      <c r="S23" s="128">
        <v>1.18</v>
      </c>
      <c r="T23" s="128">
        <v>1.18</v>
      </c>
      <c r="U23" s="128">
        <v>1.19</v>
      </c>
      <c r="V23" s="128">
        <v>1.2</v>
      </c>
      <c r="W23" s="128">
        <v>1.21</v>
      </c>
      <c r="X23" s="128">
        <v>1.22</v>
      </c>
      <c r="Y23" s="128">
        <v>1.23</v>
      </c>
      <c r="Z23" s="128">
        <v>1.24</v>
      </c>
      <c r="AA23" s="128">
        <v>1.25</v>
      </c>
      <c r="AB23" s="128">
        <v>1.26</v>
      </c>
      <c r="AC23" s="128">
        <v>1.27</v>
      </c>
      <c r="AD23" s="128">
        <v>1.28</v>
      </c>
      <c r="AE23" s="128">
        <v>1.29</v>
      </c>
      <c r="AF23" s="128">
        <v>1.3</v>
      </c>
      <c r="AG23" s="128">
        <v>1.31</v>
      </c>
      <c r="AH23" s="128">
        <v>1.32</v>
      </c>
      <c r="AI23" s="128">
        <v>1.33</v>
      </c>
      <c r="AJ23" s="128">
        <v>1.34</v>
      </c>
      <c r="AK23" s="128">
        <v>1.35</v>
      </c>
      <c r="AL23" s="128">
        <v>1.36</v>
      </c>
      <c r="AM23" s="128">
        <v>1.37</v>
      </c>
      <c r="AN23" s="128">
        <v>1.38</v>
      </c>
      <c r="AO23" s="128">
        <v>1.39</v>
      </c>
      <c r="AP23" s="128">
        <v>1.4</v>
      </c>
      <c r="AQ23" s="128">
        <v>1.41</v>
      </c>
      <c r="AR23" s="128">
        <v>1.42</v>
      </c>
      <c r="AS23" s="128">
        <v>1.43</v>
      </c>
      <c r="AT23" s="128">
        <v>1.44</v>
      </c>
      <c r="AU23" s="128">
        <v>1.45</v>
      </c>
      <c r="AV23" s="128">
        <v>1.46</v>
      </c>
      <c r="AW23" s="128">
        <v>1.47</v>
      </c>
      <c r="AX23" s="128">
        <v>1.48</v>
      </c>
      <c r="AY23" s="128">
        <v>1.49</v>
      </c>
      <c r="AZ23" s="128">
        <v>1.5</v>
      </c>
      <c r="BA23" s="128">
        <v>1.51</v>
      </c>
      <c r="BB23" s="128">
        <v>1.52</v>
      </c>
      <c r="BC23" s="128">
        <v>1.53</v>
      </c>
      <c r="BD23" s="128">
        <v>1.54</v>
      </c>
      <c r="BE23" s="128">
        <v>1.55</v>
      </c>
      <c r="BF23" s="128">
        <v>1.56</v>
      </c>
      <c r="BG23" s="128">
        <v>1.57</v>
      </c>
      <c r="BH23" s="128">
        <v>1.58</v>
      </c>
      <c r="BI23" s="128">
        <v>1.59</v>
      </c>
      <c r="BJ23" s="128">
        <v>1.6</v>
      </c>
      <c r="BK23" s="128">
        <v>1.61</v>
      </c>
      <c r="BL23" s="128">
        <v>1.62</v>
      </c>
      <c r="BM23" s="128">
        <v>1.63</v>
      </c>
      <c r="BN23" s="128">
        <v>1.64</v>
      </c>
      <c r="BO23" s="128">
        <v>1.65</v>
      </c>
      <c r="BP23" s="128">
        <v>1.66</v>
      </c>
      <c r="BQ23" s="128">
        <v>1.67</v>
      </c>
      <c r="BR23" s="128">
        <v>1.68</v>
      </c>
      <c r="BS23" s="128">
        <v>1.69</v>
      </c>
      <c r="BT23" s="128">
        <v>1.7</v>
      </c>
      <c r="BU23" s="128">
        <v>1.71</v>
      </c>
      <c r="BV23" s="128">
        <v>1.72</v>
      </c>
      <c r="BW23" s="128">
        <v>1.73</v>
      </c>
      <c r="BX23" s="128">
        <v>1.74</v>
      </c>
      <c r="BY23" s="128">
        <v>1.75</v>
      </c>
      <c r="BZ23" s="128">
        <v>1.76</v>
      </c>
      <c r="CA23" s="128">
        <v>1.77</v>
      </c>
      <c r="CB23" s="128">
        <v>1.78</v>
      </c>
      <c r="CC23" s="128">
        <v>1.79</v>
      </c>
      <c r="CD23" s="128">
        <v>1.8</v>
      </c>
      <c r="CE23" s="128">
        <v>1.81</v>
      </c>
      <c r="CF23" s="128">
        <v>1.82</v>
      </c>
      <c r="CG23" s="128">
        <v>1.82</v>
      </c>
      <c r="CH23" s="128">
        <v>1.83</v>
      </c>
      <c r="CI23" s="128">
        <v>1.84</v>
      </c>
      <c r="CJ23" s="128">
        <v>1.85</v>
      </c>
      <c r="CK23" s="128">
        <v>1.86</v>
      </c>
      <c r="CL23" s="128">
        <v>1.87</v>
      </c>
      <c r="CM23" s="128">
        <v>1.88</v>
      </c>
      <c r="CN23" s="128">
        <v>1.89</v>
      </c>
      <c r="CO23" s="128">
        <v>1.9</v>
      </c>
      <c r="CP23" s="128">
        <v>1.91</v>
      </c>
      <c r="CQ23" s="128">
        <v>1.92</v>
      </c>
      <c r="CR23" s="128">
        <v>1.93</v>
      </c>
      <c r="CS23" s="128">
        <v>1.94</v>
      </c>
      <c r="CT23" s="128">
        <v>1.95</v>
      </c>
      <c r="CU23" s="128">
        <v>1.96</v>
      </c>
      <c r="CV23" s="128">
        <v>1.98</v>
      </c>
      <c r="CW23" s="128">
        <v>1.99</v>
      </c>
      <c r="CX23" s="128">
        <v>2</v>
      </c>
      <c r="CZ23" s="126">
        <f>SUMIF(MatrixF2[[1]:[2]],MatrixF2[[#This Row],[Столбец1]])/MatrixF2[[#This Row],[Столбец1]]</f>
        <v>102.00000000000017</v>
      </c>
    </row>
    <row r="24" spans="1:104" ht="21" customHeight="1" x14ac:dyDescent="0.25">
      <c r="A24" s="127">
        <v>1.21</v>
      </c>
      <c r="B24" s="128">
        <v>1</v>
      </c>
      <c r="C24" s="128">
        <v>1.01</v>
      </c>
      <c r="D24" s="128">
        <v>1.02</v>
      </c>
      <c r="E24" s="128">
        <v>1.04</v>
      </c>
      <c r="F24" s="128">
        <v>1.05</v>
      </c>
      <c r="G24" s="128">
        <v>1.06</v>
      </c>
      <c r="H24" s="128">
        <v>1.07</v>
      </c>
      <c r="I24" s="128">
        <v>1.08</v>
      </c>
      <c r="J24" s="128">
        <v>1.0900000000000001</v>
      </c>
      <c r="K24" s="128">
        <v>1.1000000000000001</v>
      </c>
      <c r="L24" s="128">
        <v>1.1100000000000001</v>
      </c>
      <c r="M24" s="128">
        <v>1.1200000000000001</v>
      </c>
      <c r="N24" s="128">
        <v>1.1299999999999999</v>
      </c>
      <c r="O24" s="128">
        <v>1.1399999999999999</v>
      </c>
      <c r="P24" s="128">
        <v>1.1499999999999999</v>
      </c>
      <c r="Q24" s="128">
        <v>1.1599999999999999</v>
      </c>
      <c r="R24" s="128">
        <v>1.17</v>
      </c>
      <c r="S24" s="128">
        <v>1.18</v>
      </c>
      <c r="T24" s="128">
        <v>1.19</v>
      </c>
      <c r="U24" s="128">
        <v>1.19</v>
      </c>
      <c r="V24" s="128">
        <v>1.2</v>
      </c>
      <c r="W24" s="128">
        <v>1.21</v>
      </c>
      <c r="X24" s="128">
        <v>1.22</v>
      </c>
      <c r="Y24" s="128">
        <v>1.23</v>
      </c>
      <c r="Z24" s="128">
        <v>1.24</v>
      </c>
      <c r="AA24" s="128">
        <v>1.25</v>
      </c>
      <c r="AB24" s="128">
        <v>1.26</v>
      </c>
      <c r="AC24" s="128">
        <v>1.27</v>
      </c>
      <c r="AD24" s="128">
        <v>1.28</v>
      </c>
      <c r="AE24" s="128">
        <v>1.29</v>
      </c>
      <c r="AF24" s="128">
        <v>1.3</v>
      </c>
      <c r="AG24" s="128">
        <v>1.31</v>
      </c>
      <c r="AH24" s="128">
        <v>1.32</v>
      </c>
      <c r="AI24" s="128">
        <v>1.33</v>
      </c>
      <c r="AJ24" s="128">
        <v>1.34</v>
      </c>
      <c r="AK24" s="128">
        <v>1.35</v>
      </c>
      <c r="AL24" s="128">
        <v>1.36</v>
      </c>
      <c r="AM24" s="128">
        <v>1.37</v>
      </c>
      <c r="AN24" s="128">
        <v>1.38</v>
      </c>
      <c r="AO24" s="128">
        <v>1.39</v>
      </c>
      <c r="AP24" s="128">
        <v>1.4</v>
      </c>
      <c r="AQ24" s="128">
        <v>1.41</v>
      </c>
      <c r="AR24" s="128">
        <v>1.42</v>
      </c>
      <c r="AS24" s="128">
        <v>1.43</v>
      </c>
      <c r="AT24" s="128">
        <v>1.44</v>
      </c>
      <c r="AU24" s="128">
        <v>1.45</v>
      </c>
      <c r="AV24" s="128">
        <v>1.46</v>
      </c>
      <c r="AW24" s="128">
        <v>1.47</v>
      </c>
      <c r="AX24" s="128">
        <v>1.48</v>
      </c>
      <c r="AY24" s="128">
        <v>1.49</v>
      </c>
      <c r="AZ24" s="128">
        <v>1.5</v>
      </c>
      <c r="BA24" s="128">
        <v>1.51</v>
      </c>
      <c r="BB24" s="128">
        <v>1.52</v>
      </c>
      <c r="BC24" s="128">
        <v>1.53</v>
      </c>
      <c r="BD24" s="128">
        <v>1.54</v>
      </c>
      <c r="BE24" s="128">
        <v>1.55</v>
      </c>
      <c r="BF24" s="128">
        <v>1.56</v>
      </c>
      <c r="BG24" s="128">
        <v>1.57</v>
      </c>
      <c r="BH24" s="128">
        <v>1.58</v>
      </c>
      <c r="BI24" s="128">
        <v>1.59</v>
      </c>
      <c r="BJ24" s="128">
        <v>1.6</v>
      </c>
      <c r="BK24" s="128">
        <v>1.61</v>
      </c>
      <c r="BL24" s="128">
        <v>1.62</v>
      </c>
      <c r="BM24" s="128">
        <v>1.63</v>
      </c>
      <c r="BN24" s="128">
        <v>1.64</v>
      </c>
      <c r="BO24" s="128">
        <v>1.65</v>
      </c>
      <c r="BP24" s="128">
        <v>1.66</v>
      </c>
      <c r="BQ24" s="128">
        <v>1.67</v>
      </c>
      <c r="BR24" s="128">
        <v>1.68</v>
      </c>
      <c r="BS24" s="128">
        <v>1.69</v>
      </c>
      <c r="BT24" s="128">
        <v>1.7</v>
      </c>
      <c r="BU24" s="128">
        <v>1.71</v>
      </c>
      <c r="BV24" s="128">
        <v>1.72</v>
      </c>
      <c r="BW24" s="128">
        <v>1.73</v>
      </c>
      <c r="BX24" s="128">
        <v>1.74</v>
      </c>
      <c r="BY24" s="128">
        <v>1.75</v>
      </c>
      <c r="BZ24" s="128">
        <v>1.76</v>
      </c>
      <c r="CA24" s="128">
        <v>1.77</v>
      </c>
      <c r="CB24" s="128">
        <v>1.78</v>
      </c>
      <c r="CC24" s="128">
        <v>1.79</v>
      </c>
      <c r="CD24" s="128">
        <v>1.8</v>
      </c>
      <c r="CE24" s="128">
        <v>1.81</v>
      </c>
      <c r="CF24" s="128">
        <v>1.81</v>
      </c>
      <c r="CG24" s="128">
        <v>1.82</v>
      </c>
      <c r="CH24" s="128">
        <v>1.83</v>
      </c>
      <c r="CI24" s="128">
        <v>1.84</v>
      </c>
      <c r="CJ24" s="128">
        <v>1.85</v>
      </c>
      <c r="CK24" s="128">
        <v>1.86</v>
      </c>
      <c r="CL24" s="128">
        <v>1.87</v>
      </c>
      <c r="CM24" s="128">
        <v>1.88</v>
      </c>
      <c r="CN24" s="128">
        <v>1.89</v>
      </c>
      <c r="CO24" s="128">
        <v>1.9</v>
      </c>
      <c r="CP24" s="128">
        <v>1.91</v>
      </c>
      <c r="CQ24" s="128">
        <v>1.92</v>
      </c>
      <c r="CR24" s="128">
        <v>1.93</v>
      </c>
      <c r="CS24" s="128">
        <v>1.94</v>
      </c>
      <c r="CT24" s="128">
        <v>1.95</v>
      </c>
      <c r="CU24" s="128">
        <v>1.96</v>
      </c>
      <c r="CV24" s="128">
        <v>1.98</v>
      </c>
      <c r="CW24" s="128">
        <v>1.99</v>
      </c>
      <c r="CX24" s="128">
        <v>2</v>
      </c>
      <c r="CZ24" s="126">
        <f>SUMIF(MatrixF2[[1]:[2]],MatrixF2[[#This Row],[Столбец1]])/MatrixF2[[#This Row],[Столбец1]]</f>
        <v>100.99999999999979</v>
      </c>
    </row>
    <row r="25" spans="1:104" ht="21" customHeight="1" x14ac:dyDescent="0.25">
      <c r="A25" s="127">
        <v>1.22</v>
      </c>
      <c r="B25" s="128">
        <v>1</v>
      </c>
      <c r="C25" s="128">
        <v>1.01</v>
      </c>
      <c r="D25" s="128">
        <v>1.03</v>
      </c>
      <c r="E25" s="128">
        <v>1.04</v>
      </c>
      <c r="F25" s="128">
        <v>1.05</v>
      </c>
      <c r="G25" s="128">
        <v>1.06</v>
      </c>
      <c r="H25" s="128">
        <v>1.07</v>
      </c>
      <c r="I25" s="128">
        <v>1.08</v>
      </c>
      <c r="J25" s="128">
        <v>1.0900000000000001</v>
      </c>
      <c r="K25" s="128">
        <v>1.1000000000000001</v>
      </c>
      <c r="L25" s="128">
        <v>1.1100000000000001</v>
      </c>
      <c r="M25" s="128">
        <v>1.1200000000000001</v>
      </c>
      <c r="N25" s="128">
        <v>1.1299999999999999</v>
      </c>
      <c r="O25" s="128">
        <v>1.1399999999999999</v>
      </c>
      <c r="P25" s="128">
        <v>1.1499999999999999</v>
      </c>
      <c r="Q25" s="128">
        <v>1.1599999999999999</v>
      </c>
      <c r="R25" s="128">
        <v>1.17</v>
      </c>
      <c r="S25" s="128">
        <v>1.18</v>
      </c>
      <c r="T25" s="128">
        <v>1.19</v>
      </c>
      <c r="U25" s="128">
        <v>1.2</v>
      </c>
      <c r="V25" s="128">
        <v>1.2</v>
      </c>
      <c r="W25" s="128">
        <v>1.21</v>
      </c>
      <c r="X25" s="128">
        <v>1.22</v>
      </c>
      <c r="Y25" s="128">
        <v>1.23</v>
      </c>
      <c r="Z25" s="128">
        <v>1.24</v>
      </c>
      <c r="AA25" s="128">
        <v>1.25</v>
      </c>
      <c r="AB25" s="128">
        <v>1.26</v>
      </c>
      <c r="AC25" s="128">
        <v>1.27</v>
      </c>
      <c r="AD25" s="128">
        <v>1.28</v>
      </c>
      <c r="AE25" s="128">
        <v>1.29</v>
      </c>
      <c r="AF25" s="128">
        <v>1.3</v>
      </c>
      <c r="AG25" s="128">
        <v>1.31</v>
      </c>
      <c r="AH25" s="128">
        <v>1.32</v>
      </c>
      <c r="AI25" s="128">
        <v>1.33</v>
      </c>
      <c r="AJ25" s="128">
        <v>1.34</v>
      </c>
      <c r="AK25" s="128">
        <v>1.35</v>
      </c>
      <c r="AL25" s="128">
        <v>1.36</v>
      </c>
      <c r="AM25" s="128">
        <v>1.37</v>
      </c>
      <c r="AN25" s="128">
        <v>1.38</v>
      </c>
      <c r="AO25" s="128">
        <v>1.39</v>
      </c>
      <c r="AP25" s="128">
        <v>1.4</v>
      </c>
      <c r="AQ25" s="128">
        <v>1.41</v>
      </c>
      <c r="AR25" s="128">
        <v>1.42</v>
      </c>
      <c r="AS25" s="128">
        <v>1.43</v>
      </c>
      <c r="AT25" s="128">
        <v>1.44</v>
      </c>
      <c r="AU25" s="128">
        <v>1.45</v>
      </c>
      <c r="AV25" s="128">
        <v>1.46</v>
      </c>
      <c r="AW25" s="128">
        <v>1.47</v>
      </c>
      <c r="AX25" s="128">
        <v>1.48</v>
      </c>
      <c r="AY25" s="128">
        <v>1.49</v>
      </c>
      <c r="AZ25" s="128">
        <v>1.5</v>
      </c>
      <c r="BA25" s="128">
        <v>1.51</v>
      </c>
      <c r="BB25" s="128">
        <v>1.52</v>
      </c>
      <c r="BC25" s="128">
        <v>1.53</v>
      </c>
      <c r="BD25" s="128">
        <v>1.54</v>
      </c>
      <c r="BE25" s="128">
        <v>1.55</v>
      </c>
      <c r="BF25" s="128">
        <v>1.56</v>
      </c>
      <c r="BG25" s="128">
        <v>1.57</v>
      </c>
      <c r="BH25" s="128">
        <v>1.58</v>
      </c>
      <c r="BI25" s="128">
        <v>1.59</v>
      </c>
      <c r="BJ25" s="128">
        <v>1.6</v>
      </c>
      <c r="BK25" s="128">
        <v>1.61</v>
      </c>
      <c r="BL25" s="128">
        <v>1.62</v>
      </c>
      <c r="BM25" s="128">
        <v>1.63</v>
      </c>
      <c r="BN25" s="128">
        <v>1.64</v>
      </c>
      <c r="BO25" s="128">
        <v>1.65</v>
      </c>
      <c r="BP25" s="128">
        <v>1.66</v>
      </c>
      <c r="BQ25" s="128">
        <v>1.67</v>
      </c>
      <c r="BR25" s="128">
        <v>1.68</v>
      </c>
      <c r="BS25" s="128">
        <v>1.69</v>
      </c>
      <c r="BT25" s="128">
        <v>1.7</v>
      </c>
      <c r="BU25" s="128">
        <v>1.71</v>
      </c>
      <c r="BV25" s="128">
        <v>1.72</v>
      </c>
      <c r="BW25" s="128">
        <v>1.73</v>
      </c>
      <c r="BX25" s="128">
        <v>1.74</v>
      </c>
      <c r="BY25" s="128">
        <v>1.75</v>
      </c>
      <c r="BZ25" s="128">
        <v>1.76</v>
      </c>
      <c r="CA25" s="128">
        <v>1.77</v>
      </c>
      <c r="CB25" s="128">
        <v>1.78</v>
      </c>
      <c r="CC25" s="128">
        <v>1.79</v>
      </c>
      <c r="CD25" s="128">
        <v>1.8</v>
      </c>
      <c r="CE25" s="128">
        <v>1.8</v>
      </c>
      <c r="CF25" s="128">
        <v>1.81</v>
      </c>
      <c r="CG25" s="128">
        <v>1.82</v>
      </c>
      <c r="CH25" s="128">
        <v>1.83</v>
      </c>
      <c r="CI25" s="128">
        <v>1.84</v>
      </c>
      <c r="CJ25" s="128">
        <v>1.85</v>
      </c>
      <c r="CK25" s="128">
        <v>1.86</v>
      </c>
      <c r="CL25" s="128">
        <v>1.87</v>
      </c>
      <c r="CM25" s="128">
        <v>1.88</v>
      </c>
      <c r="CN25" s="128">
        <v>1.89</v>
      </c>
      <c r="CO25" s="128">
        <v>1.9</v>
      </c>
      <c r="CP25" s="128">
        <v>1.91</v>
      </c>
      <c r="CQ25" s="128">
        <v>1.92</v>
      </c>
      <c r="CR25" s="128">
        <v>1.93</v>
      </c>
      <c r="CS25" s="128">
        <v>1.94</v>
      </c>
      <c r="CT25" s="128">
        <v>1.95</v>
      </c>
      <c r="CU25" s="128">
        <v>1.96</v>
      </c>
      <c r="CV25" s="128">
        <v>1.98</v>
      </c>
      <c r="CW25" s="128">
        <v>1.99</v>
      </c>
      <c r="CX25" s="128">
        <v>2</v>
      </c>
      <c r="CZ25" s="126">
        <f>SUMIF(MatrixF2[[1]:[2]],MatrixF2[[#This Row],[Столбец1]])/MatrixF2[[#This Row],[Столбец1]]</f>
        <v>106.99999999999993</v>
      </c>
    </row>
    <row r="26" spans="1:104" ht="21" customHeight="1" x14ac:dyDescent="0.25">
      <c r="A26" s="127">
        <v>1.23</v>
      </c>
      <c r="B26" s="128">
        <v>1</v>
      </c>
      <c r="C26" s="128">
        <v>1.01</v>
      </c>
      <c r="D26" s="128">
        <v>1.03</v>
      </c>
      <c r="E26" s="128">
        <v>1.04</v>
      </c>
      <c r="F26" s="128">
        <v>1.05</v>
      </c>
      <c r="G26" s="128">
        <v>1.06</v>
      </c>
      <c r="H26" s="128">
        <v>1.07</v>
      </c>
      <c r="I26" s="128">
        <v>1.08</v>
      </c>
      <c r="J26" s="128">
        <v>1.0900000000000001</v>
      </c>
      <c r="K26" s="128">
        <v>1.1000000000000001</v>
      </c>
      <c r="L26" s="128">
        <v>1.1100000000000001</v>
      </c>
      <c r="M26" s="128">
        <v>1.1200000000000001</v>
      </c>
      <c r="N26" s="128">
        <v>1.1299999999999999</v>
      </c>
      <c r="O26" s="128">
        <v>1.1399999999999999</v>
      </c>
      <c r="P26" s="128">
        <v>1.1499999999999999</v>
      </c>
      <c r="Q26" s="128">
        <v>1.1599999999999999</v>
      </c>
      <c r="R26" s="128">
        <v>1.17</v>
      </c>
      <c r="S26" s="128">
        <v>1.18</v>
      </c>
      <c r="T26" s="128">
        <v>1.19</v>
      </c>
      <c r="U26" s="128">
        <v>1.2</v>
      </c>
      <c r="V26" s="128">
        <v>1.21</v>
      </c>
      <c r="W26" s="128">
        <v>1.21</v>
      </c>
      <c r="X26" s="128">
        <v>1.22</v>
      </c>
      <c r="Y26" s="128">
        <v>1.23</v>
      </c>
      <c r="Z26" s="128">
        <v>1.24</v>
      </c>
      <c r="AA26" s="128">
        <v>1.25</v>
      </c>
      <c r="AB26" s="128">
        <v>1.26</v>
      </c>
      <c r="AC26" s="128">
        <v>1.27</v>
      </c>
      <c r="AD26" s="128">
        <v>1.28</v>
      </c>
      <c r="AE26" s="128">
        <v>1.29</v>
      </c>
      <c r="AF26" s="128">
        <v>1.3</v>
      </c>
      <c r="AG26" s="128">
        <v>1.31</v>
      </c>
      <c r="AH26" s="128">
        <v>1.32</v>
      </c>
      <c r="AI26" s="128">
        <v>1.33</v>
      </c>
      <c r="AJ26" s="128">
        <v>1.34</v>
      </c>
      <c r="AK26" s="128">
        <v>1.35</v>
      </c>
      <c r="AL26" s="128">
        <v>1.36</v>
      </c>
      <c r="AM26" s="128">
        <v>1.37</v>
      </c>
      <c r="AN26" s="128">
        <v>1.38</v>
      </c>
      <c r="AO26" s="128">
        <v>1.39</v>
      </c>
      <c r="AP26" s="128">
        <v>1.4</v>
      </c>
      <c r="AQ26" s="128">
        <v>1.41</v>
      </c>
      <c r="AR26" s="128">
        <v>1.42</v>
      </c>
      <c r="AS26" s="128">
        <v>1.43</v>
      </c>
      <c r="AT26" s="128">
        <v>1.44</v>
      </c>
      <c r="AU26" s="128">
        <v>1.45</v>
      </c>
      <c r="AV26" s="128">
        <v>1.46</v>
      </c>
      <c r="AW26" s="128">
        <v>1.47</v>
      </c>
      <c r="AX26" s="128">
        <v>1.48</v>
      </c>
      <c r="AY26" s="128">
        <v>1.49</v>
      </c>
      <c r="AZ26" s="128">
        <v>1.5</v>
      </c>
      <c r="BA26" s="128">
        <v>1.51</v>
      </c>
      <c r="BB26" s="128">
        <v>1.52</v>
      </c>
      <c r="BC26" s="128">
        <v>1.53</v>
      </c>
      <c r="BD26" s="128">
        <v>1.54</v>
      </c>
      <c r="BE26" s="128">
        <v>1.55</v>
      </c>
      <c r="BF26" s="128">
        <v>1.56</v>
      </c>
      <c r="BG26" s="128">
        <v>1.57</v>
      </c>
      <c r="BH26" s="128">
        <v>1.58</v>
      </c>
      <c r="BI26" s="128">
        <v>1.59</v>
      </c>
      <c r="BJ26" s="128">
        <v>1.6</v>
      </c>
      <c r="BK26" s="128">
        <v>1.61</v>
      </c>
      <c r="BL26" s="128">
        <v>1.62</v>
      </c>
      <c r="BM26" s="128">
        <v>1.63</v>
      </c>
      <c r="BN26" s="128">
        <v>1.64</v>
      </c>
      <c r="BO26" s="128">
        <v>1.65</v>
      </c>
      <c r="BP26" s="128">
        <v>1.66</v>
      </c>
      <c r="BQ26" s="128">
        <v>1.67</v>
      </c>
      <c r="BR26" s="128">
        <v>1.68</v>
      </c>
      <c r="BS26" s="128">
        <v>1.69</v>
      </c>
      <c r="BT26" s="128">
        <v>1.7</v>
      </c>
      <c r="BU26" s="128">
        <v>1.71</v>
      </c>
      <c r="BV26" s="128">
        <v>1.72</v>
      </c>
      <c r="BW26" s="128">
        <v>1.73</v>
      </c>
      <c r="BX26" s="128">
        <v>1.74</v>
      </c>
      <c r="BY26" s="128">
        <v>1.75</v>
      </c>
      <c r="BZ26" s="128">
        <v>1.76</v>
      </c>
      <c r="CA26" s="128">
        <v>1.77</v>
      </c>
      <c r="CB26" s="128">
        <v>1.78</v>
      </c>
      <c r="CC26" s="128">
        <v>1.79</v>
      </c>
      <c r="CD26" s="128">
        <v>1.79</v>
      </c>
      <c r="CE26" s="128">
        <v>1.8</v>
      </c>
      <c r="CF26" s="128">
        <v>1.81</v>
      </c>
      <c r="CG26" s="128">
        <v>1.82</v>
      </c>
      <c r="CH26" s="128">
        <v>1.83</v>
      </c>
      <c r="CI26" s="128">
        <v>1.84</v>
      </c>
      <c r="CJ26" s="128">
        <v>1.85</v>
      </c>
      <c r="CK26" s="128">
        <v>1.86</v>
      </c>
      <c r="CL26" s="128">
        <v>1.87</v>
      </c>
      <c r="CM26" s="128">
        <v>1.88</v>
      </c>
      <c r="CN26" s="128">
        <v>1.89</v>
      </c>
      <c r="CO26" s="128">
        <v>1.9</v>
      </c>
      <c r="CP26" s="128">
        <v>1.91</v>
      </c>
      <c r="CQ26" s="128">
        <v>1.92</v>
      </c>
      <c r="CR26" s="128">
        <v>1.93</v>
      </c>
      <c r="CS26" s="128">
        <v>1.94</v>
      </c>
      <c r="CT26" s="128">
        <v>1.95</v>
      </c>
      <c r="CU26" s="128">
        <v>1.96</v>
      </c>
      <c r="CV26" s="128">
        <v>1.97</v>
      </c>
      <c r="CW26" s="128">
        <v>1.99</v>
      </c>
      <c r="CX26" s="128">
        <v>2</v>
      </c>
      <c r="CZ26" s="126">
        <f>SUMIF(MatrixF2[[1]:[2]],MatrixF2[[#This Row],[Столбец1]])/MatrixF2[[#This Row],[Столбец1]]</f>
        <v>103.0000000000001</v>
      </c>
    </row>
    <row r="27" spans="1:104" ht="21" customHeight="1" x14ac:dyDescent="0.25">
      <c r="A27" s="127">
        <v>1.24</v>
      </c>
      <c r="B27" s="128">
        <v>1</v>
      </c>
      <c r="C27" s="128">
        <v>1.01</v>
      </c>
      <c r="D27" s="128">
        <v>1.03</v>
      </c>
      <c r="E27" s="128">
        <v>1.04</v>
      </c>
      <c r="F27" s="128">
        <v>1.05</v>
      </c>
      <c r="G27" s="128">
        <v>1.06</v>
      </c>
      <c r="H27" s="128">
        <v>1.07</v>
      </c>
      <c r="I27" s="128">
        <v>1.08</v>
      </c>
      <c r="J27" s="128">
        <v>1.1000000000000001</v>
      </c>
      <c r="K27" s="128">
        <v>1.1100000000000001</v>
      </c>
      <c r="L27" s="128">
        <v>1.1200000000000001</v>
      </c>
      <c r="M27" s="128">
        <v>1.1299999999999999</v>
      </c>
      <c r="N27" s="128">
        <v>1.1399999999999999</v>
      </c>
      <c r="O27" s="128">
        <v>1.1499999999999999</v>
      </c>
      <c r="P27" s="128">
        <v>1.1599999999999999</v>
      </c>
      <c r="Q27" s="128">
        <v>1.1599999999999999</v>
      </c>
      <c r="R27" s="128">
        <v>1.17</v>
      </c>
      <c r="S27" s="128">
        <v>1.18</v>
      </c>
      <c r="T27" s="128">
        <v>1.19</v>
      </c>
      <c r="U27" s="128">
        <v>1.2</v>
      </c>
      <c r="V27" s="128">
        <v>1.21</v>
      </c>
      <c r="W27" s="128">
        <v>1.22</v>
      </c>
      <c r="X27" s="128">
        <v>1.22</v>
      </c>
      <c r="Y27" s="128">
        <v>1.23</v>
      </c>
      <c r="Z27" s="128">
        <v>1.24</v>
      </c>
      <c r="AA27" s="128">
        <v>1.25</v>
      </c>
      <c r="AB27" s="128">
        <v>1.26</v>
      </c>
      <c r="AC27" s="128">
        <v>1.27</v>
      </c>
      <c r="AD27" s="128">
        <v>1.28</v>
      </c>
      <c r="AE27" s="128">
        <v>1.29</v>
      </c>
      <c r="AF27" s="128">
        <v>1.3</v>
      </c>
      <c r="AG27" s="128">
        <v>1.31</v>
      </c>
      <c r="AH27" s="128">
        <v>1.32</v>
      </c>
      <c r="AI27" s="128">
        <v>1.33</v>
      </c>
      <c r="AJ27" s="128">
        <v>1.34</v>
      </c>
      <c r="AK27" s="128">
        <v>1.35</v>
      </c>
      <c r="AL27" s="128">
        <v>1.36</v>
      </c>
      <c r="AM27" s="128">
        <v>1.37</v>
      </c>
      <c r="AN27" s="128">
        <v>1.38</v>
      </c>
      <c r="AO27" s="128">
        <v>1.39</v>
      </c>
      <c r="AP27" s="128">
        <v>1.4</v>
      </c>
      <c r="AQ27" s="128">
        <v>1.41</v>
      </c>
      <c r="AR27" s="128">
        <v>1.42</v>
      </c>
      <c r="AS27" s="128">
        <v>1.43</v>
      </c>
      <c r="AT27" s="128">
        <v>1.44</v>
      </c>
      <c r="AU27" s="128">
        <v>1.45</v>
      </c>
      <c r="AV27" s="128">
        <v>1.46</v>
      </c>
      <c r="AW27" s="128">
        <v>1.47</v>
      </c>
      <c r="AX27" s="128">
        <v>1.48</v>
      </c>
      <c r="AY27" s="128">
        <v>1.49</v>
      </c>
      <c r="AZ27" s="128">
        <v>1.5</v>
      </c>
      <c r="BA27" s="128">
        <v>1.51</v>
      </c>
      <c r="BB27" s="128">
        <v>1.52</v>
      </c>
      <c r="BC27" s="128">
        <v>1.53</v>
      </c>
      <c r="BD27" s="128">
        <v>1.54</v>
      </c>
      <c r="BE27" s="128">
        <v>1.55</v>
      </c>
      <c r="BF27" s="128">
        <v>1.56</v>
      </c>
      <c r="BG27" s="128">
        <v>1.57</v>
      </c>
      <c r="BH27" s="128">
        <v>1.58</v>
      </c>
      <c r="BI27" s="128">
        <v>1.59</v>
      </c>
      <c r="BJ27" s="128">
        <v>1.6</v>
      </c>
      <c r="BK27" s="128">
        <v>1.61</v>
      </c>
      <c r="BL27" s="128">
        <v>1.62</v>
      </c>
      <c r="BM27" s="128">
        <v>1.63</v>
      </c>
      <c r="BN27" s="128">
        <v>1.64</v>
      </c>
      <c r="BO27" s="128">
        <v>1.65</v>
      </c>
      <c r="BP27" s="128">
        <v>1.66</v>
      </c>
      <c r="BQ27" s="128">
        <v>1.67</v>
      </c>
      <c r="BR27" s="128">
        <v>1.68</v>
      </c>
      <c r="BS27" s="128">
        <v>1.69</v>
      </c>
      <c r="BT27" s="128">
        <v>1.7</v>
      </c>
      <c r="BU27" s="128">
        <v>1.71</v>
      </c>
      <c r="BV27" s="128">
        <v>1.72</v>
      </c>
      <c r="BW27" s="128">
        <v>1.73</v>
      </c>
      <c r="BX27" s="128">
        <v>1.74</v>
      </c>
      <c r="BY27" s="128">
        <v>1.75</v>
      </c>
      <c r="BZ27" s="128">
        <v>1.76</v>
      </c>
      <c r="CA27" s="128">
        <v>1.77</v>
      </c>
      <c r="CB27" s="128">
        <v>1.78</v>
      </c>
      <c r="CC27" s="128">
        <v>1.78</v>
      </c>
      <c r="CD27" s="128">
        <v>1.79</v>
      </c>
      <c r="CE27" s="128">
        <v>1.8</v>
      </c>
      <c r="CF27" s="128">
        <v>1.81</v>
      </c>
      <c r="CG27" s="128">
        <v>1.82</v>
      </c>
      <c r="CH27" s="128">
        <v>1.83</v>
      </c>
      <c r="CI27" s="128">
        <v>1.84</v>
      </c>
      <c r="CJ27" s="128">
        <v>1.84</v>
      </c>
      <c r="CK27" s="128">
        <v>1.85</v>
      </c>
      <c r="CL27" s="128">
        <v>1.86</v>
      </c>
      <c r="CM27" s="128">
        <v>1.87</v>
      </c>
      <c r="CN27" s="128">
        <v>1.88</v>
      </c>
      <c r="CO27" s="128">
        <v>1.89</v>
      </c>
      <c r="CP27" s="128">
        <v>1.9</v>
      </c>
      <c r="CQ27" s="128">
        <v>1.92</v>
      </c>
      <c r="CR27" s="128">
        <v>1.93</v>
      </c>
      <c r="CS27" s="128">
        <v>1.94</v>
      </c>
      <c r="CT27" s="128">
        <v>1.95</v>
      </c>
      <c r="CU27" s="128">
        <v>1.96</v>
      </c>
      <c r="CV27" s="128">
        <v>1.97</v>
      </c>
      <c r="CW27" s="128">
        <v>1.99</v>
      </c>
      <c r="CX27" s="128">
        <v>2</v>
      </c>
      <c r="CZ27" s="126">
        <f>SUMIF(MatrixF2[[1]:[2]],MatrixF2[[#This Row],[Столбец1]])/MatrixF2[[#This Row],[Столбец1]]</f>
        <v>108.99999999999986</v>
      </c>
    </row>
    <row r="28" spans="1:104" ht="21" customHeight="1" x14ac:dyDescent="0.25">
      <c r="A28" s="127">
        <v>1.25</v>
      </c>
      <c r="B28" s="128">
        <v>1</v>
      </c>
      <c r="C28" s="128">
        <v>1.01</v>
      </c>
      <c r="D28" s="128">
        <v>1.03</v>
      </c>
      <c r="E28" s="128">
        <v>1.04</v>
      </c>
      <c r="F28" s="128">
        <v>1.05</v>
      </c>
      <c r="G28" s="128">
        <v>1.06</v>
      </c>
      <c r="H28" s="128">
        <v>1.07</v>
      </c>
      <c r="I28" s="128">
        <v>1.0900000000000001</v>
      </c>
      <c r="J28" s="128">
        <v>1.1000000000000001</v>
      </c>
      <c r="K28" s="128">
        <v>1.1100000000000001</v>
      </c>
      <c r="L28" s="128">
        <v>1.1200000000000001</v>
      </c>
      <c r="M28" s="128">
        <v>1.1299999999999999</v>
      </c>
      <c r="N28" s="128">
        <v>1.1399999999999999</v>
      </c>
      <c r="O28" s="128">
        <v>1.1499999999999999</v>
      </c>
      <c r="P28" s="128">
        <v>1.1599999999999999</v>
      </c>
      <c r="Q28" s="128">
        <v>1.17</v>
      </c>
      <c r="R28" s="128">
        <v>1.18</v>
      </c>
      <c r="S28" s="128">
        <v>1.18</v>
      </c>
      <c r="T28" s="128">
        <v>1.19</v>
      </c>
      <c r="U28" s="128">
        <v>1.2</v>
      </c>
      <c r="V28" s="128">
        <v>1.21</v>
      </c>
      <c r="W28" s="128">
        <v>1.22</v>
      </c>
      <c r="X28" s="128">
        <v>1.23</v>
      </c>
      <c r="Y28" s="128">
        <v>1.23</v>
      </c>
      <c r="Z28" s="128">
        <v>1.24</v>
      </c>
      <c r="AA28" s="128">
        <v>1.25</v>
      </c>
      <c r="AB28" s="128">
        <v>1.26</v>
      </c>
      <c r="AC28" s="128">
        <v>1.27</v>
      </c>
      <c r="AD28" s="128">
        <v>1.28</v>
      </c>
      <c r="AE28" s="128">
        <v>1.29</v>
      </c>
      <c r="AF28" s="128">
        <v>1.3</v>
      </c>
      <c r="AG28" s="128">
        <v>1.31</v>
      </c>
      <c r="AH28" s="128">
        <v>1.32</v>
      </c>
      <c r="AI28" s="128">
        <v>1.33</v>
      </c>
      <c r="AJ28" s="128">
        <v>1.34</v>
      </c>
      <c r="AK28" s="128">
        <v>1.35</v>
      </c>
      <c r="AL28" s="128">
        <v>1.36</v>
      </c>
      <c r="AM28" s="128">
        <v>1.37</v>
      </c>
      <c r="AN28" s="128">
        <v>1.38</v>
      </c>
      <c r="AO28" s="128">
        <v>1.39</v>
      </c>
      <c r="AP28" s="128">
        <v>1.4</v>
      </c>
      <c r="AQ28" s="128">
        <v>1.41</v>
      </c>
      <c r="AR28" s="128">
        <v>1.42</v>
      </c>
      <c r="AS28" s="128">
        <v>1.43</v>
      </c>
      <c r="AT28" s="128">
        <v>1.44</v>
      </c>
      <c r="AU28" s="128">
        <v>1.45</v>
      </c>
      <c r="AV28" s="128">
        <v>1.46</v>
      </c>
      <c r="AW28" s="128">
        <v>1.47</v>
      </c>
      <c r="AX28" s="128">
        <v>1.48</v>
      </c>
      <c r="AY28" s="128">
        <v>1.49</v>
      </c>
      <c r="AZ28" s="128">
        <v>1.5</v>
      </c>
      <c r="BA28" s="128">
        <v>1.51</v>
      </c>
      <c r="BB28" s="128">
        <v>1.52</v>
      </c>
      <c r="BC28" s="128">
        <v>1.53</v>
      </c>
      <c r="BD28" s="128">
        <v>1.54</v>
      </c>
      <c r="BE28" s="128">
        <v>1.55</v>
      </c>
      <c r="BF28" s="128">
        <v>1.56</v>
      </c>
      <c r="BG28" s="128">
        <v>1.57</v>
      </c>
      <c r="BH28" s="128">
        <v>1.58</v>
      </c>
      <c r="BI28" s="128">
        <v>1.59</v>
      </c>
      <c r="BJ28" s="128">
        <v>1.6</v>
      </c>
      <c r="BK28" s="128">
        <v>1.61</v>
      </c>
      <c r="BL28" s="128">
        <v>1.62</v>
      </c>
      <c r="BM28" s="128">
        <v>1.63</v>
      </c>
      <c r="BN28" s="128">
        <v>1.64</v>
      </c>
      <c r="BO28" s="128">
        <v>1.65</v>
      </c>
      <c r="BP28" s="128">
        <v>1.66</v>
      </c>
      <c r="BQ28" s="128">
        <v>1.67</v>
      </c>
      <c r="BR28" s="128">
        <v>1.68</v>
      </c>
      <c r="BS28" s="128">
        <v>1.69</v>
      </c>
      <c r="BT28" s="128">
        <v>1.7</v>
      </c>
      <c r="BU28" s="128">
        <v>1.71</v>
      </c>
      <c r="BV28" s="128">
        <v>1.72</v>
      </c>
      <c r="BW28" s="128">
        <v>1.73</v>
      </c>
      <c r="BX28" s="128">
        <v>1.74</v>
      </c>
      <c r="BY28" s="128">
        <v>1.75</v>
      </c>
      <c r="BZ28" s="128">
        <v>1.76</v>
      </c>
      <c r="CA28" s="128">
        <v>1.77</v>
      </c>
      <c r="CB28" s="128">
        <v>1.77</v>
      </c>
      <c r="CC28" s="128">
        <v>1.78</v>
      </c>
      <c r="CD28" s="128">
        <v>1.79</v>
      </c>
      <c r="CE28" s="128">
        <v>1.8</v>
      </c>
      <c r="CF28" s="128">
        <v>1.81</v>
      </c>
      <c r="CG28" s="128">
        <v>1.82</v>
      </c>
      <c r="CH28" s="128">
        <v>1.82</v>
      </c>
      <c r="CI28" s="128">
        <v>1.83</v>
      </c>
      <c r="CJ28" s="128">
        <v>1.84</v>
      </c>
      <c r="CK28" s="128">
        <v>1.85</v>
      </c>
      <c r="CL28" s="128">
        <v>1.86</v>
      </c>
      <c r="CM28" s="128">
        <v>1.87</v>
      </c>
      <c r="CN28" s="128">
        <v>1.88</v>
      </c>
      <c r="CO28" s="128">
        <v>1.89</v>
      </c>
      <c r="CP28" s="128">
        <v>1.9</v>
      </c>
      <c r="CQ28" s="128">
        <v>1.91</v>
      </c>
      <c r="CR28" s="128">
        <v>1.93</v>
      </c>
      <c r="CS28" s="128">
        <v>1.94</v>
      </c>
      <c r="CT28" s="128">
        <v>1.95</v>
      </c>
      <c r="CU28" s="128">
        <v>1.96</v>
      </c>
      <c r="CV28" s="128">
        <v>1.97</v>
      </c>
      <c r="CW28" s="128">
        <v>1.99</v>
      </c>
      <c r="CX28" s="128">
        <v>2</v>
      </c>
      <c r="CZ28" s="126">
        <f>SUMIF(MatrixF2[[1]:[2]],MatrixF2[[#This Row],[Столбец1]])/MatrixF2[[#This Row],[Столбец1]]</f>
        <v>101</v>
      </c>
    </row>
    <row r="29" spans="1:104" ht="21" customHeight="1" x14ac:dyDescent="0.25">
      <c r="A29" s="127">
        <v>1.26</v>
      </c>
      <c r="B29" s="128">
        <v>1</v>
      </c>
      <c r="C29" s="128">
        <v>1.01</v>
      </c>
      <c r="D29" s="128">
        <v>1.03</v>
      </c>
      <c r="E29" s="128">
        <v>1.04</v>
      </c>
      <c r="F29" s="128">
        <v>1.05</v>
      </c>
      <c r="G29" s="128">
        <v>1.06</v>
      </c>
      <c r="H29" s="128">
        <v>1.08</v>
      </c>
      <c r="I29" s="128">
        <v>1.0900000000000001</v>
      </c>
      <c r="J29" s="128">
        <v>1.1000000000000001</v>
      </c>
      <c r="K29" s="128">
        <v>1.1100000000000001</v>
      </c>
      <c r="L29" s="128">
        <v>1.1200000000000001</v>
      </c>
      <c r="M29" s="128">
        <v>1.1299999999999999</v>
      </c>
      <c r="N29" s="128">
        <v>1.1399999999999999</v>
      </c>
      <c r="O29" s="128">
        <v>1.1499999999999999</v>
      </c>
      <c r="P29" s="128">
        <v>1.1599999999999999</v>
      </c>
      <c r="Q29" s="128">
        <v>1.17</v>
      </c>
      <c r="R29" s="128">
        <v>1.18</v>
      </c>
      <c r="S29" s="128">
        <v>1.19</v>
      </c>
      <c r="T29" s="128">
        <v>1.2</v>
      </c>
      <c r="U29" s="128">
        <v>1.2</v>
      </c>
      <c r="V29" s="128">
        <v>1.21</v>
      </c>
      <c r="W29" s="128">
        <v>1.22</v>
      </c>
      <c r="X29" s="128">
        <v>1.23</v>
      </c>
      <c r="Y29" s="128">
        <v>1.24</v>
      </c>
      <c r="Z29" s="128">
        <v>1.24</v>
      </c>
      <c r="AA29" s="128">
        <v>1.25</v>
      </c>
      <c r="AB29" s="128">
        <v>1.26</v>
      </c>
      <c r="AC29" s="128">
        <v>1.27</v>
      </c>
      <c r="AD29" s="128">
        <v>1.28</v>
      </c>
      <c r="AE29" s="128">
        <v>1.29</v>
      </c>
      <c r="AF29" s="128">
        <v>1.3</v>
      </c>
      <c r="AG29" s="128">
        <v>1.31</v>
      </c>
      <c r="AH29" s="128">
        <v>1.32</v>
      </c>
      <c r="AI29" s="128">
        <v>1.33</v>
      </c>
      <c r="AJ29" s="128">
        <v>1.34</v>
      </c>
      <c r="AK29" s="128">
        <v>1.35</v>
      </c>
      <c r="AL29" s="128">
        <v>1.36</v>
      </c>
      <c r="AM29" s="128">
        <v>1.37</v>
      </c>
      <c r="AN29" s="128">
        <v>1.38</v>
      </c>
      <c r="AO29" s="128">
        <v>1.39</v>
      </c>
      <c r="AP29" s="128">
        <v>1.4</v>
      </c>
      <c r="AQ29" s="128">
        <v>1.41</v>
      </c>
      <c r="AR29" s="128">
        <v>1.42</v>
      </c>
      <c r="AS29" s="128">
        <v>1.43</v>
      </c>
      <c r="AT29" s="128">
        <v>1.44</v>
      </c>
      <c r="AU29" s="128">
        <v>1.45</v>
      </c>
      <c r="AV29" s="128">
        <v>1.46</v>
      </c>
      <c r="AW29" s="128">
        <v>1.47</v>
      </c>
      <c r="AX29" s="128">
        <v>1.48</v>
      </c>
      <c r="AY29" s="128">
        <v>1.49</v>
      </c>
      <c r="AZ29" s="128">
        <v>1.5</v>
      </c>
      <c r="BA29" s="128">
        <v>1.51</v>
      </c>
      <c r="BB29" s="128">
        <v>1.52</v>
      </c>
      <c r="BC29" s="128">
        <v>1.53</v>
      </c>
      <c r="BD29" s="128">
        <v>1.54</v>
      </c>
      <c r="BE29" s="128">
        <v>1.55</v>
      </c>
      <c r="BF29" s="128">
        <v>1.56</v>
      </c>
      <c r="BG29" s="128">
        <v>1.57</v>
      </c>
      <c r="BH29" s="128">
        <v>1.58</v>
      </c>
      <c r="BI29" s="128">
        <v>1.59</v>
      </c>
      <c r="BJ29" s="128">
        <v>1.6</v>
      </c>
      <c r="BK29" s="128">
        <v>1.61</v>
      </c>
      <c r="BL29" s="128">
        <v>1.62</v>
      </c>
      <c r="BM29" s="128">
        <v>1.63</v>
      </c>
      <c r="BN29" s="128">
        <v>1.64</v>
      </c>
      <c r="BO29" s="128">
        <v>1.65</v>
      </c>
      <c r="BP29" s="128">
        <v>1.66</v>
      </c>
      <c r="BQ29" s="128">
        <v>1.67</v>
      </c>
      <c r="BR29" s="128">
        <v>1.68</v>
      </c>
      <c r="BS29" s="128">
        <v>1.69</v>
      </c>
      <c r="BT29" s="128">
        <v>1.7</v>
      </c>
      <c r="BU29" s="128">
        <v>1.71</v>
      </c>
      <c r="BV29" s="128">
        <v>1.72</v>
      </c>
      <c r="BW29" s="128">
        <v>1.73</v>
      </c>
      <c r="BX29" s="128">
        <v>1.74</v>
      </c>
      <c r="BY29" s="128">
        <v>1.75</v>
      </c>
      <c r="BZ29" s="128">
        <v>1.76</v>
      </c>
      <c r="CA29" s="128">
        <v>1.76</v>
      </c>
      <c r="CB29" s="128">
        <v>1.77</v>
      </c>
      <c r="CC29" s="128">
        <v>1.78</v>
      </c>
      <c r="CD29" s="128">
        <v>1.79</v>
      </c>
      <c r="CE29" s="128">
        <v>1.8</v>
      </c>
      <c r="CF29" s="128">
        <v>1.8</v>
      </c>
      <c r="CG29" s="128">
        <v>1.81</v>
      </c>
      <c r="CH29" s="128">
        <v>1.82</v>
      </c>
      <c r="CI29" s="128">
        <v>1.83</v>
      </c>
      <c r="CJ29" s="128">
        <v>1.84</v>
      </c>
      <c r="CK29" s="128">
        <v>1.85</v>
      </c>
      <c r="CL29" s="128">
        <v>1.86</v>
      </c>
      <c r="CM29" s="128">
        <v>1.87</v>
      </c>
      <c r="CN29" s="128">
        <v>1.88</v>
      </c>
      <c r="CO29" s="128">
        <v>1.89</v>
      </c>
      <c r="CP29" s="128">
        <v>1.9</v>
      </c>
      <c r="CQ29" s="128">
        <v>1.91</v>
      </c>
      <c r="CR29" s="128">
        <v>1.92</v>
      </c>
      <c r="CS29" s="128">
        <v>1.94</v>
      </c>
      <c r="CT29" s="128">
        <v>1.95</v>
      </c>
      <c r="CU29" s="128">
        <v>1.96</v>
      </c>
      <c r="CV29" s="128">
        <v>1.97</v>
      </c>
      <c r="CW29" s="128">
        <v>1.99</v>
      </c>
      <c r="CX29" s="128">
        <v>2</v>
      </c>
      <c r="CZ29" s="126">
        <f>SUMIF(MatrixF2[[1]:[2]],MatrixF2[[#This Row],[Столбец1]])/MatrixF2[[#This Row],[Столбец1]]</f>
        <v>109.00000000000014</v>
      </c>
    </row>
    <row r="30" spans="1:104" ht="21" customHeight="1" x14ac:dyDescent="0.25">
      <c r="A30" s="127">
        <v>1.27</v>
      </c>
      <c r="B30" s="128">
        <v>1</v>
      </c>
      <c r="C30" s="128">
        <v>1.01</v>
      </c>
      <c r="D30" s="128">
        <v>1.03</v>
      </c>
      <c r="E30" s="128">
        <v>1.04</v>
      </c>
      <c r="F30" s="128">
        <v>1.05</v>
      </c>
      <c r="G30" s="128">
        <v>1.06</v>
      </c>
      <c r="H30" s="128">
        <v>1.08</v>
      </c>
      <c r="I30" s="128">
        <v>1.0900000000000001</v>
      </c>
      <c r="J30" s="128">
        <v>1.1000000000000001</v>
      </c>
      <c r="K30" s="128">
        <v>1.1100000000000001</v>
      </c>
      <c r="L30" s="128">
        <v>1.1200000000000001</v>
      </c>
      <c r="M30" s="128">
        <v>1.1299999999999999</v>
      </c>
      <c r="N30" s="128">
        <v>1.1399999999999999</v>
      </c>
      <c r="O30" s="128">
        <v>1.1499999999999999</v>
      </c>
      <c r="P30" s="128">
        <v>1.1599999999999999</v>
      </c>
      <c r="Q30" s="128">
        <v>1.17</v>
      </c>
      <c r="R30" s="128">
        <v>1.18</v>
      </c>
      <c r="S30" s="128">
        <v>1.19</v>
      </c>
      <c r="T30" s="128">
        <v>1.2</v>
      </c>
      <c r="U30" s="128">
        <v>1.21</v>
      </c>
      <c r="V30" s="128">
        <v>1.22</v>
      </c>
      <c r="W30" s="128">
        <v>1.22</v>
      </c>
      <c r="X30" s="128">
        <v>1.23</v>
      </c>
      <c r="Y30" s="128">
        <v>1.24</v>
      </c>
      <c r="Z30" s="128">
        <v>1.25</v>
      </c>
      <c r="AA30" s="128">
        <v>1.26</v>
      </c>
      <c r="AB30" s="128">
        <v>1.26</v>
      </c>
      <c r="AC30" s="128">
        <v>1.27</v>
      </c>
      <c r="AD30" s="128">
        <v>1.28</v>
      </c>
      <c r="AE30" s="128">
        <v>1.29</v>
      </c>
      <c r="AF30" s="128">
        <v>1.3</v>
      </c>
      <c r="AG30" s="128">
        <v>1.31</v>
      </c>
      <c r="AH30" s="128">
        <v>1.32</v>
      </c>
      <c r="AI30" s="128">
        <v>1.33</v>
      </c>
      <c r="AJ30" s="128">
        <v>1.34</v>
      </c>
      <c r="AK30" s="128">
        <v>1.35</v>
      </c>
      <c r="AL30" s="128">
        <v>1.36</v>
      </c>
      <c r="AM30" s="128">
        <v>1.37</v>
      </c>
      <c r="AN30" s="128">
        <v>1.38</v>
      </c>
      <c r="AO30" s="128">
        <v>1.39</v>
      </c>
      <c r="AP30" s="128">
        <v>1.4</v>
      </c>
      <c r="AQ30" s="128">
        <v>1.41</v>
      </c>
      <c r="AR30" s="128">
        <v>1.42</v>
      </c>
      <c r="AS30" s="128">
        <v>1.43</v>
      </c>
      <c r="AT30" s="128">
        <v>1.44</v>
      </c>
      <c r="AU30" s="128">
        <v>1.45</v>
      </c>
      <c r="AV30" s="128">
        <v>1.46</v>
      </c>
      <c r="AW30" s="128">
        <v>1.47</v>
      </c>
      <c r="AX30" s="128">
        <v>1.48</v>
      </c>
      <c r="AY30" s="128">
        <v>1.49</v>
      </c>
      <c r="AZ30" s="128">
        <v>1.5</v>
      </c>
      <c r="BA30" s="128">
        <v>1.51</v>
      </c>
      <c r="BB30" s="128">
        <v>1.52</v>
      </c>
      <c r="BC30" s="128">
        <v>1.53</v>
      </c>
      <c r="BD30" s="128">
        <v>1.54</v>
      </c>
      <c r="BE30" s="128">
        <v>1.55</v>
      </c>
      <c r="BF30" s="128">
        <v>1.56</v>
      </c>
      <c r="BG30" s="128">
        <v>1.57</v>
      </c>
      <c r="BH30" s="128">
        <v>1.58</v>
      </c>
      <c r="BI30" s="128">
        <v>1.59</v>
      </c>
      <c r="BJ30" s="128">
        <v>1.6</v>
      </c>
      <c r="BK30" s="128">
        <v>1.61</v>
      </c>
      <c r="BL30" s="128">
        <v>1.62</v>
      </c>
      <c r="BM30" s="128">
        <v>1.63</v>
      </c>
      <c r="BN30" s="128">
        <v>1.64</v>
      </c>
      <c r="BO30" s="128">
        <v>1.65</v>
      </c>
      <c r="BP30" s="128">
        <v>1.66</v>
      </c>
      <c r="BQ30" s="128">
        <v>1.67</v>
      </c>
      <c r="BR30" s="128">
        <v>1.68</v>
      </c>
      <c r="BS30" s="128">
        <v>1.69</v>
      </c>
      <c r="BT30" s="128">
        <v>1.7</v>
      </c>
      <c r="BU30" s="128">
        <v>1.71</v>
      </c>
      <c r="BV30" s="128">
        <v>1.72</v>
      </c>
      <c r="BW30" s="128">
        <v>1.73</v>
      </c>
      <c r="BX30" s="128">
        <v>1.74</v>
      </c>
      <c r="BY30" s="128">
        <v>1.74</v>
      </c>
      <c r="BZ30" s="128">
        <v>1.75</v>
      </c>
      <c r="CA30" s="128">
        <v>1.76</v>
      </c>
      <c r="CB30" s="128">
        <v>1.77</v>
      </c>
      <c r="CC30" s="128">
        <v>1.78</v>
      </c>
      <c r="CD30" s="128">
        <v>1.78</v>
      </c>
      <c r="CE30" s="128">
        <v>1.79</v>
      </c>
      <c r="CF30" s="128">
        <v>1.8</v>
      </c>
      <c r="CG30" s="128">
        <v>1.81</v>
      </c>
      <c r="CH30" s="128">
        <v>1.82</v>
      </c>
      <c r="CI30" s="128">
        <v>1.83</v>
      </c>
      <c r="CJ30" s="128">
        <v>1.84</v>
      </c>
      <c r="CK30" s="128">
        <v>1.85</v>
      </c>
      <c r="CL30" s="128">
        <v>1.86</v>
      </c>
      <c r="CM30" s="128">
        <v>1.87</v>
      </c>
      <c r="CN30" s="128">
        <v>1.88</v>
      </c>
      <c r="CO30" s="128">
        <v>1.89</v>
      </c>
      <c r="CP30" s="128">
        <v>1.9</v>
      </c>
      <c r="CQ30" s="128">
        <v>1.91</v>
      </c>
      <c r="CR30" s="128">
        <v>1.92</v>
      </c>
      <c r="CS30" s="128">
        <v>1.94</v>
      </c>
      <c r="CT30" s="128">
        <v>1.95</v>
      </c>
      <c r="CU30" s="128">
        <v>1.96</v>
      </c>
      <c r="CV30" s="128">
        <v>1.97</v>
      </c>
      <c r="CW30" s="128">
        <v>1.99</v>
      </c>
      <c r="CX30" s="128">
        <v>2</v>
      </c>
      <c r="CZ30" s="126">
        <f>SUMIF(MatrixF2[[1]:[2]],MatrixF2[[#This Row],[Столбец1]])/MatrixF2[[#This Row],[Столбец1]]</f>
        <v>107.99999999999996</v>
      </c>
    </row>
    <row r="31" spans="1:104" ht="21" customHeight="1" x14ac:dyDescent="0.25">
      <c r="A31" s="127">
        <v>1.28</v>
      </c>
      <c r="B31" s="128">
        <v>1</v>
      </c>
      <c r="C31" s="128">
        <v>1.01</v>
      </c>
      <c r="D31" s="128">
        <v>1.03</v>
      </c>
      <c r="E31" s="128">
        <v>1.04</v>
      </c>
      <c r="F31" s="128">
        <v>1.05</v>
      </c>
      <c r="G31" s="128">
        <v>1.06</v>
      </c>
      <c r="H31" s="128">
        <v>1.08</v>
      </c>
      <c r="I31" s="128">
        <v>1.0900000000000001</v>
      </c>
      <c r="J31" s="128">
        <v>1.1000000000000001</v>
      </c>
      <c r="K31" s="128">
        <v>1.1100000000000001</v>
      </c>
      <c r="L31" s="128">
        <v>1.1200000000000001</v>
      </c>
      <c r="M31" s="128">
        <v>1.1299999999999999</v>
      </c>
      <c r="N31" s="128">
        <v>1.1399999999999999</v>
      </c>
      <c r="O31" s="128">
        <v>1.1499999999999999</v>
      </c>
      <c r="P31" s="128">
        <v>1.1599999999999999</v>
      </c>
      <c r="Q31" s="128">
        <v>1.17</v>
      </c>
      <c r="R31" s="128">
        <v>1.18</v>
      </c>
      <c r="S31" s="128">
        <v>1.19</v>
      </c>
      <c r="T31" s="128">
        <v>1.2</v>
      </c>
      <c r="U31" s="128">
        <v>1.21</v>
      </c>
      <c r="V31" s="128">
        <v>1.22</v>
      </c>
      <c r="W31" s="128">
        <v>1.23</v>
      </c>
      <c r="X31" s="128">
        <v>1.23</v>
      </c>
      <c r="Y31" s="128">
        <v>1.24</v>
      </c>
      <c r="Z31" s="128">
        <v>1.25</v>
      </c>
      <c r="AA31" s="128">
        <v>1.26</v>
      </c>
      <c r="AB31" s="128">
        <v>1.27</v>
      </c>
      <c r="AC31" s="128">
        <v>1.27</v>
      </c>
      <c r="AD31" s="128">
        <v>1.28</v>
      </c>
      <c r="AE31" s="128">
        <v>1.29</v>
      </c>
      <c r="AF31" s="128">
        <v>1.3</v>
      </c>
      <c r="AG31" s="128">
        <v>1.31</v>
      </c>
      <c r="AH31" s="128">
        <v>1.32</v>
      </c>
      <c r="AI31" s="128">
        <v>1.33</v>
      </c>
      <c r="AJ31" s="128">
        <v>1.34</v>
      </c>
      <c r="AK31" s="128">
        <v>1.35</v>
      </c>
      <c r="AL31" s="128">
        <v>1.36</v>
      </c>
      <c r="AM31" s="128">
        <v>1.37</v>
      </c>
      <c r="AN31" s="128">
        <v>1.38</v>
      </c>
      <c r="AO31" s="128">
        <v>1.39</v>
      </c>
      <c r="AP31" s="128">
        <v>1.4</v>
      </c>
      <c r="AQ31" s="128">
        <v>1.41</v>
      </c>
      <c r="AR31" s="128">
        <v>1.42</v>
      </c>
      <c r="AS31" s="128">
        <v>1.43</v>
      </c>
      <c r="AT31" s="128">
        <v>1.44</v>
      </c>
      <c r="AU31" s="128">
        <v>1.45</v>
      </c>
      <c r="AV31" s="128">
        <v>1.46</v>
      </c>
      <c r="AW31" s="128">
        <v>1.47</v>
      </c>
      <c r="AX31" s="128">
        <v>1.48</v>
      </c>
      <c r="AY31" s="128">
        <v>1.49</v>
      </c>
      <c r="AZ31" s="128">
        <v>1.5</v>
      </c>
      <c r="BA31" s="128">
        <v>1.51</v>
      </c>
      <c r="BB31" s="128">
        <v>1.52</v>
      </c>
      <c r="BC31" s="128">
        <v>1.53</v>
      </c>
      <c r="BD31" s="128">
        <v>1.54</v>
      </c>
      <c r="BE31" s="128">
        <v>1.55</v>
      </c>
      <c r="BF31" s="128">
        <v>1.56</v>
      </c>
      <c r="BG31" s="128">
        <v>1.57</v>
      </c>
      <c r="BH31" s="128">
        <v>1.58</v>
      </c>
      <c r="BI31" s="128">
        <v>1.59</v>
      </c>
      <c r="BJ31" s="128">
        <v>1.6</v>
      </c>
      <c r="BK31" s="128">
        <v>1.61</v>
      </c>
      <c r="BL31" s="128">
        <v>1.62</v>
      </c>
      <c r="BM31" s="128">
        <v>1.63</v>
      </c>
      <c r="BN31" s="128">
        <v>1.64</v>
      </c>
      <c r="BO31" s="128">
        <v>1.65</v>
      </c>
      <c r="BP31" s="128">
        <v>1.66</v>
      </c>
      <c r="BQ31" s="128">
        <v>1.67</v>
      </c>
      <c r="BR31" s="128">
        <v>1.68</v>
      </c>
      <c r="BS31" s="128">
        <v>1.69</v>
      </c>
      <c r="BT31" s="128">
        <v>1.7</v>
      </c>
      <c r="BU31" s="128">
        <v>1.71</v>
      </c>
      <c r="BV31" s="128">
        <v>1.72</v>
      </c>
      <c r="BW31" s="128">
        <v>1.73</v>
      </c>
      <c r="BX31" s="128">
        <v>1.73</v>
      </c>
      <c r="BY31" s="128">
        <v>1.74</v>
      </c>
      <c r="BZ31" s="128">
        <v>1.75</v>
      </c>
      <c r="CA31" s="128">
        <v>1.76</v>
      </c>
      <c r="CB31" s="128">
        <v>1.77</v>
      </c>
      <c r="CC31" s="128">
        <v>1.77</v>
      </c>
      <c r="CD31" s="128">
        <v>1.78</v>
      </c>
      <c r="CE31" s="128">
        <v>1.79</v>
      </c>
      <c r="CF31" s="128">
        <v>1.8</v>
      </c>
      <c r="CG31" s="128">
        <v>1.81</v>
      </c>
      <c r="CH31" s="128">
        <v>1.82</v>
      </c>
      <c r="CI31" s="128">
        <v>1.83</v>
      </c>
      <c r="CJ31" s="128">
        <v>1.84</v>
      </c>
      <c r="CK31" s="128">
        <v>1.85</v>
      </c>
      <c r="CL31" s="128">
        <v>1.86</v>
      </c>
      <c r="CM31" s="128">
        <v>1.87</v>
      </c>
      <c r="CN31" s="128">
        <v>1.88</v>
      </c>
      <c r="CO31" s="128">
        <v>1.89</v>
      </c>
      <c r="CP31" s="128">
        <v>1.9</v>
      </c>
      <c r="CQ31" s="128">
        <v>1.91</v>
      </c>
      <c r="CR31" s="128">
        <v>1.92</v>
      </c>
      <c r="CS31" s="128">
        <v>1.94</v>
      </c>
      <c r="CT31" s="128">
        <v>1.95</v>
      </c>
      <c r="CU31" s="128">
        <v>1.96</v>
      </c>
      <c r="CV31" s="128">
        <v>1.97</v>
      </c>
      <c r="CW31" s="128">
        <v>1.99</v>
      </c>
      <c r="CX31" s="128">
        <v>2</v>
      </c>
      <c r="CZ31" s="126">
        <f>SUMIF(MatrixF2[[1]:[2]],MatrixF2[[#This Row],[Столбец1]])/MatrixF2[[#This Row],[Столбец1]]</f>
        <v>109.00000000000007</v>
      </c>
    </row>
    <row r="32" spans="1:104" ht="21" customHeight="1" x14ac:dyDescent="0.25">
      <c r="A32" s="127">
        <v>1.29</v>
      </c>
      <c r="B32" s="128">
        <v>1</v>
      </c>
      <c r="C32" s="128">
        <v>1.01</v>
      </c>
      <c r="D32" s="128">
        <v>1.03</v>
      </c>
      <c r="E32" s="128">
        <v>1.04</v>
      </c>
      <c r="F32" s="128">
        <v>1.05</v>
      </c>
      <c r="G32" s="128">
        <v>1.07</v>
      </c>
      <c r="H32" s="128">
        <v>1.08</v>
      </c>
      <c r="I32" s="128">
        <v>1.0900000000000001</v>
      </c>
      <c r="J32" s="128">
        <v>1.1000000000000001</v>
      </c>
      <c r="K32" s="128">
        <v>1.1100000000000001</v>
      </c>
      <c r="L32" s="128">
        <v>1.1200000000000001</v>
      </c>
      <c r="M32" s="128">
        <v>1.1299999999999999</v>
      </c>
      <c r="N32" s="128">
        <v>1.1399999999999999</v>
      </c>
      <c r="O32" s="128">
        <v>1.1499999999999999</v>
      </c>
      <c r="P32" s="128">
        <v>1.1599999999999999</v>
      </c>
      <c r="Q32" s="128">
        <v>1.17</v>
      </c>
      <c r="R32" s="128">
        <v>1.18</v>
      </c>
      <c r="S32" s="128">
        <v>1.19</v>
      </c>
      <c r="T32" s="128">
        <v>1.2</v>
      </c>
      <c r="U32" s="128">
        <v>1.21</v>
      </c>
      <c r="V32" s="128">
        <v>1.22</v>
      </c>
      <c r="W32" s="128">
        <v>1.23</v>
      </c>
      <c r="X32" s="128">
        <v>1.24</v>
      </c>
      <c r="Y32" s="128">
        <v>1.24</v>
      </c>
      <c r="Z32" s="128">
        <v>1.25</v>
      </c>
      <c r="AA32" s="128">
        <v>1.26</v>
      </c>
      <c r="AB32" s="128">
        <v>1.27</v>
      </c>
      <c r="AC32" s="128">
        <v>1.28</v>
      </c>
      <c r="AD32" s="128">
        <v>1.28</v>
      </c>
      <c r="AE32" s="128">
        <v>1.29</v>
      </c>
      <c r="AF32" s="128">
        <v>1.3</v>
      </c>
      <c r="AG32" s="128">
        <v>1.31</v>
      </c>
      <c r="AH32" s="128">
        <v>1.32</v>
      </c>
      <c r="AI32" s="128">
        <v>1.33</v>
      </c>
      <c r="AJ32" s="128">
        <v>1.34</v>
      </c>
      <c r="AK32" s="128">
        <v>1.35</v>
      </c>
      <c r="AL32" s="128">
        <v>1.36</v>
      </c>
      <c r="AM32" s="128">
        <v>1.37</v>
      </c>
      <c r="AN32" s="128">
        <v>1.38</v>
      </c>
      <c r="AO32" s="128">
        <v>1.39</v>
      </c>
      <c r="AP32" s="128">
        <v>1.4</v>
      </c>
      <c r="AQ32" s="128">
        <v>1.41</v>
      </c>
      <c r="AR32" s="128">
        <v>1.42</v>
      </c>
      <c r="AS32" s="128">
        <v>1.43</v>
      </c>
      <c r="AT32" s="128">
        <v>1.44</v>
      </c>
      <c r="AU32" s="128">
        <v>1.45</v>
      </c>
      <c r="AV32" s="128">
        <v>1.46</v>
      </c>
      <c r="AW32" s="128">
        <v>1.47</v>
      </c>
      <c r="AX32" s="128">
        <v>1.48</v>
      </c>
      <c r="AY32" s="128">
        <v>1.49</v>
      </c>
      <c r="AZ32" s="128">
        <v>1.5</v>
      </c>
      <c r="BA32" s="128">
        <v>1.51</v>
      </c>
      <c r="BB32" s="128">
        <v>1.52</v>
      </c>
      <c r="BC32" s="128">
        <v>1.53</v>
      </c>
      <c r="BD32" s="128">
        <v>1.54</v>
      </c>
      <c r="BE32" s="128">
        <v>1.55</v>
      </c>
      <c r="BF32" s="128">
        <v>1.56</v>
      </c>
      <c r="BG32" s="128">
        <v>1.57</v>
      </c>
      <c r="BH32" s="128">
        <v>1.58</v>
      </c>
      <c r="BI32" s="128">
        <v>1.59</v>
      </c>
      <c r="BJ32" s="128">
        <v>1.6</v>
      </c>
      <c r="BK32" s="128">
        <v>1.61</v>
      </c>
      <c r="BL32" s="128">
        <v>1.62</v>
      </c>
      <c r="BM32" s="128">
        <v>1.63</v>
      </c>
      <c r="BN32" s="128">
        <v>1.64</v>
      </c>
      <c r="BO32" s="128">
        <v>1.65</v>
      </c>
      <c r="BP32" s="128">
        <v>1.66</v>
      </c>
      <c r="BQ32" s="128">
        <v>1.67</v>
      </c>
      <c r="BR32" s="128">
        <v>1.68</v>
      </c>
      <c r="BS32" s="128">
        <v>1.69</v>
      </c>
      <c r="BT32" s="128">
        <v>1.7</v>
      </c>
      <c r="BU32" s="128">
        <v>1.71</v>
      </c>
      <c r="BV32" s="128">
        <v>1.72</v>
      </c>
      <c r="BW32" s="128">
        <v>1.72</v>
      </c>
      <c r="BX32" s="128">
        <v>1.73</v>
      </c>
      <c r="BY32" s="128">
        <v>1.74</v>
      </c>
      <c r="BZ32" s="128">
        <v>1.75</v>
      </c>
      <c r="CA32" s="128">
        <v>1.76</v>
      </c>
      <c r="CB32" s="128">
        <v>1.76</v>
      </c>
      <c r="CC32" s="128">
        <v>1.77</v>
      </c>
      <c r="CD32" s="128">
        <v>1.78</v>
      </c>
      <c r="CE32" s="128">
        <v>1.79</v>
      </c>
      <c r="CF32" s="128">
        <v>1.8</v>
      </c>
      <c r="CG32" s="128">
        <v>1.81</v>
      </c>
      <c r="CH32" s="128">
        <v>1.82</v>
      </c>
      <c r="CI32" s="128">
        <v>1.83</v>
      </c>
      <c r="CJ32" s="128">
        <v>1.84</v>
      </c>
      <c r="CK32" s="128">
        <v>1.85</v>
      </c>
      <c r="CL32" s="128">
        <v>1.86</v>
      </c>
      <c r="CM32" s="128">
        <v>1.87</v>
      </c>
      <c r="CN32" s="128">
        <v>1.88</v>
      </c>
      <c r="CO32" s="128">
        <v>1.89</v>
      </c>
      <c r="CP32" s="128">
        <v>1.9</v>
      </c>
      <c r="CQ32" s="128">
        <v>1.91</v>
      </c>
      <c r="CR32" s="128">
        <v>1.92</v>
      </c>
      <c r="CS32" s="128">
        <v>1.93</v>
      </c>
      <c r="CT32" s="128">
        <v>1.95</v>
      </c>
      <c r="CU32" s="128">
        <v>1.96</v>
      </c>
      <c r="CV32" s="128">
        <v>1.97</v>
      </c>
      <c r="CW32" s="128">
        <v>1.99</v>
      </c>
      <c r="CX32" s="128">
        <v>2</v>
      </c>
      <c r="CZ32" s="126">
        <f>SUMIF(MatrixF2[[1]:[2]],MatrixF2[[#This Row],[Столбец1]])/MatrixF2[[#This Row],[Столбец1]]</f>
        <v>111.00000000000016</v>
      </c>
    </row>
    <row r="33" spans="1:104" ht="21" customHeight="1" x14ac:dyDescent="0.25">
      <c r="A33" s="127">
        <v>1.3</v>
      </c>
      <c r="B33" s="128">
        <v>1</v>
      </c>
      <c r="C33" s="128">
        <v>1.01</v>
      </c>
      <c r="D33" s="128">
        <v>1.03</v>
      </c>
      <c r="E33" s="128">
        <v>1.04</v>
      </c>
      <c r="F33" s="128">
        <v>1.05</v>
      </c>
      <c r="G33" s="128">
        <v>1.07</v>
      </c>
      <c r="H33" s="128">
        <v>1.08</v>
      </c>
      <c r="I33" s="128">
        <v>1.0900000000000001</v>
      </c>
      <c r="J33" s="128">
        <v>1.1000000000000001</v>
      </c>
      <c r="K33" s="128">
        <v>1.1100000000000001</v>
      </c>
      <c r="L33" s="128">
        <v>1.1200000000000001</v>
      </c>
      <c r="M33" s="128">
        <v>1.1399999999999999</v>
      </c>
      <c r="N33" s="128">
        <v>1.1499999999999999</v>
      </c>
      <c r="O33" s="128">
        <v>1.1599999999999999</v>
      </c>
      <c r="P33" s="128">
        <v>1.17</v>
      </c>
      <c r="Q33" s="128">
        <v>1.18</v>
      </c>
      <c r="R33" s="128">
        <v>1.19</v>
      </c>
      <c r="S33" s="128">
        <v>1.2</v>
      </c>
      <c r="T33" s="128">
        <v>1.2</v>
      </c>
      <c r="U33" s="128">
        <v>1.21</v>
      </c>
      <c r="V33" s="128">
        <v>1.22</v>
      </c>
      <c r="W33" s="128">
        <v>1.23</v>
      </c>
      <c r="X33" s="128">
        <v>1.24</v>
      </c>
      <c r="Y33" s="128">
        <v>1.25</v>
      </c>
      <c r="Z33" s="128">
        <v>1.26</v>
      </c>
      <c r="AA33" s="128">
        <v>1.26</v>
      </c>
      <c r="AB33" s="128">
        <v>1.27</v>
      </c>
      <c r="AC33" s="128">
        <v>1.28</v>
      </c>
      <c r="AD33" s="128">
        <v>1.29</v>
      </c>
      <c r="AE33" s="128">
        <v>1.29</v>
      </c>
      <c r="AF33" s="128">
        <v>1.3</v>
      </c>
      <c r="AG33" s="128">
        <v>1.31</v>
      </c>
      <c r="AH33" s="128">
        <v>1.32</v>
      </c>
      <c r="AI33" s="128">
        <v>1.33</v>
      </c>
      <c r="AJ33" s="128">
        <v>1.34</v>
      </c>
      <c r="AK33" s="128">
        <v>1.35</v>
      </c>
      <c r="AL33" s="128">
        <v>1.36</v>
      </c>
      <c r="AM33" s="128">
        <v>1.37</v>
      </c>
      <c r="AN33" s="128">
        <v>1.38</v>
      </c>
      <c r="AO33" s="128">
        <v>1.39</v>
      </c>
      <c r="AP33" s="128">
        <v>1.4</v>
      </c>
      <c r="AQ33" s="128">
        <v>1.41</v>
      </c>
      <c r="AR33" s="128">
        <v>1.42</v>
      </c>
      <c r="AS33" s="128">
        <v>1.43</v>
      </c>
      <c r="AT33" s="128">
        <v>1.44</v>
      </c>
      <c r="AU33" s="128">
        <v>1.45</v>
      </c>
      <c r="AV33" s="128">
        <v>1.46</v>
      </c>
      <c r="AW33" s="128">
        <v>1.47</v>
      </c>
      <c r="AX33" s="128">
        <v>1.48</v>
      </c>
      <c r="AY33" s="128">
        <v>1.49</v>
      </c>
      <c r="AZ33" s="128">
        <v>1.5</v>
      </c>
      <c r="BA33" s="128">
        <v>1.51</v>
      </c>
      <c r="BB33" s="128">
        <v>1.52</v>
      </c>
      <c r="BC33" s="128">
        <v>1.53</v>
      </c>
      <c r="BD33" s="128">
        <v>1.54</v>
      </c>
      <c r="BE33" s="128">
        <v>1.55</v>
      </c>
      <c r="BF33" s="128">
        <v>1.56</v>
      </c>
      <c r="BG33" s="128">
        <v>1.57</v>
      </c>
      <c r="BH33" s="128">
        <v>1.58</v>
      </c>
      <c r="BI33" s="128">
        <v>1.59</v>
      </c>
      <c r="BJ33" s="128">
        <v>1.6</v>
      </c>
      <c r="BK33" s="128">
        <v>1.61</v>
      </c>
      <c r="BL33" s="128">
        <v>1.62</v>
      </c>
      <c r="BM33" s="128">
        <v>1.63</v>
      </c>
      <c r="BN33" s="128">
        <v>1.64</v>
      </c>
      <c r="BO33" s="128">
        <v>1.65</v>
      </c>
      <c r="BP33" s="128">
        <v>1.66</v>
      </c>
      <c r="BQ33" s="128">
        <v>1.67</v>
      </c>
      <c r="BR33" s="128">
        <v>1.68</v>
      </c>
      <c r="BS33" s="128">
        <v>1.69</v>
      </c>
      <c r="BT33" s="128">
        <v>1.7</v>
      </c>
      <c r="BU33" s="128">
        <v>1.71</v>
      </c>
      <c r="BV33" s="128">
        <v>1.71</v>
      </c>
      <c r="BW33" s="128">
        <v>1.72</v>
      </c>
      <c r="BX33" s="128">
        <v>1.73</v>
      </c>
      <c r="BY33" s="128">
        <v>1.74</v>
      </c>
      <c r="BZ33" s="128">
        <v>1.74</v>
      </c>
      <c r="CA33" s="128">
        <v>1.75</v>
      </c>
      <c r="CB33" s="128">
        <v>1.76</v>
      </c>
      <c r="CC33" s="128">
        <v>1.77</v>
      </c>
      <c r="CD33" s="128">
        <v>1.78</v>
      </c>
      <c r="CE33" s="128">
        <v>1.79</v>
      </c>
      <c r="CF33" s="128">
        <v>1.8</v>
      </c>
      <c r="CG33" s="128">
        <v>1.8</v>
      </c>
      <c r="CH33" s="128">
        <v>1.81</v>
      </c>
      <c r="CI33" s="128">
        <v>1.82</v>
      </c>
      <c r="CJ33" s="128">
        <v>1.83</v>
      </c>
      <c r="CK33" s="128">
        <v>1.84</v>
      </c>
      <c r="CL33" s="128">
        <v>1.85</v>
      </c>
      <c r="CM33" s="128">
        <v>1.86</v>
      </c>
      <c r="CN33" s="128">
        <v>1.88</v>
      </c>
      <c r="CO33" s="128">
        <v>1.89</v>
      </c>
      <c r="CP33" s="128">
        <v>1.9</v>
      </c>
      <c r="CQ33" s="128">
        <v>1.91</v>
      </c>
      <c r="CR33" s="128">
        <v>1.92</v>
      </c>
      <c r="CS33" s="128">
        <v>1.93</v>
      </c>
      <c r="CT33" s="128">
        <v>1.95</v>
      </c>
      <c r="CU33" s="128">
        <v>1.96</v>
      </c>
      <c r="CV33" s="128">
        <v>1.97</v>
      </c>
      <c r="CW33" s="128">
        <v>1.99</v>
      </c>
      <c r="CX33" s="128">
        <v>2</v>
      </c>
      <c r="CZ33" s="126">
        <f>SUMIF(MatrixF2[[1]:[2]],MatrixF2[[#This Row],[Столбец1]])/MatrixF2[[#This Row],[Столбец1]]</f>
        <v>108.99999999999994</v>
      </c>
    </row>
    <row r="34" spans="1:104" ht="21" customHeight="1" x14ac:dyDescent="0.25">
      <c r="A34" s="127">
        <v>1.31</v>
      </c>
      <c r="B34" s="128">
        <v>1</v>
      </c>
      <c r="C34" s="128">
        <v>1.01</v>
      </c>
      <c r="D34" s="128">
        <v>1.03</v>
      </c>
      <c r="E34" s="128">
        <v>1.04</v>
      </c>
      <c r="F34" s="128">
        <v>1.05</v>
      </c>
      <c r="G34" s="128">
        <v>1.07</v>
      </c>
      <c r="H34" s="128">
        <v>1.08</v>
      </c>
      <c r="I34" s="128">
        <v>1.0900000000000001</v>
      </c>
      <c r="J34" s="128">
        <v>1.1000000000000001</v>
      </c>
      <c r="K34" s="128">
        <v>1.1200000000000001</v>
      </c>
      <c r="L34" s="128">
        <v>1.1299999999999999</v>
      </c>
      <c r="M34" s="128">
        <v>1.1399999999999999</v>
      </c>
      <c r="N34" s="128">
        <v>1.1499999999999999</v>
      </c>
      <c r="O34" s="128">
        <v>1.1599999999999999</v>
      </c>
      <c r="P34" s="128">
        <v>1.17</v>
      </c>
      <c r="Q34" s="128">
        <v>1.18</v>
      </c>
      <c r="R34" s="128">
        <v>1.19</v>
      </c>
      <c r="S34" s="128">
        <v>1.2</v>
      </c>
      <c r="T34" s="128">
        <v>1.21</v>
      </c>
      <c r="U34" s="128">
        <v>1.22</v>
      </c>
      <c r="V34" s="128">
        <v>1.22</v>
      </c>
      <c r="W34" s="128">
        <v>1.23</v>
      </c>
      <c r="X34" s="128">
        <v>1.24</v>
      </c>
      <c r="Y34" s="128">
        <v>1.25</v>
      </c>
      <c r="Z34" s="128">
        <v>1.26</v>
      </c>
      <c r="AA34" s="128">
        <v>1.27</v>
      </c>
      <c r="AB34" s="128">
        <v>1.27</v>
      </c>
      <c r="AC34" s="128">
        <v>1.28</v>
      </c>
      <c r="AD34" s="128">
        <v>1.29</v>
      </c>
      <c r="AE34" s="128">
        <v>1.3</v>
      </c>
      <c r="AF34" s="128">
        <v>1.3</v>
      </c>
      <c r="AG34" s="128">
        <v>1.31</v>
      </c>
      <c r="AH34" s="128">
        <v>1.32</v>
      </c>
      <c r="AI34" s="128">
        <v>1.33</v>
      </c>
      <c r="AJ34" s="128">
        <v>1.34</v>
      </c>
      <c r="AK34" s="128">
        <v>1.35</v>
      </c>
      <c r="AL34" s="128">
        <v>1.36</v>
      </c>
      <c r="AM34" s="128">
        <v>1.37</v>
      </c>
      <c r="AN34" s="128">
        <v>1.38</v>
      </c>
      <c r="AO34" s="128">
        <v>1.39</v>
      </c>
      <c r="AP34" s="128">
        <v>1.4</v>
      </c>
      <c r="AQ34" s="128">
        <v>1.41</v>
      </c>
      <c r="AR34" s="128">
        <v>1.42</v>
      </c>
      <c r="AS34" s="128">
        <v>1.43</v>
      </c>
      <c r="AT34" s="128">
        <v>1.44</v>
      </c>
      <c r="AU34" s="128">
        <v>1.45</v>
      </c>
      <c r="AV34" s="128">
        <v>1.46</v>
      </c>
      <c r="AW34" s="128">
        <v>1.47</v>
      </c>
      <c r="AX34" s="128">
        <v>1.48</v>
      </c>
      <c r="AY34" s="128">
        <v>1.49</v>
      </c>
      <c r="AZ34" s="128">
        <v>1.5</v>
      </c>
      <c r="BA34" s="128">
        <v>1.51</v>
      </c>
      <c r="BB34" s="128">
        <v>1.52</v>
      </c>
      <c r="BC34" s="128">
        <v>1.53</v>
      </c>
      <c r="BD34" s="128">
        <v>1.54</v>
      </c>
      <c r="BE34" s="128">
        <v>1.55</v>
      </c>
      <c r="BF34" s="128">
        <v>1.56</v>
      </c>
      <c r="BG34" s="128">
        <v>1.57</v>
      </c>
      <c r="BH34" s="128">
        <v>1.58</v>
      </c>
      <c r="BI34" s="128">
        <v>1.59</v>
      </c>
      <c r="BJ34" s="128">
        <v>1.6</v>
      </c>
      <c r="BK34" s="128">
        <v>1.61</v>
      </c>
      <c r="BL34" s="128">
        <v>1.62</v>
      </c>
      <c r="BM34" s="128">
        <v>1.63</v>
      </c>
      <c r="BN34" s="128">
        <v>1.64</v>
      </c>
      <c r="BO34" s="128">
        <v>1.65</v>
      </c>
      <c r="BP34" s="128">
        <v>1.66</v>
      </c>
      <c r="BQ34" s="128">
        <v>1.67</v>
      </c>
      <c r="BR34" s="128">
        <v>1.68</v>
      </c>
      <c r="BS34" s="128">
        <v>1.69</v>
      </c>
      <c r="BT34" s="128">
        <v>1.7</v>
      </c>
      <c r="BU34" s="128">
        <v>1.7</v>
      </c>
      <c r="BV34" s="128">
        <v>1.71</v>
      </c>
      <c r="BW34" s="128">
        <v>1.72</v>
      </c>
      <c r="BX34" s="128">
        <v>1.73</v>
      </c>
      <c r="BY34" s="128">
        <v>1.73</v>
      </c>
      <c r="BZ34" s="128">
        <v>1.74</v>
      </c>
      <c r="CA34" s="128">
        <v>1.75</v>
      </c>
      <c r="CB34" s="128">
        <v>1.76</v>
      </c>
      <c r="CC34" s="128">
        <v>1.77</v>
      </c>
      <c r="CD34" s="128">
        <v>1.78</v>
      </c>
      <c r="CE34" s="128">
        <v>1.78</v>
      </c>
      <c r="CF34" s="128">
        <v>1.79</v>
      </c>
      <c r="CG34" s="128">
        <v>1.8</v>
      </c>
      <c r="CH34" s="128">
        <v>1.81</v>
      </c>
      <c r="CI34" s="128">
        <v>1.82</v>
      </c>
      <c r="CJ34" s="128">
        <v>1.83</v>
      </c>
      <c r="CK34" s="128">
        <v>1.84</v>
      </c>
      <c r="CL34" s="128">
        <v>1.85</v>
      </c>
      <c r="CM34" s="128">
        <v>1.86</v>
      </c>
      <c r="CN34" s="128">
        <v>1.87</v>
      </c>
      <c r="CO34" s="128">
        <v>1.88</v>
      </c>
      <c r="CP34" s="128">
        <v>1.9</v>
      </c>
      <c r="CQ34" s="128">
        <v>1.91</v>
      </c>
      <c r="CR34" s="128">
        <v>1.92</v>
      </c>
      <c r="CS34" s="128">
        <v>1.93</v>
      </c>
      <c r="CT34" s="128">
        <v>1.95</v>
      </c>
      <c r="CU34" s="128">
        <v>1.96</v>
      </c>
      <c r="CV34" s="128">
        <v>1.97</v>
      </c>
      <c r="CW34" s="128">
        <v>1.99</v>
      </c>
      <c r="CX34" s="128">
        <v>2</v>
      </c>
      <c r="CZ34" s="126">
        <f>SUMIF(MatrixF2[[1]:[2]],MatrixF2[[#This Row],[Столбец1]])/MatrixF2[[#This Row],[Столбец1]]</f>
        <v>109.00000000000011</v>
      </c>
    </row>
    <row r="35" spans="1:104" ht="21" customHeight="1" x14ac:dyDescent="0.25">
      <c r="A35" s="127">
        <v>1.32</v>
      </c>
      <c r="B35" s="128">
        <v>1</v>
      </c>
      <c r="C35" s="128">
        <v>1.01</v>
      </c>
      <c r="D35" s="128">
        <v>1.03</v>
      </c>
      <c r="E35" s="128">
        <v>1.04</v>
      </c>
      <c r="F35" s="128">
        <v>1.06</v>
      </c>
      <c r="G35" s="128">
        <v>1.07</v>
      </c>
      <c r="H35" s="128">
        <v>1.08</v>
      </c>
      <c r="I35" s="128">
        <v>1.0900000000000001</v>
      </c>
      <c r="J35" s="128">
        <v>1.1100000000000001</v>
      </c>
      <c r="K35" s="128">
        <v>1.1200000000000001</v>
      </c>
      <c r="L35" s="128">
        <v>1.1299999999999999</v>
      </c>
      <c r="M35" s="128">
        <v>1.1399999999999999</v>
      </c>
      <c r="N35" s="128">
        <v>1.1499999999999999</v>
      </c>
      <c r="O35" s="128">
        <v>1.1599999999999999</v>
      </c>
      <c r="P35" s="128">
        <v>1.17</v>
      </c>
      <c r="Q35" s="128">
        <v>1.18</v>
      </c>
      <c r="R35" s="128">
        <v>1.19</v>
      </c>
      <c r="S35" s="128">
        <v>1.2</v>
      </c>
      <c r="T35" s="128">
        <v>1.21</v>
      </c>
      <c r="U35" s="128">
        <v>1.22</v>
      </c>
      <c r="V35" s="128">
        <v>1.23</v>
      </c>
      <c r="W35" s="128">
        <v>1.24</v>
      </c>
      <c r="X35" s="128">
        <v>1.24</v>
      </c>
      <c r="Y35" s="128">
        <v>1.25</v>
      </c>
      <c r="Z35" s="128">
        <v>1.26</v>
      </c>
      <c r="AA35" s="128">
        <v>1.27</v>
      </c>
      <c r="AB35" s="128">
        <v>1.28</v>
      </c>
      <c r="AC35" s="128">
        <v>1.28</v>
      </c>
      <c r="AD35" s="128">
        <v>1.29</v>
      </c>
      <c r="AE35" s="128">
        <v>1.3</v>
      </c>
      <c r="AF35" s="128">
        <v>1.31</v>
      </c>
      <c r="AG35" s="128">
        <v>1.31</v>
      </c>
      <c r="AH35" s="128">
        <v>1.32</v>
      </c>
      <c r="AI35" s="128">
        <v>1.33</v>
      </c>
      <c r="AJ35" s="128">
        <v>1.34</v>
      </c>
      <c r="AK35" s="128">
        <v>1.35</v>
      </c>
      <c r="AL35" s="128">
        <v>1.36</v>
      </c>
      <c r="AM35" s="128">
        <v>1.37</v>
      </c>
      <c r="AN35" s="128">
        <v>1.38</v>
      </c>
      <c r="AO35" s="128">
        <v>1.39</v>
      </c>
      <c r="AP35" s="128">
        <v>1.4</v>
      </c>
      <c r="AQ35" s="128">
        <v>1.41</v>
      </c>
      <c r="AR35" s="128">
        <v>1.42</v>
      </c>
      <c r="AS35" s="128">
        <v>1.43</v>
      </c>
      <c r="AT35" s="128">
        <v>1.44</v>
      </c>
      <c r="AU35" s="128">
        <v>1.45</v>
      </c>
      <c r="AV35" s="128">
        <v>1.46</v>
      </c>
      <c r="AW35" s="128">
        <v>1.47</v>
      </c>
      <c r="AX35" s="128">
        <v>1.48</v>
      </c>
      <c r="AY35" s="128">
        <v>1.49</v>
      </c>
      <c r="AZ35" s="128">
        <v>1.5</v>
      </c>
      <c r="BA35" s="128">
        <v>1.51</v>
      </c>
      <c r="BB35" s="128">
        <v>1.52</v>
      </c>
      <c r="BC35" s="128">
        <v>1.53</v>
      </c>
      <c r="BD35" s="128">
        <v>1.54</v>
      </c>
      <c r="BE35" s="128">
        <v>1.55</v>
      </c>
      <c r="BF35" s="128">
        <v>1.56</v>
      </c>
      <c r="BG35" s="128">
        <v>1.57</v>
      </c>
      <c r="BH35" s="128">
        <v>1.58</v>
      </c>
      <c r="BI35" s="128">
        <v>1.59</v>
      </c>
      <c r="BJ35" s="128">
        <v>1.6</v>
      </c>
      <c r="BK35" s="128">
        <v>1.61</v>
      </c>
      <c r="BL35" s="128">
        <v>1.62</v>
      </c>
      <c r="BM35" s="128">
        <v>1.63</v>
      </c>
      <c r="BN35" s="128">
        <v>1.64</v>
      </c>
      <c r="BO35" s="128">
        <v>1.65</v>
      </c>
      <c r="BP35" s="128">
        <v>1.66</v>
      </c>
      <c r="BQ35" s="128">
        <v>1.67</v>
      </c>
      <c r="BR35" s="128">
        <v>1.68</v>
      </c>
      <c r="BS35" s="128">
        <v>1.69</v>
      </c>
      <c r="BT35" s="128">
        <v>1.69</v>
      </c>
      <c r="BU35" s="128">
        <v>1.7</v>
      </c>
      <c r="BV35" s="128">
        <v>1.71</v>
      </c>
      <c r="BW35" s="128">
        <v>1.72</v>
      </c>
      <c r="BX35" s="128">
        <v>1.72</v>
      </c>
      <c r="BY35" s="128">
        <v>1.73</v>
      </c>
      <c r="BZ35" s="128">
        <v>1.74</v>
      </c>
      <c r="CA35" s="128">
        <v>1.75</v>
      </c>
      <c r="CB35" s="128">
        <v>1.76</v>
      </c>
      <c r="CC35" s="128">
        <v>1.76</v>
      </c>
      <c r="CD35" s="128">
        <v>1.77</v>
      </c>
      <c r="CE35" s="128">
        <v>1.78</v>
      </c>
      <c r="CF35" s="128">
        <v>1.79</v>
      </c>
      <c r="CG35" s="128">
        <v>1.8</v>
      </c>
      <c r="CH35" s="128">
        <v>1.81</v>
      </c>
      <c r="CI35" s="128">
        <v>1.82</v>
      </c>
      <c r="CJ35" s="128">
        <v>1.83</v>
      </c>
      <c r="CK35" s="128">
        <v>1.84</v>
      </c>
      <c r="CL35" s="128">
        <v>1.85</v>
      </c>
      <c r="CM35" s="128">
        <v>1.86</v>
      </c>
      <c r="CN35" s="128">
        <v>1.87</v>
      </c>
      <c r="CO35" s="128">
        <v>1.88</v>
      </c>
      <c r="CP35" s="128">
        <v>1.89</v>
      </c>
      <c r="CQ35" s="128">
        <v>1.91</v>
      </c>
      <c r="CR35" s="128">
        <v>1.92</v>
      </c>
      <c r="CS35" s="128">
        <v>1.93</v>
      </c>
      <c r="CT35" s="128">
        <v>1.94</v>
      </c>
      <c r="CU35" s="128">
        <v>1.96</v>
      </c>
      <c r="CV35" s="128">
        <v>1.97</v>
      </c>
      <c r="CW35" s="128">
        <v>1.99</v>
      </c>
      <c r="CX35" s="128">
        <v>2</v>
      </c>
      <c r="CZ35" s="126">
        <f>SUMIF(MatrixF2[[1]:[2]],MatrixF2[[#This Row],[Столбец1]])/MatrixF2[[#This Row],[Столбец1]]</f>
        <v>111.99999999999967</v>
      </c>
    </row>
    <row r="36" spans="1:104" ht="21" customHeight="1" x14ac:dyDescent="0.25">
      <c r="A36" s="127">
        <v>1.33</v>
      </c>
      <c r="B36" s="128">
        <v>1</v>
      </c>
      <c r="C36" s="128">
        <v>1.01</v>
      </c>
      <c r="D36" s="128">
        <v>1.03</v>
      </c>
      <c r="E36" s="128">
        <v>1.04</v>
      </c>
      <c r="F36" s="128">
        <v>1.06</v>
      </c>
      <c r="G36" s="128">
        <v>1.07</v>
      </c>
      <c r="H36" s="128">
        <v>1.08</v>
      </c>
      <c r="I36" s="128">
        <v>1.0900000000000001</v>
      </c>
      <c r="J36" s="128">
        <v>1.1100000000000001</v>
      </c>
      <c r="K36" s="128">
        <v>1.1200000000000001</v>
      </c>
      <c r="L36" s="128">
        <v>1.1299999999999999</v>
      </c>
      <c r="M36" s="128">
        <v>1.1399999999999999</v>
      </c>
      <c r="N36" s="128">
        <v>1.1499999999999999</v>
      </c>
      <c r="O36" s="128">
        <v>1.1599999999999999</v>
      </c>
      <c r="P36" s="128">
        <v>1.17</v>
      </c>
      <c r="Q36" s="128">
        <v>1.18</v>
      </c>
      <c r="R36" s="128">
        <v>1.19</v>
      </c>
      <c r="S36" s="128">
        <v>1.2</v>
      </c>
      <c r="T36" s="128">
        <v>1.21</v>
      </c>
      <c r="U36" s="128">
        <v>1.22</v>
      </c>
      <c r="V36" s="128">
        <v>1.23</v>
      </c>
      <c r="W36" s="128">
        <v>1.24</v>
      </c>
      <c r="X36" s="128">
        <v>1.25</v>
      </c>
      <c r="Y36" s="128">
        <v>1.26</v>
      </c>
      <c r="Z36" s="128">
        <v>1.26</v>
      </c>
      <c r="AA36" s="128">
        <v>1.27</v>
      </c>
      <c r="AB36" s="128">
        <v>1.28</v>
      </c>
      <c r="AC36" s="128">
        <v>1.29</v>
      </c>
      <c r="AD36" s="128">
        <v>1.29</v>
      </c>
      <c r="AE36" s="128">
        <v>1.3</v>
      </c>
      <c r="AF36" s="128">
        <v>1.31</v>
      </c>
      <c r="AG36" s="128">
        <v>1.32</v>
      </c>
      <c r="AH36" s="128">
        <v>1.32</v>
      </c>
      <c r="AI36" s="128">
        <v>1.33</v>
      </c>
      <c r="AJ36" s="128">
        <v>1.34</v>
      </c>
      <c r="AK36" s="128">
        <v>1.35</v>
      </c>
      <c r="AL36" s="128">
        <v>1.36</v>
      </c>
      <c r="AM36" s="128">
        <v>1.37</v>
      </c>
      <c r="AN36" s="128">
        <v>1.38</v>
      </c>
      <c r="AO36" s="128">
        <v>1.39</v>
      </c>
      <c r="AP36" s="128">
        <v>1.4</v>
      </c>
      <c r="AQ36" s="128">
        <v>1.41</v>
      </c>
      <c r="AR36" s="128">
        <v>1.42</v>
      </c>
      <c r="AS36" s="128">
        <v>1.43</v>
      </c>
      <c r="AT36" s="128">
        <v>1.44</v>
      </c>
      <c r="AU36" s="128">
        <v>1.45</v>
      </c>
      <c r="AV36" s="128">
        <v>1.46</v>
      </c>
      <c r="AW36" s="128">
        <v>1.47</v>
      </c>
      <c r="AX36" s="128">
        <v>1.48</v>
      </c>
      <c r="AY36" s="128">
        <v>1.49</v>
      </c>
      <c r="AZ36" s="128">
        <v>1.5</v>
      </c>
      <c r="BA36" s="128">
        <v>1.51</v>
      </c>
      <c r="BB36" s="128">
        <v>1.52</v>
      </c>
      <c r="BC36" s="128">
        <v>1.53</v>
      </c>
      <c r="BD36" s="128">
        <v>1.54</v>
      </c>
      <c r="BE36" s="128">
        <v>1.55</v>
      </c>
      <c r="BF36" s="128">
        <v>1.56</v>
      </c>
      <c r="BG36" s="128">
        <v>1.57</v>
      </c>
      <c r="BH36" s="128">
        <v>1.58</v>
      </c>
      <c r="BI36" s="128">
        <v>1.59</v>
      </c>
      <c r="BJ36" s="128">
        <v>1.6</v>
      </c>
      <c r="BK36" s="128">
        <v>1.61</v>
      </c>
      <c r="BL36" s="128">
        <v>1.62</v>
      </c>
      <c r="BM36" s="128">
        <v>1.63</v>
      </c>
      <c r="BN36" s="128">
        <v>1.64</v>
      </c>
      <c r="BO36" s="128">
        <v>1.65</v>
      </c>
      <c r="BP36" s="128">
        <v>1.66</v>
      </c>
      <c r="BQ36" s="128">
        <v>1.67</v>
      </c>
      <c r="BR36" s="128">
        <v>1.68</v>
      </c>
      <c r="BS36" s="128">
        <v>1.68</v>
      </c>
      <c r="BT36" s="128">
        <v>1.69</v>
      </c>
      <c r="BU36" s="128">
        <v>1.7</v>
      </c>
      <c r="BV36" s="128">
        <v>1.71</v>
      </c>
      <c r="BW36" s="128">
        <v>1.71</v>
      </c>
      <c r="BX36" s="128">
        <v>1.72</v>
      </c>
      <c r="BY36" s="128">
        <v>1.73</v>
      </c>
      <c r="BZ36" s="128">
        <v>1.74</v>
      </c>
      <c r="CA36" s="128">
        <v>1.74</v>
      </c>
      <c r="CB36" s="128">
        <v>1.75</v>
      </c>
      <c r="CC36" s="128">
        <v>1.76</v>
      </c>
      <c r="CD36" s="128">
        <v>1.77</v>
      </c>
      <c r="CE36" s="128">
        <v>1.78</v>
      </c>
      <c r="CF36" s="128">
        <v>1.79</v>
      </c>
      <c r="CG36" s="128">
        <v>1.8</v>
      </c>
      <c r="CH36" s="128">
        <v>1.81</v>
      </c>
      <c r="CI36" s="128">
        <v>1.82</v>
      </c>
      <c r="CJ36" s="128">
        <v>1.83</v>
      </c>
      <c r="CK36" s="128">
        <v>1.84</v>
      </c>
      <c r="CL36" s="128">
        <v>1.85</v>
      </c>
      <c r="CM36" s="128">
        <v>1.86</v>
      </c>
      <c r="CN36" s="128">
        <v>1.87</v>
      </c>
      <c r="CO36" s="128">
        <v>1.88</v>
      </c>
      <c r="CP36" s="128">
        <v>1.89</v>
      </c>
      <c r="CQ36" s="128">
        <v>1.91</v>
      </c>
      <c r="CR36" s="128">
        <v>1.92</v>
      </c>
      <c r="CS36" s="128">
        <v>1.93</v>
      </c>
      <c r="CT36" s="128">
        <v>1.94</v>
      </c>
      <c r="CU36" s="128">
        <v>1.96</v>
      </c>
      <c r="CV36" s="128">
        <v>1.97</v>
      </c>
      <c r="CW36" s="128">
        <v>1.99</v>
      </c>
      <c r="CX36" s="128">
        <v>2</v>
      </c>
      <c r="CZ36" s="126">
        <f>SUMIF(MatrixF2[[1]:[2]],MatrixF2[[#This Row],[Столбец1]])/MatrixF2[[#This Row],[Столбец1]]</f>
        <v>113.00000000000006</v>
      </c>
    </row>
    <row r="37" spans="1:104" ht="21" customHeight="1" x14ac:dyDescent="0.25">
      <c r="A37" s="127">
        <v>1.34</v>
      </c>
      <c r="B37" s="128">
        <v>1</v>
      </c>
      <c r="C37" s="128">
        <v>1.01</v>
      </c>
      <c r="D37" s="128">
        <v>1.03</v>
      </c>
      <c r="E37" s="128">
        <v>1.04</v>
      </c>
      <c r="F37" s="128">
        <v>1.06</v>
      </c>
      <c r="G37" s="128">
        <v>1.07</v>
      </c>
      <c r="H37" s="128">
        <v>1.08</v>
      </c>
      <c r="I37" s="128">
        <v>1.1000000000000001</v>
      </c>
      <c r="J37" s="128">
        <v>1.1100000000000001</v>
      </c>
      <c r="K37" s="128">
        <v>1.1200000000000001</v>
      </c>
      <c r="L37" s="128">
        <v>1.1299999999999999</v>
      </c>
      <c r="M37" s="128">
        <v>1.1399999999999999</v>
      </c>
      <c r="N37" s="128">
        <v>1.1499999999999999</v>
      </c>
      <c r="O37" s="128">
        <v>1.1599999999999999</v>
      </c>
      <c r="P37" s="128">
        <v>1.18</v>
      </c>
      <c r="Q37" s="128">
        <v>1.19</v>
      </c>
      <c r="R37" s="128">
        <v>1.2</v>
      </c>
      <c r="S37" s="128">
        <v>1.2</v>
      </c>
      <c r="T37" s="128">
        <v>1.21</v>
      </c>
      <c r="U37" s="128">
        <v>1.22</v>
      </c>
      <c r="V37" s="128">
        <v>1.23</v>
      </c>
      <c r="W37" s="128">
        <v>1.24</v>
      </c>
      <c r="X37" s="128">
        <v>1.25</v>
      </c>
      <c r="Y37" s="128">
        <v>1.26</v>
      </c>
      <c r="Z37" s="128">
        <v>1.27</v>
      </c>
      <c r="AA37" s="128">
        <v>1.27</v>
      </c>
      <c r="AB37" s="128">
        <v>1.28</v>
      </c>
      <c r="AC37" s="128">
        <v>1.29</v>
      </c>
      <c r="AD37" s="128">
        <v>1.3</v>
      </c>
      <c r="AE37" s="128">
        <v>1.31</v>
      </c>
      <c r="AF37" s="128">
        <v>1.31</v>
      </c>
      <c r="AG37" s="128">
        <v>1.32</v>
      </c>
      <c r="AH37" s="128">
        <v>1.33</v>
      </c>
      <c r="AI37" s="128">
        <v>1.33</v>
      </c>
      <c r="AJ37" s="128">
        <v>1.34</v>
      </c>
      <c r="AK37" s="128">
        <v>1.35</v>
      </c>
      <c r="AL37" s="128">
        <v>1.36</v>
      </c>
      <c r="AM37" s="128">
        <v>1.37</v>
      </c>
      <c r="AN37" s="128">
        <v>1.38</v>
      </c>
      <c r="AO37" s="128">
        <v>1.39</v>
      </c>
      <c r="AP37" s="128">
        <v>1.4</v>
      </c>
      <c r="AQ37" s="128">
        <v>1.41</v>
      </c>
      <c r="AR37" s="128">
        <v>1.42</v>
      </c>
      <c r="AS37" s="128">
        <v>1.43</v>
      </c>
      <c r="AT37" s="128">
        <v>1.44</v>
      </c>
      <c r="AU37" s="128">
        <v>1.45</v>
      </c>
      <c r="AV37" s="128">
        <v>1.46</v>
      </c>
      <c r="AW37" s="128">
        <v>1.47</v>
      </c>
      <c r="AX37" s="128">
        <v>1.48</v>
      </c>
      <c r="AY37" s="128">
        <v>1.49</v>
      </c>
      <c r="AZ37" s="128">
        <v>1.5</v>
      </c>
      <c r="BA37" s="128">
        <v>1.51</v>
      </c>
      <c r="BB37" s="128">
        <v>1.52</v>
      </c>
      <c r="BC37" s="128">
        <v>1.53</v>
      </c>
      <c r="BD37" s="128">
        <v>1.54</v>
      </c>
      <c r="BE37" s="128">
        <v>1.55</v>
      </c>
      <c r="BF37" s="128">
        <v>1.56</v>
      </c>
      <c r="BG37" s="128">
        <v>1.57</v>
      </c>
      <c r="BH37" s="128">
        <v>1.58</v>
      </c>
      <c r="BI37" s="128">
        <v>1.59</v>
      </c>
      <c r="BJ37" s="128">
        <v>1.6</v>
      </c>
      <c r="BK37" s="128">
        <v>1.61</v>
      </c>
      <c r="BL37" s="128">
        <v>1.62</v>
      </c>
      <c r="BM37" s="128">
        <v>1.63</v>
      </c>
      <c r="BN37" s="128">
        <v>1.64</v>
      </c>
      <c r="BO37" s="128">
        <v>1.65</v>
      </c>
      <c r="BP37" s="128">
        <v>1.66</v>
      </c>
      <c r="BQ37" s="128">
        <v>1.67</v>
      </c>
      <c r="BR37" s="128">
        <v>1.67</v>
      </c>
      <c r="BS37" s="128">
        <v>1.68</v>
      </c>
      <c r="BT37" s="128">
        <v>1.69</v>
      </c>
      <c r="BU37" s="128">
        <v>1.69</v>
      </c>
      <c r="BV37" s="128">
        <v>1.7</v>
      </c>
      <c r="BW37" s="128">
        <v>1.71</v>
      </c>
      <c r="BX37" s="128">
        <v>1.72</v>
      </c>
      <c r="BY37" s="128">
        <v>1.73</v>
      </c>
      <c r="BZ37" s="128">
        <v>1.73</v>
      </c>
      <c r="CA37" s="128">
        <v>1.74</v>
      </c>
      <c r="CB37" s="128">
        <v>1.75</v>
      </c>
      <c r="CC37" s="128">
        <v>1.76</v>
      </c>
      <c r="CD37" s="128">
        <v>1.77</v>
      </c>
      <c r="CE37" s="128">
        <v>1.78</v>
      </c>
      <c r="CF37" s="128">
        <v>1.79</v>
      </c>
      <c r="CG37" s="128">
        <v>1.8</v>
      </c>
      <c r="CH37" s="128">
        <v>1.8</v>
      </c>
      <c r="CI37" s="128">
        <v>1.81</v>
      </c>
      <c r="CJ37" s="128">
        <v>1.82</v>
      </c>
      <c r="CK37" s="128">
        <v>1.84</v>
      </c>
      <c r="CL37" s="128">
        <v>1.85</v>
      </c>
      <c r="CM37" s="128">
        <v>1.86</v>
      </c>
      <c r="CN37" s="128">
        <v>1.87</v>
      </c>
      <c r="CO37" s="128">
        <v>1.88</v>
      </c>
      <c r="CP37" s="128">
        <v>1.89</v>
      </c>
      <c r="CQ37" s="128">
        <v>1.9</v>
      </c>
      <c r="CR37" s="128">
        <v>1.92</v>
      </c>
      <c r="CS37" s="128">
        <v>1.93</v>
      </c>
      <c r="CT37" s="128">
        <v>1.94</v>
      </c>
      <c r="CU37" s="128">
        <v>1.96</v>
      </c>
      <c r="CV37" s="128">
        <v>1.97</v>
      </c>
      <c r="CW37" s="128">
        <v>1.99</v>
      </c>
      <c r="CX37" s="128">
        <v>2</v>
      </c>
      <c r="CZ37" s="126">
        <f>SUMIF(MatrixF2[[1]:[2]],MatrixF2[[#This Row],[Столбец1]])/MatrixF2[[#This Row],[Столбец1]]</f>
        <v>111.00000000000021</v>
      </c>
    </row>
    <row r="38" spans="1:104" ht="21" customHeight="1" x14ac:dyDescent="0.25">
      <c r="A38" s="127">
        <v>1.35</v>
      </c>
      <c r="B38" s="128">
        <v>1</v>
      </c>
      <c r="C38" s="128">
        <v>1.02</v>
      </c>
      <c r="D38" s="128">
        <v>1.03</v>
      </c>
      <c r="E38" s="128">
        <v>1.04</v>
      </c>
      <c r="F38" s="128">
        <v>1.06</v>
      </c>
      <c r="G38" s="128">
        <v>1.07</v>
      </c>
      <c r="H38" s="128">
        <v>1.08</v>
      </c>
      <c r="I38" s="128">
        <v>1.1000000000000001</v>
      </c>
      <c r="J38" s="128">
        <v>1.1100000000000001</v>
      </c>
      <c r="K38" s="128">
        <v>1.1200000000000001</v>
      </c>
      <c r="L38" s="128">
        <v>1.1299999999999999</v>
      </c>
      <c r="M38" s="128">
        <v>1.1399999999999999</v>
      </c>
      <c r="N38" s="128">
        <v>1.1599999999999999</v>
      </c>
      <c r="O38" s="128">
        <v>1.17</v>
      </c>
      <c r="P38" s="128">
        <v>1.18</v>
      </c>
      <c r="Q38" s="128">
        <v>1.19</v>
      </c>
      <c r="R38" s="128">
        <v>1.2</v>
      </c>
      <c r="S38" s="128">
        <v>1.21</v>
      </c>
      <c r="T38" s="128">
        <v>1.22</v>
      </c>
      <c r="U38" s="128">
        <v>1.23</v>
      </c>
      <c r="V38" s="128">
        <v>1.24</v>
      </c>
      <c r="W38" s="128">
        <v>1.24</v>
      </c>
      <c r="X38" s="128">
        <v>1.25</v>
      </c>
      <c r="Y38" s="128">
        <v>1.26</v>
      </c>
      <c r="Z38" s="128">
        <v>1.27</v>
      </c>
      <c r="AA38" s="128">
        <v>1.28</v>
      </c>
      <c r="AB38" s="128">
        <v>1.29</v>
      </c>
      <c r="AC38" s="128">
        <v>1.29</v>
      </c>
      <c r="AD38" s="128">
        <v>1.3</v>
      </c>
      <c r="AE38" s="128">
        <v>1.31</v>
      </c>
      <c r="AF38" s="128">
        <v>1.32</v>
      </c>
      <c r="AG38" s="128">
        <v>1.32</v>
      </c>
      <c r="AH38" s="128">
        <v>1.33</v>
      </c>
      <c r="AI38" s="128">
        <v>1.34</v>
      </c>
      <c r="AJ38" s="128">
        <v>1.34</v>
      </c>
      <c r="AK38" s="128">
        <v>1.35</v>
      </c>
      <c r="AL38" s="128">
        <v>1.36</v>
      </c>
      <c r="AM38" s="128">
        <v>1.37</v>
      </c>
      <c r="AN38" s="128">
        <v>1.38</v>
      </c>
      <c r="AO38" s="128">
        <v>1.39</v>
      </c>
      <c r="AP38" s="128">
        <v>1.4</v>
      </c>
      <c r="AQ38" s="128">
        <v>1.41</v>
      </c>
      <c r="AR38" s="128">
        <v>1.42</v>
      </c>
      <c r="AS38" s="128">
        <v>1.43</v>
      </c>
      <c r="AT38" s="128">
        <v>1.44</v>
      </c>
      <c r="AU38" s="128">
        <v>1.45</v>
      </c>
      <c r="AV38" s="128">
        <v>1.46</v>
      </c>
      <c r="AW38" s="128">
        <v>1.47</v>
      </c>
      <c r="AX38" s="128">
        <v>1.48</v>
      </c>
      <c r="AY38" s="128">
        <v>1.49</v>
      </c>
      <c r="AZ38" s="128">
        <v>1.5</v>
      </c>
      <c r="BA38" s="128">
        <v>1.51</v>
      </c>
      <c r="BB38" s="128">
        <v>1.52</v>
      </c>
      <c r="BC38" s="128">
        <v>1.53</v>
      </c>
      <c r="BD38" s="128">
        <v>1.54</v>
      </c>
      <c r="BE38" s="128">
        <v>1.55</v>
      </c>
      <c r="BF38" s="128">
        <v>1.56</v>
      </c>
      <c r="BG38" s="128">
        <v>1.57</v>
      </c>
      <c r="BH38" s="128">
        <v>1.58</v>
      </c>
      <c r="BI38" s="128">
        <v>1.59</v>
      </c>
      <c r="BJ38" s="128">
        <v>1.6</v>
      </c>
      <c r="BK38" s="128">
        <v>1.61</v>
      </c>
      <c r="BL38" s="128">
        <v>1.62</v>
      </c>
      <c r="BM38" s="128">
        <v>1.63</v>
      </c>
      <c r="BN38" s="128">
        <v>1.64</v>
      </c>
      <c r="BO38" s="128">
        <v>1.65</v>
      </c>
      <c r="BP38" s="128">
        <v>1.66</v>
      </c>
      <c r="BQ38" s="128">
        <v>1.66</v>
      </c>
      <c r="BR38" s="128">
        <v>1.67</v>
      </c>
      <c r="BS38" s="128">
        <v>1.68</v>
      </c>
      <c r="BT38" s="128">
        <v>1.68</v>
      </c>
      <c r="BU38" s="128">
        <v>1.69</v>
      </c>
      <c r="BV38" s="128">
        <v>1.7</v>
      </c>
      <c r="BW38" s="128">
        <v>1.71</v>
      </c>
      <c r="BX38" s="128">
        <v>1.71</v>
      </c>
      <c r="BY38" s="128">
        <v>1.72</v>
      </c>
      <c r="BZ38" s="128">
        <v>1.73</v>
      </c>
      <c r="CA38" s="128">
        <v>1.74</v>
      </c>
      <c r="CB38" s="128">
        <v>1.75</v>
      </c>
      <c r="CC38" s="128">
        <v>1.76</v>
      </c>
      <c r="CD38" s="128">
        <v>1.76</v>
      </c>
      <c r="CE38" s="128">
        <v>1.77</v>
      </c>
      <c r="CF38" s="128">
        <v>1.78</v>
      </c>
      <c r="CG38" s="128">
        <v>1.79</v>
      </c>
      <c r="CH38" s="128">
        <v>1.8</v>
      </c>
      <c r="CI38" s="128">
        <v>1.81</v>
      </c>
      <c r="CJ38" s="128">
        <v>1.82</v>
      </c>
      <c r="CK38" s="128">
        <v>1.83</v>
      </c>
      <c r="CL38" s="128">
        <v>1.84</v>
      </c>
      <c r="CM38" s="128">
        <v>1.86</v>
      </c>
      <c r="CN38" s="128">
        <v>1.87</v>
      </c>
      <c r="CO38" s="128">
        <v>1.88</v>
      </c>
      <c r="CP38" s="128">
        <v>1.89</v>
      </c>
      <c r="CQ38" s="128">
        <v>1.9</v>
      </c>
      <c r="CR38" s="128">
        <v>1.92</v>
      </c>
      <c r="CS38" s="128">
        <v>1.93</v>
      </c>
      <c r="CT38" s="128">
        <v>1.94</v>
      </c>
      <c r="CU38" s="128">
        <v>1.96</v>
      </c>
      <c r="CV38" s="128">
        <v>1.97</v>
      </c>
      <c r="CW38" s="128">
        <v>1.98</v>
      </c>
      <c r="CX38" s="128">
        <v>2</v>
      </c>
      <c r="CZ38" s="126">
        <f>SUMIF(MatrixF2[[1]:[2]],MatrixF2[[#This Row],[Столбец1]])/MatrixF2[[#This Row],[Столбец1]]</f>
        <v>112.99999999999974</v>
      </c>
    </row>
    <row r="39" spans="1:104" ht="21" customHeight="1" x14ac:dyDescent="0.25">
      <c r="A39" s="127">
        <v>1.36</v>
      </c>
      <c r="B39" s="128">
        <v>1</v>
      </c>
      <c r="C39" s="128">
        <v>1.02</v>
      </c>
      <c r="D39" s="128">
        <v>1.03</v>
      </c>
      <c r="E39" s="128">
        <v>1.04</v>
      </c>
      <c r="F39" s="128">
        <v>1.06</v>
      </c>
      <c r="G39" s="128">
        <v>1.07</v>
      </c>
      <c r="H39" s="128">
        <v>1.0900000000000001</v>
      </c>
      <c r="I39" s="128">
        <v>1.1000000000000001</v>
      </c>
      <c r="J39" s="128">
        <v>1.1100000000000001</v>
      </c>
      <c r="K39" s="128">
        <v>1.1200000000000001</v>
      </c>
      <c r="L39" s="128">
        <v>1.1399999999999999</v>
      </c>
      <c r="M39" s="128">
        <v>1.1499999999999999</v>
      </c>
      <c r="N39" s="128">
        <v>1.1599999999999999</v>
      </c>
      <c r="O39" s="128">
        <v>1.17</v>
      </c>
      <c r="P39" s="128">
        <v>1.18</v>
      </c>
      <c r="Q39" s="128">
        <v>1.19</v>
      </c>
      <c r="R39" s="128">
        <v>1.2</v>
      </c>
      <c r="S39" s="128">
        <v>1.21</v>
      </c>
      <c r="T39" s="128">
        <v>1.22</v>
      </c>
      <c r="U39" s="128">
        <v>1.23</v>
      </c>
      <c r="V39" s="128">
        <v>1.24</v>
      </c>
      <c r="W39" s="128">
        <v>1.25</v>
      </c>
      <c r="X39" s="128">
        <v>1.26</v>
      </c>
      <c r="Y39" s="128">
        <v>1.26</v>
      </c>
      <c r="Z39" s="128">
        <v>1.27</v>
      </c>
      <c r="AA39" s="128">
        <v>1.28</v>
      </c>
      <c r="AB39" s="128">
        <v>1.29</v>
      </c>
      <c r="AC39" s="128">
        <v>1.3</v>
      </c>
      <c r="AD39" s="128">
        <v>1.3</v>
      </c>
      <c r="AE39" s="128">
        <v>1.31</v>
      </c>
      <c r="AF39" s="128">
        <v>1.32</v>
      </c>
      <c r="AG39" s="128">
        <v>1.33</v>
      </c>
      <c r="AH39" s="128">
        <v>1.33</v>
      </c>
      <c r="AI39" s="128">
        <v>1.34</v>
      </c>
      <c r="AJ39" s="128">
        <v>1.35</v>
      </c>
      <c r="AK39" s="128">
        <v>1.35</v>
      </c>
      <c r="AL39" s="128">
        <v>1.36</v>
      </c>
      <c r="AM39" s="128">
        <v>1.37</v>
      </c>
      <c r="AN39" s="128">
        <v>1.38</v>
      </c>
      <c r="AO39" s="128">
        <v>1.39</v>
      </c>
      <c r="AP39" s="128">
        <v>1.4</v>
      </c>
      <c r="AQ39" s="128">
        <v>1.41</v>
      </c>
      <c r="AR39" s="128">
        <v>1.42</v>
      </c>
      <c r="AS39" s="128">
        <v>1.43</v>
      </c>
      <c r="AT39" s="128">
        <v>1.44</v>
      </c>
      <c r="AU39" s="128">
        <v>1.45</v>
      </c>
      <c r="AV39" s="128">
        <v>1.46</v>
      </c>
      <c r="AW39" s="128">
        <v>1.47</v>
      </c>
      <c r="AX39" s="128">
        <v>1.48</v>
      </c>
      <c r="AY39" s="128">
        <v>1.49</v>
      </c>
      <c r="AZ39" s="128">
        <v>1.5</v>
      </c>
      <c r="BA39" s="128">
        <v>1.51</v>
      </c>
      <c r="BB39" s="128">
        <v>1.52</v>
      </c>
      <c r="BC39" s="128">
        <v>1.53</v>
      </c>
      <c r="BD39" s="128">
        <v>1.54</v>
      </c>
      <c r="BE39" s="128">
        <v>1.55</v>
      </c>
      <c r="BF39" s="128">
        <v>1.56</v>
      </c>
      <c r="BG39" s="128">
        <v>1.57</v>
      </c>
      <c r="BH39" s="128">
        <v>1.58</v>
      </c>
      <c r="BI39" s="128">
        <v>1.59</v>
      </c>
      <c r="BJ39" s="128">
        <v>1.6</v>
      </c>
      <c r="BK39" s="128">
        <v>1.61</v>
      </c>
      <c r="BL39" s="128">
        <v>1.62</v>
      </c>
      <c r="BM39" s="128">
        <v>1.63</v>
      </c>
      <c r="BN39" s="128">
        <v>1.64</v>
      </c>
      <c r="BO39" s="128">
        <v>1.65</v>
      </c>
      <c r="BP39" s="128">
        <v>1.65</v>
      </c>
      <c r="BQ39" s="128">
        <v>1.66</v>
      </c>
      <c r="BR39" s="128">
        <v>1.67</v>
      </c>
      <c r="BS39" s="128">
        <v>1.67</v>
      </c>
      <c r="BT39" s="128">
        <v>1.68</v>
      </c>
      <c r="BU39" s="128">
        <v>1.69</v>
      </c>
      <c r="BV39" s="128">
        <v>1.7</v>
      </c>
      <c r="BW39" s="128">
        <v>1.7</v>
      </c>
      <c r="BX39" s="128">
        <v>1.71</v>
      </c>
      <c r="BY39" s="128">
        <v>1.72</v>
      </c>
      <c r="BZ39" s="128">
        <v>1.73</v>
      </c>
      <c r="CA39" s="128">
        <v>1.74</v>
      </c>
      <c r="CB39" s="128">
        <v>1.74</v>
      </c>
      <c r="CC39" s="128">
        <v>1.75</v>
      </c>
      <c r="CD39" s="128">
        <v>1.76</v>
      </c>
      <c r="CE39" s="128">
        <v>1.77</v>
      </c>
      <c r="CF39" s="128">
        <v>1.78</v>
      </c>
      <c r="CG39" s="128">
        <v>1.79</v>
      </c>
      <c r="CH39" s="128">
        <v>1.8</v>
      </c>
      <c r="CI39" s="128">
        <v>1.81</v>
      </c>
      <c r="CJ39" s="128">
        <v>1.82</v>
      </c>
      <c r="CK39" s="128">
        <v>1.83</v>
      </c>
      <c r="CL39" s="128">
        <v>1.84</v>
      </c>
      <c r="CM39" s="128">
        <v>1.85</v>
      </c>
      <c r="CN39" s="128">
        <v>1.86</v>
      </c>
      <c r="CO39" s="128">
        <v>1.88</v>
      </c>
      <c r="CP39" s="128">
        <v>1.89</v>
      </c>
      <c r="CQ39" s="128">
        <v>1.9</v>
      </c>
      <c r="CR39" s="128">
        <v>1.91</v>
      </c>
      <c r="CS39" s="128">
        <v>1.93</v>
      </c>
      <c r="CT39" s="128">
        <v>1.94</v>
      </c>
      <c r="CU39" s="128">
        <v>1.96</v>
      </c>
      <c r="CV39" s="128">
        <v>1.97</v>
      </c>
      <c r="CW39" s="128">
        <v>1.98</v>
      </c>
      <c r="CX39" s="128">
        <v>2</v>
      </c>
      <c r="CZ39" s="126">
        <f>SUMIF(MatrixF2[[1]:[2]],MatrixF2[[#This Row],[Столбец1]])/MatrixF2[[#This Row],[Столбец1]]</f>
        <v>111.00000000000013</v>
      </c>
    </row>
    <row r="40" spans="1:104" ht="21" customHeight="1" x14ac:dyDescent="0.25">
      <c r="A40" s="127">
        <v>1.37</v>
      </c>
      <c r="B40" s="128">
        <v>1</v>
      </c>
      <c r="C40" s="128">
        <v>1.02</v>
      </c>
      <c r="D40" s="128">
        <v>1.03</v>
      </c>
      <c r="E40" s="128">
        <v>1.05</v>
      </c>
      <c r="F40" s="128">
        <v>1.06</v>
      </c>
      <c r="G40" s="128">
        <v>1.07</v>
      </c>
      <c r="H40" s="128">
        <v>1.0900000000000001</v>
      </c>
      <c r="I40" s="128">
        <v>1.1000000000000001</v>
      </c>
      <c r="J40" s="128">
        <v>1.1100000000000001</v>
      </c>
      <c r="K40" s="128">
        <v>1.1200000000000001</v>
      </c>
      <c r="L40" s="128">
        <v>1.1399999999999999</v>
      </c>
      <c r="M40" s="128">
        <v>1.1499999999999999</v>
      </c>
      <c r="N40" s="128">
        <v>1.1599999999999999</v>
      </c>
      <c r="O40" s="128">
        <v>1.17</v>
      </c>
      <c r="P40" s="128">
        <v>1.18</v>
      </c>
      <c r="Q40" s="128">
        <v>1.19</v>
      </c>
      <c r="R40" s="128">
        <v>1.2</v>
      </c>
      <c r="S40" s="128">
        <v>1.21</v>
      </c>
      <c r="T40" s="128">
        <v>1.22</v>
      </c>
      <c r="U40" s="128">
        <v>1.23</v>
      </c>
      <c r="V40" s="128">
        <v>1.24</v>
      </c>
      <c r="W40" s="128">
        <v>1.25</v>
      </c>
      <c r="X40" s="128">
        <v>1.26</v>
      </c>
      <c r="Y40" s="128">
        <v>1.27</v>
      </c>
      <c r="Z40" s="128">
        <v>1.28</v>
      </c>
      <c r="AA40" s="128">
        <v>1.28</v>
      </c>
      <c r="AB40" s="128">
        <v>1.29</v>
      </c>
      <c r="AC40" s="128">
        <v>1.3</v>
      </c>
      <c r="AD40" s="128">
        <v>1.31</v>
      </c>
      <c r="AE40" s="128">
        <v>1.32</v>
      </c>
      <c r="AF40" s="128">
        <v>1.32</v>
      </c>
      <c r="AG40" s="128">
        <v>1.33</v>
      </c>
      <c r="AH40" s="128">
        <v>1.34</v>
      </c>
      <c r="AI40" s="128">
        <v>1.34</v>
      </c>
      <c r="AJ40" s="128">
        <v>1.35</v>
      </c>
      <c r="AK40" s="128">
        <v>1.36</v>
      </c>
      <c r="AL40" s="128">
        <v>1.36</v>
      </c>
      <c r="AM40" s="128">
        <v>1.37</v>
      </c>
      <c r="AN40" s="128">
        <v>1.38</v>
      </c>
      <c r="AO40" s="128">
        <v>1.39</v>
      </c>
      <c r="AP40" s="128">
        <v>1.4</v>
      </c>
      <c r="AQ40" s="128">
        <v>1.41</v>
      </c>
      <c r="AR40" s="128">
        <v>1.42</v>
      </c>
      <c r="AS40" s="128">
        <v>1.43</v>
      </c>
      <c r="AT40" s="128">
        <v>1.44</v>
      </c>
      <c r="AU40" s="128">
        <v>1.45</v>
      </c>
      <c r="AV40" s="128">
        <v>1.46</v>
      </c>
      <c r="AW40" s="128">
        <v>1.47</v>
      </c>
      <c r="AX40" s="128">
        <v>1.48</v>
      </c>
      <c r="AY40" s="128">
        <v>1.49</v>
      </c>
      <c r="AZ40" s="128">
        <v>1.5</v>
      </c>
      <c r="BA40" s="128">
        <v>1.51</v>
      </c>
      <c r="BB40" s="128">
        <v>1.52</v>
      </c>
      <c r="BC40" s="128">
        <v>1.53</v>
      </c>
      <c r="BD40" s="128">
        <v>1.54</v>
      </c>
      <c r="BE40" s="128">
        <v>1.55</v>
      </c>
      <c r="BF40" s="128">
        <v>1.56</v>
      </c>
      <c r="BG40" s="128">
        <v>1.57</v>
      </c>
      <c r="BH40" s="128">
        <v>1.58</v>
      </c>
      <c r="BI40" s="128">
        <v>1.59</v>
      </c>
      <c r="BJ40" s="128">
        <v>1.6</v>
      </c>
      <c r="BK40" s="128">
        <v>1.61</v>
      </c>
      <c r="BL40" s="128">
        <v>1.62</v>
      </c>
      <c r="BM40" s="128">
        <v>1.63</v>
      </c>
      <c r="BN40" s="128">
        <v>1.64</v>
      </c>
      <c r="BO40" s="128">
        <v>1.64</v>
      </c>
      <c r="BP40" s="128">
        <v>1.65</v>
      </c>
      <c r="BQ40" s="128">
        <v>1.66</v>
      </c>
      <c r="BR40" s="128">
        <v>1.66</v>
      </c>
      <c r="BS40" s="128">
        <v>1.67</v>
      </c>
      <c r="BT40" s="128">
        <v>1.68</v>
      </c>
      <c r="BU40" s="128">
        <v>1.68</v>
      </c>
      <c r="BV40" s="128">
        <v>1.69</v>
      </c>
      <c r="BW40" s="128">
        <v>1.7</v>
      </c>
      <c r="BX40" s="128">
        <v>1.71</v>
      </c>
      <c r="BY40" s="128">
        <v>1.72</v>
      </c>
      <c r="BZ40" s="128">
        <v>1.72</v>
      </c>
      <c r="CA40" s="128">
        <v>1.73</v>
      </c>
      <c r="CB40" s="128">
        <v>1.74</v>
      </c>
      <c r="CC40" s="128">
        <v>1.75</v>
      </c>
      <c r="CD40" s="128">
        <v>1.76</v>
      </c>
      <c r="CE40" s="128">
        <v>1.77</v>
      </c>
      <c r="CF40" s="128">
        <v>1.78</v>
      </c>
      <c r="CG40" s="128">
        <v>1.79</v>
      </c>
      <c r="CH40" s="128">
        <v>1.8</v>
      </c>
      <c r="CI40" s="128">
        <v>1.81</v>
      </c>
      <c r="CJ40" s="128">
        <v>1.82</v>
      </c>
      <c r="CK40" s="128">
        <v>1.83</v>
      </c>
      <c r="CL40" s="128">
        <v>1.84</v>
      </c>
      <c r="CM40" s="128">
        <v>1.85</v>
      </c>
      <c r="CN40" s="128">
        <v>1.86</v>
      </c>
      <c r="CO40" s="128">
        <v>1.88</v>
      </c>
      <c r="CP40" s="128">
        <v>1.89</v>
      </c>
      <c r="CQ40" s="128">
        <v>1.9</v>
      </c>
      <c r="CR40" s="128">
        <v>1.91</v>
      </c>
      <c r="CS40" s="128">
        <v>1.93</v>
      </c>
      <c r="CT40" s="128">
        <v>1.94</v>
      </c>
      <c r="CU40" s="128">
        <v>1.95</v>
      </c>
      <c r="CV40" s="128">
        <v>1.97</v>
      </c>
      <c r="CW40" s="128">
        <v>1.98</v>
      </c>
      <c r="CX40" s="128">
        <v>2</v>
      </c>
      <c r="CZ40" s="126">
        <f>SUMIF(MatrixF2[[1]:[2]],MatrixF2[[#This Row],[Столбец1]])/MatrixF2[[#This Row],[Столбец1]]</f>
        <v>109.00000000000017</v>
      </c>
    </row>
    <row r="41" spans="1:104" ht="21" customHeight="1" x14ac:dyDescent="0.25">
      <c r="A41" s="127">
        <v>1.38</v>
      </c>
      <c r="B41" s="128">
        <v>1</v>
      </c>
      <c r="C41" s="128">
        <v>1.02</v>
      </c>
      <c r="D41" s="128">
        <v>1.03</v>
      </c>
      <c r="E41" s="128">
        <v>1.05</v>
      </c>
      <c r="F41" s="128">
        <v>1.06</v>
      </c>
      <c r="G41" s="128">
        <v>1.07</v>
      </c>
      <c r="H41" s="128">
        <v>1.0900000000000001</v>
      </c>
      <c r="I41" s="128">
        <v>1.1000000000000001</v>
      </c>
      <c r="J41" s="128">
        <v>1.1100000000000001</v>
      </c>
      <c r="K41" s="128">
        <v>1.1299999999999999</v>
      </c>
      <c r="L41" s="128">
        <v>1.1399999999999999</v>
      </c>
      <c r="M41" s="128">
        <v>1.1499999999999999</v>
      </c>
      <c r="N41" s="128">
        <v>1.1599999999999999</v>
      </c>
      <c r="O41" s="128">
        <v>1.17</v>
      </c>
      <c r="P41" s="128">
        <v>1.18</v>
      </c>
      <c r="Q41" s="128">
        <v>1.19</v>
      </c>
      <c r="R41" s="128">
        <v>1.21</v>
      </c>
      <c r="S41" s="128">
        <v>1.22</v>
      </c>
      <c r="T41" s="128">
        <v>1.22</v>
      </c>
      <c r="U41" s="128">
        <v>1.23</v>
      </c>
      <c r="V41" s="128">
        <v>1.24</v>
      </c>
      <c r="W41" s="128">
        <v>1.25</v>
      </c>
      <c r="X41" s="128">
        <v>1.26</v>
      </c>
      <c r="Y41" s="128">
        <v>1.27</v>
      </c>
      <c r="Z41" s="128">
        <v>1.28</v>
      </c>
      <c r="AA41" s="128">
        <v>1.29</v>
      </c>
      <c r="AB41" s="128">
        <v>1.3</v>
      </c>
      <c r="AC41" s="128">
        <v>1.3</v>
      </c>
      <c r="AD41" s="128">
        <v>1.31</v>
      </c>
      <c r="AE41" s="128">
        <v>1.32</v>
      </c>
      <c r="AF41" s="128">
        <v>1.33</v>
      </c>
      <c r="AG41" s="128">
        <v>1.33</v>
      </c>
      <c r="AH41" s="128">
        <v>1.34</v>
      </c>
      <c r="AI41" s="128">
        <v>1.35</v>
      </c>
      <c r="AJ41" s="128">
        <v>1.35</v>
      </c>
      <c r="AK41" s="128">
        <v>1.36</v>
      </c>
      <c r="AL41" s="128">
        <v>1.37</v>
      </c>
      <c r="AM41" s="128">
        <v>1.37</v>
      </c>
      <c r="AN41" s="128">
        <v>1.38</v>
      </c>
      <c r="AO41" s="128">
        <v>1.39</v>
      </c>
      <c r="AP41" s="128">
        <v>1.4</v>
      </c>
      <c r="AQ41" s="128">
        <v>1.41</v>
      </c>
      <c r="AR41" s="128">
        <v>1.42</v>
      </c>
      <c r="AS41" s="128">
        <v>1.43</v>
      </c>
      <c r="AT41" s="128">
        <v>1.44</v>
      </c>
      <c r="AU41" s="128">
        <v>1.45</v>
      </c>
      <c r="AV41" s="128">
        <v>1.46</v>
      </c>
      <c r="AW41" s="128">
        <v>1.47</v>
      </c>
      <c r="AX41" s="128">
        <v>1.48</v>
      </c>
      <c r="AY41" s="128">
        <v>1.49</v>
      </c>
      <c r="AZ41" s="128">
        <v>1.5</v>
      </c>
      <c r="BA41" s="128">
        <v>1.51</v>
      </c>
      <c r="BB41" s="128">
        <v>1.52</v>
      </c>
      <c r="BC41" s="128">
        <v>1.53</v>
      </c>
      <c r="BD41" s="128">
        <v>1.54</v>
      </c>
      <c r="BE41" s="128">
        <v>1.55</v>
      </c>
      <c r="BF41" s="128">
        <v>1.56</v>
      </c>
      <c r="BG41" s="128">
        <v>1.57</v>
      </c>
      <c r="BH41" s="128">
        <v>1.58</v>
      </c>
      <c r="BI41" s="128">
        <v>1.59</v>
      </c>
      <c r="BJ41" s="128">
        <v>1.6</v>
      </c>
      <c r="BK41" s="128">
        <v>1.61</v>
      </c>
      <c r="BL41" s="128">
        <v>1.62</v>
      </c>
      <c r="BM41" s="128">
        <v>1.63</v>
      </c>
      <c r="BN41" s="128">
        <v>1.63</v>
      </c>
      <c r="BO41" s="128">
        <v>1.64</v>
      </c>
      <c r="BP41" s="128">
        <v>1.65</v>
      </c>
      <c r="BQ41" s="128">
        <v>1.65</v>
      </c>
      <c r="BR41" s="128">
        <v>1.66</v>
      </c>
      <c r="BS41" s="128">
        <v>1.67</v>
      </c>
      <c r="BT41" s="128">
        <v>1.67</v>
      </c>
      <c r="BU41" s="128">
        <v>1.68</v>
      </c>
      <c r="BV41" s="128">
        <v>1.69</v>
      </c>
      <c r="BW41" s="128">
        <v>1.7</v>
      </c>
      <c r="BX41" s="128">
        <v>1.7</v>
      </c>
      <c r="BY41" s="128">
        <v>1.71</v>
      </c>
      <c r="BZ41" s="128">
        <v>1.72</v>
      </c>
      <c r="CA41" s="128">
        <v>1.73</v>
      </c>
      <c r="CB41" s="128">
        <v>1.74</v>
      </c>
      <c r="CC41" s="128">
        <v>1.75</v>
      </c>
      <c r="CD41" s="128">
        <v>1.76</v>
      </c>
      <c r="CE41" s="128">
        <v>1.77</v>
      </c>
      <c r="CF41" s="128">
        <v>1.78</v>
      </c>
      <c r="CG41" s="128">
        <v>1.78</v>
      </c>
      <c r="CH41" s="128">
        <v>1.79</v>
      </c>
      <c r="CI41" s="128">
        <v>1.81</v>
      </c>
      <c r="CJ41" s="128">
        <v>1.82</v>
      </c>
      <c r="CK41" s="128">
        <v>1.83</v>
      </c>
      <c r="CL41" s="128">
        <v>1.84</v>
      </c>
      <c r="CM41" s="128">
        <v>1.85</v>
      </c>
      <c r="CN41" s="128">
        <v>1.86</v>
      </c>
      <c r="CO41" s="128">
        <v>1.87</v>
      </c>
      <c r="CP41" s="128">
        <v>1.89</v>
      </c>
      <c r="CQ41" s="128">
        <v>1.9</v>
      </c>
      <c r="CR41" s="128">
        <v>1.91</v>
      </c>
      <c r="CS41" s="128">
        <v>1.93</v>
      </c>
      <c r="CT41" s="128">
        <v>1.94</v>
      </c>
      <c r="CU41" s="128">
        <v>1.95</v>
      </c>
      <c r="CV41" s="128">
        <v>1.97</v>
      </c>
      <c r="CW41" s="128">
        <v>1.98</v>
      </c>
      <c r="CX41" s="128">
        <v>2</v>
      </c>
      <c r="CZ41" s="126">
        <f>SUMIF(MatrixF2[[1]:[2]],MatrixF2[[#This Row],[Столбец1]])/MatrixF2[[#This Row],[Столбец1]]</f>
        <v>113.99999999999982</v>
      </c>
    </row>
    <row r="42" spans="1:104" ht="21" customHeight="1" x14ac:dyDescent="0.25">
      <c r="A42" s="127">
        <v>1.39</v>
      </c>
      <c r="B42" s="128">
        <v>1</v>
      </c>
      <c r="C42" s="128">
        <v>1.02</v>
      </c>
      <c r="D42" s="128">
        <v>1.03</v>
      </c>
      <c r="E42" s="128">
        <v>1.05</v>
      </c>
      <c r="F42" s="128">
        <v>1.06</v>
      </c>
      <c r="G42" s="128">
        <v>1.08</v>
      </c>
      <c r="H42" s="128">
        <v>1.0900000000000001</v>
      </c>
      <c r="I42" s="128">
        <v>1.1000000000000001</v>
      </c>
      <c r="J42" s="128">
        <v>1.1200000000000001</v>
      </c>
      <c r="K42" s="128">
        <v>1.1299999999999999</v>
      </c>
      <c r="L42" s="128">
        <v>1.1399999999999999</v>
      </c>
      <c r="M42" s="128">
        <v>1.1499999999999999</v>
      </c>
      <c r="N42" s="128">
        <v>1.1599999999999999</v>
      </c>
      <c r="O42" s="128">
        <v>1.18</v>
      </c>
      <c r="P42" s="128">
        <v>1.19</v>
      </c>
      <c r="Q42" s="128">
        <v>1.2</v>
      </c>
      <c r="R42" s="128">
        <v>1.21</v>
      </c>
      <c r="S42" s="128">
        <v>1.22</v>
      </c>
      <c r="T42" s="128">
        <v>1.23</v>
      </c>
      <c r="U42" s="128">
        <v>1.24</v>
      </c>
      <c r="V42" s="128">
        <v>1.25</v>
      </c>
      <c r="W42" s="128">
        <v>1.26</v>
      </c>
      <c r="X42" s="128">
        <v>1.27</v>
      </c>
      <c r="Y42" s="128">
        <v>1.27</v>
      </c>
      <c r="Z42" s="128">
        <v>1.28</v>
      </c>
      <c r="AA42" s="128">
        <v>1.29</v>
      </c>
      <c r="AB42" s="128">
        <v>1.3</v>
      </c>
      <c r="AC42" s="128">
        <v>1.31</v>
      </c>
      <c r="AD42" s="128">
        <v>1.31</v>
      </c>
      <c r="AE42" s="128">
        <v>1.32</v>
      </c>
      <c r="AF42" s="128">
        <v>1.33</v>
      </c>
      <c r="AG42" s="128">
        <v>1.34</v>
      </c>
      <c r="AH42" s="128">
        <v>1.34</v>
      </c>
      <c r="AI42" s="128">
        <v>1.35</v>
      </c>
      <c r="AJ42" s="128">
        <v>1.36</v>
      </c>
      <c r="AK42" s="128">
        <v>1.36</v>
      </c>
      <c r="AL42" s="128">
        <v>1.37</v>
      </c>
      <c r="AM42" s="128">
        <v>1.38</v>
      </c>
      <c r="AN42" s="128">
        <v>1.38</v>
      </c>
      <c r="AO42" s="128">
        <v>1.39</v>
      </c>
      <c r="AP42" s="128">
        <v>1.4</v>
      </c>
      <c r="AQ42" s="128">
        <v>1.41</v>
      </c>
      <c r="AR42" s="128">
        <v>1.42</v>
      </c>
      <c r="AS42" s="128">
        <v>1.43</v>
      </c>
      <c r="AT42" s="128">
        <v>1.44</v>
      </c>
      <c r="AU42" s="128">
        <v>1.45</v>
      </c>
      <c r="AV42" s="128">
        <v>1.46</v>
      </c>
      <c r="AW42" s="128">
        <v>1.47</v>
      </c>
      <c r="AX42" s="128">
        <v>1.48</v>
      </c>
      <c r="AY42" s="128">
        <v>1.49</v>
      </c>
      <c r="AZ42" s="128">
        <v>1.5</v>
      </c>
      <c r="BA42" s="128">
        <v>1.51</v>
      </c>
      <c r="BB42" s="128">
        <v>1.52</v>
      </c>
      <c r="BC42" s="128">
        <v>1.53</v>
      </c>
      <c r="BD42" s="128">
        <v>1.54</v>
      </c>
      <c r="BE42" s="128">
        <v>1.55</v>
      </c>
      <c r="BF42" s="128">
        <v>1.56</v>
      </c>
      <c r="BG42" s="128">
        <v>1.57</v>
      </c>
      <c r="BH42" s="128">
        <v>1.58</v>
      </c>
      <c r="BI42" s="128">
        <v>1.59</v>
      </c>
      <c r="BJ42" s="128">
        <v>1.6</v>
      </c>
      <c r="BK42" s="128">
        <v>1.61</v>
      </c>
      <c r="BL42" s="128">
        <v>1.62</v>
      </c>
      <c r="BM42" s="128">
        <v>1.62</v>
      </c>
      <c r="BN42" s="128">
        <v>1.63</v>
      </c>
      <c r="BO42" s="128">
        <v>1.64</v>
      </c>
      <c r="BP42" s="128">
        <v>1.64</v>
      </c>
      <c r="BQ42" s="128">
        <v>1.65</v>
      </c>
      <c r="BR42" s="128">
        <v>1.66</v>
      </c>
      <c r="BS42" s="128">
        <v>1.66</v>
      </c>
      <c r="BT42" s="128">
        <v>1.67</v>
      </c>
      <c r="BU42" s="128">
        <v>1.68</v>
      </c>
      <c r="BV42" s="128">
        <v>1.69</v>
      </c>
      <c r="BW42" s="128">
        <v>1.69</v>
      </c>
      <c r="BX42" s="128">
        <v>1.7</v>
      </c>
      <c r="BY42" s="128">
        <v>1.71</v>
      </c>
      <c r="BZ42" s="128">
        <v>1.72</v>
      </c>
      <c r="CA42" s="128">
        <v>1.73</v>
      </c>
      <c r="CB42" s="128">
        <v>1.73</v>
      </c>
      <c r="CC42" s="128">
        <v>1.74</v>
      </c>
      <c r="CD42" s="128">
        <v>1.75</v>
      </c>
      <c r="CE42" s="128">
        <v>1.76</v>
      </c>
      <c r="CF42" s="128">
        <v>1.77</v>
      </c>
      <c r="CG42" s="128">
        <v>1.78</v>
      </c>
      <c r="CH42" s="128">
        <v>1.79</v>
      </c>
      <c r="CI42" s="128">
        <v>1.8</v>
      </c>
      <c r="CJ42" s="128">
        <v>1.81</v>
      </c>
      <c r="CK42" s="128">
        <v>1.82</v>
      </c>
      <c r="CL42" s="128">
        <v>1.84</v>
      </c>
      <c r="CM42" s="128">
        <v>1.85</v>
      </c>
      <c r="CN42" s="128">
        <v>1.86</v>
      </c>
      <c r="CO42" s="128">
        <v>1.87</v>
      </c>
      <c r="CP42" s="128">
        <v>1.88</v>
      </c>
      <c r="CQ42" s="128">
        <v>1.9</v>
      </c>
      <c r="CR42" s="128">
        <v>1.91</v>
      </c>
      <c r="CS42" s="128">
        <v>1.92</v>
      </c>
      <c r="CT42" s="128">
        <v>1.94</v>
      </c>
      <c r="CU42" s="128">
        <v>1.95</v>
      </c>
      <c r="CV42" s="128">
        <v>1.97</v>
      </c>
      <c r="CW42" s="128">
        <v>1.98</v>
      </c>
      <c r="CX42" s="128">
        <v>2</v>
      </c>
      <c r="CZ42" s="126">
        <f>SUMIF(MatrixF2[[1]:[2]],MatrixF2[[#This Row],[Столбец1]])/MatrixF2[[#This Row],[Столбец1]]</f>
        <v>110.99999999999986</v>
      </c>
    </row>
    <row r="43" spans="1:104" ht="21" customHeight="1" x14ac:dyDescent="0.25">
      <c r="A43" s="127">
        <v>1.4</v>
      </c>
      <c r="B43" s="128">
        <v>1</v>
      </c>
      <c r="C43" s="128">
        <v>1.02</v>
      </c>
      <c r="D43" s="128">
        <v>1.03</v>
      </c>
      <c r="E43" s="128">
        <v>1.05</v>
      </c>
      <c r="F43" s="128">
        <v>1.06</v>
      </c>
      <c r="G43" s="128">
        <v>1.08</v>
      </c>
      <c r="H43" s="128">
        <v>1.0900000000000001</v>
      </c>
      <c r="I43" s="128">
        <v>1.1000000000000001</v>
      </c>
      <c r="J43" s="128">
        <v>1.1200000000000001</v>
      </c>
      <c r="K43" s="128">
        <v>1.1299999999999999</v>
      </c>
      <c r="L43" s="128">
        <v>1.1399999999999999</v>
      </c>
      <c r="M43" s="128">
        <v>1.1499999999999999</v>
      </c>
      <c r="N43" s="128">
        <v>1.17</v>
      </c>
      <c r="O43" s="128">
        <v>1.18</v>
      </c>
      <c r="P43" s="128">
        <v>1.19</v>
      </c>
      <c r="Q43" s="128">
        <v>1.2</v>
      </c>
      <c r="R43" s="128">
        <v>1.21</v>
      </c>
      <c r="S43" s="128">
        <v>1.22</v>
      </c>
      <c r="T43" s="128">
        <v>1.23</v>
      </c>
      <c r="U43" s="128">
        <v>1.24</v>
      </c>
      <c r="V43" s="128">
        <v>1.25</v>
      </c>
      <c r="W43" s="128">
        <v>1.26</v>
      </c>
      <c r="X43" s="128">
        <v>1.27</v>
      </c>
      <c r="Y43" s="128">
        <v>1.28</v>
      </c>
      <c r="Z43" s="128">
        <v>1.29</v>
      </c>
      <c r="AA43" s="128">
        <v>1.29</v>
      </c>
      <c r="AB43" s="128">
        <v>1.3</v>
      </c>
      <c r="AC43" s="128">
        <v>1.31</v>
      </c>
      <c r="AD43" s="128">
        <v>1.32</v>
      </c>
      <c r="AE43" s="128">
        <v>1.33</v>
      </c>
      <c r="AF43" s="128">
        <v>1.33</v>
      </c>
      <c r="AG43" s="128">
        <v>1.34</v>
      </c>
      <c r="AH43" s="128">
        <v>1.35</v>
      </c>
      <c r="AI43" s="128">
        <v>1.35</v>
      </c>
      <c r="AJ43" s="128">
        <v>1.36</v>
      </c>
      <c r="AK43" s="128">
        <v>1.37</v>
      </c>
      <c r="AL43" s="128">
        <v>1.38</v>
      </c>
      <c r="AM43" s="128">
        <v>1.38</v>
      </c>
      <c r="AN43" s="128">
        <v>1.39</v>
      </c>
      <c r="AO43" s="128">
        <v>1.39</v>
      </c>
      <c r="AP43" s="128">
        <v>1.4</v>
      </c>
      <c r="AQ43" s="128">
        <v>1.41</v>
      </c>
      <c r="AR43" s="128">
        <v>1.42</v>
      </c>
      <c r="AS43" s="128">
        <v>1.43</v>
      </c>
      <c r="AT43" s="128">
        <v>1.44</v>
      </c>
      <c r="AU43" s="128">
        <v>1.45</v>
      </c>
      <c r="AV43" s="128">
        <v>1.46</v>
      </c>
      <c r="AW43" s="128">
        <v>1.47</v>
      </c>
      <c r="AX43" s="128">
        <v>1.48</v>
      </c>
      <c r="AY43" s="128">
        <v>1.49</v>
      </c>
      <c r="AZ43" s="128">
        <v>1.5</v>
      </c>
      <c r="BA43" s="128">
        <v>1.51</v>
      </c>
      <c r="BB43" s="128">
        <v>1.52</v>
      </c>
      <c r="BC43" s="128">
        <v>1.53</v>
      </c>
      <c r="BD43" s="128">
        <v>1.54</v>
      </c>
      <c r="BE43" s="128">
        <v>1.55</v>
      </c>
      <c r="BF43" s="128">
        <v>1.56</v>
      </c>
      <c r="BG43" s="128">
        <v>1.57</v>
      </c>
      <c r="BH43" s="128">
        <v>1.58</v>
      </c>
      <c r="BI43" s="128">
        <v>1.59</v>
      </c>
      <c r="BJ43" s="128">
        <v>1.6</v>
      </c>
      <c r="BK43" s="128">
        <v>1.61</v>
      </c>
      <c r="BL43" s="128">
        <v>1.61</v>
      </c>
      <c r="BM43" s="128">
        <v>1.62</v>
      </c>
      <c r="BN43" s="128">
        <v>1.62</v>
      </c>
      <c r="BO43" s="128">
        <v>1.63</v>
      </c>
      <c r="BP43" s="128">
        <v>1.64</v>
      </c>
      <c r="BQ43" s="128">
        <v>1.65</v>
      </c>
      <c r="BR43" s="128">
        <v>1.65</v>
      </c>
      <c r="BS43" s="128">
        <v>1.66</v>
      </c>
      <c r="BT43" s="128">
        <v>1.67</v>
      </c>
      <c r="BU43" s="128">
        <v>1.67</v>
      </c>
      <c r="BV43" s="128">
        <v>1.68</v>
      </c>
      <c r="BW43" s="128">
        <v>1.69</v>
      </c>
      <c r="BX43" s="128">
        <v>1.7</v>
      </c>
      <c r="BY43" s="128">
        <v>1.71</v>
      </c>
      <c r="BZ43" s="128">
        <v>1.71</v>
      </c>
      <c r="CA43" s="128">
        <v>1.72</v>
      </c>
      <c r="CB43" s="128">
        <v>1.73</v>
      </c>
      <c r="CC43" s="128">
        <v>1.74</v>
      </c>
      <c r="CD43" s="128">
        <v>1.75</v>
      </c>
      <c r="CE43" s="128">
        <v>1.76</v>
      </c>
      <c r="CF43" s="128">
        <v>1.77</v>
      </c>
      <c r="CG43" s="128">
        <v>1.78</v>
      </c>
      <c r="CH43" s="128">
        <v>1.79</v>
      </c>
      <c r="CI43" s="128">
        <v>1.8</v>
      </c>
      <c r="CJ43" s="128">
        <v>1.81</v>
      </c>
      <c r="CK43" s="128">
        <v>1.82</v>
      </c>
      <c r="CL43" s="128">
        <v>1.83</v>
      </c>
      <c r="CM43" s="128">
        <v>1.85</v>
      </c>
      <c r="CN43" s="128">
        <v>1.86</v>
      </c>
      <c r="CO43" s="128">
        <v>1.87</v>
      </c>
      <c r="CP43" s="128">
        <v>1.88</v>
      </c>
      <c r="CQ43" s="128">
        <v>1.9</v>
      </c>
      <c r="CR43" s="128">
        <v>1.91</v>
      </c>
      <c r="CS43" s="128">
        <v>1.92</v>
      </c>
      <c r="CT43" s="128">
        <v>1.94</v>
      </c>
      <c r="CU43" s="128">
        <v>1.95</v>
      </c>
      <c r="CV43" s="128">
        <v>1.97</v>
      </c>
      <c r="CW43" s="128">
        <v>1.98</v>
      </c>
      <c r="CX43" s="128">
        <v>2</v>
      </c>
      <c r="CZ43" s="126">
        <f>SUMIF(MatrixF2[[1]:[2]],MatrixF2[[#This Row],[Столбец1]])/MatrixF2[[#This Row],[Столбец1]]</f>
        <v>114.00000000000024</v>
      </c>
    </row>
    <row r="44" spans="1:104" ht="21" customHeight="1" x14ac:dyDescent="0.25">
      <c r="A44" s="127">
        <v>1.41</v>
      </c>
      <c r="B44" s="128">
        <v>1</v>
      </c>
      <c r="C44" s="128">
        <v>1.02</v>
      </c>
      <c r="D44" s="128">
        <v>1.03</v>
      </c>
      <c r="E44" s="128">
        <v>1.05</v>
      </c>
      <c r="F44" s="128">
        <v>1.06</v>
      </c>
      <c r="G44" s="128">
        <v>1.08</v>
      </c>
      <c r="H44" s="128">
        <v>1.0900000000000001</v>
      </c>
      <c r="I44" s="128">
        <v>1.1100000000000001</v>
      </c>
      <c r="J44" s="128">
        <v>1.1200000000000001</v>
      </c>
      <c r="K44" s="128">
        <v>1.1299999999999999</v>
      </c>
      <c r="L44" s="128">
        <v>1.1399999999999999</v>
      </c>
      <c r="M44" s="128">
        <v>1.1599999999999999</v>
      </c>
      <c r="N44" s="128">
        <v>1.17</v>
      </c>
      <c r="O44" s="128">
        <v>1.18</v>
      </c>
      <c r="P44" s="128">
        <v>1.19</v>
      </c>
      <c r="Q44" s="128">
        <v>1.2</v>
      </c>
      <c r="R44" s="128">
        <v>1.21</v>
      </c>
      <c r="S44" s="128">
        <v>1.22</v>
      </c>
      <c r="T44" s="128">
        <v>1.23</v>
      </c>
      <c r="U44" s="128">
        <v>1.24</v>
      </c>
      <c r="V44" s="128">
        <v>1.25</v>
      </c>
      <c r="W44" s="128">
        <v>1.26</v>
      </c>
      <c r="X44" s="128">
        <v>1.27</v>
      </c>
      <c r="Y44" s="128">
        <v>1.28</v>
      </c>
      <c r="Z44" s="128">
        <v>1.29</v>
      </c>
      <c r="AA44" s="128">
        <v>1.3</v>
      </c>
      <c r="AB44" s="128">
        <v>1.31</v>
      </c>
      <c r="AC44" s="128">
        <v>1.31</v>
      </c>
      <c r="AD44" s="128">
        <v>1.32</v>
      </c>
      <c r="AE44" s="128">
        <v>1.33</v>
      </c>
      <c r="AF44" s="128">
        <v>1.34</v>
      </c>
      <c r="AG44" s="128">
        <v>1.34</v>
      </c>
      <c r="AH44" s="128">
        <v>1.35</v>
      </c>
      <c r="AI44" s="128">
        <v>1.36</v>
      </c>
      <c r="AJ44" s="128">
        <v>1.37</v>
      </c>
      <c r="AK44" s="128">
        <v>1.37</v>
      </c>
      <c r="AL44" s="128">
        <v>1.38</v>
      </c>
      <c r="AM44" s="128">
        <v>1.39</v>
      </c>
      <c r="AN44" s="128">
        <v>1.39</v>
      </c>
      <c r="AO44" s="128">
        <v>1.4</v>
      </c>
      <c r="AP44" s="128">
        <v>1.4</v>
      </c>
      <c r="AQ44" s="128">
        <v>1.41</v>
      </c>
      <c r="AR44" s="128">
        <v>1.42</v>
      </c>
      <c r="AS44" s="128">
        <v>1.43</v>
      </c>
      <c r="AT44" s="128">
        <v>1.44</v>
      </c>
      <c r="AU44" s="128">
        <v>1.45</v>
      </c>
      <c r="AV44" s="128">
        <v>1.46</v>
      </c>
      <c r="AW44" s="128">
        <v>1.47</v>
      </c>
      <c r="AX44" s="128">
        <v>1.48</v>
      </c>
      <c r="AY44" s="128">
        <v>1.49</v>
      </c>
      <c r="AZ44" s="128">
        <v>1.5</v>
      </c>
      <c r="BA44" s="128">
        <v>1.51</v>
      </c>
      <c r="BB44" s="128">
        <v>1.52</v>
      </c>
      <c r="BC44" s="128">
        <v>1.53</v>
      </c>
      <c r="BD44" s="128">
        <v>1.54</v>
      </c>
      <c r="BE44" s="128">
        <v>1.55</v>
      </c>
      <c r="BF44" s="128">
        <v>1.56</v>
      </c>
      <c r="BG44" s="128">
        <v>1.57</v>
      </c>
      <c r="BH44" s="128">
        <v>1.58</v>
      </c>
      <c r="BI44" s="128">
        <v>1.59</v>
      </c>
      <c r="BJ44" s="128">
        <v>1.6</v>
      </c>
      <c r="BK44" s="128">
        <v>1.6</v>
      </c>
      <c r="BL44" s="128">
        <v>1.61</v>
      </c>
      <c r="BM44" s="128">
        <v>1.61</v>
      </c>
      <c r="BN44" s="128">
        <v>1.62</v>
      </c>
      <c r="BO44" s="128">
        <v>1.63</v>
      </c>
      <c r="BP44" s="128">
        <v>1.63</v>
      </c>
      <c r="BQ44" s="128">
        <v>1.64</v>
      </c>
      <c r="BR44" s="128">
        <v>1.65</v>
      </c>
      <c r="BS44" s="128">
        <v>1.66</v>
      </c>
      <c r="BT44" s="128">
        <v>1.66</v>
      </c>
      <c r="BU44" s="128">
        <v>1.67</v>
      </c>
      <c r="BV44" s="128">
        <v>1.68</v>
      </c>
      <c r="BW44" s="128">
        <v>1.69</v>
      </c>
      <c r="BX44" s="128">
        <v>1.69</v>
      </c>
      <c r="BY44" s="128">
        <v>1.7</v>
      </c>
      <c r="BZ44" s="128">
        <v>1.71</v>
      </c>
      <c r="CA44" s="128">
        <v>1.72</v>
      </c>
      <c r="CB44" s="128">
        <v>1.73</v>
      </c>
      <c r="CC44" s="128">
        <v>1.74</v>
      </c>
      <c r="CD44" s="128">
        <v>1.75</v>
      </c>
      <c r="CE44" s="128">
        <v>1.76</v>
      </c>
      <c r="CF44" s="128">
        <v>1.77</v>
      </c>
      <c r="CG44" s="128">
        <v>1.78</v>
      </c>
      <c r="CH44" s="128">
        <v>1.79</v>
      </c>
      <c r="CI44" s="128">
        <v>1.8</v>
      </c>
      <c r="CJ44" s="128">
        <v>1.81</v>
      </c>
      <c r="CK44" s="128">
        <v>1.82</v>
      </c>
      <c r="CL44" s="128">
        <v>1.83</v>
      </c>
      <c r="CM44" s="128">
        <v>1.84</v>
      </c>
      <c r="CN44" s="128">
        <v>1.86</v>
      </c>
      <c r="CO44" s="128">
        <v>1.87</v>
      </c>
      <c r="CP44" s="128">
        <v>1.88</v>
      </c>
      <c r="CQ44" s="128">
        <v>1.89</v>
      </c>
      <c r="CR44" s="128">
        <v>1.91</v>
      </c>
      <c r="CS44" s="128">
        <v>1.92</v>
      </c>
      <c r="CT44" s="128">
        <v>1.94</v>
      </c>
      <c r="CU44" s="128">
        <v>1.95</v>
      </c>
      <c r="CV44" s="128">
        <v>1.97</v>
      </c>
      <c r="CW44" s="128">
        <v>1.98</v>
      </c>
      <c r="CX44" s="128">
        <v>2</v>
      </c>
      <c r="CZ44" s="126">
        <f>SUMIF(MatrixF2[[1]:[2]],MatrixF2[[#This Row],[Столбец1]])/MatrixF2[[#This Row],[Столбец1]]</f>
        <v>110.9999999999998</v>
      </c>
    </row>
    <row r="45" spans="1:104" ht="21" customHeight="1" x14ac:dyDescent="0.25">
      <c r="A45" s="127">
        <v>1.42</v>
      </c>
      <c r="B45" s="128">
        <v>1</v>
      </c>
      <c r="C45" s="128">
        <v>1.02</v>
      </c>
      <c r="D45" s="128">
        <v>1.03</v>
      </c>
      <c r="E45" s="128">
        <v>1.05</v>
      </c>
      <c r="F45" s="128">
        <v>1.06</v>
      </c>
      <c r="G45" s="128">
        <v>1.08</v>
      </c>
      <c r="H45" s="128">
        <v>1.0900000000000001</v>
      </c>
      <c r="I45" s="128">
        <v>1.1100000000000001</v>
      </c>
      <c r="J45" s="128">
        <v>1.1200000000000001</v>
      </c>
      <c r="K45" s="128">
        <v>1.1299999999999999</v>
      </c>
      <c r="L45" s="128">
        <v>1.1499999999999999</v>
      </c>
      <c r="M45" s="128">
        <v>1.1599999999999999</v>
      </c>
      <c r="N45" s="128">
        <v>1.17</v>
      </c>
      <c r="O45" s="128">
        <v>1.18</v>
      </c>
      <c r="P45" s="128">
        <v>1.19</v>
      </c>
      <c r="Q45" s="128">
        <v>1.21</v>
      </c>
      <c r="R45" s="128">
        <v>1.22</v>
      </c>
      <c r="S45" s="128">
        <v>1.23</v>
      </c>
      <c r="T45" s="128">
        <v>1.24</v>
      </c>
      <c r="U45" s="128">
        <v>1.25</v>
      </c>
      <c r="V45" s="128">
        <v>1.26</v>
      </c>
      <c r="W45" s="128">
        <v>1.27</v>
      </c>
      <c r="X45" s="128">
        <v>1.28</v>
      </c>
      <c r="Y45" s="128">
        <v>1.28</v>
      </c>
      <c r="Z45" s="128">
        <v>1.29</v>
      </c>
      <c r="AA45" s="128">
        <v>1.3</v>
      </c>
      <c r="AB45" s="128">
        <v>1.31</v>
      </c>
      <c r="AC45" s="128">
        <v>1.32</v>
      </c>
      <c r="AD45" s="128">
        <v>1.33</v>
      </c>
      <c r="AE45" s="128">
        <v>1.33</v>
      </c>
      <c r="AF45" s="128">
        <v>1.34</v>
      </c>
      <c r="AG45" s="128">
        <v>1.35</v>
      </c>
      <c r="AH45" s="128">
        <v>1.36</v>
      </c>
      <c r="AI45" s="128">
        <v>1.36</v>
      </c>
      <c r="AJ45" s="128">
        <v>1.37</v>
      </c>
      <c r="AK45" s="128">
        <v>1.38</v>
      </c>
      <c r="AL45" s="128">
        <v>1.38</v>
      </c>
      <c r="AM45" s="128">
        <v>1.39</v>
      </c>
      <c r="AN45" s="128">
        <v>1.4</v>
      </c>
      <c r="AO45" s="128">
        <v>1.4</v>
      </c>
      <c r="AP45" s="128">
        <v>1.41</v>
      </c>
      <c r="AQ45" s="128">
        <v>1.41</v>
      </c>
      <c r="AR45" s="128">
        <v>1.42</v>
      </c>
      <c r="AS45" s="128">
        <v>1.43</v>
      </c>
      <c r="AT45" s="128">
        <v>1.44</v>
      </c>
      <c r="AU45" s="128">
        <v>1.45</v>
      </c>
      <c r="AV45" s="128">
        <v>1.46</v>
      </c>
      <c r="AW45" s="128">
        <v>1.47</v>
      </c>
      <c r="AX45" s="128">
        <v>1.48</v>
      </c>
      <c r="AY45" s="128">
        <v>1.49</v>
      </c>
      <c r="AZ45" s="128">
        <v>1.5</v>
      </c>
      <c r="BA45" s="128">
        <v>1.51</v>
      </c>
      <c r="BB45" s="128">
        <v>1.52</v>
      </c>
      <c r="BC45" s="128">
        <v>1.53</v>
      </c>
      <c r="BD45" s="128">
        <v>1.54</v>
      </c>
      <c r="BE45" s="128">
        <v>1.55</v>
      </c>
      <c r="BF45" s="128">
        <v>1.56</v>
      </c>
      <c r="BG45" s="128">
        <v>1.57</v>
      </c>
      <c r="BH45" s="128">
        <v>1.58</v>
      </c>
      <c r="BI45" s="128">
        <v>1.59</v>
      </c>
      <c r="BJ45" s="128">
        <v>1.59</v>
      </c>
      <c r="BK45" s="128">
        <v>1.6</v>
      </c>
      <c r="BL45" s="128">
        <v>1.6</v>
      </c>
      <c r="BM45" s="128">
        <v>1.61</v>
      </c>
      <c r="BN45" s="128">
        <v>1.62</v>
      </c>
      <c r="BO45" s="128">
        <v>1.62</v>
      </c>
      <c r="BP45" s="128">
        <v>1.63</v>
      </c>
      <c r="BQ45" s="128">
        <v>1.64</v>
      </c>
      <c r="BR45" s="128">
        <v>1.64</v>
      </c>
      <c r="BS45" s="128">
        <v>1.65</v>
      </c>
      <c r="BT45" s="128">
        <v>1.66</v>
      </c>
      <c r="BU45" s="128">
        <v>1.67</v>
      </c>
      <c r="BV45" s="128">
        <v>1.67</v>
      </c>
      <c r="BW45" s="128">
        <v>1.68</v>
      </c>
      <c r="BX45" s="128">
        <v>1.69</v>
      </c>
      <c r="BY45" s="128">
        <v>1.7</v>
      </c>
      <c r="BZ45" s="128">
        <v>1.71</v>
      </c>
      <c r="CA45" s="128">
        <v>1.72</v>
      </c>
      <c r="CB45" s="128">
        <v>1.73</v>
      </c>
      <c r="CC45" s="128">
        <v>1.73</v>
      </c>
      <c r="CD45" s="128">
        <v>1.74</v>
      </c>
      <c r="CE45" s="128">
        <v>1.75</v>
      </c>
      <c r="CF45" s="128">
        <v>1.76</v>
      </c>
      <c r="CG45" s="128">
        <v>1.77</v>
      </c>
      <c r="CH45" s="128">
        <v>1.78</v>
      </c>
      <c r="CI45" s="128">
        <v>1.79</v>
      </c>
      <c r="CJ45" s="128">
        <v>1.81</v>
      </c>
      <c r="CK45" s="128">
        <v>1.82</v>
      </c>
      <c r="CL45" s="128">
        <v>1.83</v>
      </c>
      <c r="CM45" s="128">
        <v>1.84</v>
      </c>
      <c r="CN45" s="128">
        <v>1.85</v>
      </c>
      <c r="CO45" s="128">
        <v>1.87</v>
      </c>
      <c r="CP45" s="128">
        <v>1.88</v>
      </c>
      <c r="CQ45" s="128">
        <v>1.89</v>
      </c>
      <c r="CR45" s="128">
        <v>1.91</v>
      </c>
      <c r="CS45" s="128">
        <v>1.92</v>
      </c>
      <c r="CT45" s="128">
        <v>1.94</v>
      </c>
      <c r="CU45" s="128">
        <v>1.95</v>
      </c>
      <c r="CV45" s="128">
        <v>1.97</v>
      </c>
      <c r="CW45" s="128">
        <v>1.98</v>
      </c>
      <c r="CX45" s="128">
        <v>2</v>
      </c>
      <c r="CZ45" s="126">
        <f>SUMIF(MatrixF2[[1]:[2]],MatrixF2[[#This Row],[Столбец1]])/MatrixF2[[#This Row],[Столбец1]]</f>
        <v>108.99999999999993</v>
      </c>
    </row>
    <row r="46" spans="1:104" ht="21" customHeight="1" x14ac:dyDescent="0.25">
      <c r="A46" s="127">
        <v>1.43</v>
      </c>
      <c r="B46" s="128">
        <v>1</v>
      </c>
      <c r="C46" s="128">
        <v>1.02</v>
      </c>
      <c r="D46" s="128">
        <v>1.03</v>
      </c>
      <c r="E46" s="128">
        <v>1.05</v>
      </c>
      <c r="F46" s="128">
        <v>1.07</v>
      </c>
      <c r="G46" s="128">
        <v>1.08</v>
      </c>
      <c r="H46" s="128">
        <v>1.1000000000000001</v>
      </c>
      <c r="I46" s="128">
        <v>1.1100000000000001</v>
      </c>
      <c r="J46" s="128">
        <v>1.1200000000000001</v>
      </c>
      <c r="K46" s="128">
        <v>1.1399999999999999</v>
      </c>
      <c r="L46" s="128">
        <v>1.1499999999999999</v>
      </c>
      <c r="M46" s="128">
        <v>1.1599999999999999</v>
      </c>
      <c r="N46" s="128">
        <v>1.17</v>
      </c>
      <c r="O46" s="128">
        <v>1.19</v>
      </c>
      <c r="P46" s="128">
        <v>1.2</v>
      </c>
      <c r="Q46" s="128">
        <v>1.21</v>
      </c>
      <c r="R46" s="128">
        <v>1.22</v>
      </c>
      <c r="S46" s="128">
        <v>1.23</v>
      </c>
      <c r="T46" s="128">
        <v>1.24</v>
      </c>
      <c r="U46" s="128">
        <v>1.25</v>
      </c>
      <c r="V46" s="128">
        <v>1.26</v>
      </c>
      <c r="W46" s="128">
        <v>1.27</v>
      </c>
      <c r="X46" s="128">
        <v>1.28</v>
      </c>
      <c r="Y46" s="128">
        <v>1.29</v>
      </c>
      <c r="Z46" s="128">
        <v>1.3</v>
      </c>
      <c r="AA46" s="128">
        <v>1.3</v>
      </c>
      <c r="AB46" s="128">
        <v>1.31</v>
      </c>
      <c r="AC46" s="128">
        <v>1.32</v>
      </c>
      <c r="AD46" s="128">
        <v>1.33</v>
      </c>
      <c r="AE46" s="128">
        <v>1.34</v>
      </c>
      <c r="AF46" s="128">
        <v>1.34</v>
      </c>
      <c r="AG46" s="128">
        <v>1.35</v>
      </c>
      <c r="AH46" s="128">
        <v>1.36</v>
      </c>
      <c r="AI46" s="128">
        <v>1.37</v>
      </c>
      <c r="AJ46" s="128">
        <v>1.37</v>
      </c>
      <c r="AK46" s="128">
        <v>1.38</v>
      </c>
      <c r="AL46" s="128">
        <v>1.39</v>
      </c>
      <c r="AM46" s="128">
        <v>1.39</v>
      </c>
      <c r="AN46" s="128">
        <v>1.4</v>
      </c>
      <c r="AO46" s="128">
        <v>1.41</v>
      </c>
      <c r="AP46" s="128">
        <v>1.41</v>
      </c>
      <c r="AQ46" s="128">
        <v>1.42</v>
      </c>
      <c r="AR46" s="128">
        <v>1.42</v>
      </c>
      <c r="AS46" s="128">
        <v>1.43</v>
      </c>
      <c r="AT46" s="128">
        <v>1.44</v>
      </c>
      <c r="AU46" s="128">
        <v>1.45</v>
      </c>
      <c r="AV46" s="128">
        <v>1.46</v>
      </c>
      <c r="AW46" s="128">
        <v>1.47</v>
      </c>
      <c r="AX46" s="128">
        <v>1.48</v>
      </c>
      <c r="AY46" s="128">
        <v>1.49</v>
      </c>
      <c r="AZ46" s="128">
        <v>1.5</v>
      </c>
      <c r="BA46" s="128">
        <v>1.51</v>
      </c>
      <c r="BB46" s="128">
        <v>1.52</v>
      </c>
      <c r="BC46" s="128">
        <v>1.53</v>
      </c>
      <c r="BD46" s="128">
        <v>1.54</v>
      </c>
      <c r="BE46" s="128">
        <v>1.55</v>
      </c>
      <c r="BF46" s="128">
        <v>1.56</v>
      </c>
      <c r="BG46" s="128">
        <v>1.57</v>
      </c>
      <c r="BH46" s="128">
        <v>1.58</v>
      </c>
      <c r="BI46" s="128">
        <v>1.58</v>
      </c>
      <c r="BJ46" s="128">
        <v>1.59</v>
      </c>
      <c r="BK46" s="128">
        <v>1.59</v>
      </c>
      <c r="BL46" s="128">
        <v>1.6</v>
      </c>
      <c r="BM46" s="128">
        <v>1.61</v>
      </c>
      <c r="BN46" s="128">
        <v>1.61</v>
      </c>
      <c r="BO46" s="128">
        <v>1.62</v>
      </c>
      <c r="BP46" s="128">
        <v>1.63</v>
      </c>
      <c r="BQ46" s="128">
        <v>1.63</v>
      </c>
      <c r="BR46" s="128">
        <v>1.64</v>
      </c>
      <c r="BS46" s="128">
        <v>1.65</v>
      </c>
      <c r="BT46" s="128">
        <v>1.66</v>
      </c>
      <c r="BU46" s="128">
        <v>1.66</v>
      </c>
      <c r="BV46" s="128">
        <v>1.67</v>
      </c>
      <c r="BW46" s="128">
        <v>1.68</v>
      </c>
      <c r="BX46" s="128">
        <v>1.69</v>
      </c>
      <c r="BY46" s="128">
        <v>1.7</v>
      </c>
      <c r="BZ46" s="128">
        <v>1.7</v>
      </c>
      <c r="CA46" s="128">
        <v>1.71</v>
      </c>
      <c r="CB46" s="128">
        <v>1.72</v>
      </c>
      <c r="CC46" s="128">
        <v>1.73</v>
      </c>
      <c r="CD46" s="128">
        <v>1.74</v>
      </c>
      <c r="CE46" s="128">
        <v>1.75</v>
      </c>
      <c r="CF46" s="128">
        <v>1.76</v>
      </c>
      <c r="CG46" s="128">
        <v>1.77</v>
      </c>
      <c r="CH46" s="128">
        <v>1.78</v>
      </c>
      <c r="CI46" s="128">
        <v>1.79</v>
      </c>
      <c r="CJ46" s="128">
        <v>1.8</v>
      </c>
      <c r="CK46" s="128">
        <v>1.81</v>
      </c>
      <c r="CL46" s="128">
        <v>1.83</v>
      </c>
      <c r="CM46" s="128">
        <v>1.84</v>
      </c>
      <c r="CN46" s="128">
        <v>1.85</v>
      </c>
      <c r="CO46" s="128">
        <v>1.86</v>
      </c>
      <c r="CP46" s="128">
        <v>1.88</v>
      </c>
      <c r="CQ46" s="128">
        <v>1.89</v>
      </c>
      <c r="CR46" s="128">
        <v>1.9</v>
      </c>
      <c r="CS46" s="128">
        <v>1.92</v>
      </c>
      <c r="CT46" s="128">
        <v>1.93</v>
      </c>
      <c r="CU46" s="128">
        <v>1.95</v>
      </c>
      <c r="CV46" s="128">
        <v>1.97</v>
      </c>
      <c r="CW46" s="128">
        <v>1.98</v>
      </c>
      <c r="CX46" s="128">
        <v>2</v>
      </c>
      <c r="CZ46" s="126">
        <f>SUMIF(MatrixF2[[1]:[2]],MatrixF2[[#This Row],[Столбец1]])/MatrixF2[[#This Row],[Столбец1]]</f>
        <v>112.00000000000033</v>
      </c>
    </row>
    <row r="47" spans="1:104" ht="21" customHeight="1" x14ac:dyDescent="0.25">
      <c r="A47" s="127">
        <v>1.44</v>
      </c>
      <c r="B47" s="128">
        <v>1</v>
      </c>
      <c r="C47" s="128">
        <v>1.02</v>
      </c>
      <c r="D47" s="128">
        <v>1.03</v>
      </c>
      <c r="E47" s="128">
        <v>1.05</v>
      </c>
      <c r="F47" s="128">
        <v>1.07</v>
      </c>
      <c r="G47" s="128">
        <v>1.08</v>
      </c>
      <c r="H47" s="128">
        <v>1.1000000000000001</v>
      </c>
      <c r="I47" s="128">
        <v>1.1100000000000001</v>
      </c>
      <c r="J47" s="128">
        <v>1.1299999999999999</v>
      </c>
      <c r="K47" s="128">
        <v>1.1399999999999999</v>
      </c>
      <c r="L47" s="128">
        <v>1.1499999999999999</v>
      </c>
      <c r="M47" s="128">
        <v>1.1599999999999999</v>
      </c>
      <c r="N47" s="128">
        <v>1.18</v>
      </c>
      <c r="O47" s="128">
        <v>1.19</v>
      </c>
      <c r="P47" s="128">
        <v>1.2</v>
      </c>
      <c r="Q47" s="128">
        <v>1.21</v>
      </c>
      <c r="R47" s="128">
        <v>1.22</v>
      </c>
      <c r="S47" s="128">
        <v>1.23</v>
      </c>
      <c r="T47" s="128">
        <v>1.24</v>
      </c>
      <c r="U47" s="128">
        <v>1.25</v>
      </c>
      <c r="V47" s="128">
        <v>1.26</v>
      </c>
      <c r="W47" s="128">
        <v>1.27</v>
      </c>
      <c r="X47" s="128">
        <v>1.28</v>
      </c>
      <c r="Y47" s="128">
        <v>1.29</v>
      </c>
      <c r="Z47" s="128">
        <v>1.3</v>
      </c>
      <c r="AA47" s="128">
        <v>1.31</v>
      </c>
      <c r="AB47" s="128">
        <v>1.32</v>
      </c>
      <c r="AC47" s="128">
        <v>1.33</v>
      </c>
      <c r="AD47" s="128">
        <v>1.33</v>
      </c>
      <c r="AE47" s="128">
        <v>1.34</v>
      </c>
      <c r="AF47" s="128">
        <v>1.35</v>
      </c>
      <c r="AG47" s="128">
        <v>1.36</v>
      </c>
      <c r="AH47" s="128">
        <v>1.36</v>
      </c>
      <c r="AI47" s="128">
        <v>1.37</v>
      </c>
      <c r="AJ47" s="128">
        <v>1.38</v>
      </c>
      <c r="AK47" s="128">
        <v>1.38</v>
      </c>
      <c r="AL47" s="128">
        <v>1.39</v>
      </c>
      <c r="AM47" s="128">
        <v>1.4</v>
      </c>
      <c r="AN47" s="128">
        <v>1.4</v>
      </c>
      <c r="AO47" s="128">
        <v>1.41</v>
      </c>
      <c r="AP47" s="128">
        <v>1.42</v>
      </c>
      <c r="AQ47" s="128">
        <v>1.42</v>
      </c>
      <c r="AR47" s="128">
        <v>1.43</v>
      </c>
      <c r="AS47" s="128">
        <v>1.43</v>
      </c>
      <c r="AT47" s="128">
        <v>1.44</v>
      </c>
      <c r="AU47" s="128">
        <v>1.45</v>
      </c>
      <c r="AV47" s="128">
        <v>1.46</v>
      </c>
      <c r="AW47" s="128">
        <v>1.47</v>
      </c>
      <c r="AX47" s="128">
        <v>1.48</v>
      </c>
      <c r="AY47" s="128">
        <v>1.49</v>
      </c>
      <c r="AZ47" s="128">
        <v>1.5</v>
      </c>
      <c r="BA47" s="128">
        <v>1.51</v>
      </c>
      <c r="BB47" s="128">
        <v>1.52</v>
      </c>
      <c r="BC47" s="128">
        <v>1.53</v>
      </c>
      <c r="BD47" s="128">
        <v>1.54</v>
      </c>
      <c r="BE47" s="128">
        <v>1.55</v>
      </c>
      <c r="BF47" s="128">
        <v>1.56</v>
      </c>
      <c r="BG47" s="128">
        <v>1.57</v>
      </c>
      <c r="BH47" s="128">
        <v>1.57</v>
      </c>
      <c r="BI47" s="128">
        <v>1.58</v>
      </c>
      <c r="BJ47" s="128">
        <v>1.58</v>
      </c>
      <c r="BK47" s="128">
        <v>1.59</v>
      </c>
      <c r="BL47" s="128">
        <v>1.6</v>
      </c>
      <c r="BM47" s="128">
        <v>1.6</v>
      </c>
      <c r="BN47" s="128">
        <v>1.61</v>
      </c>
      <c r="BO47" s="128">
        <v>1.62</v>
      </c>
      <c r="BP47" s="128">
        <v>1.62</v>
      </c>
      <c r="BQ47" s="128">
        <v>1.63</v>
      </c>
      <c r="BR47" s="128">
        <v>1.64</v>
      </c>
      <c r="BS47" s="128">
        <v>1.64</v>
      </c>
      <c r="BT47" s="128">
        <v>1.65</v>
      </c>
      <c r="BU47" s="128">
        <v>1.66</v>
      </c>
      <c r="BV47" s="128">
        <v>1.67</v>
      </c>
      <c r="BW47" s="128">
        <v>1.67</v>
      </c>
      <c r="BX47" s="128">
        <v>1.68</v>
      </c>
      <c r="BY47" s="128">
        <v>1.69</v>
      </c>
      <c r="BZ47" s="128">
        <v>1.7</v>
      </c>
      <c r="CA47" s="128">
        <v>1.71</v>
      </c>
      <c r="CB47" s="128">
        <v>1.72</v>
      </c>
      <c r="CC47" s="128">
        <v>1.73</v>
      </c>
      <c r="CD47" s="128">
        <v>1.74</v>
      </c>
      <c r="CE47" s="128">
        <v>1.75</v>
      </c>
      <c r="CF47" s="128">
        <v>1.76</v>
      </c>
      <c r="CG47" s="128">
        <v>1.77</v>
      </c>
      <c r="CH47" s="128">
        <v>1.78</v>
      </c>
      <c r="CI47" s="128">
        <v>1.79</v>
      </c>
      <c r="CJ47" s="128">
        <v>1.8</v>
      </c>
      <c r="CK47" s="128">
        <v>1.81</v>
      </c>
      <c r="CL47" s="128">
        <v>1.82</v>
      </c>
      <c r="CM47" s="128">
        <v>1.84</v>
      </c>
      <c r="CN47" s="128">
        <v>1.85</v>
      </c>
      <c r="CO47" s="128">
        <v>1.86</v>
      </c>
      <c r="CP47" s="128">
        <v>1.88</v>
      </c>
      <c r="CQ47" s="128">
        <v>1.89</v>
      </c>
      <c r="CR47" s="128">
        <v>1.9</v>
      </c>
      <c r="CS47" s="128">
        <v>1.92</v>
      </c>
      <c r="CT47" s="128">
        <v>1.93</v>
      </c>
      <c r="CU47" s="128">
        <v>1.95</v>
      </c>
      <c r="CV47" s="128">
        <v>1.97</v>
      </c>
      <c r="CW47" s="128">
        <v>1.98</v>
      </c>
      <c r="CX47" s="128">
        <v>2</v>
      </c>
      <c r="CZ47" s="126">
        <f>SUMIF(MatrixF2[[1]:[2]],MatrixF2[[#This Row],[Столбец1]])/MatrixF2[[#This Row],[Столбец1]]</f>
        <v>107.99999999999989</v>
      </c>
    </row>
    <row r="48" spans="1:104" ht="21" customHeight="1" x14ac:dyDescent="0.25">
      <c r="A48" s="127">
        <v>1.45</v>
      </c>
      <c r="B48" s="128">
        <v>1</v>
      </c>
      <c r="C48" s="128">
        <v>1.02</v>
      </c>
      <c r="D48" s="128">
        <v>1.04</v>
      </c>
      <c r="E48" s="128">
        <v>1.05</v>
      </c>
      <c r="F48" s="128">
        <v>1.07</v>
      </c>
      <c r="G48" s="128">
        <v>1.08</v>
      </c>
      <c r="H48" s="128">
        <v>1.1000000000000001</v>
      </c>
      <c r="I48" s="128">
        <v>1.1100000000000001</v>
      </c>
      <c r="J48" s="128">
        <v>1.1299999999999999</v>
      </c>
      <c r="K48" s="128">
        <v>1.1399999999999999</v>
      </c>
      <c r="L48" s="128">
        <v>1.1499999999999999</v>
      </c>
      <c r="M48" s="128">
        <v>1.17</v>
      </c>
      <c r="N48" s="128">
        <v>1.18</v>
      </c>
      <c r="O48" s="128">
        <v>1.19</v>
      </c>
      <c r="P48" s="128">
        <v>1.2</v>
      </c>
      <c r="Q48" s="128">
        <v>1.21</v>
      </c>
      <c r="R48" s="128">
        <v>1.23</v>
      </c>
      <c r="S48" s="128">
        <v>1.24</v>
      </c>
      <c r="T48" s="128">
        <v>1.25</v>
      </c>
      <c r="U48" s="128">
        <v>1.26</v>
      </c>
      <c r="V48" s="128">
        <v>1.27</v>
      </c>
      <c r="W48" s="128">
        <v>1.28</v>
      </c>
      <c r="X48" s="128">
        <v>1.29</v>
      </c>
      <c r="Y48" s="128">
        <v>1.29</v>
      </c>
      <c r="Z48" s="128">
        <v>1.3</v>
      </c>
      <c r="AA48" s="128">
        <v>1.31</v>
      </c>
      <c r="AB48" s="128">
        <v>1.32</v>
      </c>
      <c r="AC48" s="128">
        <v>1.33</v>
      </c>
      <c r="AD48" s="128">
        <v>1.34</v>
      </c>
      <c r="AE48" s="128">
        <v>1.35</v>
      </c>
      <c r="AF48" s="128">
        <v>1.35</v>
      </c>
      <c r="AG48" s="128">
        <v>1.36</v>
      </c>
      <c r="AH48" s="128">
        <v>1.37</v>
      </c>
      <c r="AI48" s="128">
        <v>1.38</v>
      </c>
      <c r="AJ48" s="128">
        <v>1.38</v>
      </c>
      <c r="AK48" s="128">
        <v>1.39</v>
      </c>
      <c r="AL48" s="128">
        <v>1.4</v>
      </c>
      <c r="AM48" s="128">
        <v>1.4</v>
      </c>
      <c r="AN48" s="128">
        <v>1.41</v>
      </c>
      <c r="AO48" s="128">
        <v>1.41</v>
      </c>
      <c r="AP48" s="128">
        <v>1.42</v>
      </c>
      <c r="AQ48" s="128">
        <v>1.43</v>
      </c>
      <c r="AR48" s="128">
        <v>1.43</v>
      </c>
      <c r="AS48" s="128">
        <v>1.44</v>
      </c>
      <c r="AT48" s="128">
        <v>1.44</v>
      </c>
      <c r="AU48" s="128">
        <v>1.45</v>
      </c>
      <c r="AV48" s="128">
        <v>1.46</v>
      </c>
      <c r="AW48" s="128">
        <v>1.47</v>
      </c>
      <c r="AX48" s="128">
        <v>1.48</v>
      </c>
      <c r="AY48" s="128">
        <v>1.49</v>
      </c>
      <c r="AZ48" s="128">
        <v>1.5</v>
      </c>
      <c r="BA48" s="128">
        <v>1.51</v>
      </c>
      <c r="BB48" s="128">
        <v>1.52</v>
      </c>
      <c r="BC48" s="128">
        <v>1.53</v>
      </c>
      <c r="BD48" s="128">
        <v>1.54</v>
      </c>
      <c r="BE48" s="128">
        <v>1.55</v>
      </c>
      <c r="BF48" s="128">
        <v>1.56</v>
      </c>
      <c r="BG48" s="128">
        <v>1.56</v>
      </c>
      <c r="BH48" s="128">
        <v>1.57</v>
      </c>
      <c r="BI48" s="128">
        <v>1.57</v>
      </c>
      <c r="BJ48" s="128">
        <v>1.58</v>
      </c>
      <c r="BK48" s="128">
        <v>1.59</v>
      </c>
      <c r="BL48" s="128">
        <v>1.59</v>
      </c>
      <c r="BM48" s="128">
        <v>1.6</v>
      </c>
      <c r="BN48" s="128">
        <v>1.6</v>
      </c>
      <c r="BO48" s="128">
        <v>1.61</v>
      </c>
      <c r="BP48" s="128">
        <v>1.62</v>
      </c>
      <c r="BQ48" s="128">
        <v>1.63</v>
      </c>
      <c r="BR48" s="128">
        <v>1.63</v>
      </c>
      <c r="BS48" s="128">
        <v>1.64</v>
      </c>
      <c r="BT48" s="128">
        <v>1.65</v>
      </c>
      <c r="BU48" s="128">
        <v>1.65</v>
      </c>
      <c r="BV48" s="128">
        <v>1.66</v>
      </c>
      <c r="BW48" s="128">
        <v>1.67</v>
      </c>
      <c r="BX48" s="128">
        <v>1.68</v>
      </c>
      <c r="BY48" s="128">
        <v>1.69</v>
      </c>
      <c r="BZ48" s="128">
        <v>1.7</v>
      </c>
      <c r="CA48" s="128">
        <v>1.71</v>
      </c>
      <c r="CB48" s="128">
        <v>1.71</v>
      </c>
      <c r="CC48" s="128">
        <v>1.72</v>
      </c>
      <c r="CD48" s="128">
        <v>1.73</v>
      </c>
      <c r="CE48" s="128">
        <v>1.74</v>
      </c>
      <c r="CF48" s="128">
        <v>1.75</v>
      </c>
      <c r="CG48" s="128">
        <v>1.76</v>
      </c>
      <c r="CH48" s="128">
        <v>1.77</v>
      </c>
      <c r="CI48" s="128">
        <v>1.79</v>
      </c>
      <c r="CJ48" s="128">
        <v>1.8</v>
      </c>
      <c r="CK48" s="128">
        <v>1.81</v>
      </c>
      <c r="CL48" s="128">
        <v>1.82</v>
      </c>
      <c r="CM48" s="128">
        <v>1.83</v>
      </c>
      <c r="CN48" s="128">
        <v>1.85</v>
      </c>
      <c r="CO48" s="128">
        <v>1.86</v>
      </c>
      <c r="CP48" s="128">
        <v>1.87</v>
      </c>
      <c r="CQ48" s="128">
        <v>1.89</v>
      </c>
      <c r="CR48" s="128">
        <v>1.9</v>
      </c>
      <c r="CS48" s="128">
        <v>1.92</v>
      </c>
      <c r="CT48" s="128">
        <v>1.93</v>
      </c>
      <c r="CU48" s="128">
        <v>1.95</v>
      </c>
      <c r="CV48" s="128">
        <v>1.96</v>
      </c>
      <c r="CW48" s="128">
        <v>1.98</v>
      </c>
      <c r="CX48" s="128">
        <v>2</v>
      </c>
      <c r="CZ48" s="126">
        <f>SUMIF(MatrixF2[[1]:[2]],MatrixF2[[#This Row],[Столбец1]])/MatrixF2[[#This Row],[Столбец1]]</f>
        <v>108.99999999999996</v>
      </c>
    </row>
    <row r="49" spans="1:104" ht="21" customHeight="1" x14ac:dyDescent="0.25">
      <c r="A49" s="127">
        <v>1.46</v>
      </c>
      <c r="B49" s="128">
        <v>1</v>
      </c>
      <c r="C49" s="128">
        <v>1.02</v>
      </c>
      <c r="D49" s="128">
        <v>1.04</v>
      </c>
      <c r="E49" s="128">
        <v>1.05</v>
      </c>
      <c r="F49" s="128">
        <v>1.07</v>
      </c>
      <c r="G49" s="128">
        <v>1.08</v>
      </c>
      <c r="H49" s="128">
        <v>1.1000000000000001</v>
      </c>
      <c r="I49" s="128">
        <v>1.1100000000000001</v>
      </c>
      <c r="J49" s="128">
        <v>1.1299999999999999</v>
      </c>
      <c r="K49" s="128">
        <v>1.1399999999999999</v>
      </c>
      <c r="L49" s="128">
        <v>1.1599999999999999</v>
      </c>
      <c r="M49" s="128">
        <v>1.17</v>
      </c>
      <c r="N49" s="128">
        <v>1.18</v>
      </c>
      <c r="O49" s="128">
        <v>1.19</v>
      </c>
      <c r="P49" s="128">
        <v>1.21</v>
      </c>
      <c r="Q49" s="128">
        <v>1.22</v>
      </c>
      <c r="R49" s="128">
        <v>1.23</v>
      </c>
      <c r="S49" s="128">
        <v>1.24</v>
      </c>
      <c r="T49" s="128">
        <v>1.25</v>
      </c>
      <c r="U49" s="128">
        <v>1.26</v>
      </c>
      <c r="V49" s="128">
        <v>1.27</v>
      </c>
      <c r="W49" s="128">
        <v>1.28</v>
      </c>
      <c r="X49" s="128">
        <v>1.29</v>
      </c>
      <c r="Y49" s="128">
        <v>1.3</v>
      </c>
      <c r="Z49" s="128">
        <v>1.31</v>
      </c>
      <c r="AA49" s="128">
        <v>1.32</v>
      </c>
      <c r="AB49" s="128">
        <v>1.32</v>
      </c>
      <c r="AC49" s="128">
        <v>1.33</v>
      </c>
      <c r="AD49" s="128">
        <v>1.34</v>
      </c>
      <c r="AE49" s="128">
        <v>1.35</v>
      </c>
      <c r="AF49" s="128">
        <v>1.36</v>
      </c>
      <c r="AG49" s="128">
        <v>1.36</v>
      </c>
      <c r="AH49" s="128">
        <v>1.37</v>
      </c>
      <c r="AI49" s="128">
        <v>1.38</v>
      </c>
      <c r="AJ49" s="128">
        <v>1.39</v>
      </c>
      <c r="AK49" s="128">
        <v>1.39</v>
      </c>
      <c r="AL49" s="128">
        <v>1.4</v>
      </c>
      <c r="AM49" s="128">
        <v>1.41</v>
      </c>
      <c r="AN49" s="128">
        <v>1.41</v>
      </c>
      <c r="AO49" s="128">
        <v>1.42</v>
      </c>
      <c r="AP49" s="128">
        <v>1.43</v>
      </c>
      <c r="AQ49" s="128">
        <v>1.43</v>
      </c>
      <c r="AR49" s="128">
        <v>1.44</v>
      </c>
      <c r="AS49" s="128">
        <v>1.44</v>
      </c>
      <c r="AT49" s="128">
        <v>1.45</v>
      </c>
      <c r="AU49" s="128">
        <v>1.45</v>
      </c>
      <c r="AV49" s="128">
        <v>1.46</v>
      </c>
      <c r="AW49" s="128">
        <v>1.47</v>
      </c>
      <c r="AX49" s="128">
        <v>1.48</v>
      </c>
      <c r="AY49" s="128">
        <v>1.49</v>
      </c>
      <c r="AZ49" s="128">
        <v>1.5</v>
      </c>
      <c r="BA49" s="128">
        <v>1.51</v>
      </c>
      <c r="BB49" s="128">
        <v>1.52</v>
      </c>
      <c r="BC49" s="128">
        <v>1.53</v>
      </c>
      <c r="BD49" s="128">
        <v>1.54</v>
      </c>
      <c r="BE49" s="128">
        <v>1.55</v>
      </c>
      <c r="BF49" s="128">
        <v>1.55</v>
      </c>
      <c r="BG49" s="128">
        <v>1.56</v>
      </c>
      <c r="BH49" s="128">
        <v>1.56</v>
      </c>
      <c r="BI49" s="128">
        <v>1.57</v>
      </c>
      <c r="BJ49" s="128">
        <v>1.57</v>
      </c>
      <c r="BK49" s="128">
        <v>1.58</v>
      </c>
      <c r="BL49" s="128">
        <v>1.59</v>
      </c>
      <c r="BM49" s="128">
        <v>1.59</v>
      </c>
      <c r="BN49" s="128">
        <v>1.6</v>
      </c>
      <c r="BO49" s="128">
        <v>1.61</v>
      </c>
      <c r="BP49" s="128">
        <v>1.61</v>
      </c>
      <c r="BQ49" s="128">
        <v>1.62</v>
      </c>
      <c r="BR49" s="128">
        <v>1.63</v>
      </c>
      <c r="BS49" s="128">
        <v>1.64</v>
      </c>
      <c r="BT49" s="128">
        <v>1.64</v>
      </c>
      <c r="BU49" s="128">
        <v>1.65</v>
      </c>
      <c r="BV49" s="128">
        <v>1.66</v>
      </c>
      <c r="BW49" s="128">
        <v>1.67</v>
      </c>
      <c r="BX49" s="128">
        <v>1.68</v>
      </c>
      <c r="BY49" s="128">
        <v>1.68</v>
      </c>
      <c r="BZ49" s="128">
        <v>1.69</v>
      </c>
      <c r="CA49" s="128">
        <v>1.7</v>
      </c>
      <c r="CB49" s="128">
        <v>1.71</v>
      </c>
      <c r="CC49" s="128">
        <v>1.72</v>
      </c>
      <c r="CD49" s="128">
        <v>1.73</v>
      </c>
      <c r="CE49" s="128">
        <v>1.74</v>
      </c>
      <c r="CF49" s="128">
        <v>1.75</v>
      </c>
      <c r="CG49" s="128">
        <v>1.76</v>
      </c>
      <c r="CH49" s="128">
        <v>1.77</v>
      </c>
      <c r="CI49" s="128">
        <v>1.78</v>
      </c>
      <c r="CJ49" s="128">
        <v>1.79</v>
      </c>
      <c r="CK49" s="128">
        <v>1.81</v>
      </c>
      <c r="CL49" s="128">
        <v>1.82</v>
      </c>
      <c r="CM49" s="128">
        <v>1.83</v>
      </c>
      <c r="CN49" s="128">
        <v>1.84</v>
      </c>
      <c r="CO49" s="128">
        <v>1.86</v>
      </c>
      <c r="CP49" s="128">
        <v>1.87</v>
      </c>
      <c r="CQ49" s="128">
        <v>1.89</v>
      </c>
      <c r="CR49" s="128">
        <v>1.9</v>
      </c>
      <c r="CS49" s="128">
        <v>1.92</v>
      </c>
      <c r="CT49" s="128">
        <v>1.93</v>
      </c>
      <c r="CU49" s="128">
        <v>1.95</v>
      </c>
      <c r="CV49" s="128">
        <v>1.96</v>
      </c>
      <c r="CW49" s="128">
        <v>1.98</v>
      </c>
      <c r="CX49" s="128">
        <v>2</v>
      </c>
      <c r="CZ49" s="126">
        <f>SUMIF(MatrixF2[[1]:[2]],MatrixF2[[#This Row],[Столбец1]])/MatrixF2[[#This Row],[Столбец1]]</f>
        <v>107.99999999999994</v>
      </c>
    </row>
    <row r="50" spans="1:104" ht="21" customHeight="1" x14ac:dyDescent="0.25">
      <c r="A50" s="127">
        <v>1.47</v>
      </c>
      <c r="B50" s="128">
        <v>1</v>
      </c>
      <c r="C50" s="128">
        <v>1.02</v>
      </c>
      <c r="D50" s="128">
        <v>1.04</v>
      </c>
      <c r="E50" s="128">
        <v>1.05</v>
      </c>
      <c r="F50" s="128">
        <v>1.07</v>
      </c>
      <c r="G50" s="128">
        <v>1.0900000000000001</v>
      </c>
      <c r="H50" s="128">
        <v>1.1000000000000001</v>
      </c>
      <c r="I50" s="128">
        <v>1.1200000000000001</v>
      </c>
      <c r="J50" s="128">
        <v>1.1299999999999999</v>
      </c>
      <c r="K50" s="128">
        <v>1.1499999999999999</v>
      </c>
      <c r="L50" s="128">
        <v>1.1599999999999999</v>
      </c>
      <c r="M50" s="128">
        <v>1.17</v>
      </c>
      <c r="N50" s="128">
        <v>1.18</v>
      </c>
      <c r="O50" s="128">
        <v>1.2</v>
      </c>
      <c r="P50" s="128">
        <v>1.21</v>
      </c>
      <c r="Q50" s="128">
        <v>1.22</v>
      </c>
      <c r="R50" s="128">
        <v>1.23</v>
      </c>
      <c r="S50" s="128">
        <v>1.24</v>
      </c>
      <c r="T50" s="128">
        <v>1.25</v>
      </c>
      <c r="U50" s="128">
        <v>1.26</v>
      </c>
      <c r="V50" s="128">
        <v>1.27</v>
      </c>
      <c r="W50" s="128">
        <v>1.28</v>
      </c>
      <c r="X50" s="128">
        <v>1.29</v>
      </c>
      <c r="Y50" s="128">
        <v>1.3</v>
      </c>
      <c r="Z50" s="128">
        <v>1.31</v>
      </c>
      <c r="AA50" s="128">
        <v>1.32</v>
      </c>
      <c r="AB50" s="128">
        <v>1.33</v>
      </c>
      <c r="AC50" s="128">
        <v>1.34</v>
      </c>
      <c r="AD50" s="128">
        <v>1.35</v>
      </c>
      <c r="AE50" s="128">
        <v>1.35</v>
      </c>
      <c r="AF50" s="128">
        <v>1.36</v>
      </c>
      <c r="AG50" s="128">
        <v>1.37</v>
      </c>
      <c r="AH50" s="128">
        <v>1.38</v>
      </c>
      <c r="AI50" s="128">
        <v>1.38</v>
      </c>
      <c r="AJ50" s="128">
        <v>1.39</v>
      </c>
      <c r="AK50" s="128">
        <v>1.4</v>
      </c>
      <c r="AL50" s="128">
        <v>1.4</v>
      </c>
      <c r="AM50" s="128">
        <v>1.41</v>
      </c>
      <c r="AN50" s="128">
        <v>1.42</v>
      </c>
      <c r="AO50" s="128">
        <v>1.42</v>
      </c>
      <c r="AP50" s="128">
        <v>1.43</v>
      </c>
      <c r="AQ50" s="128">
        <v>1.44</v>
      </c>
      <c r="AR50" s="128">
        <v>1.44</v>
      </c>
      <c r="AS50" s="128">
        <v>1.45</v>
      </c>
      <c r="AT50" s="128">
        <v>1.45</v>
      </c>
      <c r="AU50" s="128">
        <v>1.46</v>
      </c>
      <c r="AV50" s="128">
        <v>1.46</v>
      </c>
      <c r="AW50" s="128">
        <v>1.47</v>
      </c>
      <c r="AX50" s="128">
        <v>1.48</v>
      </c>
      <c r="AY50" s="128">
        <v>1.49</v>
      </c>
      <c r="AZ50" s="128">
        <v>1.5</v>
      </c>
      <c r="BA50" s="128">
        <v>1.51</v>
      </c>
      <c r="BB50" s="128">
        <v>1.52</v>
      </c>
      <c r="BC50" s="128">
        <v>1.53</v>
      </c>
      <c r="BD50" s="128">
        <v>1.54</v>
      </c>
      <c r="BE50" s="128">
        <v>1.54</v>
      </c>
      <c r="BF50" s="128">
        <v>1.55</v>
      </c>
      <c r="BG50" s="128">
        <v>1.55</v>
      </c>
      <c r="BH50" s="128">
        <v>1.56</v>
      </c>
      <c r="BI50" s="128">
        <v>1.56</v>
      </c>
      <c r="BJ50" s="128">
        <v>1.57</v>
      </c>
      <c r="BK50" s="128">
        <v>1.58</v>
      </c>
      <c r="BL50" s="128">
        <v>1.58</v>
      </c>
      <c r="BM50" s="128">
        <v>1.59</v>
      </c>
      <c r="BN50" s="128">
        <v>1.6</v>
      </c>
      <c r="BO50" s="128">
        <v>1.6</v>
      </c>
      <c r="BP50" s="128">
        <v>1.61</v>
      </c>
      <c r="BQ50" s="128">
        <v>1.62</v>
      </c>
      <c r="BR50" s="128">
        <v>1.62</v>
      </c>
      <c r="BS50" s="128">
        <v>1.63</v>
      </c>
      <c r="BT50" s="128">
        <v>1.64</v>
      </c>
      <c r="BU50" s="128">
        <v>1.65</v>
      </c>
      <c r="BV50" s="128">
        <v>1.65</v>
      </c>
      <c r="BW50" s="128">
        <v>1.66</v>
      </c>
      <c r="BX50" s="128">
        <v>1.67</v>
      </c>
      <c r="BY50" s="128">
        <v>1.68</v>
      </c>
      <c r="BZ50" s="128">
        <v>1.69</v>
      </c>
      <c r="CA50" s="128">
        <v>1.7</v>
      </c>
      <c r="CB50" s="128">
        <v>1.71</v>
      </c>
      <c r="CC50" s="128">
        <v>1.72</v>
      </c>
      <c r="CD50" s="128">
        <v>1.73</v>
      </c>
      <c r="CE50" s="128">
        <v>1.74</v>
      </c>
      <c r="CF50" s="128">
        <v>1.75</v>
      </c>
      <c r="CG50" s="128">
        <v>1.76</v>
      </c>
      <c r="CH50" s="128">
        <v>1.77</v>
      </c>
      <c r="CI50" s="128">
        <v>1.78</v>
      </c>
      <c r="CJ50" s="128">
        <v>1.79</v>
      </c>
      <c r="CK50" s="128">
        <v>1.8</v>
      </c>
      <c r="CL50" s="128">
        <v>1.82</v>
      </c>
      <c r="CM50" s="128">
        <v>1.83</v>
      </c>
      <c r="CN50" s="128">
        <v>1.84</v>
      </c>
      <c r="CO50" s="128">
        <v>1.85</v>
      </c>
      <c r="CP50" s="128">
        <v>1.87</v>
      </c>
      <c r="CQ50" s="128">
        <v>1.88</v>
      </c>
      <c r="CR50" s="128">
        <v>1.9</v>
      </c>
      <c r="CS50" s="128">
        <v>1.91</v>
      </c>
      <c r="CT50" s="128">
        <v>1.93</v>
      </c>
      <c r="CU50" s="128">
        <v>1.95</v>
      </c>
      <c r="CV50" s="128">
        <v>1.96</v>
      </c>
      <c r="CW50" s="128">
        <v>1.98</v>
      </c>
      <c r="CX50" s="128">
        <v>2</v>
      </c>
      <c r="CZ50" s="126">
        <f>SUMIF(MatrixF2[[1]:[2]],MatrixF2[[#This Row],[Столбец1]])/MatrixF2[[#This Row],[Столбец1]]</f>
        <v>105.99999999999994</v>
      </c>
    </row>
    <row r="51" spans="1:104" ht="21" customHeight="1" x14ac:dyDescent="0.25">
      <c r="A51" s="127">
        <v>1.48</v>
      </c>
      <c r="B51" s="128">
        <v>1</v>
      </c>
      <c r="C51" s="128">
        <v>1.02</v>
      </c>
      <c r="D51" s="128">
        <v>1.04</v>
      </c>
      <c r="E51" s="128">
        <v>1.05</v>
      </c>
      <c r="F51" s="128">
        <v>1.07</v>
      </c>
      <c r="G51" s="128">
        <v>1.0900000000000001</v>
      </c>
      <c r="H51" s="128">
        <v>1.1000000000000001</v>
      </c>
      <c r="I51" s="128">
        <v>1.1200000000000001</v>
      </c>
      <c r="J51" s="128">
        <v>1.1299999999999999</v>
      </c>
      <c r="K51" s="128">
        <v>1.1499999999999999</v>
      </c>
      <c r="L51" s="128">
        <v>1.1599999999999999</v>
      </c>
      <c r="M51" s="128">
        <v>1.17</v>
      </c>
      <c r="N51" s="128">
        <v>1.19</v>
      </c>
      <c r="O51" s="128">
        <v>1.2</v>
      </c>
      <c r="P51" s="128">
        <v>1.21</v>
      </c>
      <c r="Q51" s="128">
        <v>1.22</v>
      </c>
      <c r="R51" s="128">
        <v>1.24</v>
      </c>
      <c r="S51" s="128">
        <v>1.25</v>
      </c>
      <c r="T51" s="128">
        <v>1.26</v>
      </c>
      <c r="U51" s="128">
        <v>1.27</v>
      </c>
      <c r="V51" s="128">
        <v>1.28</v>
      </c>
      <c r="W51" s="128">
        <v>1.29</v>
      </c>
      <c r="X51" s="128">
        <v>1.3</v>
      </c>
      <c r="Y51" s="128">
        <v>1.31</v>
      </c>
      <c r="Z51" s="128">
        <v>1.32</v>
      </c>
      <c r="AA51" s="128">
        <v>1.32</v>
      </c>
      <c r="AB51" s="128">
        <v>1.33</v>
      </c>
      <c r="AC51" s="128">
        <v>1.34</v>
      </c>
      <c r="AD51" s="128">
        <v>1.35</v>
      </c>
      <c r="AE51" s="128">
        <v>1.36</v>
      </c>
      <c r="AF51" s="128">
        <v>1.37</v>
      </c>
      <c r="AG51" s="128">
        <v>1.37</v>
      </c>
      <c r="AH51" s="128">
        <v>1.38</v>
      </c>
      <c r="AI51" s="128">
        <v>1.39</v>
      </c>
      <c r="AJ51" s="128">
        <v>1.4</v>
      </c>
      <c r="AK51" s="128">
        <v>1.4</v>
      </c>
      <c r="AL51" s="128">
        <v>1.41</v>
      </c>
      <c r="AM51" s="128">
        <v>1.42</v>
      </c>
      <c r="AN51" s="128">
        <v>1.42</v>
      </c>
      <c r="AO51" s="128">
        <v>1.43</v>
      </c>
      <c r="AP51" s="128">
        <v>1.43</v>
      </c>
      <c r="AQ51" s="128">
        <v>1.44</v>
      </c>
      <c r="AR51" s="128">
        <v>1.45</v>
      </c>
      <c r="AS51" s="128">
        <v>1.45</v>
      </c>
      <c r="AT51" s="128">
        <v>1.46</v>
      </c>
      <c r="AU51" s="128">
        <v>1.46</v>
      </c>
      <c r="AV51" s="128">
        <v>1.47</v>
      </c>
      <c r="AW51" s="128">
        <v>1.47</v>
      </c>
      <c r="AX51" s="128">
        <v>1.48</v>
      </c>
      <c r="AY51" s="128">
        <v>1.49</v>
      </c>
      <c r="AZ51" s="128">
        <v>1.5</v>
      </c>
      <c r="BA51" s="128">
        <v>1.51</v>
      </c>
      <c r="BB51" s="128">
        <v>1.52</v>
      </c>
      <c r="BC51" s="128">
        <v>1.53</v>
      </c>
      <c r="BD51" s="128">
        <v>1.53</v>
      </c>
      <c r="BE51" s="128">
        <v>1.54</v>
      </c>
      <c r="BF51" s="128">
        <v>1.54</v>
      </c>
      <c r="BG51" s="128">
        <v>1.55</v>
      </c>
      <c r="BH51" s="128">
        <v>1.55</v>
      </c>
      <c r="BI51" s="128">
        <v>1.56</v>
      </c>
      <c r="BJ51" s="128">
        <v>1.57</v>
      </c>
      <c r="BK51" s="128">
        <v>1.57</v>
      </c>
      <c r="BL51" s="128">
        <v>1.58</v>
      </c>
      <c r="BM51" s="128">
        <v>1.58</v>
      </c>
      <c r="BN51" s="128">
        <v>1.59</v>
      </c>
      <c r="BO51" s="128">
        <v>1.6</v>
      </c>
      <c r="BP51" s="128">
        <v>1.6</v>
      </c>
      <c r="BQ51" s="128">
        <v>1.61</v>
      </c>
      <c r="BR51" s="128">
        <v>1.62</v>
      </c>
      <c r="BS51" s="128">
        <v>1.63</v>
      </c>
      <c r="BT51" s="128">
        <v>1.63</v>
      </c>
      <c r="BU51" s="128">
        <v>1.64</v>
      </c>
      <c r="BV51" s="128">
        <v>1.65</v>
      </c>
      <c r="BW51" s="128">
        <v>1.66</v>
      </c>
      <c r="BX51" s="128">
        <v>1.67</v>
      </c>
      <c r="BY51" s="128">
        <v>1.68</v>
      </c>
      <c r="BZ51" s="128">
        <v>1.68</v>
      </c>
      <c r="CA51" s="128">
        <v>1.69</v>
      </c>
      <c r="CB51" s="128">
        <v>1.7</v>
      </c>
      <c r="CC51" s="128">
        <v>1.71</v>
      </c>
      <c r="CD51" s="128">
        <v>1.72</v>
      </c>
      <c r="CE51" s="128">
        <v>1.73</v>
      </c>
      <c r="CF51" s="128">
        <v>1.74</v>
      </c>
      <c r="CG51" s="128">
        <v>1.75</v>
      </c>
      <c r="CH51" s="128">
        <v>1.76</v>
      </c>
      <c r="CI51" s="128">
        <v>1.78</v>
      </c>
      <c r="CJ51" s="128">
        <v>1.79</v>
      </c>
      <c r="CK51" s="128">
        <v>1.8</v>
      </c>
      <c r="CL51" s="128">
        <v>1.81</v>
      </c>
      <c r="CM51" s="128">
        <v>1.83</v>
      </c>
      <c r="CN51" s="128">
        <v>1.84</v>
      </c>
      <c r="CO51" s="128">
        <v>1.85</v>
      </c>
      <c r="CP51" s="128">
        <v>1.87</v>
      </c>
      <c r="CQ51" s="128">
        <v>1.88</v>
      </c>
      <c r="CR51" s="128">
        <v>1.9</v>
      </c>
      <c r="CS51" s="128">
        <v>1.91</v>
      </c>
      <c r="CT51" s="128">
        <v>1.93</v>
      </c>
      <c r="CU51" s="128">
        <v>1.95</v>
      </c>
      <c r="CV51" s="128">
        <v>1.96</v>
      </c>
      <c r="CW51" s="128">
        <v>1.98</v>
      </c>
      <c r="CX51" s="128">
        <v>2</v>
      </c>
      <c r="CZ51" s="126">
        <f>SUMIF(MatrixF2[[1]:[2]],MatrixF2[[#This Row],[Столбец1]])/MatrixF2[[#This Row],[Столбец1]]</f>
        <v>103.99999999999996</v>
      </c>
    </row>
    <row r="52" spans="1:104" ht="21" customHeight="1" x14ac:dyDescent="0.25">
      <c r="A52" s="127">
        <v>1.49</v>
      </c>
      <c r="B52" s="128">
        <v>1</v>
      </c>
      <c r="C52" s="128">
        <v>1.02</v>
      </c>
      <c r="D52" s="128">
        <v>1.04</v>
      </c>
      <c r="E52" s="128">
        <v>1.06</v>
      </c>
      <c r="F52" s="128">
        <v>1.07</v>
      </c>
      <c r="G52" s="128">
        <v>1.0900000000000001</v>
      </c>
      <c r="H52" s="128">
        <v>1.1100000000000001</v>
      </c>
      <c r="I52" s="128">
        <v>1.1200000000000001</v>
      </c>
      <c r="J52" s="128">
        <v>1.1399999999999999</v>
      </c>
      <c r="K52" s="128">
        <v>1.1499999999999999</v>
      </c>
      <c r="L52" s="128">
        <v>1.1599999999999999</v>
      </c>
      <c r="M52" s="128">
        <v>1.18</v>
      </c>
      <c r="N52" s="128">
        <v>1.19</v>
      </c>
      <c r="O52" s="128">
        <v>1.2</v>
      </c>
      <c r="P52" s="128">
        <v>1.22</v>
      </c>
      <c r="Q52" s="128">
        <v>1.23</v>
      </c>
      <c r="R52" s="128">
        <v>1.24</v>
      </c>
      <c r="S52" s="128">
        <v>1.25</v>
      </c>
      <c r="T52" s="128">
        <v>1.26</v>
      </c>
      <c r="U52" s="128">
        <v>1.27</v>
      </c>
      <c r="V52" s="128">
        <v>1.28</v>
      </c>
      <c r="W52" s="128">
        <v>1.29</v>
      </c>
      <c r="X52" s="128">
        <v>1.3</v>
      </c>
      <c r="Y52" s="128">
        <v>1.31</v>
      </c>
      <c r="Z52" s="128">
        <v>1.32</v>
      </c>
      <c r="AA52" s="128">
        <v>1.33</v>
      </c>
      <c r="AB52" s="128">
        <v>1.34</v>
      </c>
      <c r="AC52" s="128">
        <v>1.35</v>
      </c>
      <c r="AD52" s="128">
        <v>1.35</v>
      </c>
      <c r="AE52" s="128">
        <v>1.36</v>
      </c>
      <c r="AF52" s="128">
        <v>1.37</v>
      </c>
      <c r="AG52" s="128">
        <v>1.38</v>
      </c>
      <c r="AH52" s="128">
        <v>1.39</v>
      </c>
      <c r="AI52" s="128">
        <v>1.39</v>
      </c>
      <c r="AJ52" s="128">
        <v>1.4</v>
      </c>
      <c r="AK52" s="128">
        <v>1.41</v>
      </c>
      <c r="AL52" s="128">
        <v>1.41</v>
      </c>
      <c r="AM52" s="128">
        <v>1.42</v>
      </c>
      <c r="AN52" s="128">
        <v>1.43</v>
      </c>
      <c r="AO52" s="128">
        <v>1.43</v>
      </c>
      <c r="AP52" s="128">
        <v>1.44</v>
      </c>
      <c r="AQ52" s="128">
        <v>1.45</v>
      </c>
      <c r="AR52" s="128">
        <v>1.45</v>
      </c>
      <c r="AS52" s="128">
        <v>1.46</v>
      </c>
      <c r="AT52" s="128">
        <v>1.46</v>
      </c>
      <c r="AU52" s="128">
        <v>1.47</v>
      </c>
      <c r="AV52" s="128">
        <v>1.47</v>
      </c>
      <c r="AW52" s="128">
        <v>1.48</v>
      </c>
      <c r="AX52" s="128">
        <v>1.48</v>
      </c>
      <c r="AY52" s="128">
        <v>1.49</v>
      </c>
      <c r="AZ52" s="128">
        <v>1.5</v>
      </c>
      <c r="BA52" s="128">
        <v>1.51</v>
      </c>
      <c r="BB52" s="128">
        <v>1.52</v>
      </c>
      <c r="BC52" s="128">
        <v>1.52</v>
      </c>
      <c r="BD52" s="128">
        <v>1.53</v>
      </c>
      <c r="BE52" s="128">
        <v>1.53</v>
      </c>
      <c r="BF52" s="128">
        <v>1.54</v>
      </c>
      <c r="BG52" s="128">
        <v>1.54</v>
      </c>
      <c r="BH52" s="128">
        <v>1.55</v>
      </c>
      <c r="BI52" s="128">
        <v>1.55</v>
      </c>
      <c r="BJ52" s="128">
        <v>1.56</v>
      </c>
      <c r="BK52" s="128">
        <v>1.57</v>
      </c>
      <c r="BL52" s="128">
        <v>1.57</v>
      </c>
      <c r="BM52" s="128">
        <v>1.58</v>
      </c>
      <c r="BN52" s="128">
        <v>1.59</v>
      </c>
      <c r="BO52" s="128">
        <v>1.59</v>
      </c>
      <c r="BP52" s="128">
        <v>1.6</v>
      </c>
      <c r="BQ52" s="128">
        <v>1.61</v>
      </c>
      <c r="BR52" s="128">
        <v>1.61</v>
      </c>
      <c r="BS52" s="128">
        <v>1.62</v>
      </c>
      <c r="BT52" s="128">
        <v>1.63</v>
      </c>
      <c r="BU52" s="128">
        <v>1.64</v>
      </c>
      <c r="BV52" s="128">
        <v>1.65</v>
      </c>
      <c r="BW52" s="128">
        <v>1.65</v>
      </c>
      <c r="BX52" s="128">
        <v>1.66</v>
      </c>
      <c r="BY52" s="128">
        <v>1.67</v>
      </c>
      <c r="BZ52" s="128">
        <v>1.68</v>
      </c>
      <c r="CA52" s="128">
        <v>1.69</v>
      </c>
      <c r="CB52" s="128">
        <v>1.7</v>
      </c>
      <c r="CC52" s="128">
        <v>1.71</v>
      </c>
      <c r="CD52" s="128">
        <v>1.72</v>
      </c>
      <c r="CE52" s="128">
        <v>1.73</v>
      </c>
      <c r="CF52" s="128">
        <v>1.74</v>
      </c>
      <c r="CG52" s="128">
        <v>1.75</v>
      </c>
      <c r="CH52" s="128">
        <v>1.76</v>
      </c>
      <c r="CI52" s="128">
        <v>1.77</v>
      </c>
      <c r="CJ52" s="128">
        <v>1.78</v>
      </c>
      <c r="CK52" s="128">
        <v>1.8</v>
      </c>
      <c r="CL52" s="128">
        <v>1.81</v>
      </c>
      <c r="CM52" s="128">
        <v>1.82</v>
      </c>
      <c r="CN52" s="128">
        <v>1.84</v>
      </c>
      <c r="CO52" s="128">
        <v>1.85</v>
      </c>
      <c r="CP52" s="128">
        <v>1.86</v>
      </c>
      <c r="CQ52" s="128">
        <v>1.88</v>
      </c>
      <c r="CR52" s="128">
        <v>1.89</v>
      </c>
      <c r="CS52" s="128">
        <v>1.91</v>
      </c>
      <c r="CT52" s="128">
        <v>1.93</v>
      </c>
      <c r="CU52" s="128">
        <v>1.94</v>
      </c>
      <c r="CV52" s="128">
        <v>1.96</v>
      </c>
      <c r="CW52" s="128">
        <v>1.98</v>
      </c>
      <c r="CX52" s="128">
        <v>2</v>
      </c>
      <c r="CZ52" s="126">
        <f>SUMIF(MatrixF2[[1]:[2]],MatrixF2[[#This Row],[Столбец1]])/MatrixF2[[#This Row],[Столбец1]]</f>
        <v>101.99999999999997</v>
      </c>
    </row>
    <row r="53" spans="1:104" ht="21" customHeight="1" x14ac:dyDescent="0.25">
      <c r="A53" s="127">
        <v>1.5</v>
      </c>
      <c r="B53" s="128">
        <v>1</v>
      </c>
      <c r="C53" s="128">
        <v>1.02</v>
      </c>
      <c r="D53" s="128">
        <v>1.04</v>
      </c>
      <c r="E53" s="128">
        <v>1.06</v>
      </c>
      <c r="F53" s="128">
        <v>1.07</v>
      </c>
      <c r="G53" s="128">
        <v>1.0900000000000001</v>
      </c>
      <c r="H53" s="128">
        <v>1.1100000000000001</v>
      </c>
      <c r="I53" s="128">
        <v>1.1200000000000001</v>
      </c>
      <c r="J53" s="128">
        <v>1.1399999999999999</v>
      </c>
      <c r="K53" s="128">
        <v>1.1499999999999999</v>
      </c>
      <c r="L53" s="128">
        <v>1.17</v>
      </c>
      <c r="M53" s="128">
        <v>1.18</v>
      </c>
      <c r="N53" s="128">
        <v>1.19</v>
      </c>
      <c r="O53" s="128">
        <v>1.21</v>
      </c>
      <c r="P53" s="128">
        <v>1.22</v>
      </c>
      <c r="Q53" s="128">
        <v>1.23</v>
      </c>
      <c r="R53" s="128">
        <v>1.24</v>
      </c>
      <c r="S53" s="128">
        <v>1.25</v>
      </c>
      <c r="T53" s="128">
        <v>1.26</v>
      </c>
      <c r="U53" s="128">
        <v>1.28</v>
      </c>
      <c r="V53" s="128">
        <v>1.29</v>
      </c>
      <c r="W53" s="128">
        <v>1.3</v>
      </c>
      <c r="X53" s="128">
        <v>1.31</v>
      </c>
      <c r="Y53" s="128">
        <v>1.32</v>
      </c>
      <c r="Z53" s="128">
        <v>1.32</v>
      </c>
      <c r="AA53" s="128">
        <v>1.33</v>
      </c>
      <c r="AB53" s="128">
        <v>1.34</v>
      </c>
      <c r="AC53" s="128">
        <v>1.35</v>
      </c>
      <c r="AD53" s="128">
        <v>1.36</v>
      </c>
      <c r="AE53" s="128">
        <v>1.37</v>
      </c>
      <c r="AF53" s="128">
        <v>1.38</v>
      </c>
      <c r="AG53" s="128">
        <v>1.38</v>
      </c>
      <c r="AH53" s="128">
        <v>1.39</v>
      </c>
      <c r="AI53" s="128">
        <v>1.4</v>
      </c>
      <c r="AJ53" s="128">
        <v>1.4</v>
      </c>
      <c r="AK53" s="128">
        <v>1.41</v>
      </c>
      <c r="AL53" s="128">
        <v>1.42</v>
      </c>
      <c r="AM53" s="128">
        <v>1.43</v>
      </c>
      <c r="AN53" s="128">
        <v>1.43</v>
      </c>
      <c r="AO53" s="128">
        <v>1.44</v>
      </c>
      <c r="AP53" s="128">
        <v>1.44</v>
      </c>
      <c r="AQ53" s="128">
        <v>1.45</v>
      </c>
      <c r="AR53" s="128">
        <v>1.46</v>
      </c>
      <c r="AS53" s="128">
        <v>1.46</v>
      </c>
      <c r="AT53" s="128">
        <v>1.47</v>
      </c>
      <c r="AU53" s="128">
        <v>1.47</v>
      </c>
      <c r="AV53" s="128">
        <v>1.48</v>
      </c>
      <c r="AW53" s="128">
        <v>1.48</v>
      </c>
      <c r="AX53" s="128">
        <v>1.49</v>
      </c>
      <c r="AY53" s="128">
        <v>1.49</v>
      </c>
      <c r="AZ53" s="128">
        <v>1.5</v>
      </c>
      <c r="BA53" s="128">
        <v>1.51</v>
      </c>
      <c r="BB53" s="128">
        <v>1.51</v>
      </c>
      <c r="BC53" s="128">
        <v>1.52</v>
      </c>
      <c r="BD53" s="128">
        <v>1.52</v>
      </c>
      <c r="BE53" s="128">
        <v>1.53</v>
      </c>
      <c r="BF53" s="128">
        <v>1.53</v>
      </c>
      <c r="BG53" s="128">
        <v>1.54</v>
      </c>
      <c r="BH53" s="128">
        <v>1.54</v>
      </c>
      <c r="BI53" s="128">
        <v>1.55</v>
      </c>
      <c r="BJ53" s="128">
        <v>1.56</v>
      </c>
      <c r="BK53" s="128">
        <v>1.56</v>
      </c>
      <c r="BL53" s="128">
        <v>1.57</v>
      </c>
      <c r="BM53" s="128">
        <v>1.57</v>
      </c>
      <c r="BN53" s="128">
        <v>1.58</v>
      </c>
      <c r="BO53" s="128">
        <v>1.59</v>
      </c>
      <c r="BP53" s="128">
        <v>1.6</v>
      </c>
      <c r="BQ53" s="128">
        <v>1.6</v>
      </c>
      <c r="BR53" s="128">
        <v>1.61</v>
      </c>
      <c r="BS53" s="128">
        <v>1.62</v>
      </c>
      <c r="BT53" s="128">
        <v>1.62</v>
      </c>
      <c r="BU53" s="128">
        <v>1.63</v>
      </c>
      <c r="BV53" s="128">
        <v>1.64</v>
      </c>
      <c r="BW53" s="128">
        <v>1.65</v>
      </c>
      <c r="BX53" s="128">
        <v>1.66</v>
      </c>
      <c r="BY53" s="128">
        <v>1.67</v>
      </c>
      <c r="BZ53" s="128">
        <v>1.68</v>
      </c>
      <c r="CA53" s="128">
        <v>1.68</v>
      </c>
      <c r="CB53" s="128">
        <v>1.69</v>
      </c>
      <c r="CC53" s="128">
        <v>1.7</v>
      </c>
      <c r="CD53" s="128">
        <v>1.71</v>
      </c>
      <c r="CE53" s="128">
        <v>1.72</v>
      </c>
      <c r="CF53" s="128">
        <v>1.74</v>
      </c>
      <c r="CG53" s="128">
        <v>1.75</v>
      </c>
      <c r="CH53" s="128">
        <v>1.76</v>
      </c>
      <c r="CI53" s="128">
        <v>1.77</v>
      </c>
      <c r="CJ53" s="128">
        <v>1.78</v>
      </c>
      <c r="CK53" s="128">
        <v>1.79</v>
      </c>
      <c r="CL53" s="128">
        <v>1.81</v>
      </c>
      <c r="CM53" s="128">
        <v>1.82</v>
      </c>
      <c r="CN53" s="128">
        <v>1.83</v>
      </c>
      <c r="CO53" s="128">
        <v>1.85</v>
      </c>
      <c r="CP53" s="128">
        <v>1.86</v>
      </c>
      <c r="CQ53" s="128">
        <v>1.88</v>
      </c>
      <c r="CR53" s="128">
        <v>1.89</v>
      </c>
      <c r="CS53" s="128">
        <v>1.91</v>
      </c>
      <c r="CT53" s="128">
        <v>1.93</v>
      </c>
      <c r="CU53" s="128">
        <v>1.94</v>
      </c>
      <c r="CV53" s="128">
        <v>1.96</v>
      </c>
      <c r="CW53" s="128">
        <v>1.98</v>
      </c>
      <c r="CX53" s="128">
        <v>2</v>
      </c>
      <c r="CZ53" s="126">
        <f>SUMIF(MatrixF2[[1]:[2]],MatrixF2[[#This Row],[Столбец1]])/MatrixF2[[#This Row],[Столбец1]]</f>
        <v>101</v>
      </c>
    </row>
    <row r="54" spans="1:104" ht="21" customHeight="1" x14ac:dyDescent="0.25">
      <c r="A54" s="127">
        <v>1.51</v>
      </c>
      <c r="B54" s="128">
        <v>1</v>
      </c>
      <c r="C54" s="128">
        <v>1.02</v>
      </c>
      <c r="D54" s="128">
        <v>1.04</v>
      </c>
      <c r="E54" s="128">
        <v>1.06</v>
      </c>
      <c r="F54" s="128">
        <v>1.07</v>
      </c>
      <c r="G54" s="128">
        <v>1.0900000000000001</v>
      </c>
      <c r="H54" s="128">
        <v>1.1100000000000001</v>
      </c>
      <c r="I54" s="128">
        <v>1.1200000000000001</v>
      </c>
      <c r="J54" s="128">
        <v>1.1399999999999999</v>
      </c>
      <c r="K54" s="128">
        <v>1.1499999999999999</v>
      </c>
      <c r="L54" s="128">
        <v>1.1599999999999999</v>
      </c>
      <c r="M54" s="128">
        <v>1.18</v>
      </c>
      <c r="N54" s="128">
        <v>1.19</v>
      </c>
      <c r="O54" s="128">
        <v>1.2</v>
      </c>
      <c r="P54" s="128">
        <v>1.22</v>
      </c>
      <c r="Q54" s="128">
        <v>1.23</v>
      </c>
      <c r="R54" s="128">
        <v>1.24</v>
      </c>
      <c r="S54" s="128">
        <v>1.25</v>
      </c>
      <c r="T54" s="128">
        <v>1.26</v>
      </c>
      <c r="U54" s="128">
        <v>1.27</v>
      </c>
      <c r="V54" s="128">
        <v>1.28</v>
      </c>
      <c r="W54" s="128">
        <v>1.29</v>
      </c>
      <c r="X54" s="128">
        <v>1.3</v>
      </c>
      <c r="Y54" s="128">
        <v>1.31</v>
      </c>
      <c r="Z54" s="128">
        <v>1.32</v>
      </c>
      <c r="AA54" s="128">
        <v>1.33</v>
      </c>
      <c r="AB54" s="128">
        <v>1.34</v>
      </c>
      <c r="AC54" s="128">
        <v>1.35</v>
      </c>
      <c r="AD54" s="128">
        <v>1.35</v>
      </c>
      <c r="AE54" s="128">
        <v>1.36</v>
      </c>
      <c r="AF54" s="128">
        <v>1.37</v>
      </c>
      <c r="AG54" s="128">
        <v>1.38</v>
      </c>
      <c r="AH54" s="128">
        <v>1.39</v>
      </c>
      <c r="AI54" s="128">
        <v>1.39</v>
      </c>
      <c r="AJ54" s="128">
        <v>1.4</v>
      </c>
      <c r="AK54" s="128">
        <v>1.41</v>
      </c>
      <c r="AL54" s="128">
        <v>1.41</v>
      </c>
      <c r="AM54" s="128">
        <v>1.42</v>
      </c>
      <c r="AN54" s="128">
        <v>1.43</v>
      </c>
      <c r="AO54" s="128">
        <v>1.43</v>
      </c>
      <c r="AP54" s="128">
        <v>1.44</v>
      </c>
      <c r="AQ54" s="128">
        <v>1.45</v>
      </c>
      <c r="AR54" s="128">
        <v>1.45</v>
      </c>
      <c r="AS54" s="128">
        <v>1.46</v>
      </c>
      <c r="AT54" s="128">
        <v>1.46</v>
      </c>
      <c r="AU54" s="128">
        <v>1.47</v>
      </c>
      <c r="AV54" s="128">
        <v>1.47</v>
      </c>
      <c r="AW54" s="128">
        <v>1.48</v>
      </c>
      <c r="AX54" s="128">
        <v>1.48</v>
      </c>
      <c r="AY54" s="128">
        <v>1.49</v>
      </c>
      <c r="AZ54" s="128">
        <v>1.5</v>
      </c>
      <c r="BA54" s="128">
        <v>1.51</v>
      </c>
      <c r="BB54" s="128">
        <v>1.52</v>
      </c>
      <c r="BC54" s="128">
        <v>1.52</v>
      </c>
      <c r="BD54" s="128">
        <v>1.53</v>
      </c>
      <c r="BE54" s="128">
        <v>1.53</v>
      </c>
      <c r="BF54" s="128">
        <v>1.54</v>
      </c>
      <c r="BG54" s="128">
        <v>1.54</v>
      </c>
      <c r="BH54" s="128">
        <v>1.55</v>
      </c>
      <c r="BI54" s="128">
        <v>1.55</v>
      </c>
      <c r="BJ54" s="128">
        <v>1.56</v>
      </c>
      <c r="BK54" s="128">
        <v>1.57</v>
      </c>
      <c r="BL54" s="128">
        <v>1.57</v>
      </c>
      <c r="BM54" s="128">
        <v>1.58</v>
      </c>
      <c r="BN54" s="128">
        <v>1.59</v>
      </c>
      <c r="BO54" s="128">
        <v>1.59</v>
      </c>
      <c r="BP54" s="128">
        <v>1.6</v>
      </c>
      <c r="BQ54" s="128">
        <v>1.61</v>
      </c>
      <c r="BR54" s="128">
        <v>1.61</v>
      </c>
      <c r="BS54" s="128">
        <v>1.62</v>
      </c>
      <c r="BT54" s="128">
        <v>1.63</v>
      </c>
      <c r="BU54" s="128">
        <v>1.64</v>
      </c>
      <c r="BV54" s="128">
        <v>1.65</v>
      </c>
      <c r="BW54" s="128">
        <v>1.65</v>
      </c>
      <c r="BX54" s="128">
        <v>1.66</v>
      </c>
      <c r="BY54" s="128">
        <v>1.67</v>
      </c>
      <c r="BZ54" s="128">
        <v>1.68</v>
      </c>
      <c r="CA54" s="128">
        <v>1.69</v>
      </c>
      <c r="CB54" s="128">
        <v>1.7</v>
      </c>
      <c r="CC54" s="128">
        <v>1.71</v>
      </c>
      <c r="CD54" s="128">
        <v>1.72</v>
      </c>
      <c r="CE54" s="128">
        <v>1.73</v>
      </c>
      <c r="CF54" s="128">
        <v>1.74</v>
      </c>
      <c r="CG54" s="128">
        <v>1.75</v>
      </c>
      <c r="CH54" s="128">
        <v>1.76</v>
      </c>
      <c r="CI54" s="128">
        <v>1.77</v>
      </c>
      <c r="CJ54" s="128">
        <v>1.78</v>
      </c>
      <c r="CK54" s="128">
        <v>1.8</v>
      </c>
      <c r="CL54" s="128">
        <v>1.81</v>
      </c>
      <c r="CM54" s="128">
        <v>1.82</v>
      </c>
      <c r="CN54" s="128">
        <v>1.84</v>
      </c>
      <c r="CO54" s="128">
        <v>1.85</v>
      </c>
      <c r="CP54" s="128">
        <v>1.86</v>
      </c>
      <c r="CQ54" s="128">
        <v>1.88</v>
      </c>
      <c r="CR54" s="128">
        <v>1.89</v>
      </c>
      <c r="CS54" s="128">
        <v>1.91</v>
      </c>
      <c r="CT54" s="128">
        <v>1.93</v>
      </c>
      <c r="CU54" s="128">
        <v>1.94</v>
      </c>
      <c r="CV54" s="128">
        <v>1.96</v>
      </c>
      <c r="CW54" s="128">
        <v>1.98</v>
      </c>
      <c r="CX54" s="128">
        <v>2</v>
      </c>
      <c r="CZ54" s="126">
        <f>SUMIF(MatrixF2[[1]:[2]],MatrixF2[[#This Row],[Столбец1]])/MatrixF2[[#This Row],[Столбец1]]</f>
        <v>102.00000000000003</v>
      </c>
    </row>
    <row r="55" spans="1:104" ht="21" customHeight="1" x14ac:dyDescent="0.25">
      <c r="A55" s="127">
        <v>1.52</v>
      </c>
      <c r="B55" s="128">
        <v>1</v>
      </c>
      <c r="C55" s="128">
        <v>1.02</v>
      </c>
      <c r="D55" s="128">
        <v>1.04</v>
      </c>
      <c r="E55" s="128">
        <v>1.05</v>
      </c>
      <c r="F55" s="128">
        <v>1.07</v>
      </c>
      <c r="G55" s="128">
        <v>1.0900000000000001</v>
      </c>
      <c r="H55" s="128">
        <v>1.1000000000000001</v>
      </c>
      <c r="I55" s="128">
        <v>1.1200000000000001</v>
      </c>
      <c r="J55" s="128">
        <v>1.1299999999999999</v>
      </c>
      <c r="K55" s="128">
        <v>1.1499999999999999</v>
      </c>
      <c r="L55" s="128">
        <v>1.1599999999999999</v>
      </c>
      <c r="M55" s="128">
        <v>1.17</v>
      </c>
      <c r="N55" s="128">
        <v>1.19</v>
      </c>
      <c r="O55" s="128">
        <v>1.2</v>
      </c>
      <c r="P55" s="128">
        <v>1.21</v>
      </c>
      <c r="Q55" s="128">
        <v>1.22</v>
      </c>
      <c r="R55" s="128">
        <v>1.24</v>
      </c>
      <c r="S55" s="128">
        <v>1.25</v>
      </c>
      <c r="T55" s="128">
        <v>1.26</v>
      </c>
      <c r="U55" s="128">
        <v>1.27</v>
      </c>
      <c r="V55" s="128">
        <v>1.28</v>
      </c>
      <c r="W55" s="128">
        <v>1.29</v>
      </c>
      <c r="X55" s="128">
        <v>1.3</v>
      </c>
      <c r="Y55" s="128">
        <v>1.31</v>
      </c>
      <c r="Z55" s="128">
        <v>1.32</v>
      </c>
      <c r="AA55" s="128">
        <v>1.32</v>
      </c>
      <c r="AB55" s="128">
        <v>1.33</v>
      </c>
      <c r="AC55" s="128">
        <v>1.34</v>
      </c>
      <c r="AD55" s="128">
        <v>1.35</v>
      </c>
      <c r="AE55" s="128">
        <v>1.36</v>
      </c>
      <c r="AF55" s="128">
        <v>1.37</v>
      </c>
      <c r="AG55" s="128">
        <v>1.37</v>
      </c>
      <c r="AH55" s="128">
        <v>1.38</v>
      </c>
      <c r="AI55" s="128">
        <v>1.39</v>
      </c>
      <c r="AJ55" s="128">
        <v>1.4</v>
      </c>
      <c r="AK55" s="128">
        <v>1.4</v>
      </c>
      <c r="AL55" s="128">
        <v>1.41</v>
      </c>
      <c r="AM55" s="128">
        <v>1.42</v>
      </c>
      <c r="AN55" s="128">
        <v>1.42</v>
      </c>
      <c r="AO55" s="128">
        <v>1.43</v>
      </c>
      <c r="AP55" s="128">
        <v>1.43</v>
      </c>
      <c r="AQ55" s="128">
        <v>1.44</v>
      </c>
      <c r="AR55" s="128">
        <v>1.45</v>
      </c>
      <c r="AS55" s="128">
        <v>1.45</v>
      </c>
      <c r="AT55" s="128">
        <v>1.46</v>
      </c>
      <c r="AU55" s="128">
        <v>1.46</v>
      </c>
      <c r="AV55" s="128">
        <v>1.47</v>
      </c>
      <c r="AW55" s="128">
        <v>1.47</v>
      </c>
      <c r="AX55" s="128">
        <v>1.48</v>
      </c>
      <c r="AY55" s="128">
        <v>1.49</v>
      </c>
      <c r="AZ55" s="128">
        <v>1.5</v>
      </c>
      <c r="BA55" s="128">
        <v>1.51</v>
      </c>
      <c r="BB55" s="128">
        <v>1.52</v>
      </c>
      <c r="BC55" s="128">
        <v>1.53</v>
      </c>
      <c r="BD55" s="128">
        <v>1.53</v>
      </c>
      <c r="BE55" s="128">
        <v>1.54</v>
      </c>
      <c r="BF55" s="128">
        <v>1.54</v>
      </c>
      <c r="BG55" s="128">
        <v>1.55</v>
      </c>
      <c r="BH55" s="128">
        <v>1.55</v>
      </c>
      <c r="BI55" s="128">
        <v>1.56</v>
      </c>
      <c r="BJ55" s="128">
        <v>1.57</v>
      </c>
      <c r="BK55" s="128">
        <v>1.57</v>
      </c>
      <c r="BL55" s="128">
        <v>1.58</v>
      </c>
      <c r="BM55" s="128">
        <v>1.58</v>
      </c>
      <c r="BN55" s="128">
        <v>1.59</v>
      </c>
      <c r="BO55" s="128">
        <v>1.6</v>
      </c>
      <c r="BP55" s="128">
        <v>1.6</v>
      </c>
      <c r="BQ55" s="128">
        <v>1.61</v>
      </c>
      <c r="BR55" s="128">
        <v>1.62</v>
      </c>
      <c r="BS55" s="128">
        <v>1.63</v>
      </c>
      <c r="BT55" s="128">
        <v>1.63</v>
      </c>
      <c r="BU55" s="128">
        <v>1.64</v>
      </c>
      <c r="BV55" s="128">
        <v>1.65</v>
      </c>
      <c r="BW55" s="128">
        <v>1.66</v>
      </c>
      <c r="BX55" s="128">
        <v>1.67</v>
      </c>
      <c r="BY55" s="128">
        <v>1.68</v>
      </c>
      <c r="BZ55" s="128">
        <v>1.68</v>
      </c>
      <c r="CA55" s="128">
        <v>1.69</v>
      </c>
      <c r="CB55" s="128">
        <v>1.7</v>
      </c>
      <c r="CC55" s="128">
        <v>1.71</v>
      </c>
      <c r="CD55" s="128">
        <v>1.72</v>
      </c>
      <c r="CE55" s="128">
        <v>1.73</v>
      </c>
      <c r="CF55" s="128">
        <v>1.74</v>
      </c>
      <c r="CG55" s="128">
        <v>1.75</v>
      </c>
      <c r="CH55" s="128">
        <v>1.76</v>
      </c>
      <c r="CI55" s="128">
        <v>1.78</v>
      </c>
      <c r="CJ55" s="128">
        <v>1.79</v>
      </c>
      <c r="CK55" s="128">
        <v>1.8</v>
      </c>
      <c r="CL55" s="128">
        <v>1.81</v>
      </c>
      <c r="CM55" s="128">
        <v>1.83</v>
      </c>
      <c r="CN55" s="128">
        <v>1.84</v>
      </c>
      <c r="CO55" s="128">
        <v>1.85</v>
      </c>
      <c r="CP55" s="128">
        <v>1.87</v>
      </c>
      <c r="CQ55" s="128">
        <v>1.88</v>
      </c>
      <c r="CR55" s="128">
        <v>1.9</v>
      </c>
      <c r="CS55" s="128">
        <v>1.91</v>
      </c>
      <c r="CT55" s="128">
        <v>1.93</v>
      </c>
      <c r="CU55" s="128">
        <v>1.95</v>
      </c>
      <c r="CV55" s="128">
        <v>1.96</v>
      </c>
      <c r="CW55" s="128">
        <v>1.98</v>
      </c>
      <c r="CX55" s="128">
        <v>2</v>
      </c>
      <c r="CZ55" s="126">
        <f>SUMIF(MatrixF2[[1]:[2]],MatrixF2[[#This Row],[Столбец1]])/MatrixF2[[#This Row],[Столбец1]]</f>
        <v>104.00000000000006</v>
      </c>
    </row>
    <row r="56" spans="1:104" ht="21" customHeight="1" x14ac:dyDescent="0.25">
      <c r="A56" s="127">
        <v>1.53</v>
      </c>
      <c r="B56" s="128">
        <v>1</v>
      </c>
      <c r="C56" s="128">
        <v>1.02</v>
      </c>
      <c r="D56" s="128">
        <v>1.04</v>
      </c>
      <c r="E56" s="128">
        <v>1.05</v>
      </c>
      <c r="F56" s="128">
        <v>1.07</v>
      </c>
      <c r="G56" s="128">
        <v>1.0900000000000001</v>
      </c>
      <c r="H56" s="128">
        <v>1.1000000000000001</v>
      </c>
      <c r="I56" s="128">
        <v>1.1200000000000001</v>
      </c>
      <c r="J56" s="128">
        <v>1.1299999999999999</v>
      </c>
      <c r="K56" s="128">
        <v>1.1499999999999999</v>
      </c>
      <c r="L56" s="128">
        <v>1.1599999999999999</v>
      </c>
      <c r="M56" s="128">
        <v>1.17</v>
      </c>
      <c r="N56" s="128">
        <v>1.18</v>
      </c>
      <c r="O56" s="128">
        <v>1.2</v>
      </c>
      <c r="P56" s="128">
        <v>1.21</v>
      </c>
      <c r="Q56" s="128">
        <v>1.22</v>
      </c>
      <c r="R56" s="128">
        <v>1.23</v>
      </c>
      <c r="S56" s="128">
        <v>1.24</v>
      </c>
      <c r="T56" s="128">
        <v>1.25</v>
      </c>
      <c r="U56" s="128">
        <v>1.26</v>
      </c>
      <c r="V56" s="128">
        <v>1.27</v>
      </c>
      <c r="W56" s="128">
        <v>1.28</v>
      </c>
      <c r="X56" s="128">
        <v>1.29</v>
      </c>
      <c r="Y56" s="128">
        <v>1.3</v>
      </c>
      <c r="Z56" s="128">
        <v>1.31</v>
      </c>
      <c r="AA56" s="128">
        <v>1.32</v>
      </c>
      <c r="AB56" s="128">
        <v>1.33</v>
      </c>
      <c r="AC56" s="128">
        <v>1.34</v>
      </c>
      <c r="AD56" s="128">
        <v>1.35</v>
      </c>
      <c r="AE56" s="128">
        <v>1.35</v>
      </c>
      <c r="AF56" s="128">
        <v>1.36</v>
      </c>
      <c r="AG56" s="128">
        <v>1.37</v>
      </c>
      <c r="AH56" s="128">
        <v>1.38</v>
      </c>
      <c r="AI56" s="128">
        <v>1.38</v>
      </c>
      <c r="AJ56" s="128">
        <v>1.39</v>
      </c>
      <c r="AK56" s="128">
        <v>1.4</v>
      </c>
      <c r="AL56" s="128">
        <v>1.4</v>
      </c>
      <c r="AM56" s="128">
        <v>1.41</v>
      </c>
      <c r="AN56" s="128">
        <v>1.42</v>
      </c>
      <c r="AO56" s="128">
        <v>1.42</v>
      </c>
      <c r="AP56" s="128">
        <v>1.43</v>
      </c>
      <c r="AQ56" s="128">
        <v>1.44</v>
      </c>
      <c r="AR56" s="128">
        <v>1.44</v>
      </c>
      <c r="AS56" s="128">
        <v>1.45</v>
      </c>
      <c r="AT56" s="128">
        <v>1.45</v>
      </c>
      <c r="AU56" s="128">
        <v>1.46</v>
      </c>
      <c r="AV56" s="128">
        <v>1.46</v>
      </c>
      <c r="AW56" s="128">
        <v>1.47</v>
      </c>
      <c r="AX56" s="128">
        <v>1.48</v>
      </c>
      <c r="AY56" s="128">
        <v>1.49</v>
      </c>
      <c r="AZ56" s="128">
        <v>1.5</v>
      </c>
      <c r="BA56" s="128">
        <v>1.51</v>
      </c>
      <c r="BB56" s="128">
        <v>1.52</v>
      </c>
      <c r="BC56" s="128">
        <v>1.53</v>
      </c>
      <c r="BD56" s="128">
        <v>1.54</v>
      </c>
      <c r="BE56" s="128">
        <v>1.54</v>
      </c>
      <c r="BF56" s="128">
        <v>1.55</v>
      </c>
      <c r="BG56" s="128">
        <v>1.55</v>
      </c>
      <c r="BH56" s="128">
        <v>1.56</v>
      </c>
      <c r="BI56" s="128">
        <v>1.56</v>
      </c>
      <c r="BJ56" s="128">
        <v>1.57</v>
      </c>
      <c r="BK56" s="128">
        <v>1.58</v>
      </c>
      <c r="BL56" s="128">
        <v>1.58</v>
      </c>
      <c r="BM56" s="128">
        <v>1.59</v>
      </c>
      <c r="BN56" s="128">
        <v>1.6</v>
      </c>
      <c r="BO56" s="128">
        <v>1.6</v>
      </c>
      <c r="BP56" s="128">
        <v>1.61</v>
      </c>
      <c r="BQ56" s="128">
        <v>1.62</v>
      </c>
      <c r="BR56" s="128">
        <v>1.62</v>
      </c>
      <c r="BS56" s="128">
        <v>1.63</v>
      </c>
      <c r="BT56" s="128">
        <v>1.64</v>
      </c>
      <c r="BU56" s="128">
        <v>1.65</v>
      </c>
      <c r="BV56" s="128">
        <v>1.65</v>
      </c>
      <c r="BW56" s="128">
        <v>1.66</v>
      </c>
      <c r="BX56" s="128">
        <v>1.67</v>
      </c>
      <c r="BY56" s="128">
        <v>1.68</v>
      </c>
      <c r="BZ56" s="128">
        <v>1.69</v>
      </c>
      <c r="CA56" s="128">
        <v>1.7</v>
      </c>
      <c r="CB56" s="128">
        <v>1.71</v>
      </c>
      <c r="CC56" s="128">
        <v>1.72</v>
      </c>
      <c r="CD56" s="128">
        <v>1.73</v>
      </c>
      <c r="CE56" s="128">
        <v>1.74</v>
      </c>
      <c r="CF56" s="128">
        <v>1.75</v>
      </c>
      <c r="CG56" s="128">
        <v>1.76</v>
      </c>
      <c r="CH56" s="128">
        <v>1.77</v>
      </c>
      <c r="CI56" s="128">
        <v>1.78</v>
      </c>
      <c r="CJ56" s="128">
        <v>1.79</v>
      </c>
      <c r="CK56" s="128">
        <v>1.8</v>
      </c>
      <c r="CL56" s="128">
        <v>1.82</v>
      </c>
      <c r="CM56" s="128">
        <v>1.83</v>
      </c>
      <c r="CN56" s="128">
        <v>1.84</v>
      </c>
      <c r="CO56" s="128">
        <v>1.85</v>
      </c>
      <c r="CP56" s="128">
        <v>1.87</v>
      </c>
      <c r="CQ56" s="128">
        <v>1.88</v>
      </c>
      <c r="CR56" s="128">
        <v>1.9</v>
      </c>
      <c r="CS56" s="128">
        <v>1.91</v>
      </c>
      <c r="CT56" s="128">
        <v>1.93</v>
      </c>
      <c r="CU56" s="128">
        <v>1.95</v>
      </c>
      <c r="CV56" s="128">
        <v>1.96</v>
      </c>
      <c r="CW56" s="128">
        <v>1.98</v>
      </c>
      <c r="CX56" s="128">
        <v>2</v>
      </c>
      <c r="CZ56" s="126">
        <f>SUMIF(MatrixF2[[1]:[2]],MatrixF2[[#This Row],[Столбец1]])/MatrixF2[[#This Row],[Столбец1]]</f>
        <v>106.00000000000006</v>
      </c>
    </row>
    <row r="57" spans="1:104" ht="21" customHeight="1" x14ac:dyDescent="0.25">
      <c r="A57" s="127">
        <v>1.54</v>
      </c>
      <c r="B57" s="128">
        <v>1</v>
      </c>
      <c r="C57" s="128">
        <v>1.02</v>
      </c>
      <c r="D57" s="128">
        <v>1.04</v>
      </c>
      <c r="E57" s="128">
        <v>1.05</v>
      </c>
      <c r="F57" s="128">
        <v>1.07</v>
      </c>
      <c r="G57" s="128">
        <v>1.08</v>
      </c>
      <c r="H57" s="128">
        <v>1.1000000000000001</v>
      </c>
      <c r="I57" s="128">
        <v>1.1100000000000001</v>
      </c>
      <c r="J57" s="128">
        <v>1.1299999999999999</v>
      </c>
      <c r="K57" s="128">
        <v>1.1399999999999999</v>
      </c>
      <c r="L57" s="128">
        <v>1.1599999999999999</v>
      </c>
      <c r="M57" s="128">
        <v>1.17</v>
      </c>
      <c r="N57" s="128">
        <v>1.18</v>
      </c>
      <c r="O57" s="128">
        <v>1.19</v>
      </c>
      <c r="P57" s="128">
        <v>1.21</v>
      </c>
      <c r="Q57" s="128">
        <v>1.22</v>
      </c>
      <c r="R57" s="128">
        <v>1.23</v>
      </c>
      <c r="S57" s="128">
        <v>1.24</v>
      </c>
      <c r="T57" s="128">
        <v>1.25</v>
      </c>
      <c r="U57" s="128">
        <v>1.26</v>
      </c>
      <c r="V57" s="128">
        <v>1.27</v>
      </c>
      <c r="W57" s="128">
        <v>1.28</v>
      </c>
      <c r="X57" s="128">
        <v>1.29</v>
      </c>
      <c r="Y57" s="128">
        <v>1.3</v>
      </c>
      <c r="Z57" s="128">
        <v>1.31</v>
      </c>
      <c r="AA57" s="128">
        <v>1.32</v>
      </c>
      <c r="AB57" s="128">
        <v>1.32</v>
      </c>
      <c r="AC57" s="128">
        <v>1.33</v>
      </c>
      <c r="AD57" s="128">
        <v>1.34</v>
      </c>
      <c r="AE57" s="128">
        <v>1.35</v>
      </c>
      <c r="AF57" s="128">
        <v>1.36</v>
      </c>
      <c r="AG57" s="128">
        <v>1.36</v>
      </c>
      <c r="AH57" s="128">
        <v>1.37</v>
      </c>
      <c r="AI57" s="128">
        <v>1.38</v>
      </c>
      <c r="AJ57" s="128">
        <v>1.39</v>
      </c>
      <c r="AK57" s="128">
        <v>1.39</v>
      </c>
      <c r="AL57" s="128">
        <v>1.4</v>
      </c>
      <c r="AM57" s="128">
        <v>1.41</v>
      </c>
      <c r="AN57" s="128">
        <v>1.41</v>
      </c>
      <c r="AO57" s="128">
        <v>1.42</v>
      </c>
      <c r="AP57" s="128">
        <v>1.43</v>
      </c>
      <c r="AQ57" s="128">
        <v>1.43</v>
      </c>
      <c r="AR57" s="128">
        <v>1.44</v>
      </c>
      <c r="AS57" s="128">
        <v>1.44</v>
      </c>
      <c r="AT57" s="128">
        <v>1.45</v>
      </c>
      <c r="AU57" s="128">
        <v>1.45</v>
      </c>
      <c r="AV57" s="128">
        <v>1.46</v>
      </c>
      <c r="AW57" s="128">
        <v>1.47</v>
      </c>
      <c r="AX57" s="128">
        <v>1.48</v>
      </c>
      <c r="AY57" s="128">
        <v>1.49</v>
      </c>
      <c r="AZ57" s="128">
        <v>1.5</v>
      </c>
      <c r="BA57" s="128">
        <v>1.51</v>
      </c>
      <c r="BB57" s="128">
        <v>1.52</v>
      </c>
      <c r="BC57" s="128">
        <v>1.53</v>
      </c>
      <c r="BD57" s="128">
        <v>1.54</v>
      </c>
      <c r="BE57" s="128">
        <v>1.55</v>
      </c>
      <c r="BF57" s="128">
        <v>1.55</v>
      </c>
      <c r="BG57" s="128">
        <v>1.56</v>
      </c>
      <c r="BH57" s="128">
        <v>1.56</v>
      </c>
      <c r="BI57" s="128">
        <v>1.57</v>
      </c>
      <c r="BJ57" s="128">
        <v>1.57</v>
      </c>
      <c r="BK57" s="128">
        <v>1.58</v>
      </c>
      <c r="BL57" s="128">
        <v>1.59</v>
      </c>
      <c r="BM57" s="128">
        <v>1.59</v>
      </c>
      <c r="BN57" s="128">
        <v>1.6</v>
      </c>
      <c r="BO57" s="128">
        <v>1.61</v>
      </c>
      <c r="BP57" s="128">
        <v>1.61</v>
      </c>
      <c r="BQ57" s="128">
        <v>1.62</v>
      </c>
      <c r="BR57" s="128">
        <v>1.63</v>
      </c>
      <c r="BS57" s="128">
        <v>1.64</v>
      </c>
      <c r="BT57" s="128">
        <v>1.64</v>
      </c>
      <c r="BU57" s="128">
        <v>1.65</v>
      </c>
      <c r="BV57" s="128">
        <v>1.66</v>
      </c>
      <c r="BW57" s="128">
        <v>1.67</v>
      </c>
      <c r="BX57" s="128">
        <v>1.68</v>
      </c>
      <c r="BY57" s="128">
        <v>1.68</v>
      </c>
      <c r="BZ57" s="128">
        <v>1.69</v>
      </c>
      <c r="CA57" s="128">
        <v>1.7</v>
      </c>
      <c r="CB57" s="128">
        <v>1.71</v>
      </c>
      <c r="CC57" s="128">
        <v>1.72</v>
      </c>
      <c r="CD57" s="128">
        <v>1.73</v>
      </c>
      <c r="CE57" s="128">
        <v>1.74</v>
      </c>
      <c r="CF57" s="128">
        <v>1.75</v>
      </c>
      <c r="CG57" s="128">
        <v>1.76</v>
      </c>
      <c r="CH57" s="128">
        <v>1.77</v>
      </c>
      <c r="CI57" s="128">
        <v>1.78</v>
      </c>
      <c r="CJ57" s="128">
        <v>1.79</v>
      </c>
      <c r="CK57" s="128">
        <v>1.81</v>
      </c>
      <c r="CL57" s="128">
        <v>1.82</v>
      </c>
      <c r="CM57" s="128">
        <v>1.83</v>
      </c>
      <c r="CN57" s="128">
        <v>1.84</v>
      </c>
      <c r="CO57" s="128">
        <v>1.86</v>
      </c>
      <c r="CP57" s="128">
        <v>1.87</v>
      </c>
      <c r="CQ57" s="128">
        <v>1.89</v>
      </c>
      <c r="CR57" s="128">
        <v>1.9</v>
      </c>
      <c r="CS57" s="128">
        <v>1.92</v>
      </c>
      <c r="CT57" s="128">
        <v>1.93</v>
      </c>
      <c r="CU57" s="128">
        <v>1.95</v>
      </c>
      <c r="CV57" s="128">
        <v>1.96</v>
      </c>
      <c r="CW57" s="128">
        <v>1.98</v>
      </c>
      <c r="CX57" s="128">
        <v>2</v>
      </c>
      <c r="CZ57" s="126">
        <f>SUMIF(MatrixF2[[1]:[2]],MatrixF2[[#This Row],[Столбец1]])/MatrixF2[[#This Row],[Столбец1]]</f>
        <v>108.00000000000003</v>
      </c>
    </row>
    <row r="58" spans="1:104" ht="21" customHeight="1" x14ac:dyDescent="0.25">
      <c r="A58" s="127">
        <v>1.55</v>
      </c>
      <c r="B58" s="128">
        <v>1</v>
      </c>
      <c r="C58" s="128">
        <v>1.02</v>
      </c>
      <c r="D58" s="128">
        <v>1.04</v>
      </c>
      <c r="E58" s="128">
        <v>1.05</v>
      </c>
      <c r="F58" s="128">
        <v>1.07</v>
      </c>
      <c r="G58" s="128">
        <v>1.08</v>
      </c>
      <c r="H58" s="128">
        <v>1.1000000000000001</v>
      </c>
      <c r="I58" s="128">
        <v>1.1100000000000001</v>
      </c>
      <c r="J58" s="128">
        <v>1.1299999999999999</v>
      </c>
      <c r="K58" s="128">
        <v>1.1399999999999999</v>
      </c>
      <c r="L58" s="128">
        <v>1.1499999999999999</v>
      </c>
      <c r="M58" s="128">
        <v>1.17</v>
      </c>
      <c r="N58" s="128">
        <v>1.18</v>
      </c>
      <c r="O58" s="128">
        <v>1.19</v>
      </c>
      <c r="P58" s="128">
        <v>1.2</v>
      </c>
      <c r="Q58" s="128">
        <v>1.21</v>
      </c>
      <c r="R58" s="128">
        <v>1.23</v>
      </c>
      <c r="S58" s="128">
        <v>1.24</v>
      </c>
      <c r="T58" s="128">
        <v>1.25</v>
      </c>
      <c r="U58" s="128">
        <v>1.26</v>
      </c>
      <c r="V58" s="128">
        <v>1.27</v>
      </c>
      <c r="W58" s="128">
        <v>1.28</v>
      </c>
      <c r="X58" s="128">
        <v>1.29</v>
      </c>
      <c r="Y58" s="128">
        <v>1.29</v>
      </c>
      <c r="Z58" s="128">
        <v>1.3</v>
      </c>
      <c r="AA58" s="128">
        <v>1.31</v>
      </c>
      <c r="AB58" s="128">
        <v>1.32</v>
      </c>
      <c r="AC58" s="128">
        <v>1.33</v>
      </c>
      <c r="AD58" s="128">
        <v>1.34</v>
      </c>
      <c r="AE58" s="128">
        <v>1.35</v>
      </c>
      <c r="AF58" s="128">
        <v>1.35</v>
      </c>
      <c r="AG58" s="128">
        <v>1.36</v>
      </c>
      <c r="AH58" s="128">
        <v>1.37</v>
      </c>
      <c r="AI58" s="128">
        <v>1.38</v>
      </c>
      <c r="AJ58" s="128">
        <v>1.38</v>
      </c>
      <c r="AK58" s="128">
        <v>1.39</v>
      </c>
      <c r="AL58" s="128">
        <v>1.4</v>
      </c>
      <c r="AM58" s="128">
        <v>1.4</v>
      </c>
      <c r="AN58" s="128">
        <v>1.41</v>
      </c>
      <c r="AO58" s="128">
        <v>1.41</v>
      </c>
      <c r="AP58" s="128">
        <v>1.42</v>
      </c>
      <c r="AQ58" s="128">
        <v>1.43</v>
      </c>
      <c r="AR58" s="128">
        <v>1.43</v>
      </c>
      <c r="AS58" s="128">
        <v>1.44</v>
      </c>
      <c r="AT58" s="128">
        <v>1.44</v>
      </c>
      <c r="AU58" s="128">
        <v>1.45</v>
      </c>
      <c r="AV58" s="128">
        <v>1.46</v>
      </c>
      <c r="AW58" s="128">
        <v>1.47</v>
      </c>
      <c r="AX58" s="128">
        <v>1.48</v>
      </c>
      <c r="AY58" s="128">
        <v>1.49</v>
      </c>
      <c r="AZ58" s="128">
        <v>1.5</v>
      </c>
      <c r="BA58" s="128">
        <v>1.51</v>
      </c>
      <c r="BB58" s="128">
        <v>1.52</v>
      </c>
      <c r="BC58" s="128">
        <v>1.53</v>
      </c>
      <c r="BD58" s="128">
        <v>1.54</v>
      </c>
      <c r="BE58" s="128">
        <v>1.55</v>
      </c>
      <c r="BF58" s="128">
        <v>1.56</v>
      </c>
      <c r="BG58" s="128">
        <v>1.56</v>
      </c>
      <c r="BH58" s="128">
        <v>1.57</v>
      </c>
      <c r="BI58" s="128">
        <v>1.57</v>
      </c>
      <c r="BJ58" s="128">
        <v>1.58</v>
      </c>
      <c r="BK58" s="128">
        <v>1.59</v>
      </c>
      <c r="BL58" s="128">
        <v>1.59</v>
      </c>
      <c r="BM58" s="128">
        <v>1.6</v>
      </c>
      <c r="BN58" s="128">
        <v>1.6</v>
      </c>
      <c r="BO58" s="128">
        <v>1.61</v>
      </c>
      <c r="BP58" s="128">
        <v>1.62</v>
      </c>
      <c r="BQ58" s="128">
        <v>1.63</v>
      </c>
      <c r="BR58" s="128">
        <v>1.63</v>
      </c>
      <c r="BS58" s="128">
        <v>1.64</v>
      </c>
      <c r="BT58" s="128">
        <v>1.65</v>
      </c>
      <c r="BU58" s="128">
        <v>1.65</v>
      </c>
      <c r="BV58" s="128">
        <v>1.66</v>
      </c>
      <c r="BW58" s="128">
        <v>1.67</v>
      </c>
      <c r="BX58" s="128">
        <v>1.68</v>
      </c>
      <c r="BY58" s="128">
        <v>1.69</v>
      </c>
      <c r="BZ58" s="128">
        <v>1.7</v>
      </c>
      <c r="CA58" s="128">
        <v>1.71</v>
      </c>
      <c r="CB58" s="128">
        <v>1.71</v>
      </c>
      <c r="CC58" s="128">
        <v>1.72</v>
      </c>
      <c r="CD58" s="128">
        <v>1.73</v>
      </c>
      <c r="CE58" s="128">
        <v>1.74</v>
      </c>
      <c r="CF58" s="128">
        <v>1.75</v>
      </c>
      <c r="CG58" s="128">
        <v>1.76</v>
      </c>
      <c r="CH58" s="128">
        <v>1.77</v>
      </c>
      <c r="CI58" s="128">
        <v>1.79</v>
      </c>
      <c r="CJ58" s="128">
        <v>1.8</v>
      </c>
      <c r="CK58" s="128">
        <v>1.81</v>
      </c>
      <c r="CL58" s="128">
        <v>1.82</v>
      </c>
      <c r="CM58" s="128">
        <v>1.83</v>
      </c>
      <c r="CN58" s="128">
        <v>1.85</v>
      </c>
      <c r="CO58" s="128">
        <v>1.86</v>
      </c>
      <c r="CP58" s="128">
        <v>1.87</v>
      </c>
      <c r="CQ58" s="128">
        <v>1.89</v>
      </c>
      <c r="CR58" s="128">
        <v>1.9</v>
      </c>
      <c r="CS58" s="128">
        <v>1.92</v>
      </c>
      <c r="CT58" s="128">
        <v>1.93</v>
      </c>
      <c r="CU58" s="128">
        <v>1.95</v>
      </c>
      <c r="CV58" s="128">
        <v>1.96</v>
      </c>
      <c r="CW58" s="128">
        <v>1.98</v>
      </c>
      <c r="CX58" s="128">
        <v>2</v>
      </c>
      <c r="CZ58" s="126">
        <f>SUMIF(MatrixF2[[1]:[2]],MatrixF2[[#This Row],[Столбец1]])/MatrixF2[[#This Row],[Столбец1]]</f>
        <v>109.00000000000009</v>
      </c>
    </row>
    <row r="59" spans="1:104" ht="21" customHeight="1" x14ac:dyDescent="0.25">
      <c r="A59" s="127">
        <v>1.56</v>
      </c>
      <c r="B59" s="128">
        <v>1</v>
      </c>
      <c r="C59" s="128">
        <v>1.02</v>
      </c>
      <c r="D59" s="128">
        <v>1.03</v>
      </c>
      <c r="E59" s="128">
        <v>1.05</v>
      </c>
      <c r="F59" s="128">
        <v>1.07</v>
      </c>
      <c r="G59" s="128">
        <v>1.08</v>
      </c>
      <c r="H59" s="128">
        <v>1.1000000000000001</v>
      </c>
      <c r="I59" s="128">
        <v>1.1100000000000001</v>
      </c>
      <c r="J59" s="128">
        <v>1.1299999999999999</v>
      </c>
      <c r="K59" s="128">
        <v>1.1399999999999999</v>
      </c>
      <c r="L59" s="128">
        <v>1.1499999999999999</v>
      </c>
      <c r="M59" s="128">
        <v>1.1599999999999999</v>
      </c>
      <c r="N59" s="128">
        <v>1.18</v>
      </c>
      <c r="O59" s="128">
        <v>1.19</v>
      </c>
      <c r="P59" s="128">
        <v>1.2</v>
      </c>
      <c r="Q59" s="128">
        <v>1.21</v>
      </c>
      <c r="R59" s="128">
        <v>1.22</v>
      </c>
      <c r="S59" s="128">
        <v>1.23</v>
      </c>
      <c r="T59" s="128">
        <v>1.24</v>
      </c>
      <c r="U59" s="128">
        <v>1.25</v>
      </c>
      <c r="V59" s="128">
        <v>1.26</v>
      </c>
      <c r="W59" s="128">
        <v>1.27</v>
      </c>
      <c r="X59" s="128">
        <v>1.28</v>
      </c>
      <c r="Y59" s="128">
        <v>1.29</v>
      </c>
      <c r="Z59" s="128">
        <v>1.3</v>
      </c>
      <c r="AA59" s="128">
        <v>1.31</v>
      </c>
      <c r="AB59" s="128">
        <v>1.32</v>
      </c>
      <c r="AC59" s="128">
        <v>1.33</v>
      </c>
      <c r="AD59" s="128">
        <v>1.33</v>
      </c>
      <c r="AE59" s="128">
        <v>1.34</v>
      </c>
      <c r="AF59" s="128">
        <v>1.35</v>
      </c>
      <c r="AG59" s="128">
        <v>1.36</v>
      </c>
      <c r="AH59" s="128">
        <v>1.36</v>
      </c>
      <c r="AI59" s="128">
        <v>1.37</v>
      </c>
      <c r="AJ59" s="128">
        <v>1.38</v>
      </c>
      <c r="AK59" s="128">
        <v>1.38</v>
      </c>
      <c r="AL59" s="128">
        <v>1.39</v>
      </c>
      <c r="AM59" s="128">
        <v>1.4</v>
      </c>
      <c r="AN59" s="128">
        <v>1.4</v>
      </c>
      <c r="AO59" s="128">
        <v>1.41</v>
      </c>
      <c r="AP59" s="128">
        <v>1.42</v>
      </c>
      <c r="AQ59" s="128">
        <v>1.42</v>
      </c>
      <c r="AR59" s="128">
        <v>1.43</v>
      </c>
      <c r="AS59" s="128">
        <v>1.43</v>
      </c>
      <c r="AT59" s="128">
        <v>1.44</v>
      </c>
      <c r="AU59" s="128">
        <v>1.45</v>
      </c>
      <c r="AV59" s="128">
        <v>1.46</v>
      </c>
      <c r="AW59" s="128">
        <v>1.47</v>
      </c>
      <c r="AX59" s="128">
        <v>1.48</v>
      </c>
      <c r="AY59" s="128">
        <v>1.49</v>
      </c>
      <c r="AZ59" s="128">
        <v>1.5</v>
      </c>
      <c r="BA59" s="128">
        <v>1.51</v>
      </c>
      <c r="BB59" s="128">
        <v>1.52</v>
      </c>
      <c r="BC59" s="128">
        <v>1.53</v>
      </c>
      <c r="BD59" s="128">
        <v>1.54</v>
      </c>
      <c r="BE59" s="128">
        <v>1.55</v>
      </c>
      <c r="BF59" s="128">
        <v>1.56</v>
      </c>
      <c r="BG59" s="128">
        <v>1.57</v>
      </c>
      <c r="BH59" s="128">
        <v>1.57</v>
      </c>
      <c r="BI59" s="128">
        <v>1.58</v>
      </c>
      <c r="BJ59" s="128">
        <v>1.58</v>
      </c>
      <c r="BK59" s="128">
        <v>1.59</v>
      </c>
      <c r="BL59" s="128">
        <v>1.6</v>
      </c>
      <c r="BM59" s="128">
        <v>1.6</v>
      </c>
      <c r="BN59" s="128">
        <v>1.61</v>
      </c>
      <c r="BO59" s="128">
        <v>1.62</v>
      </c>
      <c r="BP59" s="128">
        <v>1.62</v>
      </c>
      <c r="BQ59" s="128">
        <v>1.63</v>
      </c>
      <c r="BR59" s="128">
        <v>1.64</v>
      </c>
      <c r="BS59" s="128">
        <v>1.64</v>
      </c>
      <c r="BT59" s="128">
        <v>1.65</v>
      </c>
      <c r="BU59" s="128">
        <v>1.66</v>
      </c>
      <c r="BV59" s="128">
        <v>1.67</v>
      </c>
      <c r="BW59" s="128">
        <v>1.67</v>
      </c>
      <c r="BX59" s="128">
        <v>1.68</v>
      </c>
      <c r="BY59" s="128">
        <v>1.69</v>
      </c>
      <c r="BZ59" s="128">
        <v>1.7</v>
      </c>
      <c r="CA59" s="128">
        <v>1.71</v>
      </c>
      <c r="CB59" s="128">
        <v>1.72</v>
      </c>
      <c r="CC59" s="128">
        <v>1.73</v>
      </c>
      <c r="CD59" s="128">
        <v>1.74</v>
      </c>
      <c r="CE59" s="128">
        <v>1.75</v>
      </c>
      <c r="CF59" s="128">
        <v>1.76</v>
      </c>
      <c r="CG59" s="128">
        <v>1.77</v>
      </c>
      <c r="CH59" s="128">
        <v>1.78</v>
      </c>
      <c r="CI59" s="128">
        <v>1.79</v>
      </c>
      <c r="CJ59" s="128">
        <v>1.8</v>
      </c>
      <c r="CK59" s="128">
        <v>1.81</v>
      </c>
      <c r="CL59" s="128">
        <v>1.82</v>
      </c>
      <c r="CM59" s="128">
        <v>1.84</v>
      </c>
      <c r="CN59" s="128">
        <v>1.85</v>
      </c>
      <c r="CO59" s="128">
        <v>1.86</v>
      </c>
      <c r="CP59" s="128">
        <v>1.88</v>
      </c>
      <c r="CQ59" s="128">
        <v>1.89</v>
      </c>
      <c r="CR59" s="128">
        <v>1.9</v>
      </c>
      <c r="CS59" s="128">
        <v>1.92</v>
      </c>
      <c r="CT59" s="128">
        <v>1.93</v>
      </c>
      <c r="CU59" s="128">
        <v>1.95</v>
      </c>
      <c r="CV59" s="128">
        <v>1.97</v>
      </c>
      <c r="CW59" s="128">
        <v>1.98</v>
      </c>
      <c r="CX59" s="128">
        <v>2</v>
      </c>
      <c r="CZ59" s="126">
        <f>SUMIF(MatrixF2[[1]:[2]],MatrixF2[[#This Row],[Столбец1]])/MatrixF2[[#This Row],[Столбец1]]</f>
        <v>108.00000000000011</v>
      </c>
    </row>
    <row r="60" spans="1:104" ht="21" customHeight="1" x14ac:dyDescent="0.25">
      <c r="A60" s="127">
        <v>1.57</v>
      </c>
      <c r="B60" s="128">
        <v>1</v>
      </c>
      <c r="C60" s="128">
        <v>1.02</v>
      </c>
      <c r="D60" s="128">
        <v>1.03</v>
      </c>
      <c r="E60" s="128">
        <v>1.05</v>
      </c>
      <c r="F60" s="128">
        <v>1.07</v>
      </c>
      <c r="G60" s="128">
        <v>1.08</v>
      </c>
      <c r="H60" s="128">
        <v>1.1000000000000001</v>
      </c>
      <c r="I60" s="128">
        <v>1.1100000000000001</v>
      </c>
      <c r="J60" s="128">
        <v>1.1200000000000001</v>
      </c>
      <c r="K60" s="128">
        <v>1.1399999999999999</v>
      </c>
      <c r="L60" s="128">
        <v>1.1499999999999999</v>
      </c>
      <c r="M60" s="128">
        <v>1.1599999999999999</v>
      </c>
      <c r="N60" s="128">
        <v>1.17</v>
      </c>
      <c r="O60" s="128">
        <v>1.19</v>
      </c>
      <c r="P60" s="128">
        <v>1.2</v>
      </c>
      <c r="Q60" s="128">
        <v>1.21</v>
      </c>
      <c r="R60" s="128">
        <v>1.22</v>
      </c>
      <c r="S60" s="128">
        <v>1.23</v>
      </c>
      <c r="T60" s="128">
        <v>1.24</v>
      </c>
      <c r="U60" s="128">
        <v>1.25</v>
      </c>
      <c r="V60" s="128">
        <v>1.26</v>
      </c>
      <c r="W60" s="128">
        <v>1.27</v>
      </c>
      <c r="X60" s="128">
        <v>1.28</v>
      </c>
      <c r="Y60" s="128">
        <v>1.29</v>
      </c>
      <c r="Z60" s="128">
        <v>1.3</v>
      </c>
      <c r="AA60" s="128">
        <v>1.3</v>
      </c>
      <c r="AB60" s="128">
        <v>1.31</v>
      </c>
      <c r="AC60" s="128">
        <v>1.32</v>
      </c>
      <c r="AD60" s="128">
        <v>1.33</v>
      </c>
      <c r="AE60" s="128">
        <v>1.34</v>
      </c>
      <c r="AF60" s="128">
        <v>1.34</v>
      </c>
      <c r="AG60" s="128">
        <v>1.35</v>
      </c>
      <c r="AH60" s="128">
        <v>1.36</v>
      </c>
      <c r="AI60" s="128">
        <v>1.37</v>
      </c>
      <c r="AJ60" s="128">
        <v>1.37</v>
      </c>
      <c r="AK60" s="128">
        <v>1.38</v>
      </c>
      <c r="AL60" s="128">
        <v>1.39</v>
      </c>
      <c r="AM60" s="128">
        <v>1.39</v>
      </c>
      <c r="AN60" s="128">
        <v>1.4</v>
      </c>
      <c r="AO60" s="128">
        <v>1.41</v>
      </c>
      <c r="AP60" s="128">
        <v>1.41</v>
      </c>
      <c r="AQ60" s="128">
        <v>1.42</v>
      </c>
      <c r="AR60" s="128">
        <v>1.42</v>
      </c>
      <c r="AS60" s="128">
        <v>1.43</v>
      </c>
      <c r="AT60" s="128">
        <v>1.44</v>
      </c>
      <c r="AU60" s="128">
        <v>1.45</v>
      </c>
      <c r="AV60" s="128">
        <v>1.46</v>
      </c>
      <c r="AW60" s="128">
        <v>1.47</v>
      </c>
      <c r="AX60" s="128">
        <v>1.48</v>
      </c>
      <c r="AY60" s="128">
        <v>1.49</v>
      </c>
      <c r="AZ60" s="128">
        <v>1.5</v>
      </c>
      <c r="BA60" s="128">
        <v>1.51</v>
      </c>
      <c r="BB60" s="128">
        <v>1.52</v>
      </c>
      <c r="BC60" s="128">
        <v>1.53</v>
      </c>
      <c r="BD60" s="128">
        <v>1.54</v>
      </c>
      <c r="BE60" s="128">
        <v>1.55</v>
      </c>
      <c r="BF60" s="128">
        <v>1.56</v>
      </c>
      <c r="BG60" s="128">
        <v>1.57</v>
      </c>
      <c r="BH60" s="128">
        <v>1.58</v>
      </c>
      <c r="BI60" s="128">
        <v>1.58</v>
      </c>
      <c r="BJ60" s="128">
        <v>1.59</v>
      </c>
      <c r="BK60" s="128">
        <v>1.59</v>
      </c>
      <c r="BL60" s="128">
        <v>1.6</v>
      </c>
      <c r="BM60" s="128">
        <v>1.61</v>
      </c>
      <c r="BN60" s="128">
        <v>1.61</v>
      </c>
      <c r="BO60" s="128">
        <v>1.62</v>
      </c>
      <c r="BP60" s="128">
        <v>1.63</v>
      </c>
      <c r="BQ60" s="128">
        <v>1.63</v>
      </c>
      <c r="BR60" s="128">
        <v>1.64</v>
      </c>
      <c r="BS60" s="128">
        <v>1.65</v>
      </c>
      <c r="BT60" s="128">
        <v>1.66</v>
      </c>
      <c r="BU60" s="128">
        <v>1.66</v>
      </c>
      <c r="BV60" s="128">
        <v>1.67</v>
      </c>
      <c r="BW60" s="128">
        <v>1.68</v>
      </c>
      <c r="BX60" s="128">
        <v>1.69</v>
      </c>
      <c r="BY60" s="128">
        <v>1.7</v>
      </c>
      <c r="BZ60" s="128">
        <v>1.7</v>
      </c>
      <c r="CA60" s="128">
        <v>1.71</v>
      </c>
      <c r="CB60" s="128">
        <v>1.72</v>
      </c>
      <c r="CC60" s="128">
        <v>1.73</v>
      </c>
      <c r="CD60" s="128">
        <v>1.74</v>
      </c>
      <c r="CE60" s="128">
        <v>1.75</v>
      </c>
      <c r="CF60" s="128">
        <v>1.76</v>
      </c>
      <c r="CG60" s="128">
        <v>1.77</v>
      </c>
      <c r="CH60" s="128">
        <v>1.78</v>
      </c>
      <c r="CI60" s="128">
        <v>1.79</v>
      </c>
      <c r="CJ60" s="128">
        <v>1.8</v>
      </c>
      <c r="CK60" s="128">
        <v>1.81</v>
      </c>
      <c r="CL60" s="128">
        <v>1.83</v>
      </c>
      <c r="CM60" s="128">
        <v>1.84</v>
      </c>
      <c r="CN60" s="128">
        <v>1.85</v>
      </c>
      <c r="CO60" s="128">
        <v>1.86</v>
      </c>
      <c r="CP60" s="128">
        <v>1.88</v>
      </c>
      <c r="CQ60" s="128">
        <v>1.89</v>
      </c>
      <c r="CR60" s="128">
        <v>1.9</v>
      </c>
      <c r="CS60" s="128">
        <v>1.92</v>
      </c>
      <c r="CT60" s="128">
        <v>1.93</v>
      </c>
      <c r="CU60" s="128">
        <v>1.95</v>
      </c>
      <c r="CV60" s="128">
        <v>1.97</v>
      </c>
      <c r="CW60" s="128">
        <v>1.98</v>
      </c>
      <c r="CX60" s="128">
        <v>2</v>
      </c>
      <c r="CZ60" s="126">
        <f>SUMIF(MatrixF2[[1]:[2]],MatrixF2[[#This Row],[Столбец1]])/MatrixF2[[#This Row],[Столбец1]]</f>
        <v>111.99999999999969</v>
      </c>
    </row>
    <row r="61" spans="1:104" ht="21" customHeight="1" x14ac:dyDescent="0.25">
      <c r="A61" s="127">
        <v>1.58</v>
      </c>
      <c r="B61" s="128">
        <v>1</v>
      </c>
      <c r="C61" s="128">
        <v>1.02</v>
      </c>
      <c r="D61" s="128">
        <v>1.03</v>
      </c>
      <c r="E61" s="128">
        <v>1.05</v>
      </c>
      <c r="F61" s="128">
        <v>1.06</v>
      </c>
      <c r="G61" s="128">
        <v>1.08</v>
      </c>
      <c r="H61" s="128">
        <v>1.0900000000000001</v>
      </c>
      <c r="I61" s="128">
        <v>1.1100000000000001</v>
      </c>
      <c r="J61" s="128">
        <v>1.1200000000000001</v>
      </c>
      <c r="K61" s="128">
        <v>1.1299999999999999</v>
      </c>
      <c r="L61" s="128">
        <v>1.1499999999999999</v>
      </c>
      <c r="M61" s="128">
        <v>1.1599999999999999</v>
      </c>
      <c r="N61" s="128">
        <v>1.17</v>
      </c>
      <c r="O61" s="128">
        <v>1.18</v>
      </c>
      <c r="P61" s="128">
        <v>1.19</v>
      </c>
      <c r="Q61" s="128">
        <v>1.21</v>
      </c>
      <c r="R61" s="128">
        <v>1.22</v>
      </c>
      <c r="S61" s="128">
        <v>1.23</v>
      </c>
      <c r="T61" s="128">
        <v>1.24</v>
      </c>
      <c r="U61" s="128">
        <v>1.25</v>
      </c>
      <c r="V61" s="128">
        <v>1.26</v>
      </c>
      <c r="W61" s="128">
        <v>1.27</v>
      </c>
      <c r="X61" s="128">
        <v>1.28</v>
      </c>
      <c r="Y61" s="128">
        <v>1.28</v>
      </c>
      <c r="Z61" s="128">
        <v>1.29</v>
      </c>
      <c r="AA61" s="128">
        <v>1.3</v>
      </c>
      <c r="AB61" s="128">
        <v>1.31</v>
      </c>
      <c r="AC61" s="128">
        <v>1.32</v>
      </c>
      <c r="AD61" s="128">
        <v>1.33</v>
      </c>
      <c r="AE61" s="128">
        <v>1.33</v>
      </c>
      <c r="AF61" s="128">
        <v>1.34</v>
      </c>
      <c r="AG61" s="128">
        <v>1.35</v>
      </c>
      <c r="AH61" s="128">
        <v>1.36</v>
      </c>
      <c r="AI61" s="128">
        <v>1.36</v>
      </c>
      <c r="AJ61" s="128">
        <v>1.37</v>
      </c>
      <c r="AK61" s="128">
        <v>1.38</v>
      </c>
      <c r="AL61" s="128">
        <v>1.38</v>
      </c>
      <c r="AM61" s="128">
        <v>1.39</v>
      </c>
      <c r="AN61" s="128">
        <v>1.4</v>
      </c>
      <c r="AO61" s="128">
        <v>1.4</v>
      </c>
      <c r="AP61" s="128">
        <v>1.41</v>
      </c>
      <c r="AQ61" s="128">
        <v>1.41</v>
      </c>
      <c r="AR61" s="128">
        <v>1.42</v>
      </c>
      <c r="AS61" s="128">
        <v>1.43</v>
      </c>
      <c r="AT61" s="128">
        <v>1.44</v>
      </c>
      <c r="AU61" s="128">
        <v>1.45</v>
      </c>
      <c r="AV61" s="128">
        <v>1.46</v>
      </c>
      <c r="AW61" s="128">
        <v>1.47</v>
      </c>
      <c r="AX61" s="128">
        <v>1.48</v>
      </c>
      <c r="AY61" s="128">
        <v>1.49</v>
      </c>
      <c r="AZ61" s="128">
        <v>1.5</v>
      </c>
      <c r="BA61" s="128">
        <v>1.51</v>
      </c>
      <c r="BB61" s="128">
        <v>1.52</v>
      </c>
      <c r="BC61" s="128">
        <v>1.53</v>
      </c>
      <c r="BD61" s="128">
        <v>1.54</v>
      </c>
      <c r="BE61" s="128">
        <v>1.55</v>
      </c>
      <c r="BF61" s="128">
        <v>1.56</v>
      </c>
      <c r="BG61" s="128">
        <v>1.57</v>
      </c>
      <c r="BH61" s="128">
        <v>1.58</v>
      </c>
      <c r="BI61" s="128">
        <v>1.59</v>
      </c>
      <c r="BJ61" s="128">
        <v>1.59</v>
      </c>
      <c r="BK61" s="128">
        <v>1.6</v>
      </c>
      <c r="BL61" s="128">
        <v>1.6</v>
      </c>
      <c r="BM61" s="128">
        <v>1.61</v>
      </c>
      <c r="BN61" s="128">
        <v>1.62</v>
      </c>
      <c r="BO61" s="128">
        <v>1.62</v>
      </c>
      <c r="BP61" s="128">
        <v>1.63</v>
      </c>
      <c r="BQ61" s="128">
        <v>1.64</v>
      </c>
      <c r="BR61" s="128">
        <v>1.64</v>
      </c>
      <c r="BS61" s="128">
        <v>1.65</v>
      </c>
      <c r="BT61" s="128">
        <v>1.66</v>
      </c>
      <c r="BU61" s="128">
        <v>1.67</v>
      </c>
      <c r="BV61" s="128">
        <v>1.67</v>
      </c>
      <c r="BW61" s="128">
        <v>1.68</v>
      </c>
      <c r="BX61" s="128">
        <v>1.69</v>
      </c>
      <c r="BY61" s="128">
        <v>1.7</v>
      </c>
      <c r="BZ61" s="128">
        <v>1.71</v>
      </c>
      <c r="CA61" s="128">
        <v>1.72</v>
      </c>
      <c r="CB61" s="128">
        <v>1.73</v>
      </c>
      <c r="CC61" s="128">
        <v>1.73</v>
      </c>
      <c r="CD61" s="128">
        <v>1.74</v>
      </c>
      <c r="CE61" s="128">
        <v>1.75</v>
      </c>
      <c r="CF61" s="128">
        <v>1.76</v>
      </c>
      <c r="CG61" s="128">
        <v>1.77</v>
      </c>
      <c r="CH61" s="128">
        <v>1.78</v>
      </c>
      <c r="CI61" s="128">
        <v>1.79</v>
      </c>
      <c r="CJ61" s="128">
        <v>1.81</v>
      </c>
      <c r="CK61" s="128">
        <v>1.82</v>
      </c>
      <c r="CL61" s="128">
        <v>1.83</v>
      </c>
      <c r="CM61" s="128">
        <v>1.84</v>
      </c>
      <c r="CN61" s="128">
        <v>1.85</v>
      </c>
      <c r="CO61" s="128">
        <v>1.87</v>
      </c>
      <c r="CP61" s="128">
        <v>1.88</v>
      </c>
      <c r="CQ61" s="128">
        <v>1.89</v>
      </c>
      <c r="CR61" s="128">
        <v>1.91</v>
      </c>
      <c r="CS61" s="128">
        <v>1.92</v>
      </c>
      <c r="CT61" s="128">
        <v>1.94</v>
      </c>
      <c r="CU61" s="128">
        <v>1.95</v>
      </c>
      <c r="CV61" s="128">
        <v>1.97</v>
      </c>
      <c r="CW61" s="128">
        <v>1.98</v>
      </c>
      <c r="CX61" s="128">
        <v>2</v>
      </c>
      <c r="CZ61" s="126">
        <f>SUMIF(MatrixF2[[1]:[2]],MatrixF2[[#This Row],[Столбец1]])/MatrixF2[[#This Row],[Столбец1]]</f>
        <v>109.00000000000014</v>
      </c>
    </row>
    <row r="62" spans="1:104" ht="21" customHeight="1" x14ac:dyDescent="0.25">
      <c r="A62" s="127">
        <v>1.59</v>
      </c>
      <c r="B62" s="128">
        <v>1</v>
      </c>
      <c r="C62" s="128">
        <v>1.02</v>
      </c>
      <c r="D62" s="128">
        <v>1.03</v>
      </c>
      <c r="E62" s="128">
        <v>1.05</v>
      </c>
      <c r="F62" s="128">
        <v>1.06</v>
      </c>
      <c r="G62" s="128">
        <v>1.08</v>
      </c>
      <c r="H62" s="128">
        <v>1.0900000000000001</v>
      </c>
      <c r="I62" s="128">
        <v>1.1100000000000001</v>
      </c>
      <c r="J62" s="128">
        <v>1.1200000000000001</v>
      </c>
      <c r="K62" s="128">
        <v>1.1299999999999999</v>
      </c>
      <c r="L62" s="128">
        <v>1.1399999999999999</v>
      </c>
      <c r="M62" s="128">
        <v>1.1599999999999999</v>
      </c>
      <c r="N62" s="128">
        <v>1.17</v>
      </c>
      <c r="O62" s="128">
        <v>1.18</v>
      </c>
      <c r="P62" s="128">
        <v>1.19</v>
      </c>
      <c r="Q62" s="128">
        <v>1.2</v>
      </c>
      <c r="R62" s="128">
        <v>1.21</v>
      </c>
      <c r="S62" s="128">
        <v>1.22</v>
      </c>
      <c r="T62" s="128">
        <v>1.23</v>
      </c>
      <c r="U62" s="128">
        <v>1.24</v>
      </c>
      <c r="V62" s="128">
        <v>1.25</v>
      </c>
      <c r="W62" s="128">
        <v>1.26</v>
      </c>
      <c r="X62" s="128">
        <v>1.27</v>
      </c>
      <c r="Y62" s="128">
        <v>1.28</v>
      </c>
      <c r="Z62" s="128">
        <v>1.29</v>
      </c>
      <c r="AA62" s="128">
        <v>1.3</v>
      </c>
      <c r="AB62" s="128">
        <v>1.31</v>
      </c>
      <c r="AC62" s="128">
        <v>1.31</v>
      </c>
      <c r="AD62" s="128">
        <v>1.32</v>
      </c>
      <c r="AE62" s="128">
        <v>1.33</v>
      </c>
      <c r="AF62" s="128">
        <v>1.34</v>
      </c>
      <c r="AG62" s="128">
        <v>1.34</v>
      </c>
      <c r="AH62" s="128">
        <v>1.35</v>
      </c>
      <c r="AI62" s="128">
        <v>1.36</v>
      </c>
      <c r="AJ62" s="128">
        <v>1.37</v>
      </c>
      <c r="AK62" s="128">
        <v>1.37</v>
      </c>
      <c r="AL62" s="128">
        <v>1.38</v>
      </c>
      <c r="AM62" s="128">
        <v>1.39</v>
      </c>
      <c r="AN62" s="128">
        <v>1.39</v>
      </c>
      <c r="AO62" s="128">
        <v>1.4</v>
      </c>
      <c r="AP62" s="128">
        <v>1.4</v>
      </c>
      <c r="AQ62" s="128">
        <v>1.41</v>
      </c>
      <c r="AR62" s="128">
        <v>1.42</v>
      </c>
      <c r="AS62" s="128">
        <v>1.43</v>
      </c>
      <c r="AT62" s="128">
        <v>1.44</v>
      </c>
      <c r="AU62" s="128">
        <v>1.45</v>
      </c>
      <c r="AV62" s="128">
        <v>1.46</v>
      </c>
      <c r="AW62" s="128">
        <v>1.47</v>
      </c>
      <c r="AX62" s="128">
        <v>1.48</v>
      </c>
      <c r="AY62" s="128">
        <v>1.49</v>
      </c>
      <c r="AZ62" s="128">
        <v>1.5</v>
      </c>
      <c r="BA62" s="128">
        <v>1.51</v>
      </c>
      <c r="BB62" s="128">
        <v>1.52</v>
      </c>
      <c r="BC62" s="128">
        <v>1.53</v>
      </c>
      <c r="BD62" s="128">
        <v>1.54</v>
      </c>
      <c r="BE62" s="128">
        <v>1.55</v>
      </c>
      <c r="BF62" s="128">
        <v>1.56</v>
      </c>
      <c r="BG62" s="128">
        <v>1.57</v>
      </c>
      <c r="BH62" s="128">
        <v>1.58</v>
      </c>
      <c r="BI62" s="128">
        <v>1.59</v>
      </c>
      <c r="BJ62" s="128">
        <v>1.6</v>
      </c>
      <c r="BK62" s="128">
        <v>1.6</v>
      </c>
      <c r="BL62" s="128">
        <v>1.61</v>
      </c>
      <c r="BM62" s="128">
        <v>1.61</v>
      </c>
      <c r="BN62" s="128">
        <v>1.62</v>
      </c>
      <c r="BO62" s="128">
        <v>1.63</v>
      </c>
      <c r="BP62" s="128">
        <v>1.63</v>
      </c>
      <c r="BQ62" s="128">
        <v>1.64</v>
      </c>
      <c r="BR62" s="128">
        <v>1.65</v>
      </c>
      <c r="BS62" s="128">
        <v>1.66</v>
      </c>
      <c r="BT62" s="128">
        <v>1.66</v>
      </c>
      <c r="BU62" s="128">
        <v>1.67</v>
      </c>
      <c r="BV62" s="128">
        <v>1.68</v>
      </c>
      <c r="BW62" s="128">
        <v>1.69</v>
      </c>
      <c r="BX62" s="128">
        <v>1.69</v>
      </c>
      <c r="BY62" s="128">
        <v>1.7</v>
      </c>
      <c r="BZ62" s="128">
        <v>1.71</v>
      </c>
      <c r="CA62" s="128">
        <v>1.72</v>
      </c>
      <c r="CB62" s="128">
        <v>1.73</v>
      </c>
      <c r="CC62" s="128">
        <v>1.74</v>
      </c>
      <c r="CD62" s="128">
        <v>1.75</v>
      </c>
      <c r="CE62" s="128">
        <v>1.76</v>
      </c>
      <c r="CF62" s="128">
        <v>1.77</v>
      </c>
      <c r="CG62" s="128">
        <v>1.78</v>
      </c>
      <c r="CH62" s="128">
        <v>1.79</v>
      </c>
      <c r="CI62" s="128">
        <v>1.8</v>
      </c>
      <c r="CJ62" s="128">
        <v>1.81</v>
      </c>
      <c r="CK62" s="128">
        <v>1.82</v>
      </c>
      <c r="CL62" s="128">
        <v>1.83</v>
      </c>
      <c r="CM62" s="128">
        <v>1.84</v>
      </c>
      <c r="CN62" s="128">
        <v>1.86</v>
      </c>
      <c r="CO62" s="128">
        <v>1.87</v>
      </c>
      <c r="CP62" s="128">
        <v>1.88</v>
      </c>
      <c r="CQ62" s="128">
        <v>1.89</v>
      </c>
      <c r="CR62" s="128">
        <v>1.91</v>
      </c>
      <c r="CS62" s="128">
        <v>1.92</v>
      </c>
      <c r="CT62" s="128">
        <v>1.94</v>
      </c>
      <c r="CU62" s="128">
        <v>1.95</v>
      </c>
      <c r="CV62" s="128">
        <v>1.97</v>
      </c>
      <c r="CW62" s="128">
        <v>1.98</v>
      </c>
      <c r="CX62" s="128">
        <v>2</v>
      </c>
      <c r="CZ62" s="126">
        <f>SUMIF(MatrixF2[[1]:[2]],MatrixF2[[#This Row],[Столбец1]])/MatrixF2[[#This Row],[Столбец1]]</f>
        <v>111.00000000000018</v>
      </c>
    </row>
    <row r="63" spans="1:104" ht="21" customHeight="1" x14ac:dyDescent="0.25">
      <c r="A63" s="127">
        <v>1.6</v>
      </c>
      <c r="B63" s="128">
        <v>1</v>
      </c>
      <c r="C63" s="128">
        <v>1.02</v>
      </c>
      <c r="D63" s="128">
        <v>1.03</v>
      </c>
      <c r="E63" s="128">
        <v>1.05</v>
      </c>
      <c r="F63" s="128">
        <v>1.06</v>
      </c>
      <c r="G63" s="128">
        <v>1.08</v>
      </c>
      <c r="H63" s="128">
        <v>1.0900000000000001</v>
      </c>
      <c r="I63" s="128">
        <v>1.1000000000000001</v>
      </c>
      <c r="J63" s="128">
        <v>1.1200000000000001</v>
      </c>
      <c r="K63" s="128">
        <v>1.1299999999999999</v>
      </c>
      <c r="L63" s="128">
        <v>1.1399999999999999</v>
      </c>
      <c r="M63" s="128">
        <v>1.1499999999999999</v>
      </c>
      <c r="N63" s="128">
        <v>1.17</v>
      </c>
      <c r="O63" s="128">
        <v>1.18</v>
      </c>
      <c r="P63" s="128">
        <v>1.19</v>
      </c>
      <c r="Q63" s="128">
        <v>1.2</v>
      </c>
      <c r="R63" s="128">
        <v>1.21</v>
      </c>
      <c r="S63" s="128">
        <v>1.22</v>
      </c>
      <c r="T63" s="128">
        <v>1.23</v>
      </c>
      <c r="U63" s="128">
        <v>1.24</v>
      </c>
      <c r="V63" s="128">
        <v>1.25</v>
      </c>
      <c r="W63" s="128">
        <v>1.26</v>
      </c>
      <c r="X63" s="128">
        <v>1.27</v>
      </c>
      <c r="Y63" s="128">
        <v>1.28</v>
      </c>
      <c r="Z63" s="128">
        <v>1.29</v>
      </c>
      <c r="AA63" s="128">
        <v>1.29</v>
      </c>
      <c r="AB63" s="128">
        <v>1.3</v>
      </c>
      <c r="AC63" s="128">
        <v>1.31</v>
      </c>
      <c r="AD63" s="128">
        <v>1.32</v>
      </c>
      <c r="AE63" s="128">
        <v>1.33</v>
      </c>
      <c r="AF63" s="128">
        <v>1.33</v>
      </c>
      <c r="AG63" s="128">
        <v>1.34</v>
      </c>
      <c r="AH63" s="128">
        <v>1.35</v>
      </c>
      <c r="AI63" s="128">
        <v>1.35</v>
      </c>
      <c r="AJ63" s="128">
        <v>1.36</v>
      </c>
      <c r="AK63" s="128">
        <v>1.37</v>
      </c>
      <c r="AL63" s="128">
        <v>1.38</v>
      </c>
      <c r="AM63" s="128">
        <v>1.38</v>
      </c>
      <c r="AN63" s="128">
        <v>1.39</v>
      </c>
      <c r="AO63" s="128">
        <v>1.39</v>
      </c>
      <c r="AP63" s="128">
        <v>1.4</v>
      </c>
      <c r="AQ63" s="128">
        <v>1.41</v>
      </c>
      <c r="AR63" s="128">
        <v>1.42</v>
      </c>
      <c r="AS63" s="128">
        <v>1.43</v>
      </c>
      <c r="AT63" s="128">
        <v>1.44</v>
      </c>
      <c r="AU63" s="128">
        <v>1.45</v>
      </c>
      <c r="AV63" s="128">
        <v>1.46</v>
      </c>
      <c r="AW63" s="128">
        <v>1.47</v>
      </c>
      <c r="AX63" s="128">
        <v>1.48</v>
      </c>
      <c r="AY63" s="128">
        <v>1.49</v>
      </c>
      <c r="AZ63" s="128">
        <v>1.5</v>
      </c>
      <c r="BA63" s="128">
        <v>1.51</v>
      </c>
      <c r="BB63" s="128">
        <v>1.52</v>
      </c>
      <c r="BC63" s="128">
        <v>1.53</v>
      </c>
      <c r="BD63" s="128">
        <v>1.54</v>
      </c>
      <c r="BE63" s="128">
        <v>1.55</v>
      </c>
      <c r="BF63" s="128">
        <v>1.56</v>
      </c>
      <c r="BG63" s="128">
        <v>1.57</v>
      </c>
      <c r="BH63" s="128">
        <v>1.58</v>
      </c>
      <c r="BI63" s="128">
        <v>1.59</v>
      </c>
      <c r="BJ63" s="128">
        <v>1.6</v>
      </c>
      <c r="BK63" s="128">
        <v>1.61</v>
      </c>
      <c r="BL63" s="128">
        <v>1.61</v>
      </c>
      <c r="BM63" s="128">
        <v>1.62</v>
      </c>
      <c r="BN63" s="128">
        <v>1.62</v>
      </c>
      <c r="BO63" s="128">
        <v>1.63</v>
      </c>
      <c r="BP63" s="128">
        <v>1.64</v>
      </c>
      <c r="BQ63" s="128">
        <v>1.65</v>
      </c>
      <c r="BR63" s="128">
        <v>1.65</v>
      </c>
      <c r="BS63" s="128">
        <v>1.66</v>
      </c>
      <c r="BT63" s="128">
        <v>1.67</v>
      </c>
      <c r="BU63" s="128">
        <v>1.67</v>
      </c>
      <c r="BV63" s="128">
        <v>1.68</v>
      </c>
      <c r="BW63" s="128">
        <v>1.69</v>
      </c>
      <c r="BX63" s="128">
        <v>1.7</v>
      </c>
      <c r="BY63" s="128">
        <v>1.71</v>
      </c>
      <c r="BZ63" s="128">
        <v>1.71</v>
      </c>
      <c r="CA63" s="128">
        <v>1.72</v>
      </c>
      <c r="CB63" s="128">
        <v>1.73</v>
      </c>
      <c r="CC63" s="128">
        <v>1.74</v>
      </c>
      <c r="CD63" s="128">
        <v>1.75</v>
      </c>
      <c r="CE63" s="128">
        <v>1.76</v>
      </c>
      <c r="CF63" s="128">
        <v>1.77</v>
      </c>
      <c r="CG63" s="128">
        <v>1.78</v>
      </c>
      <c r="CH63" s="128">
        <v>1.79</v>
      </c>
      <c r="CI63" s="128">
        <v>1.8</v>
      </c>
      <c r="CJ63" s="128">
        <v>1.81</v>
      </c>
      <c r="CK63" s="128">
        <v>1.82</v>
      </c>
      <c r="CL63" s="128">
        <v>1.83</v>
      </c>
      <c r="CM63" s="128">
        <v>1.85</v>
      </c>
      <c r="CN63" s="128">
        <v>1.86</v>
      </c>
      <c r="CO63" s="128">
        <v>1.87</v>
      </c>
      <c r="CP63" s="128">
        <v>1.88</v>
      </c>
      <c r="CQ63" s="128">
        <v>1.9</v>
      </c>
      <c r="CR63" s="128">
        <v>1.91</v>
      </c>
      <c r="CS63" s="128">
        <v>1.92</v>
      </c>
      <c r="CT63" s="128">
        <v>1.94</v>
      </c>
      <c r="CU63" s="128">
        <v>1.95</v>
      </c>
      <c r="CV63" s="128">
        <v>1.97</v>
      </c>
      <c r="CW63" s="128">
        <v>1.98</v>
      </c>
      <c r="CX63" s="128">
        <v>2</v>
      </c>
      <c r="CZ63" s="126">
        <f>SUMIF(MatrixF2[[1]:[2]],MatrixF2[[#This Row],[Столбец1]])/MatrixF2[[#This Row],[Столбец1]]</f>
        <v>113.99999999999974</v>
      </c>
    </row>
    <row r="64" spans="1:104" ht="21" customHeight="1" x14ac:dyDescent="0.25">
      <c r="A64" s="127">
        <v>1.61</v>
      </c>
      <c r="B64" s="128">
        <v>1</v>
      </c>
      <c r="C64" s="128">
        <v>1.02</v>
      </c>
      <c r="D64" s="128">
        <v>1.03</v>
      </c>
      <c r="E64" s="128">
        <v>1.05</v>
      </c>
      <c r="F64" s="128">
        <v>1.06</v>
      </c>
      <c r="G64" s="128">
        <v>1.08</v>
      </c>
      <c r="H64" s="128">
        <v>1.0900000000000001</v>
      </c>
      <c r="I64" s="128">
        <v>1.1000000000000001</v>
      </c>
      <c r="J64" s="128">
        <v>1.1200000000000001</v>
      </c>
      <c r="K64" s="128">
        <v>1.1299999999999999</v>
      </c>
      <c r="L64" s="128">
        <v>1.1399999999999999</v>
      </c>
      <c r="M64" s="128">
        <v>1.1499999999999999</v>
      </c>
      <c r="N64" s="128">
        <v>1.1599999999999999</v>
      </c>
      <c r="O64" s="128">
        <v>1.18</v>
      </c>
      <c r="P64" s="128">
        <v>1.19</v>
      </c>
      <c r="Q64" s="128">
        <v>1.2</v>
      </c>
      <c r="R64" s="128">
        <v>1.21</v>
      </c>
      <c r="S64" s="128">
        <v>1.22</v>
      </c>
      <c r="T64" s="128">
        <v>1.23</v>
      </c>
      <c r="U64" s="128">
        <v>1.24</v>
      </c>
      <c r="V64" s="128">
        <v>1.25</v>
      </c>
      <c r="W64" s="128">
        <v>1.26</v>
      </c>
      <c r="X64" s="128">
        <v>1.27</v>
      </c>
      <c r="Y64" s="128">
        <v>1.27</v>
      </c>
      <c r="Z64" s="128">
        <v>1.28</v>
      </c>
      <c r="AA64" s="128">
        <v>1.29</v>
      </c>
      <c r="AB64" s="128">
        <v>1.3</v>
      </c>
      <c r="AC64" s="128">
        <v>1.31</v>
      </c>
      <c r="AD64" s="128">
        <v>1.31</v>
      </c>
      <c r="AE64" s="128">
        <v>1.32</v>
      </c>
      <c r="AF64" s="128">
        <v>1.33</v>
      </c>
      <c r="AG64" s="128">
        <v>1.34</v>
      </c>
      <c r="AH64" s="128">
        <v>1.34</v>
      </c>
      <c r="AI64" s="128">
        <v>1.35</v>
      </c>
      <c r="AJ64" s="128">
        <v>1.36</v>
      </c>
      <c r="AK64" s="128">
        <v>1.36</v>
      </c>
      <c r="AL64" s="128">
        <v>1.37</v>
      </c>
      <c r="AM64" s="128">
        <v>1.38</v>
      </c>
      <c r="AN64" s="128">
        <v>1.38</v>
      </c>
      <c r="AO64" s="128">
        <v>1.39</v>
      </c>
      <c r="AP64" s="128">
        <v>1.4</v>
      </c>
      <c r="AQ64" s="128">
        <v>1.41</v>
      </c>
      <c r="AR64" s="128">
        <v>1.42</v>
      </c>
      <c r="AS64" s="128">
        <v>1.43</v>
      </c>
      <c r="AT64" s="128">
        <v>1.44</v>
      </c>
      <c r="AU64" s="128">
        <v>1.45</v>
      </c>
      <c r="AV64" s="128">
        <v>1.46</v>
      </c>
      <c r="AW64" s="128">
        <v>1.47</v>
      </c>
      <c r="AX64" s="128">
        <v>1.48</v>
      </c>
      <c r="AY64" s="128">
        <v>1.49</v>
      </c>
      <c r="AZ64" s="128">
        <v>1.5</v>
      </c>
      <c r="BA64" s="128">
        <v>1.51</v>
      </c>
      <c r="BB64" s="128">
        <v>1.52</v>
      </c>
      <c r="BC64" s="128">
        <v>1.53</v>
      </c>
      <c r="BD64" s="128">
        <v>1.54</v>
      </c>
      <c r="BE64" s="128">
        <v>1.55</v>
      </c>
      <c r="BF64" s="128">
        <v>1.56</v>
      </c>
      <c r="BG64" s="128">
        <v>1.57</v>
      </c>
      <c r="BH64" s="128">
        <v>1.58</v>
      </c>
      <c r="BI64" s="128">
        <v>1.59</v>
      </c>
      <c r="BJ64" s="128">
        <v>1.6</v>
      </c>
      <c r="BK64" s="128">
        <v>1.61</v>
      </c>
      <c r="BL64" s="128">
        <v>1.62</v>
      </c>
      <c r="BM64" s="128">
        <v>1.62</v>
      </c>
      <c r="BN64" s="128">
        <v>1.63</v>
      </c>
      <c r="BO64" s="128">
        <v>1.64</v>
      </c>
      <c r="BP64" s="128">
        <v>1.64</v>
      </c>
      <c r="BQ64" s="128">
        <v>1.65</v>
      </c>
      <c r="BR64" s="128">
        <v>1.66</v>
      </c>
      <c r="BS64" s="128">
        <v>1.66</v>
      </c>
      <c r="BT64" s="128">
        <v>1.67</v>
      </c>
      <c r="BU64" s="128">
        <v>1.68</v>
      </c>
      <c r="BV64" s="128">
        <v>1.69</v>
      </c>
      <c r="BW64" s="128">
        <v>1.69</v>
      </c>
      <c r="BX64" s="128">
        <v>1.7</v>
      </c>
      <c r="BY64" s="128">
        <v>1.71</v>
      </c>
      <c r="BZ64" s="128">
        <v>1.72</v>
      </c>
      <c r="CA64" s="128">
        <v>1.73</v>
      </c>
      <c r="CB64" s="128">
        <v>1.73</v>
      </c>
      <c r="CC64" s="128">
        <v>1.74</v>
      </c>
      <c r="CD64" s="128">
        <v>1.75</v>
      </c>
      <c r="CE64" s="128">
        <v>1.76</v>
      </c>
      <c r="CF64" s="128">
        <v>1.77</v>
      </c>
      <c r="CG64" s="128">
        <v>1.78</v>
      </c>
      <c r="CH64" s="128">
        <v>1.79</v>
      </c>
      <c r="CI64" s="128">
        <v>1.8</v>
      </c>
      <c r="CJ64" s="128">
        <v>1.81</v>
      </c>
      <c r="CK64" s="128">
        <v>1.82</v>
      </c>
      <c r="CL64" s="128">
        <v>1.84</v>
      </c>
      <c r="CM64" s="128">
        <v>1.85</v>
      </c>
      <c r="CN64" s="128">
        <v>1.86</v>
      </c>
      <c r="CO64" s="128">
        <v>1.87</v>
      </c>
      <c r="CP64" s="128">
        <v>1.88</v>
      </c>
      <c r="CQ64" s="128">
        <v>1.9</v>
      </c>
      <c r="CR64" s="128">
        <v>1.91</v>
      </c>
      <c r="CS64" s="128">
        <v>1.92</v>
      </c>
      <c r="CT64" s="128">
        <v>1.94</v>
      </c>
      <c r="CU64" s="128">
        <v>1.95</v>
      </c>
      <c r="CV64" s="128">
        <v>1.97</v>
      </c>
      <c r="CW64" s="128">
        <v>1.98</v>
      </c>
      <c r="CX64" s="128">
        <v>2</v>
      </c>
      <c r="CZ64" s="126">
        <f>SUMIF(MatrixF2[[1]:[2]],MatrixF2[[#This Row],[Столбец1]])/MatrixF2[[#This Row],[Столбец1]]</f>
        <v>111.00000000000024</v>
      </c>
    </row>
    <row r="65" spans="1:104" ht="21" customHeight="1" x14ac:dyDescent="0.25">
      <c r="A65" s="127">
        <v>1.62</v>
      </c>
      <c r="B65" s="128">
        <v>1</v>
      </c>
      <c r="C65" s="128">
        <v>1.02</v>
      </c>
      <c r="D65" s="128">
        <v>1.03</v>
      </c>
      <c r="E65" s="128">
        <v>1.05</v>
      </c>
      <c r="F65" s="128">
        <v>1.06</v>
      </c>
      <c r="G65" s="128">
        <v>1.07</v>
      </c>
      <c r="H65" s="128">
        <v>1.0900000000000001</v>
      </c>
      <c r="I65" s="128">
        <v>1.1000000000000001</v>
      </c>
      <c r="J65" s="128">
        <v>1.1100000000000001</v>
      </c>
      <c r="K65" s="128">
        <v>1.1299999999999999</v>
      </c>
      <c r="L65" s="128">
        <v>1.1399999999999999</v>
      </c>
      <c r="M65" s="128">
        <v>1.1499999999999999</v>
      </c>
      <c r="N65" s="128">
        <v>1.1599999999999999</v>
      </c>
      <c r="O65" s="128">
        <v>1.17</v>
      </c>
      <c r="P65" s="128">
        <v>1.18</v>
      </c>
      <c r="Q65" s="128">
        <v>1.19</v>
      </c>
      <c r="R65" s="128">
        <v>1.21</v>
      </c>
      <c r="S65" s="128">
        <v>1.22</v>
      </c>
      <c r="T65" s="128">
        <v>1.22</v>
      </c>
      <c r="U65" s="128">
        <v>1.23</v>
      </c>
      <c r="V65" s="128">
        <v>1.24</v>
      </c>
      <c r="W65" s="128">
        <v>1.25</v>
      </c>
      <c r="X65" s="128">
        <v>1.26</v>
      </c>
      <c r="Y65" s="128">
        <v>1.27</v>
      </c>
      <c r="Z65" s="128">
        <v>1.28</v>
      </c>
      <c r="AA65" s="128">
        <v>1.29</v>
      </c>
      <c r="AB65" s="128">
        <v>1.3</v>
      </c>
      <c r="AC65" s="128">
        <v>1.3</v>
      </c>
      <c r="AD65" s="128">
        <v>1.31</v>
      </c>
      <c r="AE65" s="128">
        <v>1.32</v>
      </c>
      <c r="AF65" s="128">
        <v>1.33</v>
      </c>
      <c r="AG65" s="128">
        <v>1.33</v>
      </c>
      <c r="AH65" s="128">
        <v>1.34</v>
      </c>
      <c r="AI65" s="128">
        <v>1.35</v>
      </c>
      <c r="AJ65" s="128">
        <v>1.35</v>
      </c>
      <c r="AK65" s="128">
        <v>1.36</v>
      </c>
      <c r="AL65" s="128">
        <v>1.37</v>
      </c>
      <c r="AM65" s="128">
        <v>1.37</v>
      </c>
      <c r="AN65" s="128">
        <v>1.38</v>
      </c>
      <c r="AO65" s="128">
        <v>1.39</v>
      </c>
      <c r="AP65" s="128">
        <v>1.4</v>
      </c>
      <c r="AQ65" s="128">
        <v>1.41</v>
      </c>
      <c r="AR65" s="128">
        <v>1.42</v>
      </c>
      <c r="AS65" s="128">
        <v>1.43</v>
      </c>
      <c r="AT65" s="128">
        <v>1.44</v>
      </c>
      <c r="AU65" s="128">
        <v>1.45</v>
      </c>
      <c r="AV65" s="128">
        <v>1.46</v>
      </c>
      <c r="AW65" s="128">
        <v>1.47</v>
      </c>
      <c r="AX65" s="128">
        <v>1.48</v>
      </c>
      <c r="AY65" s="128">
        <v>1.49</v>
      </c>
      <c r="AZ65" s="128">
        <v>1.5</v>
      </c>
      <c r="BA65" s="128">
        <v>1.51</v>
      </c>
      <c r="BB65" s="128">
        <v>1.52</v>
      </c>
      <c r="BC65" s="128">
        <v>1.53</v>
      </c>
      <c r="BD65" s="128">
        <v>1.54</v>
      </c>
      <c r="BE65" s="128">
        <v>1.55</v>
      </c>
      <c r="BF65" s="128">
        <v>1.56</v>
      </c>
      <c r="BG65" s="128">
        <v>1.57</v>
      </c>
      <c r="BH65" s="128">
        <v>1.58</v>
      </c>
      <c r="BI65" s="128">
        <v>1.59</v>
      </c>
      <c r="BJ65" s="128">
        <v>1.6</v>
      </c>
      <c r="BK65" s="128">
        <v>1.61</v>
      </c>
      <c r="BL65" s="128">
        <v>1.62</v>
      </c>
      <c r="BM65" s="128">
        <v>1.63</v>
      </c>
      <c r="BN65" s="128">
        <v>1.63</v>
      </c>
      <c r="BO65" s="128">
        <v>1.64</v>
      </c>
      <c r="BP65" s="128">
        <v>1.65</v>
      </c>
      <c r="BQ65" s="128">
        <v>1.65</v>
      </c>
      <c r="BR65" s="128">
        <v>1.66</v>
      </c>
      <c r="BS65" s="128">
        <v>1.67</v>
      </c>
      <c r="BT65" s="128">
        <v>1.67</v>
      </c>
      <c r="BU65" s="128">
        <v>1.68</v>
      </c>
      <c r="BV65" s="128">
        <v>1.69</v>
      </c>
      <c r="BW65" s="128">
        <v>1.7</v>
      </c>
      <c r="BX65" s="128">
        <v>1.7</v>
      </c>
      <c r="BY65" s="128">
        <v>1.71</v>
      </c>
      <c r="BZ65" s="128">
        <v>1.72</v>
      </c>
      <c r="CA65" s="128">
        <v>1.73</v>
      </c>
      <c r="CB65" s="128">
        <v>1.74</v>
      </c>
      <c r="CC65" s="128">
        <v>1.75</v>
      </c>
      <c r="CD65" s="128">
        <v>1.76</v>
      </c>
      <c r="CE65" s="128">
        <v>1.77</v>
      </c>
      <c r="CF65" s="128">
        <v>1.78</v>
      </c>
      <c r="CG65" s="128">
        <v>1.78</v>
      </c>
      <c r="CH65" s="128">
        <v>1.79</v>
      </c>
      <c r="CI65" s="128">
        <v>1.81</v>
      </c>
      <c r="CJ65" s="128">
        <v>1.82</v>
      </c>
      <c r="CK65" s="128">
        <v>1.83</v>
      </c>
      <c r="CL65" s="128">
        <v>1.84</v>
      </c>
      <c r="CM65" s="128">
        <v>1.85</v>
      </c>
      <c r="CN65" s="128">
        <v>1.86</v>
      </c>
      <c r="CO65" s="128">
        <v>1.87</v>
      </c>
      <c r="CP65" s="128">
        <v>1.89</v>
      </c>
      <c r="CQ65" s="128">
        <v>1.9</v>
      </c>
      <c r="CR65" s="128">
        <v>1.91</v>
      </c>
      <c r="CS65" s="128">
        <v>1.93</v>
      </c>
      <c r="CT65" s="128">
        <v>1.94</v>
      </c>
      <c r="CU65" s="128">
        <v>1.95</v>
      </c>
      <c r="CV65" s="128">
        <v>1.97</v>
      </c>
      <c r="CW65" s="128">
        <v>1.98</v>
      </c>
      <c r="CX65" s="128">
        <v>2</v>
      </c>
      <c r="CZ65" s="126">
        <f>SUMIF(MatrixF2[[1]:[2]],MatrixF2[[#This Row],[Столбец1]])/MatrixF2[[#This Row],[Столбец1]]</f>
        <v>112.00000000000017</v>
      </c>
    </row>
    <row r="66" spans="1:104" ht="21" customHeight="1" x14ac:dyDescent="0.25">
      <c r="A66" s="127">
        <v>1.63</v>
      </c>
      <c r="B66" s="128">
        <v>1</v>
      </c>
      <c r="C66" s="128">
        <v>1.02</v>
      </c>
      <c r="D66" s="128">
        <v>1.03</v>
      </c>
      <c r="E66" s="128">
        <v>1.05</v>
      </c>
      <c r="F66" s="128">
        <v>1.06</v>
      </c>
      <c r="G66" s="128">
        <v>1.07</v>
      </c>
      <c r="H66" s="128">
        <v>1.0900000000000001</v>
      </c>
      <c r="I66" s="128">
        <v>1.1000000000000001</v>
      </c>
      <c r="J66" s="128">
        <v>1.1100000000000001</v>
      </c>
      <c r="K66" s="128">
        <v>1.1200000000000001</v>
      </c>
      <c r="L66" s="128">
        <v>1.1399999999999999</v>
      </c>
      <c r="M66" s="128">
        <v>1.1499999999999999</v>
      </c>
      <c r="N66" s="128">
        <v>1.1599999999999999</v>
      </c>
      <c r="O66" s="128">
        <v>1.17</v>
      </c>
      <c r="P66" s="128">
        <v>1.18</v>
      </c>
      <c r="Q66" s="128">
        <v>1.19</v>
      </c>
      <c r="R66" s="128">
        <v>1.2</v>
      </c>
      <c r="S66" s="128">
        <v>1.21</v>
      </c>
      <c r="T66" s="128">
        <v>1.22</v>
      </c>
      <c r="U66" s="128">
        <v>1.23</v>
      </c>
      <c r="V66" s="128">
        <v>1.24</v>
      </c>
      <c r="W66" s="128">
        <v>1.25</v>
      </c>
      <c r="X66" s="128">
        <v>1.26</v>
      </c>
      <c r="Y66" s="128">
        <v>1.27</v>
      </c>
      <c r="Z66" s="128">
        <v>1.28</v>
      </c>
      <c r="AA66" s="128">
        <v>1.28</v>
      </c>
      <c r="AB66" s="128">
        <v>1.29</v>
      </c>
      <c r="AC66" s="128">
        <v>1.3</v>
      </c>
      <c r="AD66" s="128">
        <v>1.31</v>
      </c>
      <c r="AE66" s="128">
        <v>1.32</v>
      </c>
      <c r="AF66" s="128">
        <v>1.32</v>
      </c>
      <c r="AG66" s="128">
        <v>1.33</v>
      </c>
      <c r="AH66" s="128">
        <v>1.34</v>
      </c>
      <c r="AI66" s="128">
        <v>1.34</v>
      </c>
      <c r="AJ66" s="128">
        <v>1.35</v>
      </c>
      <c r="AK66" s="128">
        <v>1.36</v>
      </c>
      <c r="AL66" s="128">
        <v>1.36</v>
      </c>
      <c r="AM66" s="128">
        <v>1.37</v>
      </c>
      <c r="AN66" s="128">
        <v>1.38</v>
      </c>
      <c r="AO66" s="128">
        <v>1.39</v>
      </c>
      <c r="AP66" s="128">
        <v>1.4</v>
      </c>
      <c r="AQ66" s="128">
        <v>1.41</v>
      </c>
      <c r="AR66" s="128">
        <v>1.42</v>
      </c>
      <c r="AS66" s="128">
        <v>1.43</v>
      </c>
      <c r="AT66" s="128">
        <v>1.44</v>
      </c>
      <c r="AU66" s="128">
        <v>1.45</v>
      </c>
      <c r="AV66" s="128">
        <v>1.46</v>
      </c>
      <c r="AW66" s="128">
        <v>1.47</v>
      </c>
      <c r="AX66" s="128">
        <v>1.48</v>
      </c>
      <c r="AY66" s="128">
        <v>1.49</v>
      </c>
      <c r="AZ66" s="128">
        <v>1.5</v>
      </c>
      <c r="BA66" s="128">
        <v>1.51</v>
      </c>
      <c r="BB66" s="128">
        <v>1.52</v>
      </c>
      <c r="BC66" s="128">
        <v>1.53</v>
      </c>
      <c r="BD66" s="128">
        <v>1.54</v>
      </c>
      <c r="BE66" s="128">
        <v>1.55</v>
      </c>
      <c r="BF66" s="128">
        <v>1.56</v>
      </c>
      <c r="BG66" s="128">
        <v>1.57</v>
      </c>
      <c r="BH66" s="128">
        <v>1.58</v>
      </c>
      <c r="BI66" s="128">
        <v>1.59</v>
      </c>
      <c r="BJ66" s="128">
        <v>1.6</v>
      </c>
      <c r="BK66" s="128">
        <v>1.61</v>
      </c>
      <c r="BL66" s="128">
        <v>1.62</v>
      </c>
      <c r="BM66" s="128">
        <v>1.63</v>
      </c>
      <c r="BN66" s="128">
        <v>1.64</v>
      </c>
      <c r="BO66" s="128">
        <v>1.64</v>
      </c>
      <c r="BP66" s="128">
        <v>1.65</v>
      </c>
      <c r="BQ66" s="128">
        <v>1.66</v>
      </c>
      <c r="BR66" s="128">
        <v>1.66</v>
      </c>
      <c r="BS66" s="128">
        <v>1.67</v>
      </c>
      <c r="BT66" s="128">
        <v>1.68</v>
      </c>
      <c r="BU66" s="128">
        <v>1.68</v>
      </c>
      <c r="BV66" s="128">
        <v>1.69</v>
      </c>
      <c r="BW66" s="128">
        <v>1.7</v>
      </c>
      <c r="BX66" s="128">
        <v>1.71</v>
      </c>
      <c r="BY66" s="128">
        <v>1.72</v>
      </c>
      <c r="BZ66" s="128">
        <v>1.72</v>
      </c>
      <c r="CA66" s="128">
        <v>1.73</v>
      </c>
      <c r="CB66" s="128">
        <v>1.74</v>
      </c>
      <c r="CC66" s="128">
        <v>1.75</v>
      </c>
      <c r="CD66" s="128">
        <v>1.76</v>
      </c>
      <c r="CE66" s="128">
        <v>1.77</v>
      </c>
      <c r="CF66" s="128">
        <v>1.78</v>
      </c>
      <c r="CG66" s="128">
        <v>1.79</v>
      </c>
      <c r="CH66" s="128">
        <v>1.8</v>
      </c>
      <c r="CI66" s="128">
        <v>1.81</v>
      </c>
      <c r="CJ66" s="128">
        <v>1.82</v>
      </c>
      <c r="CK66" s="128">
        <v>1.83</v>
      </c>
      <c r="CL66" s="128">
        <v>1.84</v>
      </c>
      <c r="CM66" s="128">
        <v>1.85</v>
      </c>
      <c r="CN66" s="128">
        <v>1.86</v>
      </c>
      <c r="CO66" s="128">
        <v>1.88</v>
      </c>
      <c r="CP66" s="128">
        <v>1.89</v>
      </c>
      <c r="CQ66" s="128">
        <v>1.9</v>
      </c>
      <c r="CR66" s="128">
        <v>1.91</v>
      </c>
      <c r="CS66" s="128">
        <v>1.93</v>
      </c>
      <c r="CT66" s="128">
        <v>1.94</v>
      </c>
      <c r="CU66" s="128">
        <v>1.95</v>
      </c>
      <c r="CV66" s="128">
        <v>1.97</v>
      </c>
      <c r="CW66" s="128">
        <v>1.98</v>
      </c>
      <c r="CX66" s="128">
        <v>2</v>
      </c>
      <c r="CZ66" s="126">
        <f>SUMIF(MatrixF2[[1]:[2]],MatrixF2[[#This Row],[Столбец1]])/MatrixF2[[#This Row],[Столбец1]]</f>
        <v>110.99999999999984</v>
      </c>
    </row>
    <row r="67" spans="1:104" ht="21" customHeight="1" x14ac:dyDescent="0.25">
      <c r="A67" s="127">
        <v>1.64</v>
      </c>
      <c r="B67" s="128">
        <v>1</v>
      </c>
      <c r="C67" s="128">
        <v>1.02</v>
      </c>
      <c r="D67" s="128">
        <v>1.03</v>
      </c>
      <c r="E67" s="128">
        <v>1.04</v>
      </c>
      <c r="F67" s="128">
        <v>1.06</v>
      </c>
      <c r="G67" s="128">
        <v>1.07</v>
      </c>
      <c r="H67" s="128">
        <v>1.0900000000000001</v>
      </c>
      <c r="I67" s="128">
        <v>1.1000000000000001</v>
      </c>
      <c r="J67" s="128">
        <v>1.1100000000000001</v>
      </c>
      <c r="K67" s="128">
        <v>1.1200000000000001</v>
      </c>
      <c r="L67" s="128">
        <v>1.1399999999999999</v>
      </c>
      <c r="M67" s="128">
        <v>1.1499999999999999</v>
      </c>
      <c r="N67" s="128">
        <v>1.1599999999999999</v>
      </c>
      <c r="O67" s="128">
        <v>1.17</v>
      </c>
      <c r="P67" s="128">
        <v>1.18</v>
      </c>
      <c r="Q67" s="128">
        <v>1.19</v>
      </c>
      <c r="R67" s="128">
        <v>1.2</v>
      </c>
      <c r="S67" s="128">
        <v>1.21</v>
      </c>
      <c r="T67" s="128">
        <v>1.22</v>
      </c>
      <c r="U67" s="128">
        <v>1.23</v>
      </c>
      <c r="V67" s="128">
        <v>1.24</v>
      </c>
      <c r="W67" s="128">
        <v>1.25</v>
      </c>
      <c r="X67" s="128">
        <v>1.26</v>
      </c>
      <c r="Y67" s="128">
        <v>1.26</v>
      </c>
      <c r="Z67" s="128">
        <v>1.27</v>
      </c>
      <c r="AA67" s="128">
        <v>1.28</v>
      </c>
      <c r="AB67" s="128">
        <v>1.29</v>
      </c>
      <c r="AC67" s="128">
        <v>1.3</v>
      </c>
      <c r="AD67" s="128">
        <v>1.3</v>
      </c>
      <c r="AE67" s="128">
        <v>1.31</v>
      </c>
      <c r="AF67" s="128">
        <v>1.32</v>
      </c>
      <c r="AG67" s="128">
        <v>1.33</v>
      </c>
      <c r="AH67" s="128">
        <v>1.33</v>
      </c>
      <c r="AI67" s="128">
        <v>1.34</v>
      </c>
      <c r="AJ67" s="128">
        <v>1.35</v>
      </c>
      <c r="AK67" s="128">
        <v>1.35</v>
      </c>
      <c r="AL67" s="128">
        <v>1.36</v>
      </c>
      <c r="AM67" s="128">
        <v>1.37</v>
      </c>
      <c r="AN67" s="128">
        <v>1.38</v>
      </c>
      <c r="AO67" s="128">
        <v>1.39</v>
      </c>
      <c r="AP67" s="128">
        <v>1.4</v>
      </c>
      <c r="AQ67" s="128">
        <v>1.41</v>
      </c>
      <c r="AR67" s="128">
        <v>1.42</v>
      </c>
      <c r="AS67" s="128">
        <v>1.43</v>
      </c>
      <c r="AT67" s="128">
        <v>1.44</v>
      </c>
      <c r="AU67" s="128">
        <v>1.45</v>
      </c>
      <c r="AV67" s="128">
        <v>1.46</v>
      </c>
      <c r="AW67" s="128">
        <v>1.47</v>
      </c>
      <c r="AX67" s="128">
        <v>1.48</v>
      </c>
      <c r="AY67" s="128">
        <v>1.49</v>
      </c>
      <c r="AZ67" s="128">
        <v>1.5</v>
      </c>
      <c r="BA67" s="128">
        <v>1.51</v>
      </c>
      <c r="BB67" s="128">
        <v>1.52</v>
      </c>
      <c r="BC67" s="128">
        <v>1.53</v>
      </c>
      <c r="BD67" s="128">
        <v>1.54</v>
      </c>
      <c r="BE67" s="128">
        <v>1.55</v>
      </c>
      <c r="BF67" s="128">
        <v>1.56</v>
      </c>
      <c r="BG67" s="128">
        <v>1.57</v>
      </c>
      <c r="BH67" s="128">
        <v>1.58</v>
      </c>
      <c r="BI67" s="128">
        <v>1.59</v>
      </c>
      <c r="BJ67" s="128">
        <v>1.6</v>
      </c>
      <c r="BK67" s="128">
        <v>1.61</v>
      </c>
      <c r="BL67" s="128">
        <v>1.62</v>
      </c>
      <c r="BM67" s="128">
        <v>1.63</v>
      </c>
      <c r="BN67" s="128">
        <v>1.64</v>
      </c>
      <c r="BO67" s="128">
        <v>1.65</v>
      </c>
      <c r="BP67" s="128">
        <v>1.65</v>
      </c>
      <c r="BQ67" s="128">
        <v>1.66</v>
      </c>
      <c r="BR67" s="128">
        <v>1.67</v>
      </c>
      <c r="BS67" s="128">
        <v>1.67</v>
      </c>
      <c r="BT67" s="128">
        <v>1.68</v>
      </c>
      <c r="BU67" s="128">
        <v>1.69</v>
      </c>
      <c r="BV67" s="128">
        <v>1.7</v>
      </c>
      <c r="BW67" s="128">
        <v>1.7</v>
      </c>
      <c r="BX67" s="128">
        <v>1.71</v>
      </c>
      <c r="BY67" s="128">
        <v>1.72</v>
      </c>
      <c r="BZ67" s="128">
        <v>1.73</v>
      </c>
      <c r="CA67" s="128">
        <v>1.74</v>
      </c>
      <c r="CB67" s="128">
        <v>1.74</v>
      </c>
      <c r="CC67" s="128">
        <v>1.75</v>
      </c>
      <c r="CD67" s="128">
        <v>1.76</v>
      </c>
      <c r="CE67" s="128">
        <v>1.77</v>
      </c>
      <c r="CF67" s="128">
        <v>1.78</v>
      </c>
      <c r="CG67" s="128">
        <v>1.79</v>
      </c>
      <c r="CH67" s="128">
        <v>1.8</v>
      </c>
      <c r="CI67" s="128">
        <v>1.81</v>
      </c>
      <c r="CJ67" s="128">
        <v>1.82</v>
      </c>
      <c r="CK67" s="128">
        <v>1.83</v>
      </c>
      <c r="CL67" s="128">
        <v>1.84</v>
      </c>
      <c r="CM67" s="128">
        <v>1.85</v>
      </c>
      <c r="CN67" s="128">
        <v>1.86</v>
      </c>
      <c r="CO67" s="128">
        <v>1.88</v>
      </c>
      <c r="CP67" s="128">
        <v>1.89</v>
      </c>
      <c r="CQ67" s="128">
        <v>1.9</v>
      </c>
      <c r="CR67" s="128">
        <v>1.91</v>
      </c>
      <c r="CS67" s="128">
        <v>1.93</v>
      </c>
      <c r="CT67" s="128">
        <v>1.94</v>
      </c>
      <c r="CU67" s="128">
        <v>1.96</v>
      </c>
      <c r="CV67" s="128">
        <v>1.97</v>
      </c>
      <c r="CW67" s="128">
        <v>1.98</v>
      </c>
      <c r="CX67" s="128">
        <v>2</v>
      </c>
      <c r="CZ67" s="126">
        <f>SUMIF(MatrixF2[[1]:[2]],MatrixF2[[#This Row],[Столбец1]])/MatrixF2[[#This Row],[Столбец1]]</f>
        <v>110.99999999999976</v>
      </c>
    </row>
    <row r="68" spans="1:104" ht="21" customHeight="1" x14ac:dyDescent="0.25">
      <c r="A68" s="127">
        <v>1.65</v>
      </c>
      <c r="B68" s="128">
        <v>1</v>
      </c>
      <c r="C68" s="128">
        <v>1.02</v>
      </c>
      <c r="D68" s="128">
        <v>1.03</v>
      </c>
      <c r="E68" s="128">
        <v>1.04</v>
      </c>
      <c r="F68" s="128">
        <v>1.06</v>
      </c>
      <c r="G68" s="128">
        <v>1.07</v>
      </c>
      <c r="H68" s="128">
        <v>1.08</v>
      </c>
      <c r="I68" s="128">
        <v>1.1000000000000001</v>
      </c>
      <c r="J68" s="128">
        <v>1.1100000000000001</v>
      </c>
      <c r="K68" s="128">
        <v>1.1200000000000001</v>
      </c>
      <c r="L68" s="128">
        <v>1.1299999999999999</v>
      </c>
      <c r="M68" s="128">
        <v>1.1399999999999999</v>
      </c>
      <c r="N68" s="128">
        <v>1.1599999999999999</v>
      </c>
      <c r="O68" s="128">
        <v>1.17</v>
      </c>
      <c r="P68" s="128">
        <v>1.18</v>
      </c>
      <c r="Q68" s="128">
        <v>1.19</v>
      </c>
      <c r="R68" s="128">
        <v>1.2</v>
      </c>
      <c r="S68" s="128">
        <v>1.21</v>
      </c>
      <c r="T68" s="128">
        <v>1.22</v>
      </c>
      <c r="U68" s="128">
        <v>1.23</v>
      </c>
      <c r="V68" s="128">
        <v>1.24</v>
      </c>
      <c r="W68" s="128">
        <v>1.24</v>
      </c>
      <c r="X68" s="128">
        <v>1.25</v>
      </c>
      <c r="Y68" s="128">
        <v>1.26</v>
      </c>
      <c r="Z68" s="128">
        <v>1.27</v>
      </c>
      <c r="AA68" s="128">
        <v>1.28</v>
      </c>
      <c r="AB68" s="128">
        <v>1.29</v>
      </c>
      <c r="AC68" s="128">
        <v>1.29</v>
      </c>
      <c r="AD68" s="128">
        <v>1.3</v>
      </c>
      <c r="AE68" s="128">
        <v>1.31</v>
      </c>
      <c r="AF68" s="128">
        <v>1.32</v>
      </c>
      <c r="AG68" s="128">
        <v>1.32</v>
      </c>
      <c r="AH68" s="128">
        <v>1.33</v>
      </c>
      <c r="AI68" s="128">
        <v>1.34</v>
      </c>
      <c r="AJ68" s="128">
        <v>1.34</v>
      </c>
      <c r="AK68" s="128">
        <v>1.35</v>
      </c>
      <c r="AL68" s="128">
        <v>1.36</v>
      </c>
      <c r="AM68" s="128">
        <v>1.37</v>
      </c>
      <c r="AN68" s="128">
        <v>1.38</v>
      </c>
      <c r="AO68" s="128">
        <v>1.39</v>
      </c>
      <c r="AP68" s="128">
        <v>1.4</v>
      </c>
      <c r="AQ68" s="128">
        <v>1.41</v>
      </c>
      <c r="AR68" s="128">
        <v>1.42</v>
      </c>
      <c r="AS68" s="128">
        <v>1.43</v>
      </c>
      <c r="AT68" s="128">
        <v>1.44</v>
      </c>
      <c r="AU68" s="128">
        <v>1.45</v>
      </c>
      <c r="AV68" s="128">
        <v>1.46</v>
      </c>
      <c r="AW68" s="128">
        <v>1.47</v>
      </c>
      <c r="AX68" s="128">
        <v>1.48</v>
      </c>
      <c r="AY68" s="128">
        <v>1.49</v>
      </c>
      <c r="AZ68" s="128">
        <v>1.5</v>
      </c>
      <c r="BA68" s="128">
        <v>1.51</v>
      </c>
      <c r="BB68" s="128">
        <v>1.52</v>
      </c>
      <c r="BC68" s="128">
        <v>1.53</v>
      </c>
      <c r="BD68" s="128">
        <v>1.54</v>
      </c>
      <c r="BE68" s="128">
        <v>1.55</v>
      </c>
      <c r="BF68" s="128">
        <v>1.56</v>
      </c>
      <c r="BG68" s="128">
        <v>1.57</v>
      </c>
      <c r="BH68" s="128">
        <v>1.58</v>
      </c>
      <c r="BI68" s="128">
        <v>1.59</v>
      </c>
      <c r="BJ68" s="128">
        <v>1.6</v>
      </c>
      <c r="BK68" s="128">
        <v>1.61</v>
      </c>
      <c r="BL68" s="128">
        <v>1.62</v>
      </c>
      <c r="BM68" s="128">
        <v>1.63</v>
      </c>
      <c r="BN68" s="128">
        <v>1.64</v>
      </c>
      <c r="BO68" s="128">
        <v>1.65</v>
      </c>
      <c r="BP68" s="128">
        <v>1.66</v>
      </c>
      <c r="BQ68" s="128">
        <v>1.66</v>
      </c>
      <c r="BR68" s="128">
        <v>1.67</v>
      </c>
      <c r="BS68" s="128">
        <v>1.68</v>
      </c>
      <c r="BT68" s="128">
        <v>1.68</v>
      </c>
      <c r="BU68" s="128">
        <v>1.69</v>
      </c>
      <c r="BV68" s="128">
        <v>1.7</v>
      </c>
      <c r="BW68" s="128">
        <v>1.71</v>
      </c>
      <c r="BX68" s="128">
        <v>1.71</v>
      </c>
      <c r="BY68" s="128">
        <v>1.72</v>
      </c>
      <c r="BZ68" s="128">
        <v>1.73</v>
      </c>
      <c r="CA68" s="128">
        <v>1.74</v>
      </c>
      <c r="CB68" s="128">
        <v>1.75</v>
      </c>
      <c r="CC68" s="128">
        <v>1.76</v>
      </c>
      <c r="CD68" s="128">
        <v>1.76</v>
      </c>
      <c r="CE68" s="128">
        <v>1.77</v>
      </c>
      <c r="CF68" s="128">
        <v>1.78</v>
      </c>
      <c r="CG68" s="128">
        <v>1.79</v>
      </c>
      <c r="CH68" s="128">
        <v>1.8</v>
      </c>
      <c r="CI68" s="128">
        <v>1.81</v>
      </c>
      <c r="CJ68" s="128">
        <v>1.82</v>
      </c>
      <c r="CK68" s="128">
        <v>1.83</v>
      </c>
      <c r="CL68" s="128">
        <v>1.84</v>
      </c>
      <c r="CM68" s="128">
        <v>1.86</v>
      </c>
      <c r="CN68" s="128">
        <v>1.87</v>
      </c>
      <c r="CO68" s="128">
        <v>1.88</v>
      </c>
      <c r="CP68" s="128">
        <v>1.89</v>
      </c>
      <c r="CQ68" s="128">
        <v>1.9</v>
      </c>
      <c r="CR68" s="128">
        <v>1.92</v>
      </c>
      <c r="CS68" s="128">
        <v>1.93</v>
      </c>
      <c r="CT68" s="128">
        <v>1.94</v>
      </c>
      <c r="CU68" s="128">
        <v>1.96</v>
      </c>
      <c r="CV68" s="128">
        <v>1.97</v>
      </c>
      <c r="CW68" s="128">
        <v>1.98</v>
      </c>
      <c r="CX68" s="128">
        <v>2</v>
      </c>
      <c r="CZ68" s="126">
        <f>SUMIF(MatrixF2[[1]:[2]],MatrixF2[[#This Row],[Столбец1]])/MatrixF2[[#This Row],[Столбец1]]</f>
        <v>113.00000000000024</v>
      </c>
    </row>
    <row r="69" spans="1:104" ht="21" customHeight="1" x14ac:dyDescent="0.25">
      <c r="A69" s="127">
        <v>1.66</v>
      </c>
      <c r="B69" s="128">
        <v>1</v>
      </c>
      <c r="C69" s="128">
        <v>1.01</v>
      </c>
      <c r="D69" s="128">
        <v>1.03</v>
      </c>
      <c r="E69" s="128">
        <v>1.04</v>
      </c>
      <c r="F69" s="128">
        <v>1.06</v>
      </c>
      <c r="G69" s="128">
        <v>1.07</v>
      </c>
      <c r="H69" s="128">
        <v>1.08</v>
      </c>
      <c r="I69" s="128">
        <v>1.1000000000000001</v>
      </c>
      <c r="J69" s="128">
        <v>1.1100000000000001</v>
      </c>
      <c r="K69" s="128">
        <v>1.1200000000000001</v>
      </c>
      <c r="L69" s="128">
        <v>1.1299999999999999</v>
      </c>
      <c r="M69" s="128">
        <v>1.1399999999999999</v>
      </c>
      <c r="N69" s="128">
        <v>1.1499999999999999</v>
      </c>
      <c r="O69" s="128">
        <v>1.1599999999999999</v>
      </c>
      <c r="P69" s="128">
        <v>1.18</v>
      </c>
      <c r="Q69" s="128">
        <v>1.19</v>
      </c>
      <c r="R69" s="128">
        <v>1.2</v>
      </c>
      <c r="S69" s="128">
        <v>1.2</v>
      </c>
      <c r="T69" s="128">
        <v>1.21</v>
      </c>
      <c r="U69" s="128">
        <v>1.22</v>
      </c>
      <c r="V69" s="128">
        <v>1.23</v>
      </c>
      <c r="W69" s="128">
        <v>1.24</v>
      </c>
      <c r="X69" s="128">
        <v>1.25</v>
      </c>
      <c r="Y69" s="128">
        <v>1.26</v>
      </c>
      <c r="Z69" s="128">
        <v>1.27</v>
      </c>
      <c r="AA69" s="128">
        <v>1.27</v>
      </c>
      <c r="AB69" s="128">
        <v>1.28</v>
      </c>
      <c r="AC69" s="128">
        <v>1.29</v>
      </c>
      <c r="AD69" s="128">
        <v>1.3</v>
      </c>
      <c r="AE69" s="128">
        <v>1.31</v>
      </c>
      <c r="AF69" s="128">
        <v>1.31</v>
      </c>
      <c r="AG69" s="128">
        <v>1.32</v>
      </c>
      <c r="AH69" s="128">
        <v>1.33</v>
      </c>
      <c r="AI69" s="128">
        <v>1.33</v>
      </c>
      <c r="AJ69" s="128">
        <v>1.34</v>
      </c>
      <c r="AK69" s="128">
        <v>1.35</v>
      </c>
      <c r="AL69" s="128">
        <v>1.36</v>
      </c>
      <c r="AM69" s="128">
        <v>1.37</v>
      </c>
      <c r="AN69" s="128">
        <v>1.38</v>
      </c>
      <c r="AO69" s="128">
        <v>1.39</v>
      </c>
      <c r="AP69" s="128">
        <v>1.4</v>
      </c>
      <c r="AQ69" s="128">
        <v>1.41</v>
      </c>
      <c r="AR69" s="128">
        <v>1.42</v>
      </c>
      <c r="AS69" s="128">
        <v>1.43</v>
      </c>
      <c r="AT69" s="128">
        <v>1.44</v>
      </c>
      <c r="AU69" s="128">
        <v>1.45</v>
      </c>
      <c r="AV69" s="128">
        <v>1.46</v>
      </c>
      <c r="AW69" s="128">
        <v>1.47</v>
      </c>
      <c r="AX69" s="128">
        <v>1.48</v>
      </c>
      <c r="AY69" s="128">
        <v>1.49</v>
      </c>
      <c r="AZ69" s="128">
        <v>1.5</v>
      </c>
      <c r="BA69" s="128">
        <v>1.51</v>
      </c>
      <c r="BB69" s="128">
        <v>1.52</v>
      </c>
      <c r="BC69" s="128">
        <v>1.53</v>
      </c>
      <c r="BD69" s="128">
        <v>1.54</v>
      </c>
      <c r="BE69" s="128">
        <v>1.55</v>
      </c>
      <c r="BF69" s="128">
        <v>1.56</v>
      </c>
      <c r="BG69" s="128">
        <v>1.57</v>
      </c>
      <c r="BH69" s="128">
        <v>1.58</v>
      </c>
      <c r="BI69" s="128">
        <v>1.59</v>
      </c>
      <c r="BJ69" s="128">
        <v>1.6</v>
      </c>
      <c r="BK69" s="128">
        <v>1.61</v>
      </c>
      <c r="BL69" s="128">
        <v>1.62</v>
      </c>
      <c r="BM69" s="128">
        <v>1.63</v>
      </c>
      <c r="BN69" s="128">
        <v>1.64</v>
      </c>
      <c r="BO69" s="128">
        <v>1.65</v>
      </c>
      <c r="BP69" s="128">
        <v>1.66</v>
      </c>
      <c r="BQ69" s="128">
        <v>1.67</v>
      </c>
      <c r="BR69" s="128">
        <v>1.67</v>
      </c>
      <c r="BS69" s="128">
        <v>1.68</v>
      </c>
      <c r="BT69" s="128">
        <v>1.69</v>
      </c>
      <c r="BU69" s="128">
        <v>1.69</v>
      </c>
      <c r="BV69" s="128">
        <v>1.7</v>
      </c>
      <c r="BW69" s="128">
        <v>1.71</v>
      </c>
      <c r="BX69" s="128">
        <v>1.72</v>
      </c>
      <c r="BY69" s="128">
        <v>1.73</v>
      </c>
      <c r="BZ69" s="128">
        <v>1.73</v>
      </c>
      <c r="CA69" s="128">
        <v>1.74</v>
      </c>
      <c r="CB69" s="128">
        <v>1.75</v>
      </c>
      <c r="CC69" s="128">
        <v>1.76</v>
      </c>
      <c r="CD69" s="128">
        <v>1.77</v>
      </c>
      <c r="CE69" s="128">
        <v>1.78</v>
      </c>
      <c r="CF69" s="128">
        <v>1.79</v>
      </c>
      <c r="CG69" s="128">
        <v>1.8</v>
      </c>
      <c r="CH69" s="128">
        <v>1.8</v>
      </c>
      <c r="CI69" s="128">
        <v>1.81</v>
      </c>
      <c r="CJ69" s="128">
        <v>1.82</v>
      </c>
      <c r="CK69" s="128">
        <v>1.84</v>
      </c>
      <c r="CL69" s="128">
        <v>1.85</v>
      </c>
      <c r="CM69" s="128">
        <v>1.86</v>
      </c>
      <c r="CN69" s="128">
        <v>1.87</v>
      </c>
      <c r="CO69" s="128">
        <v>1.88</v>
      </c>
      <c r="CP69" s="128">
        <v>1.89</v>
      </c>
      <c r="CQ69" s="128">
        <v>1.9</v>
      </c>
      <c r="CR69" s="128">
        <v>1.92</v>
      </c>
      <c r="CS69" s="128">
        <v>1.93</v>
      </c>
      <c r="CT69" s="128">
        <v>1.94</v>
      </c>
      <c r="CU69" s="128">
        <v>1.96</v>
      </c>
      <c r="CV69" s="128">
        <v>1.97</v>
      </c>
      <c r="CW69" s="128">
        <v>1.99</v>
      </c>
      <c r="CX69" s="128">
        <v>2</v>
      </c>
      <c r="CZ69" s="126">
        <f>SUMIF(MatrixF2[[1]:[2]],MatrixF2[[#This Row],[Столбец1]])/MatrixF2[[#This Row],[Столбец1]]</f>
        <v>110.99999999999983</v>
      </c>
    </row>
    <row r="70" spans="1:104" ht="21" customHeight="1" x14ac:dyDescent="0.25">
      <c r="A70" s="127">
        <v>1.67</v>
      </c>
      <c r="B70" s="128">
        <v>1</v>
      </c>
      <c r="C70" s="128">
        <v>1.01</v>
      </c>
      <c r="D70" s="128">
        <v>1.03</v>
      </c>
      <c r="E70" s="128">
        <v>1.04</v>
      </c>
      <c r="F70" s="128">
        <v>1.06</v>
      </c>
      <c r="G70" s="128">
        <v>1.07</v>
      </c>
      <c r="H70" s="128">
        <v>1.08</v>
      </c>
      <c r="I70" s="128">
        <v>1.0900000000000001</v>
      </c>
      <c r="J70" s="128">
        <v>1.1100000000000001</v>
      </c>
      <c r="K70" s="128">
        <v>1.1200000000000001</v>
      </c>
      <c r="L70" s="128">
        <v>1.1299999999999999</v>
      </c>
      <c r="M70" s="128">
        <v>1.1399999999999999</v>
      </c>
      <c r="N70" s="128">
        <v>1.1499999999999999</v>
      </c>
      <c r="O70" s="128">
        <v>1.1599999999999999</v>
      </c>
      <c r="P70" s="128">
        <v>1.17</v>
      </c>
      <c r="Q70" s="128">
        <v>1.18</v>
      </c>
      <c r="R70" s="128">
        <v>1.19</v>
      </c>
      <c r="S70" s="128">
        <v>1.2</v>
      </c>
      <c r="T70" s="128">
        <v>1.21</v>
      </c>
      <c r="U70" s="128">
        <v>1.22</v>
      </c>
      <c r="V70" s="128">
        <v>1.23</v>
      </c>
      <c r="W70" s="128">
        <v>1.24</v>
      </c>
      <c r="X70" s="128">
        <v>1.25</v>
      </c>
      <c r="Y70" s="128">
        <v>1.26</v>
      </c>
      <c r="Z70" s="128">
        <v>1.26</v>
      </c>
      <c r="AA70" s="128">
        <v>1.27</v>
      </c>
      <c r="AB70" s="128">
        <v>1.28</v>
      </c>
      <c r="AC70" s="128">
        <v>1.29</v>
      </c>
      <c r="AD70" s="128">
        <v>1.29</v>
      </c>
      <c r="AE70" s="128">
        <v>1.3</v>
      </c>
      <c r="AF70" s="128">
        <v>1.31</v>
      </c>
      <c r="AG70" s="128">
        <v>1.32</v>
      </c>
      <c r="AH70" s="128">
        <v>1.32</v>
      </c>
      <c r="AI70" s="128">
        <v>1.33</v>
      </c>
      <c r="AJ70" s="128">
        <v>1.34</v>
      </c>
      <c r="AK70" s="128">
        <v>1.35</v>
      </c>
      <c r="AL70" s="128">
        <v>1.36</v>
      </c>
      <c r="AM70" s="128">
        <v>1.37</v>
      </c>
      <c r="AN70" s="128">
        <v>1.38</v>
      </c>
      <c r="AO70" s="128">
        <v>1.39</v>
      </c>
      <c r="AP70" s="128">
        <v>1.4</v>
      </c>
      <c r="AQ70" s="128">
        <v>1.41</v>
      </c>
      <c r="AR70" s="128">
        <v>1.42</v>
      </c>
      <c r="AS70" s="128">
        <v>1.43</v>
      </c>
      <c r="AT70" s="128">
        <v>1.44</v>
      </c>
      <c r="AU70" s="128">
        <v>1.45</v>
      </c>
      <c r="AV70" s="128">
        <v>1.46</v>
      </c>
      <c r="AW70" s="128">
        <v>1.47</v>
      </c>
      <c r="AX70" s="128">
        <v>1.48</v>
      </c>
      <c r="AY70" s="128">
        <v>1.49</v>
      </c>
      <c r="AZ70" s="128">
        <v>1.5</v>
      </c>
      <c r="BA70" s="128">
        <v>1.51</v>
      </c>
      <c r="BB70" s="128">
        <v>1.52</v>
      </c>
      <c r="BC70" s="128">
        <v>1.53</v>
      </c>
      <c r="BD70" s="128">
        <v>1.54</v>
      </c>
      <c r="BE70" s="128">
        <v>1.55</v>
      </c>
      <c r="BF70" s="128">
        <v>1.56</v>
      </c>
      <c r="BG70" s="128">
        <v>1.57</v>
      </c>
      <c r="BH70" s="128">
        <v>1.58</v>
      </c>
      <c r="BI70" s="128">
        <v>1.59</v>
      </c>
      <c r="BJ70" s="128">
        <v>1.6</v>
      </c>
      <c r="BK70" s="128">
        <v>1.61</v>
      </c>
      <c r="BL70" s="128">
        <v>1.62</v>
      </c>
      <c r="BM70" s="128">
        <v>1.63</v>
      </c>
      <c r="BN70" s="128">
        <v>1.64</v>
      </c>
      <c r="BO70" s="128">
        <v>1.65</v>
      </c>
      <c r="BP70" s="128">
        <v>1.66</v>
      </c>
      <c r="BQ70" s="128">
        <v>1.67</v>
      </c>
      <c r="BR70" s="128">
        <v>1.68</v>
      </c>
      <c r="BS70" s="128">
        <v>1.68</v>
      </c>
      <c r="BT70" s="128">
        <v>1.69</v>
      </c>
      <c r="BU70" s="128">
        <v>1.7</v>
      </c>
      <c r="BV70" s="128">
        <v>1.71</v>
      </c>
      <c r="BW70" s="128">
        <v>1.71</v>
      </c>
      <c r="BX70" s="128">
        <v>1.72</v>
      </c>
      <c r="BY70" s="128">
        <v>1.73</v>
      </c>
      <c r="BZ70" s="128">
        <v>1.74</v>
      </c>
      <c r="CA70" s="128">
        <v>1.74</v>
      </c>
      <c r="CB70" s="128">
        <v>1.75</v>
      </c>
      <c r="CC70" s="128">
        <v>1.76</v>
      </c>
      <c r="CD70" s="128">
        <v>1.77</v>
      </c>
      <c r="CE70" s="128">
        <v>1.78</v>
      </c>
      <c r="CF70" s="128">
        <v>1.79</v>
      </c>
      <c r="CG70" s="128">
        <v>1.8</v>
      </c>
      <c r="CH70" s="128">
        <v>1.81</v>
      </c>
      <c r="CI70" s="128">
        <v>1.82</v>
      </c>
      <c r="CJ70" s="128">
        <v>1.83</v>
      </c>
      <c r="CK70" s="128">
        <v>1.84</v>
      </c>
      <c r="CL70" s="128">
        <v>1.85</v>
      </c>
      <c r="CM70" s="128">
        <v>1.86</v>
      </c>
      <c r="CN70" s="128">
        <v>1.87</v>
      </c>
      <c r="CO70" s="128">
        <v>1.88</v>
      </c>
      <c r="CP70" s="128">
        <v>1.89</v>
      </c>
      <c r="CQ70" s="128">
        <v>1.91</v>
      </c>
      <c r="CR70" s="128">
        <v>1.92</v>
      </c>
      <c r="CS70" s="128">
        <v>1.93</v>
      </c>
      <c r="CT70" s="128">
        <v>1.94</v>
      </c>
      <c r="CU70" s="128">
        <v>1.96</v>
      </c>
      <c r="CV70" s="128">
        <v>1.97</v>
      </c>
      <c r="CW70" s="128">
        <v>1.99</v>
      </c>
      <c r="CX70" s="128">
        <v>2</v>
      </c>
      <c r="CZ70" s="126">
        <f>SUMIF(MatrixF2[[1]:[2]],MatrixF2[[#This Row],[Столбец1]])/MatrixF2[[#This Row],[Столбец1]]</f>
        <v>112.99999999999979</v>
      </c>
    </row>
    <row r="71" spans="1:104" ht="21" customHeight="1" x14ac:dyDescent="0.25">
      <c r="A71" s="127">
        <v>1.68</v>
      </c>
      <c r="B71" s="128">
        <v>1</v>
      </c>
      <c r="C71" s="128">
        <v>1.01</v>
      </c>
      <c r="D71" s="128">
        <v>1.03</v>
      </c>
      <c r="E71" s="128">
        <v>1.04</v>
      </c>
      <c r="F71" s="128">
        <v>1.06</v>
      </c>
      <c r="G71" s="128">
        <v>1.07</v>
      </c>
      <c r="H71" s="128">
        <v>1.08</v>
      </c>
      <c r="I71" s="128">
        <v>1.0900000000000001</v>
      </c>
      <c r="J71" s="128">
        <v>1.1100000000000001</v>
      </c>
      <c r="K71" s="128">
        <v>1.1200000000000001</v>
      </c>
      <c r="L71" s="128">
        <v>1.1299999999999999</v>
      </c>
      <c r="M71" s="128">
        <v>1.1399999999999999</v>
      </c>
      <c r="N71" s="128">
        <v>1.1499999999999999</v>
      </c>
      <c r="O71" s="128">
        <v>1.1599999999999999</v>
      </c>
      <c r="P71" s="128">
        <v>1.17</v>
      </c>
      <c r="Q71" s="128">
        <v>1.18</v>
      </c>
      <c r="R71" s="128">
        <v>1.19</v>
      </c>
      <c r="S71" s="128">
        <v>1.2</v>
      </c>
      <c r="T71" s="128">
        <v>1.21</v>
      </c>
      <c r="U71" s="128">
        <v>1.22</v>
      </c>
      <c r="V71" s="128">
        <v>1.23</v>
      </c>
      <c r="W71" s="128">
        <v>1.24</v>
      </c>
      <c r="X71" s="128">
        <v>1.24</v>
      </c>
      <c r="Y71" s="128">
        <v>1.25</v>
      </c>
      <c r="Z71" s="128">
        <v>1.26</v>
      </c>
      <c r="AA71" s="128">
        <v>1.27</v>
      </c>
      <c r="AB71" s="128">
        <v>1.28</v>
      </c>
      <c r="AC71" s="128">
        <v>1.28</v>
      </c>
      <c r="AD71" s="128">
        <v>1.29</v>
      </c>
      <c r="AE71" s="128">
        <v>1.3</v>
      </c>
      <c r="AF71" s="128">
        <v>1.31</v>
      </c>
      <c r="AG71" s="128">
        <v>1.31</v>
      </c>
      <c r="AH71" s="128">
        <v>1.32</v>
      </c>
      <c r="AI71" s="128">
        <v>1.33</v>
      </c>
      <c r="AJ71" s="128">
        <v>1.34</v>
      </c>
      <c r="AK71" s="128">
        <v>1.35</v>
      </c>
      <c r="AL71" s="128">
        <v>1.36</v>
      </c>
      <c r="AM71" s="128">
        <v>1.37</v>
      </c>
      <c r="AN71" s="128">
        <v>1.38</v>
      </c>
      <c r="AO71" s="128">
        <v>1.39</v>
      </c>
      <c r="AP71" s="128">
        <v>1.4</v>
      </c>
      <c r="AQ71" s="128">
        <v>1.41</v>
      </c>
      <c r="AR71" s="128">
        <v>1.42</v>
      </c>
      <c r="AS71" s="128">
        <v>1.43</v>
      </c>
      <c r="AT71" s="128">
        <v>1.44</v>
      </c>
      <c r="AU71" s="128">
        <v>1.45</v>
      </c>
      <c r="AV71" s="128">
        <v>1.46</v>
      </c>
      <c r="AW71" s="128">
        <v>1.47</v>
      </c>
      <c r="AX71" s="128">
        <v>1.48</v>
      </c>
      <c r="AY71" s="128">
        <v>1.49</v>
      </c>
      <c r="AZ71" s="128">
        <v>1.5</v>
      </c>
      <c r="BA71" s="128">
        <v>1.51</v>
      </c>
      <c r="BB71" s="128">
        <v>1.52</v>
      </c>
      <c r="BC71" s="128">
        <v>1.53</v>
      </c>
      <c r="BD71" s="128">
        <v>1.54</v>
      </c>
      <c r="BE71" s="128">
        <v>1.55</v>
      </c>
      <c r="BF71" s="128">
        <v>1.56</v>
      </c>
      <c r="BG71" s="128">
        <v>1.57</v>
      </c>
      <c r="BH71" s="128">
        <v>1.58</v>
      </c>
      <c r="BI71" s="128">
        <v>1.59</v>
      </c>
      <c r="BJ71" s="128">
        <v>1.6</v>
      </c>
      <c r="BK71" s="128">
        <v>1.61</v>
      </c>
      <c r="BL71" s="128">
        <v>1.62</v>
      </c>
      <c r="BM71" s="128">
        <v>1.63</v>
      </c>
      <c r="BN71" s="128">
        <v>1.64</v>
      </c>
      <c r="BO71" s="128">
        <v>1.65</v>
      </c>
      <c r="BP71" s="128">
        <v>1.66</v>
      </c>
      <c r="BQ71" s="128">
        <v>1.67</v>
      </c>
      <c r="BR71" s="128">
        <v>1.68</v>
      </c>
      <c r="BS71" s="128">
        <v>1.69</v>
      </c>
      <c r="BT71" s="128">
        <v>1.69</v>
      </c>
      <c r="BU71" s="128">
        <v>1.7</v>
      </c>
      <c r="BV71" s="128">
        <v>1.71</v>
      </c>
      <c r="BW71" s="128">
        <v>1.72</v>
      </c>
      <c r="BX71" s="128">
        <v>1.72</v>
      </c>
      <c r="BY71" s="128">
        <v>1.73</v>
      </c>
      <c r="BZ71" s="128">
        <v>1.74</v>
      </c>
      <c r="CA71" s="128">
        <v>1.75</v>
      </c>
      <c r="CB71" s="128">
        <v>1.76</v>
      </c>
      <c r="CC71" s="128">
        <v>1.76</v>
      </c>
      <c r="CD71" s="128">
        <v>1.77</v>
      </c>
      <c r="CE71" s="128">
        <v>1.78</v>
      </c>
      <c r="CF71" s="128">
        <v>1.79</v>
      </c>
      <c r="CG71" s="128">
        <v>1.8</v>
      </c>
      <c r="CH71" s="128">
        <v>1.81</v>
      </c>
      <c r="CI71" s="128">
        <v>1.82</v>
      </c>
      <c r="CJ71" s="128">
        <v>1.83</v>
      </c>
      <c r="CK71" s="128">
        <v>1.84</v>
      </c>
      <c r="CL71" s="128">
        <v>1.85</v>
      </c>
      <c r="CM71" s="128">
        <v>1.86</v>
      </c>
      <c r="CN71" s="128">
        <v>1.87</v>
      </c>
      <c r="CO71" s="128">
        <v>1.88</v>
      </c>
      <c r="CP71" s="128">
        <v>1.89</v>
      </c>
      <c r="CQ71" s="128">
        <v>1.91</v>
      </c>
      <c r="CR71" s="128">
        <v>1.92</v>
      </c>
      <c r="CS71" s="128">
        <v>1.93</v>
      </c>
      <c r="CT71" s="128">
        <v>1.94</v>
      </c>
      <c r="CU71" s="128">
        <v>1.96</v>
      </c>
      <c r="CV71" s="128">
        <v>1.97</v>
      </c>
      <c r="CW71" s="128">
        <v>1.99</v>
      </c>
      <c r="CX71" s="128">
        <v>2</v>
      </c>
      <c r="CZ71" s="126">
        <f>SUMIF(MatrixF2[[1]:[2]],MatrixF2[[#This Row],[Столбец1]])/MatrixF2[[#This Row],[Столбец1]]</f>
        <v>112.00000000000028</v>
      </c>
    </row>
    <row r="72" spans="1:104" ht="21" customHeight="1" x14ac:dyDescent="0.25">
      <c r="A72" s="127">
        <v>1.69</v>
      </c>
      <c r="B72" s="128">
        <v>1</v>
      </c>
      <c r="C72" s="128">
        <v>1.01</v>
      </c>
      <c r="D72" s="128">
        <v>1.03</v>
      </c>
      <c r="E72" s="128">
        <v>1.04</v>
      </c>
      <c r="F72" s="128">
        <v>1.05</v>
      </c>
      <c r="G72" s="128">
        <v>1.07</v>
      </c>
      <c r="H72" s="128">
        <v>1.08</v>
      </c>
      <c r="I72" s="128">
        <v>1.0900000000000001</v>
      </c>
      <c r="J72" s="128">
        <v>1.1000000000000001</v>
      </c>
      <c r="K72" s="128">
        <v>1.1200000000000001</v>
      </c>
      <c r="L72" s="128">
        <v>1.1299999999999999</v>
      </c>
      <c r="M72" s="128">
        <v>1.1399999999999999</v>
      </c>
      <c r="N72" s="128">
        <v>1.1499999999999999</v>
      </c>
      <c r="O72" s="128">
        <v>1.1599999999999999</v>
      </c>
      <c r="P72" s="128">
        <v>1.17</v>
      </c>
      <c r="Q72" s="128">
        <v>1.18</v>
      </c>
      <c r="R72" s="128">
        <v>1.19</v>
      </c>
      <c r="S72" s="128">
        <v>1.2</v>
      </c>
      <c r="T72" s="128">
        <v>1.21</v>
      </c>
      <c r="U72" s="128">
        <v>1.22</v>
      </c>
      <c r="V72" s="128">
        <v>1.22</v>
      </c>
      <c r="W72" s="128">
        <v>1.23</v>
      </c>
      <c r="X72" s="128">
        <v>1.24</v>
      </c>
      <c r="Y72" s="128">
        <v>1.25</v>
      </c>
      <c r="Z72" s="128">
        <v>1.26</v>
      </c>
      <c r="AA72" s="128">
        <v>1.27</v>
      </c>
      <c r="AB72" s="128">
        <v>1.27</v>
      </c>
      <c r="AC72" s="128">
        <v>1.28</v>
      </c>
      <c r="AD72" s="128">
        <v>1.29</v>
      </c>
      <c r="AE72" s="128">
        <v>1.3</v>
      </c>
      <c r="AF72" s="128">
        <v>1.3</v>
      </c>
      <c r="AG72" s="128">
        <v>1.31</v>
      </c>
      <c r="AH72" s="128">
        <v>1.32</v>
      </c>
      <c r="AI72" s="128">
        <v>1.33</v>
      </c>
      <c r="AJ72" s="128">
        <v>1.34</v>
      </c>
      <c r="AK72" s="128">
        <v>1.35</v>
      </c>
      <c r="AL72" s="128">
        <v>1.36</v>
      </c>
      <c r="AM72" s="128">
        <v>1.37</v>
      </c>
      <c r="AN72" s="128">
        <v>1.38</v>
      </c>
      <c r="AO72" s="128">
        <v>1.39</v>
      </c>
      <c r="AP72" s="128">
        <v>1.4</v>
      </c>
      <c r="AQ72" s="128">
        <v>1.41</v>
      </c>
      <c r="AR72" s="128">
        <v>1.42</v>
      </c>
      <c r="AS72" s="128">
        <v>1.43</v>
      </c>
      <c r="AT72" s="128">
        <v>1.44</v>
      </c>
      <c r="AU72" s="128">
        <v>1.45</v>
      </c>
      <c r="AV72" s="128">
        <v>1.46</v>
      </c>
      <c r="AW72" s="128">
        <v>1.47</v>
      </c>
      <c r="AX72" s="128">
        <v>1.48</v>
      </c>
      <c r="AY72" s="128">
        <v>1.49</v>
      </c>
      <c r="AZ72" s="128">
        <v>1.5</v>
      </c>
      <c r="BA72" s="128">
        <v>1.51</v>
      </c>
      <c r="BB72" s="128">
        <v>1.52</v>
      </c>
      <c r="BC72" s="128">
        <v>1.53</v>
      </c>
      <c r="BD72" s="128">
        <v>1.54</v>
      </c>
      <c r="BE72" s="128">
        <v>1.55</v>
      </c>
      <c r="BF72" s="128">
        <v>1.56</v>
      </c>
      <c r="BG72" s="128">
        <v>1.57</v>
      </c>
      <c r="BH72" s="128">
        <v>1.58</v>
      </c>
      <c r="BI72" s="128">
        <v>1.59</v>
      </c>
      <c r="BJ72" s="128">
        <v>1.6</v>
      </c>
      <c r="BK72" s="128">
        <v>1.61</v>
      </c>
      <c r="BL72" s="128">
        <v>1.62</v>
      </c>
      <c r="BM72" s="128">
        <v>1.63</v>
      </c>
      <c r="BN72" s="128">
        <v>1.64</v>
      </c>
      <c r="BO72" s="128">
        <v>1.65</v>
      </c>
      <c r="BP72" s="128">
        <v>1.66</v>
      </c>
      <c r="BQ72" s="128">
        <v>1.67</v>
      </c>
      <c r="BR72" s="128">
        <v>1.68</v>
      </c>
      <c r="BS72" s="128">
        <v>1.69</v>
      </c>
      <c r="BT72" s="128">
        <v>1.7</v>
      </c>
      <c r="BU72" s="128">
        <v>1.7</v>
      </c>
      <c r="BV72" s="128">
        <v>1.71</v>
      </c>
      <c r="BW72" s="128">
        <v>1.72</v>
      </c>
      <c r="BX72" s="128">
        <v>1.73</v>
      </c>
      <c r="BY72" s="128">
        <v>1.73</v>
      </c>
      <c r="BZ72" s="128">
        <v>1.74</v>
      </c>
      <c r="CA72" s="128">
        <v>1.75</v>
      </c>
      <c r="CB72" s="128">
        <v>1.76</v>
      </c>
      <c r="CC72" s="128">
        <v>1.77</v>
      </c>
      <c r="CD72" s="128">
        <v>1.78</v>
      </c>
      <c r="CE72" s="128">
        <v>1.78</v>
      </c>
      <c r="CF72" s="128">
        <v>1.79</v>
      </c>
      <c r="CG72" s="128">
        <v>1.8</v>
      </c>
      <c r="CH72" s="128">
        <v>1.81</v>
      </c>
      <c r="CI72" s="128">
        <v>1.82</v>
      </c>
      <c r="CJ72" s="128">
        <v>1.83</v>
      </c>
      <c r="CK72" s="128">
        <v>1.84</v>
      </c>
      <c r="CL72" s="128">
        <v>1.85</v>
      </c>
      <c r="CM72" s="128">
        <v>1.86</v>
      </c>
      <c r="CN72" s="128">
        <v>1.87</v>
      </c>
      <c r="CO72" s="128">
        <v>1.88</v>
      </c>
      <c r="CP72" s="128">
        <v>1.9</v>
      </c>
      <c r="CQ72" s="128">
        <v>1.91</v>
      </c>
      <c r="CR72" s="128">
        <v>1.92</v>
      </c>
      <c r="CS72" s="128">
        <v>1.93</v>
      </c>
      <c r="CT72" s="128">
        <v>1.95</v>
      </c>
      <c r="CU72" s="128">
        <v>1.96</v>
      </c>
      <c r="CV72" s="128">
        <v>1.97</v>
      </c>
      <c r="CW72" s="128">
        <v>1.99</v>
      </c>
      <c r="CX72" s="128">
        <v>2</v>
      </c>
      <c r="CZ72" s="126">
        <f>SUMIF(MatrixF2[[1]:[2]],MatrixF2[[#This Row],[Столбец1]])/MatrixF2[[#This Row],[Столбец1]]</f>
        <v>108.99999999999989</v>
      </c>
    </row>
    <row r="73" spans="1:104" ht="21" customHeight="1" x14ac:dyDescent="0.25">
      <c r="A73" s="127">
        <v>1.7</v>
      </c>
      <c r="B73" s="128">
        <v>1</v>
      </c>
      <c r="C73" s="128">
        <v>1.01</v>
      </c>
      <c r="D73" s="128">
        <v>1.03</v>
      </c>
      <c r="E73" s="128">
        <v>1.04</v>
      </c>
      <c r="F73" s="128">
        <v>1.05</v>
      </c>
      <c r="G73" s="128">
        <v>1.07</v>
      </c>
      <c r="H73" s="128">
        <v>1.08</v>
      </c>
      <c r="I73" s="128">
        <v>1.0900000000000001</v>
      </c>
      <c r="J73" s="128">
        <v>1.1000000000000001</v>
      </c>
      <c r="K73" s="128">
        <v>1.1100000000000001</v>
      </c>
      <c r="L73" s="128">
        <v>1.1200000000000001</v>
      </c>
      <c r="M73" s="128">
        <v>1.1399999999999999</v>
      </c>
      <c r="N73" s="128">
        <v>1.1499999999999999</v>
      </c>
      <c r="O73" s="128">
        <v>1.1599999999999999</v>
      </c>
      <c r="P73" s="128">
        <v>1.17</v>
      </c>
      <c r="Q73" s="128">
        <v>1.18</v>
      </c>
      <c r="R73" s="128">
        <v>1.19</v>
      </c>
      <c r="S73" s="128">
        <v>1.2</v>
      </c>
      <c r="T73" s="128">
        <v>1.2</v>
      </c>
      <c r="U73" s="128">
        <v>1.21</v>
      </c>
      <c r="V73" s="128">
        <v>1.22</v>
      </c>
      <c r="W73" s="128">
        <v>1.23</v>
      </c>
      <c r="X73" s="128">
        <v>1.24</v>
      </c>
      <c r="Y73" s="128">
        <v>1.25</v>
      </c>
      <c r="Z73" s="128">
        <v>1.26</v>
      </c>
      <c r="AA73" s="128">
        <v>1.26</v>
      </c>
      <c r="AB73" s="128">
        <v>1.27</v>
      </c>
      <c r="AC73" s="128">
        <v>1.28</v>
      </c>
      <c r="AD73" s="128">
        <v>1.29</v>
      </c>
      <c r="AE73" s="128">
        <v>1.29</v>
      </c>
      <c r="AF73" s="128">
        <v>1.3</v>
      </c>
      <c r="AG73" s="128">
        <v>1.31</v>
      </c>
      <c r="AH73" s="128">
        <v>1.32</v>
      </c>
      <c r="AI73" s="128">
        <v>1.33</v>
      </c>
      <c r="AJ73" s="128">
        <v>1.34</v>
      </c>
      <c r="AK73" s="128">
        <v>1.35</v>
      </c>
      <c r="AL73" s="128">
        <v>1.36</v>
      </c>
      <c r="AM73" s="128">
        <v>1.37</v>
      </c>
      <c r="AN73" s="128">
        <v>1.38</v>
      </c>
      <c r="AO73" s="128">
        <v>1.39</v>
      </c>
      <c r="AP73" s="128">
        <v>1.4</v>
      </c>
      <c r="AQ73" s="128">
        <v>1.41</v>
      </c>
      <c r="AR73" s="128">
        <v>1.42</v>
      </c>
      <c r="AS73" s="128">
        <v>1.43</v>
      </c>
      <c r="AT73" s="128">
        <v>1.44</v>
      </c>
      <c r="AU73" s="128">
        <v>1.45</v>
      </c>
      <c r="AV73" s="128">
        <v>1.46</v>
      </c>
      <c r="AW73" s="128">
        <v>1.47</v>
      </c>
      <c r="AX73" s="128">
        <v>1.48</v>
      </c>
      <c r="AY73" s="128">
        <v>1.49</v>
      </c>
      <c r="AZ73" s="128">
        <v>1.5</v>
      </c>
      <c r="BA73" s="128">
        <v>1.51</v>
      </c>
      <c r="BB73" s="128">
        <v>1.52</v>
      </c>
      <c r="BC73" s="128">
        <v>1.53</v>
      </c>
      <c r="BD73" s="128">
        <v>1.54</v>
      </c>
      <c r="BE73" s="128">
        <v>1.55</v>
      </c>
      <c r="BF73" s="128">
        <v>1.56</v>
      </c>
      <c r="BG73" s="128">
        <v>1.57</v>
      </c>
      <c r="BH73" s="128">
        <v>1.58</v>
      </c>
      <c r="BI73" s="128">
        <v>1.59</v>
      </c>
      <c r="BJ73" s="128">
        <v>1.6</v>
      </c>
      <c r="BK73" s="128">
        <v>1.61</v>
      </c>
      <c r="BL73" s="128">
        <v>1.62</v>
      </c>
      <c r="BM73" s="128">
        <v>1.63</v>
      </c>
      <c r="BN73" s="128">
        <v>1.64</v>
      </c>
      <c r="BO73" s="128">
        <v>1.65</v>
      </c>
      <c r="BP73" s="128">
        <v>1.66</v>
      </c>
      <c r="BQ73" s="128">
        <v>1.67</v>
      </c>
      <c r="BR73" s="128">
        <v>1.68</v>
      </c>
      <c r="BS73" s="128">
        <v>1.69</v>
      </c>
      <c r="BT73" s="128">
        <v>1.7</v>
      </c>
      <c r="BU73" s="128">
        <v>1.71</v>
      </c>
      <c r="BV73" s="128">
        <v>1.71</v>
      </c>
      <c r="BW73" s="128">
        <v>1.72</v>
      </c>
      <c r="BX73" s="128">
        <v>1.73</v>
      </c>
      <c r="BY73" s="128">
        <v>1.74</v>
      </c>
      <c r="BZ73" s="128">
        <v>1.74</v>
      </c>
      <c r="CA73" s="128">
        <v>1.75</v>
      </c>
      <c r="CB73" s="128">
        <v>1.76</v>
      </c>
      <c r="CC73" s="128">
        <v>1.77</v>
      </c>
      <c r="CD73" s="128">
        <v>1.78</v>
      </c>
      <c r="CE73" s="128">
        <v>1.79</v>
      </c>
      <c r="CF73" s="128">
        <v>1.8</v>
      </c>
      <c r="CG73" s="128">
        <v>1.8</v>
      </c>
      <c r="CH73" s="128">
        <v>1.81</v>
      </c>
      <c r="CI73" s="128">
        <v>1.82</v>
      </c>
      <c r="CJ73" s="128">
        <v>1.83</v>
      </c>
      <c r="CK73" s="128">
        <v>1.84</v>
      </c>
      <c r="CL73" s="128">
        <v>1.85</v>
      </c>
      <c r="CM73" s="128">
        <v>1.86</v>
      </c>
      <c r="CN73" s="128">
        <v>1.88</v>
      </c>
      <c r="CO73" s="128">
        <v>1.89</v>
      </c>
      <c r="CP73" s="128">
        <v>1.9</v>
      </c>
      <c r="CQ73" s="128">
        <v>1.91</v>
      </c>
      <c r="CR73" s="128">
        <v>1.92</v>
      </c>
      <c r="CS73" s="128">
        <v>1.93</v>
      </c>
      <c r="CT73" s="128">
        <v>1.95</v>
      </c>
      <c r="CU73" s="128">
        <v>1.96</v>
      </c>
      <c r="CV73" s="128">
        <v>1.97</v>
      </c>
      <c r="CW73" s="128">
        <v>1.99</v>
      </c>
      <c r="CX73" s="128">
        <v>2</v>
      </c>
      <c r="CZ73" s="126">
        <f>SUMIF(MatrixF2[[1]:[2]],MatrixF2[[#This Row],[Столбец1]])/MatrixF2[[#This Row],[Столбец1]]</f>
        <v>108.99999999999986</v>
      </c>
    </row>
    <row r="74" spans="1:104" ht="21" customHeight="1" x14ac:dyDescent="0.25">
      <c r="A74" s="127">
        <v>1.71</v>
      </c>
      <c r="B74" s="128">
        <v>1</v>
      </c>
      <c r="C74" s="128">
        <v>1.01</v>
      </c>
      <c r="D74" s="128">
        <v>1.03</v>
      </c>
      <c r="E74" s="128">
        <v>1.04</v>
      </c>
      <c r="F74" s="128">
        <v>1.05</v>
      </c>
      <c r="G74" s="128">
        <v>1.07</v>
      </c>
      <c r="H74" s="128">
        <v>1.08</v>
      </c>
      <c r="I74" s="128">
        <v>1.0900000000000001</v>
      </c>
      <c r="J74" s="128">
        <v>1.1000000000000001</v>
      </c>
      <c r="K74" s="128">
        <v>1.1100000000000001</v>
      </c>
      <c r="L74" s="128">
        <v>1.1200000000000001</v>
      </c>
      <c r="M74" s="128">
        <v>1.1299999999999999</v>
      </c>
      <c r="N74" s="128">
        <v>1.1399999999999999</v>
      </c>
      <c r="O74" s="128">
        <v>1.1499999999999999</v>
      </c>
      <c r="P74" s="128">
        <v>1.1599999999999999</v>
      </c>
      <c r="Q74" s="128">
        <v>1.17</v>
      </c>
      <c r="R74" s="128">
        <v>1.18</v>
      </c>
      <c r="S74" s="128">
        <v>1.19</v>
      </c>
      <c r="T74" s="128">
        <v>1.2</v>
      </c>
      <c r="U74" s="128">
        <v>1.21</v>
      </c>
      <c r="V74" s="128">
        <v>1.22</v>
      </c>
      <c r="W74" s="128">
        <v>1.23</v>
      </c>
      <c r="X74" s="128">
        <v>1.24</v>
      </c>
      <c r="Y74" s="128">
        <v>1.24</v>
      </c>
      <c r="Z74" s="128">
        <v>1.25</v>
      </c>
      <c r="AA74" s="128">
        <v>1.26</v>
      </c>
      <c r="AB74" s="128">
        <v>1.27</v>
      </c>
      <c r="AC74" s="128">
        <v>1.28</v>
      </c>
      <c r="AD74" s="128">
        <v>1.28</v>
      </c>
      <c r="AE74" s="128">
        <v>1.29</v>
      </c>
      <c r="AF74" s="128">
        <v>1.3</v>
      </c>
      <c r="AG74" s="128">
        <v>1.31</v>
      </c>
      <c r="AH74" s="128">
        <v>1.32</v>
      </c>
      <c r="AI74" s="128">
        <v>1.33</v>
      </c>
      <c r="AJ74" s="128">
        <v>1.34</v>
      </c>
      <c r="AK74" s="128">
        <v>1.35</v>
      </c>
      <c r="AL74" s="128">
        <v>1.36</v>
      </c>
      <c r="AM74" s="128">
        <v>1.37</v>
      </c>
      <c r="AN74" s="128">
        <v>1.38</v>
      </c>
      <c r="AO74" s="128">
        <v>1.39</v>
      </c>
      <c r="AP74" s="128">
        <v>1.4</v>
      </c>
      <c r="AQ74" s="128">
        <v>1.41</v>
      </c>
      <c r="AR74" s="128">
        <v>1.42</v>
      </c>
      <c r="AS74" s="128">
        <v>1.43</v>
      </c>
      <c r="AT74" s="128">
        <v>1.44</v>
      </c>
      <c r="AU74" s="128">
        <v>1.45</v>
      </c>
      <c r="AV74" s="128">
        <v>1.46</v>
      </c>
      <c r="AW74" s="128">
        <v>1.47</v>
      </c>
      <c r="AX74" s="128">
        <v>1.48</v>
      </c>
      <c r="AY74" s="128">
        <v>1.49</v>
      </c>
      <c r="AZ74" s="128">
        <v>1.5</v>
      </c>
      <c r="BA74" s="128">
        <v>1.51</v>
      </c>
      <c r="BB74" s="128">
        <v>1.52</v>
      </c>
      <c r="BC74" s="128">
        <v>1.53</v>
      </c>
      <c r="BD74" s="128">
        <v>1.54</v>
      </c>
      <c r="BE74" s="128">
        <v>1.55</v>
      </c>
      <c r="BF74" s="128">
        <v>1.56</v>
      </c>
      <c r="BG74" s="128">
        <v>1.57</v>
      </c>
      <c r="BH74" s="128">
        <v>1.58</v>
      </c>
      <c r="BI74" s="128">
        <v>1.59</v>
      </c>
      <c r="BJ74" s="128">
        <v>1.6</v>
      </c>
      <c r="BK74" s="128">
        <v>1.61</v>
      </c>
      <c r="BL74" s="128">
        <v>1.62</v>
      </c>
      <c r="BM74" s="128">
        <v>1.63</v>
      </c>
      <c r="BN74" s="128">
        <v>1.64</v>
      </c>
      <c r="BO74" s="128">
        <v>1.65</v>
      </c>
      <c r="BP74" s="128">
        <v>1.66</v>
      </c>
      <c r="BQ74" s="128">
        <v>1.67</v>
      </c>
      <c r="BR74" s="128">
        <v>1.68</v>
      </c>
      <c r="BS74" s="128">
        <v>1.69</v>
      </c>
      <c r="BT74" s="128">
        <v>1.7</v>
      </c>
      <c r="BU74" s="128">
        <v>1.71</v>
      </c>
      <c r="BV74" s="128">
        <v>1.72</v>
      </c>
      <c r="BW74" s="128">
        <v>1.72</v>
      </c>
      <c r="BX74" s="128">
        <v>1.73</v>
      </c>
      <c r="BY74" s="128">
        <v>1.74</v>
      </c>
      <c r="BZ74" s="128">
        <v>1.75</v>
      </c>
      <c r="CA74" s="128">
        <v>1.76</v>
      </c>
      <c r="CB74" s="128">
        <v>1.76</v>
      </c>
      <c r="CC74" s="128">
        <v>1.77</v>
      </c>
      <c r="CD74" s="128">
        <v>1.78</v>
      </c>
      <c r="CE74" s="128">
        <v>1.79</v>
      </c>
      <c r="CF74" s="128">
        <v>1.8</v>
      </c>
      <c r="CG74" s="128">
        <v>1.81</v>
      </c>
      <c r="CH74" s="128">
        <v>1.82</v>
      </c>
      <c r="CI74" s="128">
        <v>1.83</v>
      </c>
      <c r="CJ74" s="128">
        <v>1.84</v>
      </c>
      <c r="CK74" s="128">
        <v>1.85</v>
      </c>
      <c r="CL74" s="128">
        <v>1.86</v>
      </c>
      <c r="CM74" s="128">
        <v>1.87</v>
      </c>
      <c r="CN74" s="128">
        <v>1.88</v>
      </c>
      <c r="CO74" s="128">
        <v>1.89</v>
      </c>
      <c r="CP74" s="128">
        <v>1.9</v>
      </c>
      <c r="CQ74" s="128">
        <v>1.91</v>
      </c>
      <c r="CR74" s="128">
        <v>1.92</v>
      </c>
      <c r="CS74" s="128">
        <v>1.93</v>
      </c>
      <c r="CT74" s="128">
        <v>1.95</v>
      </c>
      <c r="CU74" s="128">
        <v>1.96</v>
      </c>
      <c r="CV74" s="128">
        <v>1.97</v>
      </c>
      <c r="CW74" s="128">
        <v>1.99</v>
      </c>
      <c r="CX74" s="128">
        <v>2</v>
      </c>
      <c r="CZ74" s="126">
        <f>SUMIF(MatrixF2[[1]:[2]],MatrixF2[[#This Row],[Столбец1]])/MatrixF2[[#This Row],[Столбец1]]</f>
        <v>111.00000000000006</v>
      </c>
    </row>
    <row r="75" spans="1:104" ht="21" customHeight="1" x14ac:dyDescent="0.25">
      <c r="A75" s="127">
        <v>1.72</v>
      </c>
      <c r="B75" s="128">
        <v>1</v>
      </c>
      <c r="C75" s="128">
        <v>1.01</v>
      </c>
      <c r="D75" s="128">
        <v>1.03</v>
      </c>
      <c r="E75" s="128">
        <v>1.04</v>
      </c>
      <c r="F75" s="128">
        <v>1.05</v>
      </c>
      <c r="G75" s="128">
        <v>1.06</v>
      </c>
      <c r="H75" s="128">
        <v>1.08</v>
      </c>
      <c r="I75" s="128">
        <v>1.0900000000000001</v>
      </c>
      <c r="J75" s="128">
        <v>1.1000000000000001</v>
      </c>
      <c r="K75" s="128">
        <v>1.1100000000000001</v>
      </c>
      <c r="L75" s="128">
        <v>1.1200000000000001</v>
      </c>
      <c r="M75" s="128">
        <v>1.1299999999999999</v>
      </c>
      <c r="N75" s="128">
        <v>1.1399999999999999</v>
      </c>
      <c r="O75" s="128">
        <v>1.1499999999999999</v>
      </c>
      <c r="P75" s="128">
        <v>1.1599999999999999</v>
      </c>
      <c r="Q75" s="128">
        <v>1.17</v>
      </c>
      <c r="R75" s="128">
        <v>1.18</v>
      </c>
      <c r="S75" s="128">
        <v>1.19</v>
      </c>
      <c r="T75" s="128">
        <v>1.2</v>
      </c>
      <c r="U75" s="128">
        <v>1.21</v>
      </c>
      <c r="V75" s="128">
        <v>1.22</v>
      </c>
      <c r="W75" s="128">
        <v>1.23</v>
      </c>
      <c r="X75" s="128">
        <v>1.23</v>
      </c>
      <c r="Y75" s="128">
        <v>1.24</v>
      </c>
      <c r="Z75" s="128">
        <v>1.25</v>
      </c>
      <c r="AA75" s="128">
        <v>1.26</v>
      </c>
      <c r="AB75" s="128">
        <v>1.27</v>
      </c>
      <c r="AC75" s="128">
        <v>1.27</v>
      </c>
      <c r="AD75" s="128">
        <v>1.28</v>
      </c>
      <c r="AE75" s="128">
        <v>1.29</v>
      </c>
      <c r="AF75" s="128">
        <v>1.3</v>
      </c>
      <c r="AG75" s="128">
        <v>1.31</v>
      </c>
      <c r="AH75" s="128">
        <v>1.32</v>
      </c>
      <c r="AI75" s="128">
        <v>1.33</v>
      </c>
      <c r="AJ75" s="128">
        <v>1.34</v>
      </c>
      <c r="AK75" s="128">
        <v>1.35</v>
      </c>
      <c r="AL75" s="128">
        <v>1.36</v>
      </c>
      <c r="AM75" s="128">
        <v>1.37</v>
      </c>
      <c r="AN75" s="128">
        <v>1.38</v>
      </c>
      <c r="AO75" s="128">
        <v>1.39</v>
      </c>
      <c r="AP75" s="128">
        <v>1.4</v>
      </c>
      <c r="AQ75" s="128">
        <v>1.41</v>
      </c>
      <c r="AR75" s="128">
        <v>1.42</v>
      </c>
      <c r="AS75" s="128">
        <v>1.43</v>
      </c>
      <c r="AT75" s="128">
        <v>1.44</v>
      </c>
      <c r="AU75" s="128">
        <v>1.45</v>
      </c>
      <c r="AV75" s="128">
        <v>1.46</v>
      </c>
      <c r="AW75" s="128">
        <v>1.47</v>
      </c>
      <c r="AX75" s="128">
        <v>1.48</v>
      </c>
      <c r="AY75" s="128">
        <v>1.49</v>
      </c>
      <c r="AZ75" s="128">
        <v>1.5</v>
      </c>
      <c r="BA75" s="128">
        <v>1.51</v>
      </c>
      <c r="BB75" s="128">
        <v>1.52</v>
      </c>
      <c r="BC75" s="128">
        <v>1.53</v>
      </c>
      <c r="BD75" s="128">
        <v>1.54</v>
      </c>
      <c r="BE75" s="128">
        <v>1.55</v>
      </c>
      <c r="BF75" s="128">
        <v>1.56</v>
      </c>
      <c r="BG75" s="128">
        <v>1.57</v>
      </c>
      <c r="BH75" s="128">
        <v>1.58</v>
      </c>
      <c r="BI75" s="128">
        <v>1.59</v>
      </c>
      <c r="BJ75" s="128">
        <v>1.6</v>
      </c>
      <c r="BK75" s="128">
        <v>1.61</v>
      </c>
      <c r="BL75" s="128">
        <v>1.62</v>
      </c>
      <c r="BM75" s="128">
        <v>1.63</v>
      </c>
      <c r="BN75" s="128">
        <v>1.64</v>
      </c>
      <c r="BO75" s="128">
        <v>1.65</v>
      </c>
      <c r="BP75" s="128">
        <v>1.66</v>
      </c>
      <c r="BQ75" s="128">
        <v>1.67</v>
      </c>
      <c r="BR75" s="128">
        <v>1.68</v>
      </c>
      <c r="BS75" s="128">
        <v>1.69</v>
      </c>
      <c r="BT75" s="128">
        <v>1.7</v>
      </c>
      <c r="BU75" s="128">
        <v>1.71</v>
      </c>
      <c r="BV75" s="128">
        <v>1.72</v>
      </c>
      <c r="BW75" s="128">
        <v>1.73</v>
      </c>
      <c r="BX75" s="128">
        <v>1.73</v>
      </c>
      <c r="BY75" s="128">
        <v>1.74</v>
      </c>
      <c r="BZ75" s="128">
        <v>1.75</v>
      </c>
      <c r="CA75" s="128">
        <v>1.76</v>
      </c>
      <c r="CB75" s="128">
        <v>1.77</v>
      </c>
      <c r="CC75" s="128">
        <v>1.77</v>
      </c>
      <c r="CD75" s="128">
        <v>1.78</v>
      </c>
      <c r="CE75" s="128">
        <v>1.79</v>
      </c>
      <c r="CF75" s="128">
        <v>1.8</v>
      </c>
      <c r="CG75" s="128">
        <v>1.81</v>
      </c>
      <c r="CH75" s="128">
        <v>1.82</v>
      </c>
      <c r="CI75" s="128">
        <v>1.83</v>
      </c>
      <c r="CJ75" s="128">
        <v>1.84</v>
      </c>
      <c r="CK75" s="128">
        <v>1.85</v>
      </c>
      <c r="CL75" s="128">
        <v>1.86</v>
      </c>
      <c r="CM75" s="128">
        <v>1.87</v>
      </c>
      <c r="CN75" s="128">
        <v>1.88</v>
      </c>
      <c r="CO75" s="128">
        <v>1.89</v>
      </c>
      <c r="CP75" s="128">
        <v>1.9</v>
      </c>
      <c r="CQ75" s="128">
        <v>1.91</v>
      </c>
      <c r="CR75" s="128">
        <v>1.92</v>
      </c>
      <c r="CS75" s="128">
        <v>1.94</v>
      </c>
      <c r="CT75" s="128">
        <v>1.95</v>
      </c>
      <c r="CU75" s="128">
        <v>1.96</v>
      </c>
      <c r="CV75" s="128">
        <v>1.97</v>
      </c>
      <c r="CW75" s="128">
        <v>1.99</v>
      </c>
      <c r="CX75" s="128">
        <v>2</v>
      </c>
      <c r="CZ75" s="126">
        <f>SUMIF(MatrixF2[[1]:[2]],MatrixF2[[#This Row],[Столбец1]])/MatrixF2[[#This Row],[Столбец1]]</f>
        <v>106.99999999999994</v>
      </c>
    </row>
    <row r="76" spans="1:104" ht="21" customHeight="1" x14ac:dyDescent="0.25">
      <c r="A76" s="127">
        <v>1.73</v>
      </c>
      <c r="B76" s="128">
        <v>1</v>
      </c>
      <c r="C76" s="128">
        <v>1.01</v>
      </c>
      <c r="D76" s="128">
        <v>1.03</v>
      </c>
      <c r="E76" s="128">
        <v>1.04</v>
      </c>
      <c r="F76" s="128">
        <v>1.05</v>
      </c>
      <c r="G76" s="128">
        <v>1.06</v>
      </c>
      <c r="H76" s="128">
        <v>1.08</v>
      </c>
      <c r="I76" s="128">
        <v>1.0900000000000001</v>
      </c>
      <c r="J76" s="128">
        <v>1.1000000000000001</v>
      </c>
      <c r="K76" s="128">
        <v>1.1100000000000001</v>
      </c>
      <c r="L76" s="128">
        <v>1.1200000000000001</v>
      </c>
      <c r="M76" s="128">
        <v>1.1299999999999999</v>
      </c>
      <c r="N76" s="128">
        <v>1.1399999999999999</v>
      </c>
      <c r="O76" s="128">
        <v>1.1499999999999999</v>
      </c>
      <c r="P76" s="128">
        <v>1.1599999999999999</v>
      </c>
      <c r="Q76" s="128">
        <v>1.17</v>
      </c>
      <c r="R76" s="128">
        <v>1.18</v>
      </c>
      <c r="S76" s="128">
        <v>1.19</v>
      </c>
      <c r="T76" s="128">
        <v>1.2</v>
      </c>
      <c r="U76" s="128">
        <v>1.21</v>
      </c>
      <c r="V76" s="128">
        <v>1.22</v>
      </c>
      <c r="W76" s="128">
        <v>1.22</v>
      </c>
      <c r="X76" s="128">
        <v>1.23</v>
      </c>
      <c r="Y76" s="128">
        <v>1.24</v>
      </c>
      <c r="Z76" s="128">
        <v>1.25</v>
      </c>
      <c r="AA76" s="128">
        <v>1.26</v>
      </c>
      <c r="AB76" s="128">
        <v>1.26</v>
      </c>
      <c r="AC76" s="128">
        <v>1.27</v>
      </c>
      <c r="AD76" s="128">
        <v>1.28</v>
      </c>
      <c r="AE76" s="128">
        <v>1.29</v>
      </c>
      <c r="AF76" s="128">
        <v>1.3</v>
      </c>
      <c r="AG76" s="128">
        <v>1.31</v>
      </c>
      <c r="AH76" s="128">
        <v>1.32</v>
      </c>
      <c r="AI76" s="128">
        <v>1.33</v>
      </c>
      <c r="AJ76" s="128">
        <v>1.34</v>
      </c>
      <c r="AK76" s="128">
        <v>1.35</v>
      </c>
      <c r="AL76" s="128">
        <v>1.36</v>
      </c>
      <c r="AM76" s="128">
        <v>1.37</v>
      </c>
      <c r="AN76" s="128">
        <v>1.38</v>
      </c>
      <c r="AO76" s="128">
        <v>1.39</v>
      </c>
      <c r="AP76" s="128">
        <v>1.4</v>
      </c>
      <c r="AQ76" s="128">
        <v>1.41</v>
      </c>
      <c r="AR76" s="128">
        <v>1.42</v>
      </c>
      <c r="AS76" s="128">
        <v>1.43</v>
      </c>
      <c r="AT76" s="128">
        <v>1.44</v>
      </c>
      <c r="AU76" s="128">
        <v>1.45</v>
      </c>
      <c r="AV76" s="128">
        <v>1.46</v>
      </c>
      <c r="AW76" s="128">
        <v>1.47</v>
      </c>
      <c r="AX76" s="128">
        <v>1.48</v>
      </c>
      <c r="AY76" s="128">
        <v>1.49</v>
      </c>
      <c r="AZ76" s="128">
        <v>1.5</v>
      </c>
      <c r="BA76" s="128">
        <v>1.51</v>
      </c>
      <c r="BB76" s="128">
        <v>1.52</v>
      </c>
      <c r="BC76" s="128">
        <v>1.53</v>
      </c>
      <c r="BD76" s="128">
        <v>1.54</v>
      </c>
      <c r="BE76" s="128">
        <v>1.55</v>
      </c>
      <c r="BF76" s="128">
        <v>1.56</v>
      </c>
      <c r="BG76" s="128">
        <v>1.57</v>
      </c>
      <c r="BH76" s="128">
        <v>1.58</v>
      </c>
      <c r="BI76" s="128">
        <v>1.59</v>
      </c>
      <c r="BJ76" s="128">
        <v>1.6</v>
      </c>
      <c r="BK76" s="128">
        <v>1.61</v>
      </c>
      <c r="BL76" s="128">
        <v>1.62</v>
      </c>
      <c r="BM76" s="128">
        <v>1.63</v>
      </c>
      <c r="BN76" s="128">
        <v>1.64</v>
      </c>
      <c r="BO76" s="128">
        <v>1.65</v>
      </c>
      <c r="BP76" s="128">
        <v>1.66</v>
      </c>
      <c r="BQ76" s="128">
        <v>1.67</v>
      </c>
      <c r="BR76" s="128">
        <v>1.68</v>
      </c>
      <c r="BS76" s="128">
        <v>1.69</v>
      </c>
      <c r="BT76" s="128">
        <v>1.7</v>
      </c>
      <c r="BU76" s="128">
        <v>1.71</v>
      </c>
      <c r="BV76" s="128">
        <v>1.72</v>
      </c>
      <c r="BW76" s="128">
        <v>1.73</v>
      </c>
      <c r="BX76" s="128">
        <v>1.74</v>
      </c>
      <c r="BY76" s="128">
        <v>1.74</v>
      </c>
      <c r="BZ76" s="128">
        <v>1.75</v>
      </c>
      <c r="CA76" s="128">
        <v>1.76</v>
      </c>
      <c r="CB76" s="128">
        <v>1.77</v>
      </c>
      <c r="CC76" s="128">
        <v>1.78</v>
      </c>
      <c r="CD76" s="128">
        <v>1.78</v>
      </c>
      <c r="CE76" s="128">
        <v>1.79</v>
      </c>
      <c r="CF76" s="128">
        <v>1.8</v>
      </c>
      <c r="CG76" s="128">
        <v>1.81</v>
      </c>
      <c r="CH76" s="128">
        <v>1.82</v>
      </c>
      <c r="CI76" s="128">
        <v>1.83</v>
      </c>
      <c r="CJ76" s="128">
        <v>1.84</v>
      </c>
      <c r="CK76" s="128">
        <v>1.85</v>
      </c>
      <c r="CL76" s="128">
        <v>1.86</v>
      </c>
      <c r="CM76" s="128">
        <v>1.87</v>
      </c>
      <c r="CN76" s="128">
        <v>1.88</v>
      </c>
      <c r="CO76" s="128">
        <v>1.89</v>
      </c>
      <c r="CP76" s="128">
        <v>1.9</v>
      </c>
      <c r="CQ76" s="128">
        <v>1.91</v>
      </c>
      <c r="CR76" s="128">
        <v>1.92</v>
      </c>
      <c r="CS76" s="128">
        <v>1.94</v>
      </c>
      <c r="CT76" s="128">
        <v>1.95</v>
      </c>
      <c r="CU76" s="128">
        <v>1.96</v>
      </c>
      <c r="CV76" s="128">
        <v>1.97</v>
      </c>
      <c r="CW76" s="128">
        <v>1.99</v>
      </c>
      <c r="CX76" s="128">
        <v>2</v>
      </c>
      <c r="CZ76" s="126">
        <f>SUMIF(MatrixF2[[1]:[2]],MatrixF2[[#This Row],[Столбец1]])/MatrixF2[[#This Row],[Столбец1]]</f>
        <v>109.99999999999984</v>
      </c>
    </row>
    <row r="77" spans="1:104" ht="21" customHeight="1" x14ac:dyDescent="0.25">
      <c r="A77" s="127">
        <v>1.74</v>
      </c>
      <c r="B77" s="128">
        <v>1</v>
      </c>
      <c r="C77" s="128">
        <v>1.01</v>
      </c>
      <c r="D77" s="128">
        <v>1.03</v>
      </c>
      <c r="E77" s="128">
        <v>1.04</v>
      </c>
      <c r="F77" s="128">
        <v>1.05</v>
      </c>
      <c r="G77" s="128">
        <v>1.06</v>
      </c>
      <c r="H77" s="128">
        <v>1.08</v>
      </c>
      <c r="I77" s="128">
        <v>1.0900000000000001</v>
      </c>
      <c r="J77" s="128">
        <v>1.1000000000000001</v>
      </c>
      <c r="K77" s="128">
        <v>1.1100000000000001</v>
      </c>
      <c r="L77" s="128">
        <v>1.1200000000000001</v>
      </c>
      <c r="M77" s="128">
        <v>1.1299999999999999</v>
      </c>
      <c r="N77" s="128">
        <v>1.1399999999999999</v>
      </c>
      <c r="O77" s="128">
        <v>1.1499999999999999</v>
      </c>
      <c r="P77" s="128">
        <v>1.1599999999999999</v>
      </c>
      <c r="Q77" s="128">
        <v>1.17</v>
      </c>
      <c r="R77" s="128">
        <v>1.18</v>
      </c>
      <c r="S77" s="128">
        <v>1.19</v>
      </c>
      <c r="T77" s="128">
        <v>1.2</v>
      </c>
      <c r="U77" s="128">
        <v>1.2</v>
      </c>
      <c r="V77" s="128">
        <v>1.21</v>
      </c>
      <c r="W77" s="128">
        <v>1.22</v>
      </c>
      <c r="X77" s="128">
        <v>1.23</v>
      </c>
      <c r="Y77" s="128">
        <v>1.24</v>
      </c>
      <c r="Z77" s="128">
        <v>1.24</v>
      </c>
      <c r="AA77" s="128">
        <v>1.25</v>
      </c>
      <c r="AB77" s="128">
        <v>1.26</v>
      </c>
      <c r="AC77" s="128">
        <v>1.27</v>
      </c>
      <c r="AD77" s="128">
        <v>1.28</v>
      </c>
      <c r="AE77" s="128">
        <v>1.29</v>
      </c>
      <c r="AF77" s="128">
        <v>1.3</v>
      </c>
      <c r="AG77" s="128">
        <v>1.31</v>
      </c>
      <c r="AH77" s="128">
        <v>1.32</v>
      </c>
      <c r="AI77" s="128">
        <v>1.33</v>
      </c>
      <c r="AJ77" s="128">
        <v>1.34</v>
      </c>
      <c r="AK77" s="128">
        <v>1.35</v>
      </c>
      <c r="AL77" s="128">
        <v>1.36</v>
      </c>
      <c r="AM77" s="128">
        <v>1.37</v>
      </c>
      <c r="AN77" s="128">
        <v>1.38</v>
      </c>
      <c r="AO77" s="128">
        <v>1.39</v>
      </c>
      <c r="AP77" s="128">
        <v>1.4</v>
      </c>
      <c r="AQ77" s="128">
        <v>1.41</v>
      </c>
      <c r="AR77" s="128">
        <v>1.42</v>
      </c>
      <c r="AS77" s="128">
        <v>1.43</v>
      </c>
      <c r="AT77" s="128">
        <v>1.44</v>
      </c>
      <c r="AU77" s="128">
        <v>1.45</v>
      </c>
      <c r="AV77" s="128">
        <v>1.46</v>
      </c>
      <c r="AW77" s="128">
        <v>1.47</v>
      </c>
      <c r="AX77" s="128">
        <v>1.48</v>
      </c>
      <c r="AY77" s="128">
        <v>1.49</v>
      </c>
      <c r="AZ77" s="128">
        <v>1.5</v>
      </c>
      <c r="BA77" s="128">
        <v>1.51</v>
      </c>
      <c r="BB77" s="128">
        <v>1.52</v>
      </c>
      <c r="BC77" s="128">
        <v>1.53</v>
      </c>
      <c r="BD77" s="128">
        <v>1.54</v>
      </c>
      <c r="BE77" s="128">
        <v>1.55</v>
      </c>
      <c r="BF77" s="128">
        <v>1.56</v>
      </c>
      <c r="BG77" s="128">
        <v>1.57</v>
      </c>
      <c r="BH77" s="128">
        <v>1.58</v>
      </c>
      <c r="BI77" s="128">
        <v>1.59</v>
      </c>
      <c r="BJ77" s="128">
        <v>1.6</v>
      </c>
      <c r="BK77" s="128">
        <v>1.61</v>
      </c>
      <c r="BL77" s="128">
        <v>1.62</v>
      </c>
      <c r="BM77" s="128">
        <v>1.63</v>
      </c>
      <c r="BN77" s="128">
        <v>1.64</v>
      </c>
      <c r="BO77" s="128">
        <v>1.65</v>
      </c>
      <c r="BP77" s="128">
        <v>1.66</v>
      </c>
      <c r="BQ77" s="128">
        <v>1.67</v>
      </c>
      <c r="BR77" s="128">
        <v>1.68</v>
      </c>
      <c r="BS77" s="128">
        <v>1.69</v>
      </c>
      <c r="BT77" s="128">
        <v>1.7</v>
      </c>
      <c r="BU77" s="128">
        <v>1.71</v>
      </c>
      <c r="BV77" s="128">
        <v>1.72</v>
      </c>
      <c r="BW77" s="128">
        <v>1.73</v>
      </c>
      <c r="BX77" s="128">
        <v>1.74</v>
      </c>
      <c r="BY77" s="128">
        <v>1.75</v>
      </c>
      <c r="BZ77" s="128">
        <v>1.76</v>
      </c>
      <c r="CA77" s="128">
        <v>1.76</v>
      </c>
      <c r="CB77" s="128">
        <v>1.77</v>
      </c>
      <c r="CC77" s="128">
        <v>1.78</v>
      </c>
      <c r="CD77" s="128">
        <v>1.79</v>
      </c>
      <c r="CE77" s="128">
        <v>1.8</v>
      </c>
      <c r="CF77" s="128">
        <v>1.8</v>
      </c>
      <c r="CG77" s="128">
        <v>1.81</v>
      </c>
      <c r="CH77" s="128">
        <v>1.82</v>
      </c>
      <c r="CI77" s="128">
        <v>1.83</v>
      </c>
      <c r="CJ77" s="128">
        <v>1.84</v>
      </c>
      <c r="CK77" s="128">
        <v>1.85</v>
      </c>
      <c r="CL77" s="128">
        <v>1.86</v>
      </c>
      <c r="CM77" s="128">
        <v>1.87</v>
      </c>
      <c r="CN77" s="128">
        <v>1.88</v>
      </c>
      <c r="CO77" s="128">
        <v>1.89</v>
      </c>
      <c r="CP77" s="128">
        <v>1.9</v>
      </c>
      <c r="CQ77" s="128">
        <v>1.91</v>
      </c>
      <c r="CR77" s="128">
        <v>1.92</v>
      </c>
      <c r="CS77" s="128">
        <v>1.94</v>
      </c>
      <c r="CT77" s="128">
        <v>1.95</v>
      </c>
      <c r="CU77" s="128">
        <v>1.96</v>
      </c>
      <c r="CV77" s="128">
        <v>1.97</v>
      </c>
      <c r="CW77" s="128">
        <v>1.99</v>
      </c>
      <c r="CX77" s="128">
        <v>2</v>
      </c>
      <c r="CZ77" s="126">
        <f>SUMIF(MatrixF2[[1]:[2]],MatrixF2[[#This Row],[Столбец1]])/MatrixF2[[#This Row],[Столбец1]]</f>
        <v>109.0000000000001</v>
      </c>
    </row>
    <row r="78" spans="1:104" ht="21" customHeight="1" x14ac:dyDescent="0.25">
      <c r="A78" s="127">
        <v>1.75</v>
      </c>
      <c r="B78" s="128">
        <v>1</v>
      </c>
      <c r="C78" s="128">
        <v>1.01</v>
      </c>
      <c r="D78" s="128">
        <v>1.03</v>
      </c>
      <c r="E78" s="128">
        <v>1.04</v>
      </c>
      <c r="F78" s="128">
        <v>1.05</v>
      </c>
      <c r="G78" s="128">
        <v>1.06</v>
      </c>
      <c r="H78" s="128">
        <v>1.07</v>
      </c>
      <c r="I78" s="128">
        <v>1.0900000000000001</v>
      </c>
      <c r="J78" s="128">
        <v>1.1000000000000001</v>
      </c>
      <c r="K78" s="128">
        <v>1.1100000000000001</v>
      </c>
      <c r="L78" s="128">
        <v>1.1200000000000001</v>
      </c>
      <c r="M78" s="128">
        <v>1.1299999999999999</v>
      </c>
      <c r="N78" s="128">
        <v>1.1399999999999999</v>
      </c>
      <c r="O78" s="128">
        <v>1.1499999999999999</v>
      </c>
      <c r="P78" s="128">
        <v>1.1599999999999999</v>
      </c>
      <c r="Q78" s="128">
        <v>1.17</v>
      </c>
      <c r="R78" s="128">
        <v>1.18</v>
      </c>
      <c r="S78" s="128">
        <v>1.18</v>
      </c>
      <c r="T78" s="128">
        <v>1.19</v>
      </c>
      <c r="U78" s="128">
        <v>1.2</v>
      </c>
      <c r="V78" s="128">
        <v>1.21</v>
      </c>
      <c r="W78" s="128">
        <v>1.22</v>
      </c>
      <c r="X78" s="128">
        <v>1.23</v>
      </c>
      <c r="Y78" s="128">
        <v>1.23</v>
      </c>
      <c r="Z78" s="128">
        <v>1.24</v>
      </c>
      <c r="AA78" s="128">
        <v>1.25</v>
      </c>
      <c r="AB78" s="128">
        <v>1.26</v>
      </c>
      <c r="AC78" s="128">
        <v>1.27</v>
      </c>
      <c r="AD78" s="128">
        <v>1.28</v>
      </c>
      <c r="AE78" s="128">
        <v>1.29</v>
      </c>
      <c r="AF78" s="128">
        <v>1.3</v>
      </c>
      <c r="AG78" s="128">
        <v>1.31</v>
      </c>
      <c r="AH78" s="128">
        <v>1.32</v>
      </c>
      <c r="AI78" s="128">
        <v>1.33</v>
      </c>
      <c r="AJ78" s="128">
        <v>1.34</v>
      </c>
      <c r="AK78" s="128">
        <v>1.35</v>
      </c>
      <c r="AL78" s="128">
        <v>1.36</v>
      </c>
      <c r="AM78" s="128">
        <v>1.37</v>
      </c>
      <c r="AN78" s="128">
        <v>1.38</v>
      </c>
      <c r="AO78" s="128">
        <v>1.39</v>
      </c>
      <c r="AP78" s="128">
        <v>1.4</v>
      </c>
      <c r="AQ78" s="128">
        <v>1.41</v>
      </c>
      <c r="AR78" s="128">
        <v>1.42</v>
      </c>
      <c r="AS78" s="128">
        <v>1.43</v>
      </c>
      <c r="AT78" s="128">
        <v>1.44</v>
      </c>
      <c r="AU78" s="128">
        <v>1.45</v>
      </c>
      <c r="AV78" s="128">
        <v>1.46</v>
      </c>
      <c r="AW78" s="128">
        <v>1.47</v>
      </c>
      <c r="AX78" s="128">
        <v>1.48</v>
      </c>
      <c r="AY78" s="128">
        <v>1.49</v>
      </c>
      <c r="AZ78" s="128">
        <v>1.5</v>
      </c>
      <c r="BA78" s="128">
        <v>1.51</v>
      </c>
      <c r="BB78" s="128">
        <v>1.52</v>
      </c>
      <c r="BC78" s="128">
        <v>1.53</v>
      </c>
      <c r="BD78" s="128">
        <v>1.54</v>
      </c>
      <c r="BE78" s="128">
        <v>1.55</v>
      </c>
      <c r="BF78" s="128">
        <v>1.56</v>
      </c>
      <c r="BG78" s="128">
        <v>1.57</v>
      </c>
      <c r="BH78" s="128">
        <v>1.58</v>
      </c>
      <c r="BI78" s="128">
        <v>1.59</v>
      </c>
      <c r="BJ78" s="128">
        <v>1.6</v>
      </c>
      <c r="BK78" s="128">
        <v>1.61</v>
      </c>
      <c r="BL78" s="128">
        <v>1.62</v>
      </c>
      <c r="BM78" s="128">
        <v>1.63</v>
      </c>
      <c r="BN78" s="128">
        <v>1.64</v>
      </c>
      <c r="BO78" s="128">
        <v>1.65</v>
      </c>
      <c r="BP78" s="128">
        <v>1.66</v>
      </c>
      <c r="BQ78" s="128">
        <v>1.67</v>
      </c>
      <c r="BR78" s="128">
        <v>1.68</v>
      </c>
      <c r="BS78" s="128">
        <v>1.69</v>
      </c>
      <c r="BT78" s="128">
        <v>1.7</v>
      </c>
      <c r="BU78" s="128">
        <v>1.71</v>
      </c>
      <c r="BV78" s="128">
        <v>1.72</v>
      </c>
      <c r="BW78" s="128">
        <v>1.73</v>
      </c>
      <c r="BX78" s="128">
        <v>1.74</v>
      </c>
      <c r="BY78" s="128">
        <v>1.75</v>
      </c>
      <c r="BZ78" s="128">
        <v>1.76</v>
      </c>
      <c r="CA78" s="128">
        <v>1.77</v>
      </c>
      <c r="CB78" s="128">
        <v>1.77</v>
      </c>
      <c r="CC78" s="128">
        <v>1.78</v>
      </c>
      <c r="CD78" s="128">
        <v>1.79</v>
      </c>
      <c r="CE78" s="128">
        <v>1.8</v>
      </c>
      <c r="CF78" s="128">
        <v>1.81</v>
      </c>
      <c r="CG78" s="128">
        <v>1.82</v>
      </c>
      <c r="CH78" s="128">
        <v>1.82</v>
      </c>
      <c r="CI78" s="128">
        <v>1.83</v>
      </c>
      <c r="CJ78" s="128">
        <v>1.84</v>
      </c>
      <c r="CK78" s="128">
        <v>1.85</v>
      </c>
      <c r="CL78" s="128">
        <v>1.86</v>
      </c>
      <c r="CM78" s="128">
        <v>1.87</v>
      </c>
      <c r="CN78" s="128">
        <v>1.88</v>
      </c>
      <c r="CO78" s="128">
        <v>1.89</v>
      </c>
      <c r="CP78" s="128">
        <v>1.9</v>
      </c>
      <c r="CQ78" s="128">
        <v>1.91</v>
      </c>
      <c r="CR78" s="128">
        <v>1.93</v>
      </c>
      <c r="CS78" s="128">
        <v>1.94</v>
      </c>
      <c r="CT78" s="128">
        <v>1.95</v>
      </c>
      <c r="CU78" s="128">
        <v>1.96</v>
      </c>
      <c r="CV78" s="128">
        <v>1.97</v>
      </c>
      <c r="CW78" s="128">
        <v>1.99</v>
      </c>
      <c r="CX78" s="128">
        <v>2</v>
      </c>
      <c r="CZ78" s="126">
        <f>SUMIF(MatrixF2[[1]:[2]],MatrixF2[[#This Row],[Столбец1]])/MatrixF2[[#This Row],[Столбец1]]</f>
        <v>101</v>
      </c>
    </row>
    <row r="79" spans="1:104" ht="21" customHeight="1" x14ac:dyDescent="0.25">
      <c r="A79" s="127">
        <v>1.76</v>
      </c>
      <c r="B79" s="128">
        <v>1</v>
      </c>
      <c r="C79" s="128">
        <v>1.01</v>
      </c>
      <c r="D79" s="128">
        <v>1.03</v>
      </c>
      <c r="E79" s="128">
        <v>1.04</v>
      </c>
      <c r="F79" s="128">
        <v>1.05</v>
      </c>
      <c r="G79" s="128">
        <v>1.06</v>
      </c>
      <c r="H79" s="128">
        <v>1.07</v>
      </c>
      <c r="I79" s="128">
        <v>1.08</v>
      </c>
      <c r="J79" s="128">
        <v>1.1000000000000001</v>
      </c>
      <c r="K79" s="128">
        <v>1.1100000000000001</v>
      </c>
      <c r="L79" s="128">
        <v>1.1200000000000001</v>
      </c>
      <c r="M79" s="128">
        <v>1.1299999999999999</v>
      </c>
      <c r="N79" s="128">
        <v>1.1399999999999999</v>
      </c>
      <c r="O79" s="128">
        <v>1.1499999999999999</v>
      </c>
      <c r="P79" s="128">
        <v>1.1599999999999999</v>
      </c>
      <c r="Q79" s="128">
        <v>1.1599999999999999</v>
      </c>
      <c r="R79" s="128">
        <v>1.17</v>
      </c>
      <c r="S79" s="128">
        <v>1.18</v>
      </c>
      <c r="T79" s="128">
        <v>1.19</v>
      </c>
      <c r="U79" s="128">
        <v>1.2</v>
      </c>
      <c r="V79" s="128">
        <v>1.21</v>
      </c>
      <c r="W79" s="128">
        <v>1.22</v>
      </c>
      <c r="X79" s="128">
        <v>1.22</v>
      </c>
      <c r="Y79" s="128">
        <v>1.23</v>
      </c>
      <c r="Z79" s="128">
        <v>1.24</v>
      </c>
      <c r="AA79" s="128">
        <v>1.25</v>
      </c>
      <c r="AB79" s="128">
        <v>1.26</v>
      </c>
      <c r="AC79" s="128">
        <v>1.27</v>
      </c>
      <c r="AD79" s="128">
        <v>1.28</v>
      </c>
      <c r="AE79" s="128">
        <v>1.29</v>
      </c>
      <c r="AF79" s="128">
        <v>1.3</v>
      </c>
      <c r="AG79" s="128">
        <v>1.31</v>
      </c>
      <c r="AH79" s="128">
        <v>1.32</v>
      </c>
      <c r="AI79" s="128">
        <v>1.33</v>
      </c>
      <c r="AJ79" s="128">
        <v>1.34</v>
      </c>
      <c r="AK79" s="128">
        <v>1.35</v>
      </c>
      <c r="AL79" s="128">
        <v>1.36</v>
      </c>
      <c r="AM79" s="128">
        <v>1.37</v>
      </c>
      <c r="AN79" s="128">
        <v>1.38</v>
      </c>
      <c r="AO79" s="128">
        <v>1.39</v>
      </c>
      <c r="AP79" s="128">
        <v>1.4</v>
      </c>
      <c r="AQ79" s="128">
        <v>1.41</v>
      </c>
      <c r="AR79" s="128">
        <v>1.42</v>
      </c>
      <c r="AS79" s="128">
        <v>1.43</v>
      </c>
      <c r="AT79" s="128">
        <v>1.44</v>
      </c>
      <c r="AU79" s="128">
        <v>1.45</v>
      </c>
      <c r="AV79" s="128">
        <v>1.46</v>
      </c>
      <c r="AW79" s="128">
        <v>1.47</v>
      </c>
      <c r="AX79" s="128">
        <v>1.48</v>
      </c>
      <c r="AY79" s="128">
        <v>1.49</v>
      </c>
      <c r="AZ79" s="128">
        <v>1.5</v>
      </c>
      <c r="BA79" s="128">
        <v>1.51</v>
      </c>
      <c r="BB79" s="128">
        <v>1.52</v>
      </c>
      <c r="BC79" s="128">
        <v>1.53</v>
      </c>
      <c r="BD79" s="128">
        <v>1.54</v>
      </c>
      <c r="BE79" s="128">
        <v>1.55</v>
      </c>
      <c r="BF79" s="128">
        <v>1.56</v>
      </c>
      <c r="BG79" s="128">
        <v>1.57</v>
      </c>
      <c r="BH79" s="128">
        <v>1.58</v>
      </c>
      <c r="BI79" s="128">
        <v>1.59</v>
      </c>
      <c r="BJ79" s="128">
        <v>1.6</v>
      </c>
      <c r="BK79" s="128">
        <v>1.61</v>
      </c>
      <c r="BL79" s="128">
        <v>1.62</v>
      </c>
      <c r="BM79" s="128">
        <v>1.63</v>
      </c>
      <c r="BN79" s="128">
        <v>1.64</v>
      </c>
      <c r="BO79" s="128">
        <v>1.65</v>
      </c>
      <c r="BP79" s="128">
        <v>1.66</v>
      </c>
      <c r="BQ79" s="128">
        <v>1.67</v>
      </c>
      <c r="BR79" s="128">
        <v>1.68</v>
      </c>
      <c r="BS79" s="128">
        <v>1.69</v>
      </c>
      <c r="BT79" s="128">
        <v>1.7</v>
      </c>
      <c r="BU79" s="128">
        <v>1.71</v>
      </c>
      <c r="BV79" s="128">
        <v>1.72</v>
      </c>
      <c r="BW79" s="128">
        <v>1.73</v>
      </c>
      <c r="BX79" s="128">
        <v>1.74</v>
      </c>
      <c r="BY79" s="128">
        <v>1.75</v>
      </c>
      <c r="BZ79" s="128">
        <v>1.76</v>
      </c>
      <c r="CA79" s="128">
        <v>1.77</v>
      </c>
      <c r="CB79" s="128">
        <v>1.78</v>
      </c>
      <c r="CC79" s="128">
        <v>1.78</v>
      </c>
      <c r="CD79" s="128">
        <v>1.79</v>
      </c>
      <c r="CE79" s="128">
        <v>1.8</v>
      </c>
      <c r="CF79" s="128">
        <v>1.81</v>
      </c>
      <c r="CG79" s="128">
        <v>1.82</v>
      </c>
      <c r="CH79" s="128">
        <v>1.83</v>
      </c>
      <c r="CI79" s="128">
        <v>1.84</v>
      </c>
      <c r="CJ79" s="128">
        <v>1.84</v>
      </c>
      <c r="CK79" s="128">
        <v>1.85</v>
      </c>
      <c r="CL79" s="128">
        <v>1.86</v>
      </c>
      <c r="CM79" s="128">
        <v>1.87</v>
      </c>
      <c r="CN79" s="128">
        <v>1.88</v>
      </c>
      <c r="CO79" s="128">
        <v>1.89</v>
      </c>
      <c r="CP79" s="128">
        <v>1.9</v>
      </c>
      <c r="CQ79" s="128">
        <v>1.92</v>
      </c>
      <c r="CR79" s="128">
        <v>1.93</v>
      </c>
      <c r="CS79" s="128">
        <v>1.94</v>
      </c>
      <c r="CT79" s="128">
        <v>1.95</v>
      </c>
      <c r="CU79" s="128">
        <v>1.96</v>
      </c>
      <c r="CV79" s="128">
        <v>1.97</v>
      </c>
      <c r="CW79" s="128">
        <v>1.99</v>
      </c>
      <c r="CX79" s="128">
        <v>2</v>
      </c>
      <c r="CZ79" s="126">
        <f>SUMIF(MatrixF2[[1]:[2]],MatrixF2[[#This Row],[Столбец1]])/MatrixF2[[#This Row],[Столбец1]]</f>
        <v>108.9999999999999</v>
      </c>
    </row>
    <row r="80" spans="1:104" ht="21" customHeight="1" x14ac:dyDescent="0.25">
      <c r="A80" s="127">
        <v>1.77</v>
      </c>
      <c r="B80" s="128">
        <v>1</v>
      </c>
      <c r="C80" s="128">
        <v>1.01</v>
      </c>
      <c r="D80" s="128">
        <v>1.03</v>
      </c>
      <c r="E80" s="128">
        <v>1.04</v>
      </c>
      <c r="F80" s="128">
        <v>1.05</v>
      </c>
      <c r="G80" s="128">
        <v>1.06</v>
      </c>
      <c r="H80" s="128">
        <v>1.07</v>
      </c>
      <c r="I80" s="128">
        <v>1.08</v>
      </c>
      <c r="J80" s="128">
        <v>1.0900000000000001</v>
      </c>
      <c r="K80" s="128">
        <v>1.1000000000000001</v>
      </c>
      <c r="L80" s="128">
        <v>1.1100000000000001</v>
      </c>
      <c r="M80" s="128">
        <v>1.1200000000000001</v>
      </c>
      <c r="N80" s="128">
        <v>1.1299999999999999</v>
      </c>
      <c r="O80" s="128">
        <v>1.1399999999999999</v>
      </c>
      <c r="P80" s="128">
        <v>1.1499999999999999</v>
      </c>
      <c r="Q80" s="128">
        <v>1.1599999999999999</v>
      </c>
      <c r="R80" s="128">
        <v>1.17</v>
      </c>
      <c r="S80" s="128">
        <v>1.18</v>
      </c>
      <c r="T80" s="128">
        <v>1.19</v>
      </c>
      <c r="U80" s="128">
        <v>1.2</v>
      </c>
      <c r="V80" s="128">
        <v>1.21</v>
      </c>
      <c r="W80" s="128">
        <v>1.21</v>
      </c>
      <c r="X80" s="128">
        <v>1.22</v>
      </c>
      <c r="Y80" s="128">
        <v>1.23</v>
      </c>
      <c r="Z80" s="128">
        <v>1.24</v>
      </c>
      <c r="AA80" s="128">
        <v>1.25</v>
      </c>
      <c r="AB80" s="128">
        <v>1.26</v>
      </c>
      <c r="AC80" s="128">
        <v>1.27</v>
      </c>
      <c r="AD80" s="128">
        <v>1.28</v>
      </c>
      <c r="AE80" s="128">
        <v>1.29</v>
      </c>
      <c r="AF80" s="128">
        <v>1.3</v>
      </c>
      <c r="AG80" s="128">
        <v>1.31</v>
      </c>
      <c r="AH80" s="128">
        <v>1.32</v>
      </c>
      <c r="AI80" s="128">
        <v>1.33</v>
      </c>
      <c r="AJ80" s="128">
        <v>1.34</v>
      </c>
      <c r="AK80" s="128">
        <v>1.35</v>
      </c>
      <c r="AL80" s="128">
        <v>1.36</v>
      </c>
      <c r="AM80" s="128">
        <v>1.37</v>
      </c>
      <c r="AN80" s="128">
        <v>1.38</v>
      </c>
      <c r="AO80" s="128">
        <v>1.39</v>
      </c>
      <c r="AP80" s="128">
        <v>1.4</v>
      </c>
      <c r="AQ80" s="128">
        <v>1.41</v>
      </c>
      <c r="AR80" s="128">
        <v>1.42</v>
      </c>
      <c r="AS80" s="128">
        <v>1.43</v>
      </c>
      <c r="AT80" s="128">
        <v>1.44</v>
      </c>
      <c r="AU80" s="128">
        <v>1.45</v>
      </c>
      <c r="AV80" s="128">
        <v>1.46</v>
      </c>
      <c r="AW80" s="128">
        <v>1.47</v>
      </c>
      <c r="AX80" s="128">
        <v>1.48</v>
      </c>
      <c r="AY80" s="128">
        <v>1.49</v>
      </c>
      <c r="AZ80" s="128">
        <v>1.5</v>
      </c>
      <c r="BA80" s="128">
        <v>1.51</v>
      </c>
      <c r="BB80" s="128">
        <v>1.52</v>
      </c>
      <c r="BC80" s="128">
        <v>1.53</v>
      </c>
      <c r="BD80" s="128">
        <v>1.54</v>
      </c>
      <c r="BE80" s="128">
        <v>1.55</v>
      </c>
      <c r="BF80" s="128">
        <v>1.56</v>
      </c>
      <c r="BG80" s="128">
        <v>1.57</v>
      </c>
      <c r="BH80" s="128">
        <v>1.58</v>
      </c>
      <c r="BI80" s="128">
        <v>1.59</v>
      </c>
      <c r="BJ80" s="128">
        <v>1.6</v>
      </c>
      <c r="BK80" s="128">
        <v>1.61</v>
      </c>
      <c r="BL80" s="128">
        <v>1.62</v>
      </c>
      <c r="BM80" s="128">
        <v>1.63</v>
      </c>
      <c r="BN80" s="128">
        <v>1.64</v>
      </c>
      <c r="BO80" s="128">
        <v>1.65</v>
      </c>
      <c r="BP80" s="128">
        <v>1.66</v>
      </c>
      <c r="BQ80" s="128">
        <v>1.67</v>
      </c>
      <c r="BR80" s="128">
        <v>1.68</v>
      </c>
      <c r="BS80" s="128">
        <v>1.69</v>
      </c>
      <c r="BT80" s="128">
        <v>1.7</v>
      </c>
      <c r="BU80" s="128">
        <v>1.71</v>
      </c>
      <c r="BV80" s="128">
        <v>1.72</v>
      </c>
      <c r="BW80" s="128">
        <v>1.73</v>
      </c>
      <c r="BX80" s="128">
        <v>1.74</v>
      </c>
      <c r="BY80" s="128">
        <v>1.75</v>
      </c>
      <c r="BZ80" s="128">
        <v>1.76</v>
      </c>
      <c r="CA80" s="128">
        <v>1.77</v>
      </c>
      <c r="CB80" s="128">
        <v>1.78</v>
      </c>
      <c r="CC80" s="128">
        <v>1.79</v>
      </c>
      <c r="CD80" s="128">
        <v>1.79</v>
      </c>
      <c r="CE80" s="128">
        <v>1.8</v>
      </c>
      <c r="CF80" s="128">
        <v>1.81</v>
      </c>
      <c r="CG80" s="128">
        <v>1.82</v>
      </c>
      <c r="CH80" s="128">
        <v>1.83</v>
      </c>
      <c r="CI80" s="128">
        <v>1.84</v>
      </c>
      <c r="CJ80" s="128">
        <v>1.85</v>
      </c>
      <c r="CK80" s="128">
        <v>1.86</v>
      </c>
      <c r="CL80" s="128">
        <v>1.87</v>
      </c>
      <c r="CM80" s="128">
        <v>1.88</v>
      </c>
      <c r="CN80" s="128">
        <v>1.89</v>
      </c>
      <c r="CO80" s="128">
        <v>1.9</v>
      </c>
      <c r="CP80" s="128">
        <v>1.91</v>
      </c>
      <c r="CQ80" s="128">
        <v>1.92</v>
      </c>
      <c r="CR80" s="128">
        <v>1.93</v>
      </c>
      <c r="CS80" s="128">
        <v>1.94</v>
      </c>
      <c r="CT80" s="128">
        <v>1.95</v>
      </c>
      <c r="CU80" s="128">
        <v>1.96</v>
      </c>
      <c r="CV80" s="128">
        <v>1.97</v>
      </c>
      <c r="CW80" s="128">
        <v>1.99</v>
      </c>
      <c r="CX80" s="128">
        <v>2</v>
      </c>
      <c r="CZ80" s="126">
        <f>SUMIF(MatrixF2[[1]:[2]],MatrixF2[[#This Row],[Столбец1]])/MatrixF2[[#This Row],[Столбец1]]</f>
        <v>103.00000000000013</v>
      </c>
    </row>
    <row r="81" spans="1:104" ht="21" customHeight="1" x14ac:dyDescent="0.25">
      <c r="A81" s="127">
        <v>1.78</v>
      </c>
      <c r="B81" s="128">
        <v>1</v>
      </c>
      <c r="C81" s="128">
        <v>1.01</v>
      </c>
      <c r="D81" s="128">
        <v>1.03</v>
      </c>
      <c r="E81" s="128">
        <v>1.04</v>
      </c>
      <c r="F81" s="128">
        <v>1.05</v>
      </c>
      <c r="G81" s="128">
        <v>1.06</v>
      </c>
      <c r="H81" s="128">
        <v>1.07</v>
      </c>
      <c r="I81" s="128">
        <v>1.08</v>
      </c>
      <c r="J81" s="128">
        <v>1.0900000000000001</v>
      </c>
      <c r="K81" s="128">
        <v>1.1000000000000001</v>
      </c>
      <c r="L81" s="128">
        <v>1.1100000000000001</v>
      </c>
      <c r="M81" s="128">
        <v>1.1200000000000001</v>
      </c>
      <c r="N81" s="128">
        <v>1.1299999999999999</v>
      </c>
      <c r="O81" s="128">
        <v>1.1399999999999999</v>
      </c>
      <c r="P81" s="128">
        <v>1.1499999999999999</v>
      </c>
      <c r="Q81" s="128">
        <v>1.1599999999999999</v>
      </c>
      <c r="R81" s="128">
        <v>1.17</v>
      </c>
      <c r="S81" s="128">
        <v>1.18</v>
      </c>
      <c r="T81" s="128">
        <v>1.19</v>
      </c>
      <c r="U81" s="128">
        <v>1.2</v>
      </c>
      <c r="V81" s="128">
        <v>1.2</v>
      </c>
      <c r="W81" s="128">
        <v>1.21</v>
      </c>
      <c r="X81" s="128">
        <v>1.22</v>
      </c>
      <c r="Y81" s="128">
        <v>1.23</v>
      </c>
      <c r="Z81" s="128">
        <v>1.24</v>
      </c>
      <c r="AA81" s="128">
        <v>1.25</v>
      </c>
      <c r="AB81" s="128">
        <v>1.26</v>
      </c>
      <c r="AC81" s="128">
        <v>1.27</v>
      </c>
      <c r="AD81" s="128">
        <v>1.28</v>
      </c>
      <c r="AE81" s="128">
        <v>1.29</v>
      </c>
      <c r="AF81" s="128">
        <v>1.3</v>
      </c>
      <c r="AG81" s="128">
        <v>1.31</v>
      </c>
      <c r="AH81" s="128">
        <v>1.32</v>
      </c>
      <c r="AI81" s="128">
        <v>1.33</v>
      </c>
      <c r="AJ81" s="128">
        <v>1.34</v>
      </c>
      <c r="AK81" s="128">
        <v>1.35</v>
      </c>
      <c r="AL81" s="128">
        <v>1.36</v>
      </c>
      <c r="AM81" s="128">
        <v>1.37</v>
      </c>
      <c r="AN81" s="128">
        <v>1.38</v>
      </c>
      <c r="AO81" s="128">
        <v>1.39</v>
      </c>
      <c r="AP81" s="128">
        <v>1.4</v>
      </c>
      <c r="AQ81" s="128">
        <v>1.41</v>
      </c>
      <c r="AR81" s="128">
        <v>1.42</v>
      </c>
      <c r="AS81" s="128">
        <v>1.43</v>
      </c>
      <c r="AT81" s="128">
        <v>1.44</v>
      </c>
      <c r="AU81" s="128">
        <v>1.45</v>
      </c>
      <c r="AV81" s="128">
        <v>1.46</v>
      </c>
      <c r="AW81" s="128">
        <v>1.47</v>
      </c>
      <c r="AX81" s="128">
        <v>1.48</v>
      </c>
      <c r="AY81" s="128">
        <v>1.49</v>
      </c>
      <c r="AZ81" s="128">
        <v>1.5</v>
      </c>
      <c r="BA81" s="128">
        <v>1.51</v>
      </c>
      <c r="BB81" s="128">
        <v>1.52</v>
      </c>
      <c r="BC81" s="128">
        <v>1.53</v>
      </c>
      <c r="BD81" s="128">
        <v>1.54</v>
      </c>
      <c r="BE81" s="128">
        <v>1.55</v>
      </c>
      <c r="BF81" s="128">
        <v>1.56</v>
      </c>
      <c r="BG81" s="128">
        <v>1.57</v>
      </c>
      <c r="BH81" s="128">
        <v>1.58</v>
      </c>
      <c r="BI81" s="128">
        <v>1.59</v>
      </c>
      <c r="BJ81" s="128">
        <v>1.6</v>
      </c>
      <c r="BK81" s="128">
        <v>1.61</v>
      </c>
      <c r="BL81" s="128">
        <v>1.62</v>
      </c>
      <c r="BM81" s="128">
        <v>1.63</v>
      </c>
      <c r="BN81" s="128">
        <v>1.64</v>
      </c>
      <c r="BO81" s="128">
        <v>1.65</v>
      </c>
      <c r="BP81" s="128">
        <v>1.66</v>
      </c>
      <c r="BQ81" s="128">
        <v>1.67</v>
      </c>
      <c r="BR81" s="128">
        <v>1.68</v>
      </c>
      <c r="BS81" s="128">
        <v>1.69</v>
      </c>
      <c r="BT81" s="128">
        <v>1.7</v>
      </c>
      <c r="BU81" s="128">
        <v>1.71</v>
      </c>
      <c r="BV81" s="128">
        <v>1.72</v>
      </c>
      <c r="BW81" s="128">
        <v>1.73</v>
      </c>
      <c r="BX81" s="128">
        <v>1.74</v>
      </c>
      <c r="BY81" s="128">
        <v>1.75</v>
      </c>
      <c r="BZ81" s="128">
        <v>1.76</v>
      </c>
      <c r="CA81" s="128">
        <v>1.77</v>
      </c>
      <c r="CB81" s="128">
        <v>1.78</v>
      </c>
      <c r="CC81" s="128">
        <v>1.79</v>
      </c>
      <c r="CD81" s="128">
        <v>1.8</v>
      </c>
      <c r="CE81" s="128">
        <v>1.8</v>
      </c>
      <c r="CF81" s="128">
        <v>1.81</v>
      </c>
      <c r="CG81" s="128">
        <v>1.82</v>
      </c>
      <c r="CH81" s="128">
        <v>1.83</v>
      </c>
      <c r="CI81" s="128">
        <v>1.84</v>
      </c>
      <c r="CJ81" s="128">
        <v>1.85</v>
      </c>
      <c r="CK81" s="128">
        <v>1.86</v>
      </c>
      <c r="CL81" s="128">
        <v>1.87</v>
      </c>
      <c r="CM81" s="128">
        <v>1.88</v>
      </c>
      <c r="CN81" s="128">
        <v>1.89</v>
      </c>
      <c r="CO81" s="128">
        <v>1.9</v>
      </c>
      <c r="CP81" s="128">
        <v>1.91</v>
      </c>
      <c r="CQ81" s="128">
        <v>1.92</v>
      </c>
      <c r="CR81" s="128">
        <v>1.93</v>
      </c>
      <c r="CS81" s="128">
        <v>1.94</v>
      </c>
      <c r="CT81" s="128">
        <v>1.95</v>
      </c>
      <c r="CU81" s="128">
        <v>1.96</v>
      </c>
      <c r="CV81" s="128">
        <v>1.98</v>
      </c>
      <c r="CW81" s="128">
        <v>1.99</v>
      </c>
      <c r="CX81" s="128">
        <v>2</v>
      </c>
      <c r="CZ81" s="126">
        <f>SUMIF(MatrixF2[[1]:[2]],MatrixF2[[#This Row],[Столбец1]])/MatrixF2[[#This Row],[Столбец1]]</f>
        <v>107.00000000000006</v>
      </c>
    </row>
    <row r="82" spans="1:104" ht="21" customHeight="1" x14ac:dyDescent="0.25">
      <c r="A82" s="127">
        <v>1.79</v>
      </c>
      <c r="B82" s="128">
        <v>1</v>
      </c>
      <c r="C82" s="128">
        <v>1.01</v>
      </c>
      <c r="D82" s="128">
        <v>1.02</v>
      </c>
      <c r="E82" s="128">
        <v>1.04</v>
      </c>
      <c r="F82" s="128">
        <v>1.05</v>
      </c>
      <c r="G82" s="128">
        <v>1.06</v>
      </c>
      <c r="H82" s="128">
        <v>1.07</v>
      </c>
      <c r="I82" s="128">
        <v>1.08</v>
      </c>
      <c r="J82" s="128">
        <v>1.0900000000000001</v>
      </c>
      <c r="K82" s="128">
        <v>1.1000000000000001</v>
      </c>
      <c r="L82" s="128">
        <v>1.1100000000000001</v>
      </c>
      <c r="M82" s="128">
        <v>1.1200000000000001</v>
      </c>
      <c r="N82" s="128">
        <v>1.1299999999999999</v>
      </c>
      <c r="O82" s="128">
        <v>1.1399999999999999</v>
      </c>
      <c r="P82" s="128">
        <v>1.1499999999999999</v>
      </c>
      <c r="Q82" s="128">
        <v>1.1599999999999999</v>
      </c>
      <c r="R82" s="128">
        <v>1.17</v>
      </c>
      <c r="S82" s="128">
        <v>1.18</v>
      </c>
      <c r="T82" s="128">
        <v>1.19</v>
      </c>
      <c r="U82" s="128">
        <v>1.19</v>
      </c>
      <c r="V82" s="128">
        <v>1.2</v>
      </c>
      <c r="W82" s="128">
        <v>1.21</v>
      </c>
      <c r="X82" s="128">
        <v>1.22</v>
      </c>
      <c r="Y82" s="128">
        <v>1.23</v>
      </c>
      <c r="Z82" s="128">
        <v>1.24</v>
      </c>
      <c r="AA82" s="128">
        <v>1.25</v>
      </c>
      <c r="AB82" s="128">
        <v>1.26</v>
      </c>
      <c r="AC82" s="128">
        <v>1.27</v>
      </c>
      <c r="AD82" s="128">
        <v>1.28</v>
      </c>
      <c r="AE82" s="128">
        <v>1.29</v>
      </c>
      <c r="AF82" s="128">
        <v>1.3</v>
      </c>
      <c r="AG82" s="128">
        <v>1.31</v>
      </c>
      <c r="AH82" s="128">
        <v>1.32</v>
      </c>
      <c r="AI82" s="128">
        <v>1.33</v>
      </c>
      <c r="AJ82" s="128">
        <v>1.34</v>
      </c>
      <c r="AK82" s="128">
        <v>1.35</v>
      </c>
      <c r="AL82" s="128">
        <v>1.36</v>
      </c>
      <c r="AM82" s="128">
        <v>1.37</v>
      </c>
      <c r="AN82" s="128">
        <v>1.38</v>
      </c>
      <c r="AO82" s="128">
        <v>1.39</v>
      </c>
      <c r="AP82" s="128">
        <v>1.4</v>
      </c>
      <c r="AQ82" s="128">
        <v>1.41</v>
      </c>
      <c r="AR82" s="128">
        <v>1.42</v>
      </c>
      <c r="AS82" s="128">
        <v>1.43</v>
      </c>
      <c r="AT82" s="128">
        <v>1.44</v>
      </c>
      <c r="AU82" s="128">
        <v>1.45</v>
      </c>
      <c r="AV82" s="128">
        <v>1.46</v>
      </c>
      <c r="AW82" s="128">
        <v>1.47</v>
      </c>
      <c r="AX82" s="128">
        <v>1.48</v>
      </c>
      <c r="AY82" s="128">
        <v>1.49</v>
      </c>
      <c r="AZ82" s="128">
        <v>1.5</v>
      </c>
      <c r="BA82" s="128">
        <v>1.51</v>
      </c>
      <c r="BB82" s="128">
        <v>1.52</v>
      </c>
      <c r="BC82" s="128">
        <v>1.53</v>
      </c>
      <c r="BD82" s="128">
        <v>1.54</v>
      </c>
      <c r="BE82" s="128">
        <v>1.55</v>
      </c>
      <c r="BF82" s="128">
        <v>1.56</v>
      </c>
      <c r="BG82" s="128">
        <v>1.57</v>
      </c>
      <c r="BH82" s="128">
        <v>1.58</v>
      </c>
      <c r="BI82" s="128">
        <v>1.59</v>
      </c>
      <c r="BJ82" s="128">
        <v>1.6</v>
      </c>
      <c r="BK82" s="128">
        <v>1.61</v>
      </c>
      <c r="BL82" s="128">
        <v>1.62</v>
      </c>
      <c r="BM82" s="128">
        <v>1.63</v>
      </c>
      <c r="BN82" s="128">
        <v>1.64</v>
      </c>
      <c r="BO82" s="128">
        <v>1.65</v>
      </c>
      <c r="BP82" s="128">
        <v>1.66</v>
      </c>
      <c r="BQ82" s="128">
        <v>1.67</v>
      </c>
      <c r="BR82" s="128">
        <v>1.68</v>
      </c>
      <c r="BS82" s="128">
        <v>1.69</v>
      </c>
      <c r="BT82" s="128">
        <v>1.7</v>
      </c>
      <c r="BU82" s="128">
        <v>1.71</v>
      </c>
      <c r="BV82" s="128">
        <v>1.72</v>
      </c>
      <c r="BW82" s="128">
        <v>1.73</v>
      </c>
      <c r="BX82" s="128">
        <v>1.74</v>
      </c>
      <c r="BY82" s="128">
        <v>1.75</v>
      </c>
      <c r="BZ82" s="128">
        <v>1.76</v>
      </c>
      <c r="CA82" s="128">
        <v>1.77</v>
      </c>
      <c r="CB82" s="128">
        <v>1.78</v>
      </c>
      <c r="CC82" s="128">
        <v>1.79</v>
      </c>
      <c r="CD82" s="128">
        <v>1.8</v>
      </c>
      <c r="CE82" s="128">
        <v>1.81</v>
      </c>
      <c r="CF82" s="128">
        <v>1.81</v>
      </c>
      <c r="CG82" s="128">
        <v>1.82</v>
      </c>
      <c r="CH82" s="128">
        <v>1.83</v>
      </c>
      <c r="CI82" s="128">
        <v>1.84</v>
      </c>
      <c r="CJ82" s="128">
        <v>1.85</v>
      </c>
      <c r="CK82" s="128">
        <v>1.86</v>
      </c>
      <c r="CL82" s="128">
        <v>1.87</v>
      </c>
      <c r="CM82" s="128">
        <v>1.88</v>
      </c>
      <c r="CN82" s="128">
        <v>1.89</v>
      </c>
      <c r="CO82" s="128">
        <v>1.9</v>
      </c>
      <c r="CP82" s="128">
        <v>1.91</v>
      </c>
      <c r="CQ82" s="128">
        <v>1.92</v>
      </c>
      <c r="CR82" s="128">
        <v>1.93</v>
      </c>
      <c r="CS82" s="128">
        <v>1.94</v>
      </c>
      <c r="CT82" s="128">
        <v>1.95</v>
      </c>
      <c r="CU82" s="128">
        <v>1.96</v>
      </c>
      <c r="CV82" s="128">
        <v>1.98</v>
      </c>
      <c r="CW82" s="128">
        <v>1.99</v>
      </c>
      <c r="CX82" s="128">
        <v>2</v>
      </c>
      <c r="CZ82" s="126">
        <f>SUMIF(MatrixF2[[1]:[2]],MatrixF2[[#This Row],[Столбец1]])/MatrixF2[[#This Row],[Столбец1]]</f>
        <v>100.99999999999997</v>
      </c>
    </row>
    <row r="83" spans="1:104" ht="21" customHeight="1" x14ac:dyDescent="0.25">
      <c r="A83" s="127">
        <v>1.8</v>
      </c>
      <c r="B83" s="128">
        <v>1</v>
      </c>
      <c r="C83" s="128">
        <v>1.01</v>
      </c>
      <c r="D83" s="128">
        <v>1.02</v>
      </c>
      <c r="E83" s="128">
        <v>1.04</v>
      </c>
      <c r="F83" s="128">
        <v>1.05</v>
      </c>
      <c r="G83" s="128">
        <v>1.06</v>
      </c>
      <c r="H83" s="128">
        <v>1.07</v>
      </c>
      <c r="I83" s="128">
        <v>1.08</v>
      </c>
      <c r="J83" s="128">
        <v>1.0900000000000001</v>
      </c>
      <c r="K83" s="128">
        <v>1.1000000000000001</v>
      </c>
      <c r="L83" s="128">
        <v>1.1100000000000001</v>
      </c>
      <c r="M83" s="128">
        <v>1.1200000000000001</v>
      </c>
      <c r="N83" s="128">
        <v>1.1299999999999999</v>
      </c>
      <c r="O83" s="128">
        <v>1.1399999999999999</v>
      </c>
      <c r="P83" s="128">
        <v>1.1499999999999999</v>
      </c>
      <c r="Q83" s="128">
        <v>1.1599999999999999</v>
      </c>
      <c r="R83" s="128">
        <v>1.17</v>
      </c>
      <c r="S83" s="128">
        <v>1.18</v>
      </c>
      <c r="T83" s="128">
        <v>1.18</v>
      </c>
      <c r="U83" s="128">
        <v>1.19</v>
      </c>
      <c r="V83" s="128">
        <v>1.2</v>
      </c>
      <c r="W83" s="128">
        <v>1.21</v>
      </c>
      <c r="X83" s="128">
        <v>1.22</v>
      </c>
      <c r="Y83" s="128">
        <v>1.23</v>
      </c>
      <c r="Z83" s="128">
        <v>1.24</v>
      </c>
      <c r="AA83" s="128">
        <v>1.25</v>
      </c>
      <c r="AB83" s="128">
        <v>1.26</v>
      </c>
      <c r="AC83" s="128">
        <v>1.27</v>
      </c>
      <c r="AD83" s="128">
        <v>1.28</v>
      </c>
      <c r="AE83" s="128">
        <v>1.29</v>
      </c>
      <c r="AF83" s="128">
        <v>1.3</v>
      </c>
      <c r="AG83" s="128">
        <v>1.31</v>
      </c>
      <c r="AH83" s="128">
        <v>1.32</v>
      </c>
      <c r="AI83" s="128">
        <v>1.33</v>
      </c>
      <c r="AJ83" s="128">
        <v>1.34</v>
      </c>
      <c r="AK83" s="128">
        <v>1.35</v>
      </c>
      <c r="AL83" s="128">
        <v>1.36</v>
      </c>
      <c r="AM83" s="128">
        <v>1.37</v>
      </c>
      <c r="AN83" s="128">
        <v>1.38</v>
      </c>
      <c r="AO83" s="128">
        <v>1.39</v>
      </c>
      <c r="AP83" s="128">
        <v>1.4</v>
      </c>
      <c r="AQ83" s="128">
        <v>1.41</v>
      </c>
      <c r="AR83" s="128">
        <v>1.42</v>
      </c>
      <c r="AS83" s="128">
        <v>1.43</v>
      </c>
      <c r="AT83" s="128">
        <v>1.44</v>
      </c>
      <c r="AU83" s="128">
        <v>1.45</v>
      </c>
      <c r="AV83" s="128">
        <v>1.46</v>
      </c>
      <c r="AW83" s="128">
        <v>1.47</v>
      </c>
      <c r="AX83" s="128">
        <v>1.48</v>
      </c>
      <c r="AY83" s="128">
        <v>1.49</v>
      </c>
      <c r="AZ83" s="128">
        <v>1.5</v>
      </c>
      <c r="BA83" s="128">
        <v>1.51</v>
      </c>
      <c r="BB83" s="128">
        <v>1.52</v>
      </c>
      <c r="BC83" s="128">
        <v>1.53</v>
      </c>
      <c r="BD83" s="128">
        <v>1.54</v>
      </c>
      <c r="BE83" s="128">
        <v>1.55</v>
      </c>
      <c r="BF83" s="128">
        <v>1.56</v>
      </c>
      <c r="BG83" s="128">
        <v>1.57</v>
      </c>
      <c r="BH83" s="128">
        <v>1.58</v>
      </c>
      <c r="BI83" s="128">
        <v>1.59</v>
      </c>
      <c r="BJ83" s="128">
        <v>1.6</v>
      </c>
      <c r="BK83" s="128">
        <v>1.61</v>
      </c>
      <c r="BL83" s="128">
        <v>1.62</v>
      </c>
      <c r="BM83" s="128">
        <v>1.63</v>
      </c>
      <c r="BN83" s="128">
        <v>1.64</v>
      </c>
      <c r="BO83" s="128">
        <v>1.65</v>
      </c>
      <c r="BP83" s="128">
        <v>1.66</v>
      </c>
      <c r="BQ83" s="128">
        <v>1.67</v>
      </c>
      <c r="BR83" s="128">
        <v>1.68</v>
      </c>
      <c r="BS83" s="128">
        <v>1.69</v>
      </c>
      <c r="BT83" s="128">
        <v>1.7</v>
      </c>
      <c r="BU83" s="128">
        <v>1.71</v>
      </c>
      <c r="BV83" s="128">
        <v>1.72</v>
      </c>
      <c r="BW83" s="128">
        <v>1.73</v>
      </c>
      <c r="BX83" s="128">
        <v>1.74</v>
      </c>
      <c r="BY83" s="128">
        <v>1.75</v>
      </c>
      <c r="BZ83" s="128">
        <v>1.76</v>
      </c>
      <c r="CA83" s="128">
        <v>1.77</v>
      </c>
      <c r="CB83" s="128">
        <v>1.78</v>
      </c>
      <c r="CC83" s="128">
        <v>1.79</v>
      </c>
      <c r="CD83" s="128">
        <v>1.8</v>
      </c>
      <c r="CE83" s="128">
        <v>1.81</v>
      </c>
      <c r="CF83" s="128">
        <v>1.82</v>
      </c>
      <c r="CG83" s="128">
        <v>1.82</v>
      </c>
      <c r="CH83" s="128">
        <v>1.83</v>
      </c>
      <c r="CI83" s="128">
        <v>1.84</v>
      </c>
      <c r="CJ83" s="128">
        <v>1.85</v>
      </c>
      <c r="CK83" s="128">
        <v>1.86</v>
      </c>
      <c r="CL83" s="128">
        <v>1.87</v>
      </c>
      <c r="CM83" s="128">
        <v>1.88</v>
      </c>
      <c r="CN83" s="128">
        <v>1.89</v>
      </c>
      <c r="CO83" s="128">
        <v>1.9</v>
      </c>
      <c r="CP83" s="128">
        <v>1.91</v>
      </c>
      <c r="CQ83" s="128">
        <v>1.92</v>
      </c>
      <c r="CR83" s="128">
        <v>1.93</v>
      </c>
      <c r="CS83" s="128">
        <v>1.94</v>
      </c>
      <c r="CT83" s="128">
        <v>1.95</v>
      </c>
      <c r="CU83" s="128">
        <v>1.96</v>
      </c>
      <c r="CV83" s="128">
        <v>1.98</v>
      </c>
      <c r="CW83" s="128">
        <v>1.99</v>
      </c>
      <c r="CX83" s="128">
        <v>2</v>
      </c>
      <c r="CZ83" s="126">
        <f>SUMIF(MatrixF2[[1]:[2]],MatrixF2[[#This Row],[Столбец1]])/MatrixF2[[#This Row],[Столбец1]]</f>
        <v>102.0000000000001</v>
      </c>
    </row>
    <row r="84" spans="1:104" ht="21" customHeight="1" x14ac:dyDescent="0.25">
      <c r="A84" s="127">
        <v>1.81</v>
      </c>
      <c r="B84" s="128">
        <v>1</v>
      </c>
      <c r="C84" s="128">
        <v>1.01</v>
      </c>
      <c r="D84" s="128">
        <v>1.02</v>
      </c>
      <c r="E84" s="128">
        <v>1.04</v>
      </c>
      <c r="F84" s="128">
        <v>1.05</v>
      </c>
      <c r="G84" s="128">
        <v>1.06</v>
      </c>
      <c r="H84" s="128">
        <v>1.07</v>
      </c>
      <c r="I84" s="128">
        <v>1.08</v>
      </c>
      <c r="J84" s="128">
        <v>1.0900000000000001</v>
      </c>
      <c r="K84" s="128">
        <v>1.1000000000000001</v>
      </c>
      <c r="L84" s="128">
        <v>1.1100000000000001</v>
      </c>
      <c r="M84" s="128">
        <v>1.1200000000000001</v>
      </c>
      <c r="N84" s="128">
        <v>1.1299999999999999</v>
      </c>
      <c r="O84" s="128">
        <v>1.1399999999999999</v>
      </c>
      <c r="P84" s="128">
        <v>1.1499999999999999</v>
      </c>
      <c r="Q84" s="128">
        <v>1.1599999999999999</v>
      </c>
      <c r="R84" s="128">
        <v>1.1599999999999999</v>
      </c>
      <c r="S84" s="128">
        <v>1.17</v>
      </c>
      <c r="T84" s="128">
        <v>1.18</v>
      </c>
      <c r="U84" s="128">
        <v>1.19</v>
      </c>
      <c r="V84" s="128">
        <v>1.2</v>
      </c>
      <c r="W84" s="128">
        <v>1.21</v>
      </c>
      <c r="X84" s="128">
        <v>1.22</v>
      </c>
      <c r="Y84" s="128">
        <v>1.23</v>
      </c>
      <c r="Z84" s="128">
        <v>1.24</v>
      </c>
      <c r="AA84" s="128">
        <v>1.25</v>
      </c>
      <c r="AB84" s="128">
        <v>1.26</v>
      </c>
      <c r="AC84" s="128">
        <v>1.27</v>
      </c>
      <c r="AD84" s="128">
        <v>1.28</v>
      </c>
      <c r="AE84" s="128">
        <v>1.29</v>
      </c>
      <c r="AF84" s="128">
        <v>1.3</v>
      </c>
      <c r="AG84" s="128">
        <v>1.31</v>
      </c>
      <c r="AH84" s="128">
        <v>1.32</v>
      </c>
      <c r="AI84" s="128">
        <v>1.33</v>
      </c>
      <c r="AJ84" s="128">
        <v>1.34</v>
      </c>
      <c r="AK84" s="128">
        <v>1.35</v>
      </c>
      <c r="AL84" s="128">
        <v>1.36</v>
      </c>
      <c r="AM84" s="128">
        <v>1.37</v>
      </c>
      <c r="AN84" s="128">
        <v>1.38</v>
      </c>
      <c r="AO84" s="128">
        <v>1.39</v>
      </c>
      <c r="AP84" s="128">
        <v>1.4</v>
      </c>
      <c r="AQ84" s="128">
        <v>1.41</v>
      </c>
      <c r="AR84" s="128">
        <v>1.42</v>
      </c>
      <c r="AS84" s="128">
        <v>1.43</v>
      </c>
      <c r="AT84" s="128">
        <v>1.44</v>
      </c>
      <c r="AU84" s="128">
        <v>1.45</v>
      </c>
      <c r="AV84" s="128">
        <v>1.46</v>
      </c>
      <c r="AW84" s="128">
        <v>1.47</v>
      </c>
      <c r="AX84" s="128">
        <v>1.48</v>
      </c>
      <c r="AY84" s="128">
        <v>1.49</v>
      </c>
      <c r="AZ84" s="128">
        <v>1.5</v>
      </c>
      <c r="BA84" s="128">
        <v>1.51</v>
      </c>
      <c r="BB84" s="128">
        <v>1.52</v>
      </c>
      <c r="BC84" s="128">
        <v>1.53</v>
      </c>
      <c r="BD84" s="128">
        <v>1.54</v>
      </c>
      <c r="BE84" s="128">
        <v>1.55</v>
      </c>
      <c r="BF84" s="128">
        <v>1.56</v>
      </c>
      <c r="BG84" s="128">
        <v>1.57</v>
      </c>
      <c r="BH84" s="128">
        <v>1.58</v>
      </c>
      <c r="BI84" s="128">
        <v>1.59</v>
      </c>
      <c r="BJ84" s="128">
        <v>1.6</v>
      </c>
      <c r="BK84" s="128">
        <v>1.61</v>
      </c>
      <c r="BL84" s="128">
        <v>1.62</v>
      </c>
      <c r="BM84" s="128">
        <v>1.63</v>
      </c>
      <c r="BN84" s="128">
        <v>1.64</v>
      </c>
      <c r="BO84" s="128">
        <v>1.65</v>
      </c>
      <c r="BP84" s="128">
        <v>1.66</v>
      </c>
      <c r="BQ84" s="128">
        <v>1.67</v>
      </c>
      <c r="BR84" s="128">
        <v>1.68</v>
      </c>
      <c r="BS84" s="128">
        <v>1.69</v>
      </c>
      <c r="BT84" s="128">
        <v>1.7</v>
      </c>
      <c r="BU84" s="128">
        <v>1.71</v>
      </c>
      <c r="BV84" s="128">
        <v>1.72</v>
      </c>
      <c r="BW84" s="128">
        <v>1.73</v>
      </c>
      <c r="BX84" s="128">
        <v>1.74</v>
      </c>
      <c r="BY84" s="128">
        <v>1.75</v>
      </c>
      <c r="BZ84" s="128">
        <v>1.76</v>
      </c>
      <c r="CA84" s="128">
        <v>1.77</v>
      </c>
      <c r="CB84" s="128">
        <v>1.78</v>
      </c>
      <c r="CC84" s="128">
        <v>1.79</v>
      </c>
      <c r="CD84" s="128">
        <v>1.8</v>
      </c>
      <c r="CE84" s="128">
        <v>1.81</v>
      </c>
      <c r="CF84" s="128">
        <v>1.82</v>
      </c>
      <c r="CG84" s="128">
        <v>1.83</v>
      </c>
      <c r="CH84" s="128">
        <v>1.84</v>
      </c>
      <c r="CI84" s="128">
        <v>1.84</v>
      </c>
      <c r="CJ84" s="128">
        <v>1.85</v>
      </c>
      <c r="CK84" s="128">
        <v>1.86</v>
      </c>
      <c r="CL84" s="128">
        <v>1.87</v>
      </c>
      <c r="CM84" s="128">
        <v>1.88</v>
      </c>
      <c r="CN84" s="128">
        <v>1.89</v>
      </c>
      <c r="CO84" s="128">
        <v>1.9</v>
      </c>
      <c r="CP84" s="128">
        <v>1.91</v>
      </c>
      <c r="CQ84" s="128">
        <v>1.92</v>
      </c>
      <c r="CR84" s="128">
        <v>1.93</v>
      </c>
      <c r="CS84" s="128">
        <v>1.94</v>
      </c>
      <c r="CT84" s="128">
        <v>1.95</v>
      </c>
      <c r="CU84" s="128">
        <v>1.96</v>
      </c>
      <c r="CV84" s="128">
        <v>1.98</v>
      </c>
      <c r="CW84" s="128">
        <v>1.99</v>
      </c>
      <c r="CX84" s="128">
        <v>2</v>
      </c>
      <c r="CZ84" s="126">
        <f>SUMIF(MatrixF2[[1]:[2]],MatrixF2[[#This Row],[Столбец1]])/MatrixF2[[#This Row],[Столбец1]]</f>
        <v>101.0000000000001</v>
      </c>
    </row>
    <row r="85" spans="1:104" ht="21" customHeight="1" x14ac:dyDescent="0.25">
      <c r="A85" s="127">
        <v>1.82</v>
      </c>
      <c r="B85" s="128">
        <v>1</v>
      </c>
      <c r="C85" s="128">
        <v>1.01</v>
      </c>
      <c r="D85" s="128">
        <v>1.02</v>
      </c>
      <c r="E85" s="128">
        <v>1.04</v>
      </c>
      <c r="F85" s="128">
        <v>1.05</v>
      </c>
      <c r="G85" s="128">
        <v>1.06</v>
      </c>
      <c r="H85" s="128">
        <v>1.07</v>
      </c>
      <c r="I85" s="128">
        <v>1.08</v>
      </c>
      <c r="J85" s="128">
        <v>1.0900000000000001</v>
      </c>
      <c r="K85" s="128">
        <v>1.1000000000000001</v>
      </c>
      <c r="L85" s="128">
        <v>1.1100000000000001</v>
      </c>
      <c r="M85" s="128">
        <v>1.1200000000000001</v>
      </c>
      <c r="N85" s="128">
        <v>1.1299999999999999</v>
      </c>
      <c r="O85" s="128">
        <v>1.1399999999999999</v>
      </c>
      <c r="P85" s="128">
        <v>1.1499999999999999</v>
      </c>
      <c r="Q85" s="128">
        <v>1.1499999999999999</v>
      </c>
      <c r="R85" s="128">
        <v>1.1599999999999999</v>
      </c>
      <c r="S85" s="128">
        <v>1.17</v>
      </c>
      <c r="T85" s="128">
        <v>1.18</v>
      </c>
      <c r="U85" s="128">
        <v>1.19</v>
      </c>
      <c r="V85" s="128">
        <v>1.2</v>
      </c>
      <c r="W85" s="128">
        <v>1.21</v>
      </c>
      <c r="X85" s="128">
        <v>1.22</v>
      </c>
      <c r="Y85" s="128">
        <v>1.23</v>
      </c>
      <c r="Z85" s="128">
        <v>1.24</v>
      </c>
      <c r="AA85" s="128">
        <v>1.25</v>
      </c>
      <c r="AB85" s="128">
        <v>1.26</v>
      </c>
      <c r="AC85" s="128">
        <v>1.27</v>
      </c>
      <c r="AD85" s="128">
        <v>1.28</v>
      </c>
      <c r="AE85" s="128">
        <v>1.29</v>
      </c>
      <c r="AF85" s="128">
        <v>1.3</v>
      </c>
      <c r="AG85" s="128">
        <v>1.31</v>
      </c>
      <c r="AH85" s="128">
        <v>1.32</v>
      </c>
      <c r="AI85" s="128">
        <v>1.33</v>
      </c>
      <c r="AJ85" s="128">
        <v>1.34</v>
      </c>
      <c r="AK85" s="128">
        <v>1.35</v>
      </c>
      <c r="AL85" s="128">
        <v>1.36</v>
      </c>
      <c r="AM85" s="128">
        <v>1.37</v>
      </c>
      <c r="AN85" s="128">
        <v>1.38</v>
      </c>
      <c r="AO85" s="128">
        <v>1.39</v>
      </c>
      <c r="AP85" s="128">
        <v>1.4</v>
      </c>
      <c r="AQ85" s="128">
        <v>1.41</v>
      </c>
      <c r="AR85" s="128">
        <v>1.42</v>
      </c>
      <c r="AS85" s="128">
        <v>1.43</v>
      </c>
      <c r="AT85" s="128">
        <v>1.44</v>
      </c>
      <c r="AU85" s="128">
        <v>1.45</v>
      </c>
      <c r="AV85" s="128">
        <v>1.46</v>
      </c>
      <c r="AW85" s="128">
        <v>1.47</v>
      </c>
      <c r="AX85" s="128">
        <v>1.48</v>
      </c>
      <c r="AY85" s="128">
        <v>1.49</v>
      </c>
      <c r="AZ85" s="128">
        <v>1.5</v>
      </c>
      <c r="BA85" s="128">
        <v>1.51</v>
      </c>
      <c r="BB85" s="128">
        <v>1.52</v>
      </c>
      <c r="BC85" s="128">
        <v>1.53</v>
      </c>
      <c r="BD85" s="128">
        <v>1.54</v>
      </c>
      <c r="BE85" s="128">
        <v>1.55</v>
      </c>
      <c r="BF85" s="128">
        <v>1.56</v>
      </c>
      <c r="BG85" s="128">
        <v>1.57</v>
      </c>
      <c r="BH85" s="128">
        <v>1.58</v>
      </c>
      <c r="BI85" s="128">
        <v>1.59</v>
      </c>
      <c r="BJ85" s="128">
        <v>1.6</v>
      </c>
      <c r="BK85" s="128">
        <v>1.61</v>
      </c>
      <c r="BL85" s="128">
        <v>1.62</v>
      </c>
      <c r="BM85" s="128">
        <v>1.63</v>
      </c>
      <c r="BN85" s="128">
        <v>1.64</v>
      </c>
      <c r="BO85" s="128">
        <v>1.65</v>
      </c>
      <c r="BP85" s="128">
        <v>1.66</v>
      </c>
      <c r="BQ85" s="128">
        <v>1.67</v>
      </c>
      <c r="BR85" s="128">
        <v>1.68</v>
      </c>
      <c r="BS85" s="128">
        <v>1.69</v>
      </c>
      <c r="BT85" s="128">
        <v>1.7</v>
      </c>
      <c r="BU85" s="128">
        <v>1.71</v>
      </c>
      <c r="BV85" s="128">
        <v>1.72</v>
      </c>
      <c r="BW85" s="128">
        <v>1.73</v>
      </c>
      <c r="BX85" s="128">
        <v>1.74</v>
      </c>
      <c r="BY85" s="128">
        <v>1.75</v>
      </c>
      <c r="BZ85" s="128">
        <v>1.76</v>
      </c>
      <c r="CA85" s="128">
        <v>1.77</v>
      </c>
      <c r="CB85" s="128">
        <v>1.78</v>
      </c>
      <c r="CC85" s="128">
        <v>1.79</v>
      </c>
      <c r="CD85" s="128">
        <v>1.8</v>
      </c>
      <c r="CE85" s="128">
        <v>1.81</v>
      </c>
      <c r="CF85" s="128">
        <v>1.82</v>
      </c>
      <c r="CG85" s="128">
        <v>1.83</v>
      </c>
      <c r="CH85" s="128">
        <v>1.84</v>
      </c>
      <c r="CI85" s="128">
        <v>1.85</v>
      </c>
      <c r="CJ85" s="128">
        <v>1.85</v>
      </c>
      <c r="CK85" s="128">
        <v>1.86</v>
      </c>
      <c r="CL85" s="128">
        <v>1.87</v>
      </c>
      <c r="CM85" s="128">
        <v>1.88</v>
      </c>
      <c r="CN85" s="128">
        <v>1.89</v>
      </c>
      <c r="CO85" s="128">
        <v>1.9</v>
      </c>
      <c r="CP85" s="128">
        <v>1.91</v>
      </c>
      <c r="CQ85" s="128">
        <v>1.92</v>
      </c>
      <c r="CR85" s="128">
        <v>1.93</v>
      </c>
      <c r="CS85" s="128">
        <v>1.94</v>
      </c>
      <c r="CT85" s="128">
        <v>1.95</v>
      </c>
      <c r="CU85" s="128">
        <v>1.96</v>
      </c>
      <c r="CV85" s="128">
        <v>1.98</v>
      </c>
      <c r="CW85" s="128">
        <v>1.99</v>
      </c>
      <c r="CX85" s="128">
        <v>2</v>
      </c>
      <c r="CZ85" s="126">
        <f>SUMIF(MatrixF2[[1]:[2]],MatrixF2[[#This Row],[Столбец1]])/MatrixF2[[#This Row],[Столбец1]]</f>
        <v>100.99999999999976</v>
      </c>
    </row>
    <row r="86" spans="1:104" ht="21" customHeight="1" x14ac:dyDescent="0.25">
      <c r="A86" s="127">
        <v>1.83</v>
      </c>
      <c r="B86" s="128">
        <v>1</v>
      </c>
      <c r="C86" s="128">
        <v>1.01</v>
      </c>
      <c r="D86" s="128">
        <v>1.02</v>
      </c>
      <c r="E86" s="128">
        <v>1.03</v>
      </c>
      <c r="F86" s="128">
        <v>1.05</v>
      </c>
      <c r="G86" s="128">
        <v>1.06</v>
      </c>
      <c r="H86" s="128">
        <v>1.07</v>
      </c>
      <c r="I86" s="128">
        <v>1.08</v>
      </c>
      <c r="J86" s="128">
        <v>1.0900000000000001</v>
      </c>
      <c r="K86" s="128">
        <v>1.1000000000000001</v>
      </c>
      <c r="L86" s="128">
        <v>1.1100000000000001</v>
      </c>
      <c r="M86" s="128">
        <v>1.1200000000000001</v>
      </c>
      <c r="N86" s="128">
        <v>1.1299999999999999</v>
      </c>
      <c r="O86" s="128">
        <v>1.1399999999999999</v>
      </c>
      <c r="P86" s="128">
        <v>1.1399999999999999</v>
      </c>
      <c r="Q86" s="128">
        <v>1.1499999999999999</v>
      </c>
      <c r="R86" s="128">
        <v>1.1599999999999999</v>
      </c>
      <c r="S86" s="128">
        <v>1.17</v>
      </c>
      <c r="T86" s="128">
        <v>1.18</v>
      </c>
      <c r="U86" s="128">
        <v>1.19</v>
      </c>
      <c r="V86" s="128">
        <v>1.2</v>
      </c>
      <c r="W86" s="128">
        <v>1.21</v>
      </c>
      <c r="X86" s="128">
        <v>1.22</v>
      </c>
      <c r="Y86" s="128">
        <v>1.23</v>
      </c>
      <c r="Z86" s="128">
        <v>1.24</v>
      </c>
      <c r="AA86" s="128">
        <v>1.25</v>
      </c>
      <c r="AB86" s="128">
        <v>1.26</v>
      </c>
      <c r="AC86" s="128">
        <v>1.27</v>
      </c>
      <c r="AD86" s="128">
        <v>1.28</v>
      </c>
      <c r="AE86" s="128">
        <v>1.29</v>
      </c>
      <c r="AF86" s="128">
        <v>1.3</v>
      </c>
      <c r="AG86" s="128">
        <v>1.31</v>
      </c>
      <c r="AH86" s="128">
        <v>1.32</v>
      </c>
      <c r="AI86" s="128">
        <v>1.33</v>
      </c>
      <c r="AJ86" s="128">
        <v>1.34</v>
      </c>
      <c r="AK86" s="128">
        <v>1.35</v>
      </c>
      <c r="AL86" s="128">
        <v>1.36</v>
      </c>
      <c r="AM86" s="128">
        <v>1.37</v>
      </c>
      <c r="AN86" s="128">
        <v>1.38</v>
      </c>
      <c r="AO86" s="128">
        <v>1.39</v>
      </c>
      <c r="AP86" s="128">
        <v>1.4</v>
      </c>
      <c r="AQ86" s="128">
        <v>1.41</v>
      </c>
      <c r="AR86" s="128">
        <v>1.42</v>
      </c>
      <c r="AS86" s="128">
        <v>1.43</v>
      </c>
      <c r="AT86" s="128">
        <v>1.44</v>
      </c>
      <c r="AU86" s="128">
        <v>1.45</v>
      </c>
      <c r="AV86" s="128">
        <v>1.46</v>
      </c>
      <c r="AW86" s="128">
        <v>1.47</v>
      </c>
      <c r="AX86" s="128">
        <v>1.48</v>
      </c>
      <c r="AY86" s="128">
        <v>1.49</v>
      </c>
      <c r="AZ86" s="128">
        <v>1.5</v>
      </c>
      <c r="BA86" s="128">
        <v>1.51</v>
      </c>
      <c r="BB86" s="128">
        <v>1.52</v>
      </c>
      <c r="BC86" s="128">
        <v>1.53</v>
      </c>
      <c r="BD86" s="128">
        <v>1.54</v>
      </c>
      <c r="BE86" s="128">
        <v>1.55</v>
      </c>
      <c r="BF86" s="128">
        <v>1.56</v>
      </c>
      <c r="BG86" s="128">
        <v>1.57</v>
      </c>
      <c r="BH86" s="128">
        <v>1.58</v>
      </c>
      <c r="BI86" s="128">
        <v>1.59</v>
      </c>
      <c r="BJ86" s="128">
        <v>1.6</v>
      </c>
      <c r="BK86" s="128">
        <v>1.61</v>
      </c>
      <c r="BL86" s="128">
        <v>1.62</v>
      </c>
      <c r="BM86" s="128">
        <v>1.63</v>
      </c>
      <c r="BN86" s="128">
        <v>1.64</v>
      </c>
      <c r="BO86" s="128">
        <v>1.65</v>
      </c>
      <c r="BP86" s="128">
        <v>1.66</v>
      </c>
      <c r="BQ86" s="128">
        <v>1.67</v>
      </c>
      <c r="BR86" s="128">
        <v>1.68</v>
      </c>
      <c r="BS86" s="128">
        <v>1.69</v>
      </c>
      <c r="BT86" s="128">
        <v>1.7</v>
      </c>
      <c r="BU86" s="128">
        <v>1.71</v>
      </c>
      <c r="BV86" s="128">
        <v>1.72</v>
      </c>
      <c r="BW86" s="128">
        <v>1.73</v>
      </c>
      <c r="BX86" s="128">
        <v>1.74</v>
      </c>
      <c r="BY86" s="128">
        <v>1.75</v>
      </c>
      <c r="BZ86" s="128">
        <v>1.76</v>
      </c>
      <c r="CA86" s="128">
        <v>1.77</v>
      </c>
      <c r="CB86" s="128">
        <v>1.78</v>
      </c>
      <c r="CC86" s="128">
        <v>1.79</v>
      </c>
      <c r="CD86" s="128">
        <v>1.8</v>
      </c>
      <c r="CE86" s="128">
        <v>1.81</v>
      </c>
      <c r="CF86" s="128">
        <v>1.82</v>
      </c>
      <c r="CG86" s="128">
        <v>1.83</v>
      </c>
      <c r="CH86" s="128">
        <v>1.84</v>
      </c>
      <c r="CI86" s="128">
        <v>1.85</v>
      </c>
      <c r="CJ86" s="128">
        <v>1.86</v>
      </c>
      <c r="CK86" s="128">
        <v>1.86</v>
      </c>
      <c r="CL86" s="128">
        <v>1.87</v>
      </c>
      <c r="CM86" s="128">
        <v>1.88</v>
      </c>
      <c r="CN86" s="128">
        <v>1.89</v>
      </c>
      <c r="CO86" s="128">
        <v>1.9</v>
      </c>
      <c r="CP86" s="128">
        <v>1.91</v>
      </c>
      <c r="CQ86" s="128">
        <v>1.92</v>
      </c>
      <c r="CR86" s="128">
        <v>1.93</v>
      </c>
      <c r="CS86" s="128">
        <v>1.94</v>
      </c>
      <c r="CT86" s="128">
        <v>1.95</v>
      </c>
      <c r="CU86" s="128">
        <v>1.97</v>
      </c>
      <c r="CV86" s="128">
        <v>1.98</v>
      </c>
      <c r="CW86" s="128">
        <v>1.99</v>
      </c>
      <c r="CX86" s="128">
        <v>2</v>
      </c>
      <c r="CZ86" s="126">
        <f>SUMIF(MatrixF2[[1]:[2]],MatrixF2[[#This Row],[Столбец1]])/MatrixF2[[#This Row],[Столбец1]]</f>
        <v>93.000000000000099</v>
      </c>
    </row>
    <row r="87" spans="1:104" ht="21" customHeight="1" x14ac:dyDescent="0.25">
      <c r="A87" s="127">
        <v>1.84</v>
      </c>
      <c r="B87" s="128">
        <v>1</v>
      </c>
      <c r="C87" s="128">
        <v>1.01</v>
      </c>
      <c r="D87" s="128">
        <v>1.02</v>
      </c>
      <c r="E87" s="128">
        <v>1.03</v>
      </c>
      <c r="F87" s="128">
        <v>1.05</v>
      </c>
      <c r="G87" s="128">
        <v>1.06</v>
      </c>
      <c r="H87" s="128">
        <v>1.07</v>
      </c>
      <c r="I87" s="128">
        <v>1.08</v>
      </c>
      <c r="J87" s="128">
        <v>1.0900000000000001</v>
      </c>
      <c r="K87" s="128">
        <v>1.1000000000000001</v>
      </c>
      <c r="L87" s="128">
        <v>1.1100000000000001</v>
      </c>
      <c r="M87" s="128">
        <v>1.1200000000000001</v>
      </c>
      <c r="N87" s="128">
        <v>1.1200000000000001</v>
      </c>
      <c r="O87" s="128">
        <v>1.1299999999999999</v>
      </c>
      <c r="P87" s="128">
        <v>1.1399999999999999</v>
      </c>
      <c r="Q87" s="128">
        <v>1.1499999999999999</v>
      </c>
      <c r="R87" s="128">
        <v>1.1599999999999999</v>
      </c>
      <c r="S87" s="128">
        <v>1.17</v>
      </c>
      <c r="T87" s="128">
        <v>1.18</v>
      </c>
      <c r="U87" s="128">
        <v>1.19</v>
      </c>
      <c r="V87" s="128">
        <v>1.2</v>
      </c>
      <c r="W87" s="128">
        <v>1.21</v>
      </c>
      <c r="X87" s="128">
        <v>1.22</v>
      </c>
      <c r="Y87" s="128">
        <v>1.23</v>
      </c>
      <c r="Z87" s="128">
        <v>1.24</v>
      </c>
      <c r="AA87" s="128">
        <v>1.25</v>
      </c>
      <c r="AB87" s="128">
        <v>1.26</v>
      </c>
      <c r="AC87" s="128">
        <v>1.27</v>
      </c>
      <c r="AD87" s="128">
        <v>1.28</v>
      </c>
      <c r="AE87" s="128">
        <v>1.29</v>
      </c>
      <c r="AF87" s="128">
        <v>1.3</v>
      </c>
      <c r="AG87" s="128">
        <v>1.31</v>
      </c>
      <c r="AH87" s="128">
        <v>1.32</v>
      </c>
      <c r="AI87" s="128">
        <v>1.33</v>
      </c>
      <c r="AJ87" s="128">
        <v>1.34</v>
      </c>
      <c r="AK87" s="128">
        <v>1.35</v>
      </c>
      <c r="AL87" s="128">
        <v>1.36</v>
      </c>
      <c r="AM87" s="128">
        <v>1.37</v>
      </c>
      <c r="AN87" s="128">
        <v>1.38</v>
      </c>
      <c r="AO87" s="128">
        <v>1.39</v>
      </c>
      <c r="AP87" s="128">
        <v>1.4</v>
      </c>
      <c r="AQ87" s="128">
        <v>1.41</v>
      </c>
      <c r="AR87" s="128">
        <v>1.42</v>
      </c>
      <c r="AS87" s="128">
        <v>1.43</v>
      </c>
      <c r="AT87" s="128">
        <v>1.44</v>
      </c>
      <c r="AU87" s="128">
        <v>1.45</v>
      </c>
      <c r="AV87" s="128">
        <v>1.46</v>
      </c>
      <c r="AW87" s="128">
        <v>1.47</v>
      </c>
      <c r="AX87" s="128">
        <v>1.48</v>
      </c>
      <c r="AY87" s="128">
        <v>1.49</v>
      </c>
      <c r="AZ87" s="128">
        <v>1.5</v>
      </c>
      <c r="BA87" s="128">
        <v>1.51</v>
      </c>
      <c r="BB87" s="128">
        <v>1.52</v>
      </c>
      <c r="BC87" s="128">
        <v>1.53</v>
      </c>
      <c r="BD87" s="128">
        <v>1.54</v>
      </c>
      <c r="BE87" s="128">
        <v>1.55</v>
      </c>
      <c r="BF87" s="128">
        <v>1.56</v>
      </c>
      <c r="BG87" s="128">
        <v>1.57</v>
      </c>
      <c r="BH87" s="128">
        <v>1.58</v>
      </c>
      <c r="BI87" s="128">
        <v>1.59</v>
      </c>
      <c r="BJ87" s="128">
        <v>1.6</v>
      </c>
      <c r="BK87" s="128">
        <v>1.61</v>
      </c>
      <c r="BL87" s="128">
        <v>1.62</v>
      </c>
      <c r="BM87" s="128">
        <v>1.63</v>
      </c>
      <c r="BN87" s="128">
        <v>1.64</v>
      </c>
      <c r="BO87" s="128">
        <v>1.65</v>
      </c>
      <c r="BP87" s="128">
        <v>1.66</v>
      </c>
      <c r="BQ87" s="128">
        <v>1.67</v>
      </c>
      <c r="BR87" s="128">
        <v>1.68</v>
      </c>
      <c r="BS87" s="128">
        <v>1.69</v>
      </c>
      <c r="BT87" s="128">
        <v>1.7</v>
      </c>
      <c r="BU87" s="128">
        <v>1.71</v>
      </c>
      <c r="BV87" s="128">
        <v>1.72</v>
      </c>
      <c r="BW87" s="128">
        <v>1.73</v>
      </c>
      <c r="BX87" s="128">
        <v>1.74</v>
      </c>
      <c r="BY87" s="128">
        <v>1.75</v>
      </c>
      <c r="BZ87" s="128">
        <v>1.76</v>
      </c>
      <c r="CA87" s="128">
        <v>1.77</v>
      </c>
      <c r="CB87" s="128">
        <v>1.78</v>
      </c>
      <c r="CC87" s="128">
        <v>1.79</v>
      </c>
      <c r="CD87" s="128">
        <v>1.8</v>
      </c>
      <c r="CE87" s="128">
        <v>1.81</v>
      </c>
      <c r="CF87" s="128">
        <v>1.82</v>
      </c>
      <c r="CG87" s="128">
        <v>1.83</v>
      </c>
      <c r="CH87" s="128">
        <v>1.84</v>
      </c>
      <c r="CI87" s="128">
        <v>1.85</v>
      </c>
      <c r="CJ87" s="128">
        <v>1.86</v>
      </c>
      <c r="CK87" s="128">
        <v>1.87</v>
      </c>
      <c r="CL87" s="128">
        <v>1.88</v>
      </c>
      <c r="CM87" s="128">
        <v>1.88</v>
      </c>
      <c r="CN87" s="128">
        <v>1.89</v>
      </c>
      <c r="CO87" s="128">
        <v>1.9</v>
      </c>
      <c r="CP87" s="128">
        <v>1.91</v>
      </c>
      <c r="CQ87" s="128">
        <v>1.92</v>
      </c>
      <c r="CR87" s="128">
        <v>1.93</v>
      </c>
      <c r="CS87" s="128">
        <v>1.94</v>
      </c>
      <c r="CT87" s="128">
        <v>1.95</v>
      </c>
      <c r="CU87" s="128">
        <v>1.97</v>
      </c>
      <c r="CV87" s="128">
        <v>1.98</v>
      </c>
      <c r="CW87" s="128">
        <v>1.99</v>
      </c>
      <c r="CX87" s="128">
        <v>2</v>
      </c>
      <c r="CZ87" s="126">
        <f>SUMIF(MatrixF2[[1]:[2]],MatrixF2[[#This Row],[Столбец1]])/MatrixF2[[#This Row],[Столбец1]]</f>
        <v>100.00000000000016</v>
      </c>
    </row>
    <row r="88" spans="1:104" ht="21" customHeight="1" x14ac:dyDescent="0.25">
      <c r="A88" s="127">
        <v>1.85</v>
      </c>
      <c r="B88" s="128">
        <v>1</v>
      </c>
      <c r="C88" s="128">
        <v>1.01</v>
      </c>
      <c r="D88" s="128">
        <v>1.02</v>
      </c>
      <c r="E88" s="128">
        <v>1.03</v>
      </c>
      <c r="F88" s="128">
        <v>1.04</v>
      </c>
      <c r="G88" s="128">
        <v>1.06</v>
      </c>
      <c r="H88" s="128">
        <v>1.07</v>
      </c>
      <c r="I88" s="128">
        <v>1.08</v>
      </c>
      <c r="J88" s="128">
        <v>1.0900000000000001</v>
      </c>
      <c r="K88" s="128">
        <v>1.1000000000000001</v>
      </c>
      <c r="L88" s="128">
        <v>1.1100000000000001</v>
      </c>
      <c r="M88" s="128">
        <v>1.1100000000000001</v>
      </c>
      <c r="N88" s="128">
        <v>1.1200000000000001</v>
      </c>
      <c r="O88" s="128">
        <v>1.1299999999999999</v>
      </c>
      <c r="P88" s="128">
        <v>1.1399999999999999</v>
      </c>
      <c r="Q88" s="128">
        <v>1.1499999999999999</v>
      </c>
      <c r="R88" s="128">
        <v>1.1599999999999999</v>
      </c>
      <c r="S88" s="128">
        <v>1.17</v>
      </c>
      <c r="T88" s="128">
        <v>1.18</v>
      </c>
      <c r="U88" s="128">
        <v>1.19</v>
      </c>
      <c r="V88" s="128">
        <v>1.2</v>
      </c>
      <c r="W88" s="128">
        <v>1.21</v>
      </c>
      <c r="X88" s="128">
        <v>1.22</v>
      </c>
      <c r="Y88" s="128">
        <v>1.23</v>
      </c>
      <c r="Z88" s="128">
        <v>1.24</v>
      </c>
      <c r="AA88" s="128">
        <v>1.25</v>
      </c>
      <c r="AB88" s="128">
        <v>1.26</v>
      </c>
      <c r="AC88" s="128">
        <v>1.27</v>
      </c>
      <c r="AD88" s="128">
        <v>1.28</v>
      </c>
      <c r="AE88" s="128">
        <v>1.29</v>
      </c>
      <c r="AF88" s="128">
        <v>1.3</v>
      </c>
      <c r="AG88" s="128">
        <v>1.31</v>
      </c>
      <c r="AH88" s="128">
        <v>1.32</v>
      </c>
      <c r="AI88" s="128">
        <v>1.33</v>
      </c>
      <c r="AJ88" s="128">
        <v>1.34</v>
      </c>
      <c r="AK88" s="128">
        <v>1.35</v>
      </c>
      <c r="AL88" s="128">
        <v>1.36</v>
      </c>
      <c r="AM88" s="128">
        <v>1.37</v>
      </c>
      <c r="AN88" s="128">
        <v>1.38</v>
      </c>
      <c r="AO88" s="128">
        <v>1.39</v>
      </c>
      <c r="AP88" s="128">
        <v>1.4</v>
      </c>
      <c r="AQ88" s="128">
        <v>1.41</v>
      </c>
      <c r="AR88" s="128">
        <v>1.42</v>
      </c>
      <c r="AS88" s="128">
        <v>1.43</v>
      </c>
      <c r="AT88" s="128">
        <v>1.44</v>
      </c>
      <c r="AU88" s="128">
        <v>1.45</v>
      </c>
      <c r="AV88" s="128">
        <v>1.46</v>
      </c>
      <c r="AW88" s="128">
        <v>1.47</v>
      </c>
      <c r="AX88" s="128">
        <v>1.48</v>
      </c>
      <c r="AY88" s="128">
        <v>1.49</v>
      </c>
      <c r="AZ88" s="128">
        <v>1.5</v>
      </c>
      <c r="BA88" s="128">
        <v>1.51</v>
      </c>
      <c r="BB88" s="128">
        <v>1.52</v>
      </c>
      <c r="BC88" s="128">
        <v>1.53</v>
      </c>
      <c r="BD88" s="128">
        <v>1.54</v>
      </c>
      <c r="BE88" s="128">
        <v>1.55</v>
      </c>
      <c r="BF88" s="128">
        <v>1.56</v>
      </c>
      <c r="BG88" s="128">
        <v>1.57</v>
      </c>
      <c r="BH88" s="128">
        <v>1.58</v>
      </c>
      <c r="BI88" s="128">
        <v>1.59</v>
      </c>
      <c r="BJ88" s="128">
        <v>1.6</v>
      </c>
      <c r="BK88" s="128">
        <v>1.61</v>
      </c>
      <c r="BL88" s="128">
        <v>1.62</v>
      </c>
      <c r="BM88" s="128">
        <v>1.63</v>
      </c>
      <c r="BN88" s="128">
        <v>1.64</v>
      </c>
      <c r="BO88" s="128">
        <v>1.65</v>
      </c>
      <c r="BP88" s="128">
        <v>1.66</v>
      </c>
      <c r="BQ88" s="128">
        <v>1.67</v>
      </c>
      <c r="BR88" s="128">
        <v>1.68</v>
      </c>
      <c r="BS88" s="128">
        <v>1.69</v>
      </c>
      <c r="BT88" s="128">
        <v>1.7</v>
      </c>
      <c r="BU88" s="128">
        <v>1.71</v>
      </c>
      <c r="BV88" s="128">
        <v>1.72</v>
      </c>
      <c r="BW88" s="128">
        <v>1.73</v>
      </c>
      <c r="BX88" s="128">
        <v>1.74</v>
      </c>
      <c r="BY88" s="128">
        <v>1.75</v>
      </c>
      <c r="BZ88" s="128">
        <v>1.76</v>
      </c>
      <c r="CA88" s="128">
        <v>1.77</v>
      </c>
      <c r="CB88" s="128">
        <v>1.78</v>
      </c>
      <c r="CC88" s="128">
        <v>1.79</v>
      </c>
      <c r="CD88" s="128">
        <v>1.8</v>
      </c>
      <c r="CE88" s="128">
        <v>1.81</v>
      </c>
      <c r="CF88" s="128">
        <v>1.82</v>
      </c>
      <c r="CG88" s="128">
        <v>1.83</v>
      </c>
      <c r="CH88" s="128">
        <v>1.84</v>
      </c>
      <c r="CI88" s="128">
        <v>1.85</v>
      </c>
      <c r="CJ88" s="128">
        <v>1.86</v>
      </c>
      <c r="CK88" s="128">
        <v>1.87</v>
      </c>
      <c r="CL88" s="128">
        <v>1.88</v>
      </c>
      <c r="CM88" s="128">
        <v>1.89</v>
      </c>
      <c r="CN88" s="128">
        <v>1.89</v>
      </c>
      <c r="CO88" s="128">
        <v>1.9</v>
      </c>
      <c r="CP88" s="128">
        <v>1.91</v>
      </c>
      <c r="CQ88" s="128">
        <v>1.92</v>
      </c>
      <c r="CR88" s="128">
        <v>1.93</v>
      </c>
      <c r="CS88" s="128">
        <v>1.94</v>
      </c>
      <c r="CT88" s="128">
        <v>1.96</v>
      </c>
      <c r="CU88" s="128">
        <v>1.97</v>
      </c>
      <c r="CV88" s="128">
        <v>1.98</v>
      </c>
      <c r="CW88" s="128">
        <v>1.99</v>
      </c>
      <c r="CX88" s="128">
        <v>2</v>
      </c>
      <c r="CZ88" s="126">
        <f>SUMIF(MatrixF2[[1]:[2]],MatrixF2[[#This Row],[Столбец1]])/MatrixF2[[#This Row],[Столбец1]]</f>
        <v>96.999999999999815</v>
      </c>
    </row>
    <row r="89" spans="1:104" ht="21" customHeight="1" x14ac:dyDescent="0.25">
      <c r="A89" s="127">
        <v>1.86</v>
      </c>
      <c r="B89" s="128">
        <v>1</v>
      </c>
      <c r="C89" s="128">
        <v>1.01</v>
      </c>
      <c r="D89" s="128">
        <v>1.02</v>
      </c>
      <c r="E89" s="128">
        <v>1.03</v>
      </c>
      <c r="F89" s="128">
        <v>1.04</v>
      </c>
      <c r="G89" s="128">
        <v>1.05</v>
      </c>
      <c r="H89" s="128">
        <v>1.07</v>
      </c>
      <c r="I89" s="128">
        <v>1.08</v>
      </c>
      <c r="J89" s="128">
        <v>1.0900000000000001</v>
      </c>
      <c r="K89" s="128">
        <v>1.0900000000000001</v>
      </c>
      <c r="L89" s="128">
        <v>1.1000000000000001</v>
      </c>
      <c r="M89" s="128">
        <v>1.1100000000000001</v>
      </c>
      <c r="N89" s="128">
        <v>1.1200000000000001</v>
      </c>
      <c r="O89" s="128">
        <v>1.1299999999999999</v>
      </c>
      <c r="P89" s="128">
        <v>1.1399999999999999</v>
      </c>
      <c r="Q89" s="128">
        <v>1.1499999999999999</v>
      </c>
      <c r="R89" s="128">
        <v>1.1599999999999999</v>
      </c>
      <c r="S89" s="128">
        <v>1.17</v>
      </c>
      <c r="T89" s="128">
        <v>1.18</v>
      </c>
      <c r="U89" s="128">
        <v>1.19</v>
      </c>
      <c r="V89" s="128">
        <v>1.2</v>
      </c>
      <c r="W89" s="128">
        <v>1.21</v>
      </c>
      <c r="X89" s="128">
        <v>1.22</v>
      </c>
      <c r="Y89" s="128">
        <v>1.23</v>
      </c>
      <c r="Z89" s="128">
        <v>1.24</v>
      </c>
      <c r="AA89" s="128">
        <v>1.25</v>
      </c>
      <c r="AB89" s="128">
        <v>1.26</v>
      </c>
      <c r="AC89" s="128">
        <v>1.27</v>
      </c>
      <c r="AD89" s="128">
        <v>1.28</v>
      </c>
      <c r="AE89" s="128">
        <v>1.29</v>
      </c>
      <c r="AF89" s="128">
        <v>1.3</v>
      </c>
      <c r="AG89" s="128">
        <v>1.31</v>
      </c>
      <c r="AH89" s="128">
        <v>1.32</v>
      </c>
      <c r="AI89" s="128">
        <v>1.33</v>
      </c>
      <c r="AJ89" s="128">
        <v>1.34</v>
      </c>
      <c r="AK89" s="128">
        <v>1.35</v>
      </c>
      <c r="AL89" s="128">
        <v>1.36</v>
      </c>
      <c r="AM89" s="128">
        <v>1.37</v>
      </c>
      <c r="AN89" s="128">
        <v>1.38</v>
      </c>
      <c r="AO89" s="128">
        <v>1.39</v>
      </c>
      <c r="AP89" s="128">
        <v>1.4</v>
      </c>
      <c r="AQ89" s="128">
        <v>1.41</v>
      </c>
      <c r="AR89" s="128">
        <v>1.42</v>
      </c>
      <c r="AS89" s="128">
        <v>1.43</v>
      </c>
      <c r="AT89" s="128">
        <v>1.44</v>
      </c>
      <c r="AU89" s="128">
        <v>1.45</v>
      </c>
      <c r="AV89" s="128">
        <v>1.46</v>
      </c>
      <c r="AW89" s="128">
        <v>1.47</v>
      </c>
      <c r="AX89" s="128">
        <v>1.48</v>
      </c>
      <c r="AY89" s="128">
        <v>1.49</v>
      </c>
      <c r="AZ89" s="128">
        <v>1.5</v>
      </c>
      <c r="BA89" s="128">
        <v>1.51</v>
      </c>
      <c r="BB89" s="128">
        <v>1.52</v>
      </c>
      <c r="BC89" s="128">
        <v>1.53</v>
      </c>
      <c r="BD89" s="128">
        <v>1.54</v>
      </c>
      <c r="BE89" s="128">
        <v>1.55</v>
      </c>
      <c r="BF89" s="128">
        <v>1.56</v>
      </c>
      <c r="BG89" s="128">
        <v>1.57</v>
      </c>
      <c r="BH89" s="128">
        <v>1.58</v>
      </c>
      <c r="BI89" s="128">
        <v>1.59</v>
      </c>
      <c r="BJ89" s="128">
        <v>1.6</v>
      </c>
      <c r="BK89" s="128">
        <v>1.61</v>
      </c>
      <c r="BL89" s="128">
        <v>1.62</v>
      </c>
      <c r="BM89" s="128">
        <v>1.63</v>
      </c>
      <c r="BN89" s="128">
        <v>1.64</v>
      </c>
      <c r="BO89" s="128">
        <v>1.65</v>
      </c>
      <c r="BP89" s="128">
        <v>1.66</v>
      </c>
      <c r="BQ89" s="128">
        <v>1.67</v>
      </c>
      <c r="BR89" s="128">
        <v>1.68</v>
      </c>
      <c r="BS89" s="128">
        <v>1.69</v>
      </c>
      <c r="BT89" s="128">
        <v>1.7</v>
      </c>
      <c r="BU89" s="128">
        <v>1.71</v>
      </c>
      <c r="BV89" s="128">
        <v>1.72</v>
      </c>
      <c r="BW89" s="128">
        <v>1.73</v>
      </c>
      <c r="BX89" s="128">
        <v>1.74</v>
      </c>
      <c r="BY89" s="128">
        <v>1.75</v>
      </c>
      <c r="BZ89" s="128">
        <v>1.76</v>
      </c>
      <c r="CA89" s="128">
        <v>1.77</v>
      </c>
      <c r="CB89" s="128">
        <v>1.78</v>
      </c>
      <c r="CC89" s="128">
        <v>1.79</v>
      </c>
      <c r="CD89" s="128">
        <v>1.8</v>
      </c>
      <c r="CE89" s="128">
        <v>1.81</v>
      </c>
      <c r="CF89" s="128">
        <v>1.82</v>
      </c>
      <c r="CG89" s="128">
        <v>1.83</v>
      </c>
      <c r="CH89" s="128">
        <v>1.84</v>
      </c>
      <c r="CI89" s="128">
        <v>1.85</v>
      </c>
      <c r="CJ89" s="128">
        <v>1.86</v>
      </c>
      <c r="CK89" s="128">
        <v>1.87</v>
      </c>
      <c r="CL89" s="128">
        <v>1.88</v>
      </c>
      <c r="CM89" s="128">
        <v>1.89</v>
      </c>
      <c r="CN89" s="128">
        <v>1.9</v>
      </c>
      <c r="CO89" s="128">
        <v>1.91</v>
      </c>
      <c r="CP89" s="128">
        <v>1.91</v>
      </c>
      <c r="CQ89" s="128">
        <v>1.92</v>
      </c>
      <c r="CR89" s="128">
        <v>1.93</v>
      </c>
      <c r="CS89" s="128">
        <v>1.95</v>
      </c>
      <c r="CT89" s="128">
        <v>1.96</v>
      </c>
      <c r="CU89" s="128">
        <v>1.97</v>
      </c>
      <c r="CV89" s="128">
        <v>1.98</v>
      </c>
      <c r="CW89" s="128">
        <v>1.99</v>
      </c>
      <c r="CX89" s="128">
        <v>2</v>
      </c>
      <c r="CZ89" s="126">
        <f>SUMIF(MatrixF2[[1]:[2]],MatrixF2[[#This Row],[Столбец1]])/MatrixF2[[#This Row],[Столбец1]]</f>
        <v>97.000000000000185</v>
      </c>
    </row>
    <row r="90" spans="1:104" ht="21" customHeight="1" x14ac:dyDescent="0.25">
      <c r="A90" s="127">
        <v>1.87</v>
      </c>
      <c r="B90" s="128">
        <v>1</v>
      </c>
      <c r="C90" s="128">
        <v>1.01</v>
      </c>
      <c r="D90" s="128">
        <v>1.02</v>
      </c>
      <c r="E90" s="128">
        <v>1.03</v>
      </c>
      <c r="F90" s="128">
        <v>1.04</v>
      </c>
      <c r="G90" s="128">
        <v>1.05</v>
      </c>
      <c r="H90" s="128">
        <v>1.06</v>
      </c>
      <c r="I90" s="128">
        <v>1.07</v>
      </c>
      <c r="J90" s="128">
        <v>1.08</v>
      </c>
      <c r="K90" s="128">
        <v>1.0900000000000001</v>
      </c>
      <c r="L90" s="128">
        <v>1.1000000000000001</v>
      </c>
      <c r="M90" s="128">
        <v>1.1100000000000001</v>
      </c>
      <c r="N90" s="128">
        <v>1.1200000000000001</v>
      </c>
      <c r="O90" s="128">
        <v>1.1299999999999999</v>
      </c>
      <c r="P90" s="128">
        <v>1.1399999999999999</v>
      </c>
      <c r="Q90" s="128">
        <v>1.1499999999999999</v>
      </c>
      <c r="R90" s="128">
        <v>1.1599999999999999</v>
      </c>
      <c r="S90" s="128">
        <v>1.17</v>
      </c>
      <c r="T90" s="128">
        <v>1.18</v>
      </c>
      <c r="U90" s="128">
        <v>1.19</v>
      </c>
      <c r="V90" s="128">
        <v>1.2</v>
      </c>
      <c r="W90" s="128">
        <v>1.21</v>
      </c>
      <c r="X90" s="128">
        <v>1.22</v>
      </c>
      <c r="Y90" s="128">
        <v>1.23</v>
      </c>
      <c r="Z90" s="128">
        <v>1.24</v>
      </c>
      <c r="AA90" s="128">
        <v>1.25</v>
      </c>
      <c r="AB90" s="128">
        <v>1.26</v>
      </c>
      <c r="AC90" s="128">
        <v>1.27</v>
      </c>
      <c r="AD90" s="128">
        <v>1.28</v>
      </c>
      <c r="AE90" s="128">
        <v>1.29</v>
      </c>
      <c r="AF90" s="128">
        <v>1.3</v>
      </c>
      <c r="AG90" s="128">
        <v>1.31</v>
      </c>
      <c r="AH90" s="128">
        <v>1.32</v>
      </c>
      <c r="AI90" s="128">
        <v>1.33</v>
      </c>
      <c r="AJ90" s="128">
        <v>1.34</v>
      </c>
      <c r="AK90" s="128">
        <v>1.35</v>
      </c>
      <c r="AL90" s="128">
        <v>1.36</v>
      </c>
      <c r="AM90" s="128">
        <v>1.37</v>
      </c>
      <c r="AN90" s="128">
        <v>1.38</v>
      </c>
      <c r="AO90" s="128">
        <v>1.39</v>
      </c>
      <c r="AP90" s="128">
        <v>1.4</v>
      </c>
      <c r="AQ90" s="128">
        <v>1.41</v>
      </c>
      <c r="AR90" s="128">
        <v>1.42</v>
      </c>
      <c r="AS90" s="128">
        <v>1.43</v>
      </c>
      <c r="AT90" s="128">
        <v>1.44</v>
      </c>
      <c r="AU90" s="128">
        <v>1.45</v>
      </c>
      <c r="AV90" s="128">
        <v>1.46</v>
      </c>
      <c r="AW90" s="128">
        <v>1.47</v>
      </c>
      <c r="AX90" s="128">
        <v>1.48</v>
      </c>
      <c r="AY90" s="128">
        <v>1.49</v>
      </c>
      <c r="AZ90" s="128">
        <v>1.5</v>
      </c>
      <c r="BA90" s="128">
        <v>1.51</v>
      </c>
      <c r="BB90" s="128">
        <v>1.52</v>
      </c>
      <c r="BC90" s="128">
        <v>1.53</v>
      </c>
      <c r="BD90" s="128">
        <v>1.54</v>
      </c>
      <c r="BE90" s="128">
        <v>1.55</v>
      </c>
      <c r="BF90" s="128">
        <v>1.56</v>
      </c>
      <c r="BG90" s="128">
        <v>1.57</v>
      </c>
      <c r="BH90" s="128">
        <v>1.58</v>
      </c>
      <c r="BI90" s="128">
        <v>1.59</v>
      </c>
      <c r="BJ90" s="128">
        <v>1.6</v>
      </c>
      <c r="BK90" s="128">
        <v>1.61</v>
      </c>
      <c r="BL90" s="128">
        <v>1.62</v>
      </c>
      <c r="BM90" s="128">
        <v>1.63</v>
      </c>
      <c r="BN90" s="128">
        <v>1.64</v>
      </c>
      <c r="BO90" s="128">
        <v>1.65</v>
      </c>
      <c r="BP90" s="128">
        <v>1.66</v>
      </c>
      <c r="BQ90" s="128">
        <v>1.67</v>
      </c>
      <c r="BR90" s="128">
        <v>1.68</v>
      </c>
      <c r="BS90" s="128">
        <v>1.69</v>
      </c>
      <c r="BT90" s="128">
        <v>1.7</v>
      </c>
      <c r="BU90" s="128">
        <v>1.71</v>
      </c>
      <c r="BV90" s="128">
        <v>1.72</v>
      </c>
      <c r="BW90" s="128">
        <v>1.73</v>
      </c>
      <c r="BX90" s="128">
        <v>1.74</v>
      </c>
      <c r="BY90" s="128">
        <v>1.75</v>
      </c>
      <c r="BZ90" s="128">
        <v>1.76</v>
      </c>
      <c r="CA90" s="128">
        <v>1.77</v>
      </c>
      <c r="CB90" s="128">
        <v>1.78</v>
      </c>
      <c r="CC90" s="128">
        <v>1.79</v>
      </c>
      <c r="CD90" s="128">
        <v>1.8</v>
      </c>
      <c r="CE90" s="128">
        <v>1.81</v>
      </c>
      <c r="CF90" s="128">
        <v>1.82</v>
      </c>
      <c r="CG90" s="128">
        <v>1.83</v>
      </c>
      <c r="CH90" s="128">
        <v>1.84</v>
      </c>
      <c r="CI90" s="128">
        <v>1.85</v>
      </c>
      <c r="CJ90" s="128">
        <v>1.86</v>
      </c>
      <c r="CK90" s="128">
        <v>1.87</v>
      </c>
      <c r="CL90" s="128">
        <v>1.88</v>
      </c>
      <c r="CM90" s="128">
        <v>1.89</v>
      </c>
      <c r="CN90" s="128">
        <v>1.9</v>
      </c>
      <c r="CO90" s="128">
        <v>1.91</v>
      </c>
      <c r="CP90" s="128">
        <v>1.92</v>
      </c>
      <c r="CQ90" s="128">
        <v>1.93</v>
      </c>
      <c r="CR90" s="128">
        <v>1.94</v>
      </c>
      <c r="CS90" s="128">
        <v>1.95</v>
      </c>
      <c r="CT90" s="128">
        <v>1.96</v>
      </c>
      <c r="CU90" s="128">
        <v>1.97</v>
      </c>
      <c r="CV90" s="128">
        <v>1.98</v>
      </c>
      <c r="CW90" s="128">
        <v>1.99</v>
      </c>
      <c r="CX90" s="128">
        <v>2</v>
      </c>
      <c r="CZ90" s="126">
        <f>SUMIF(MatrixF2[[1]:[2]],MatrixF2[[#This Row],[Столбец1]])/MatrixF2[[#This Row],[Столбец1]]</f>
        <v>88.000000000000099</v>
      </c>
    </row>
    <row r="91" spans="1:104" ht="21" customHeight="1" x14ac:dyDescent="0.25">
      <c r="A91" s="127">
        <v>1.88</v>
      </c>
      <c r="B91" s="128">
        <v>1</v>
      </c>
      <c r="C91" s="128">
        <v>1.01</v>
      </c>
      <c r="D91" s="128">
        <v>1.02</v>
      </c>
      <c r="E91" s="128">
        <v>1.03</v>
      </c>
      <c r="F91" s="128">
        <v>1.04</v>
      </c>
      <c r="G91" s="128">
        <v>1.05</v>
      </c>
      <c r="H91" s="128">
        <v>1.06</v>
      </c>
      <c r="I91" s="128">
        <v>1.07</v>
      </c>
      <c r="J91" s="128">
        <v>1.08</v>
      </c>
      <c r="K91" s="128">
        <v>1.0900000000000001</v>
      </c>
      <c r="L91" s="128">
        <v>1.1000000000000001</v>
      </c>
      <c r="M91" s="128">
        <v>1.1100000000000001</v>
      </c>
      <c r="N91" s="128">
        <v>1.1200000000000001</v>
      </c>
      <c r="O91" s="128">
        <v>1.1299999999999999</v>
      </c>
      <c r="P91" s="128">
        <v>1.1399999999999999</v>
      </c>
      <c r="Q91" s="128">
        <v>1.1499999999999999</v>
      </c>
      <c r="R91" s="128">
        <v>1.1599999999999999</v>
      </c>
      <c r="S91" s="128">
        <v>1.17</v>
      </c>
      <c r="T91" s="128">
        <v>1.18</v>
      </c>
      <c r="U91" s="128">
        <v>1.19</v>
      </c>
      <c r="V91" s="128">
        <v>1.2</v>
      </c>
      <c r="W91" s="128">
        <v>1.21</v>
      </c>
      <c r="X91" s="128">
        <v>1.22</v>
      </c>
      <c r="Y91" s="128">
        <v>1.23</v>
      </c>
      <c r="Z91" s="128">
        <v>1.24</v>
      </c>
      <c r="AA91" s="128">
        <v>1.25</v>
      </c>
      <c r="AB91" s="128">
        <v>1.26</v>
      </c>
      <c r="AC91" s="128">
        <v>1.27</v>
      </c>
      <c r="AD91" s="128">
        <v>1.28</v>
      </c>
      <c r="AE91" s="128">
        <v>1.29</v>
      </c>
      <c r="AF91" s="128">
        <v>1.3</v>
      </c>
      <c r="AG91" s="128">
        <v>1.31</v>
      </c>
      <c r="AH91" s="128">
        <v>1.32</v>
      </c>
      <c r="AI91" s="128">
        <v>1.33</v>
      </c>
      <c r="AJ91" s="128">
        <v>1.34</v>
      </c>
      <c r="AK91" s="128">
        <v>1.35</v>
      </c>
      <c r="AL91" s="128">
        <v>1.36</v>
      </c>
      <c r="AM91" s="128">
        <v>1.37</v>
      </c>
      <c r="AN91" s="128">
        <v>1.38</v>
      </c>
      <c r="AO91" s="128">
        <v>1.39</v>
      </c>
      <c r="AP91" s="128">
        <v>1.4</v>
      </c>
      <c r="AQ91" s="128">
        <v>1.41</v>
      </c>
      <c r="AR91" s="128">
        <v>1.42</v>
      </c>
      <c r="AS91" s="128">
        <v>1.43</v>
      </c>
      <c r="AT91" s="128">
        <v>1.44</v>
      </c>
      <c r="AU91" s="128">
        <v>1.45</v>
      </c>
      <c r="AV91" s="128">
        <v>1.46</v>
      </c>
      <c r="AW91" s="128">
        <v>1.47</v>
      </c>
      <c r="AX91" s="128">
        <v>1.48</v>
      </c>
      <c r="AY91" s="128">
        <v>1.49</v>
      </c>
      <c r="AZ91" s="128">
        <v>1.5</v>
      </c>
      <c r="BA91" s="128">
        <v>1.51</v>
      </c>
      <c r="BB91" s="128">
        <v>1.52</v>
      </c>
      <c r="BC91" s="128">
        <v>1.53</v>
      </c>
      <c r="BD91" s="128">
        <v>1.54</v>
      </c>
      <c r="BE91" s="128">
        <v>1.55</v>
      </c>
      <c r="BF91" s="128">
        <v>1.56</v>
      </c>
      <c r="BG91" s="128">
        <v>1.57</v>
      </c>
      <c r="BH91" s="128">
        <v>1.58</v>
      </c>
      <c r="BI91" s="128">
        <v>1.59</v>
      </c>
      <c r="BJ91" s="128">
        <v>1.6</v>
      </c>
      <c r="BK91" s="128">
        <v>1.61</v>
      </c>
      <c r="BL91" s="128">
        <v>1.62</v>
      </c>
      <c r="BM91" s="128">
        <v>1.63</v>
      </c>
      <c r="BN91" s="128">
        <v>1.64</v>
      </c>
      <c r="BO91" s="128">
        <v>1.65</v>
      </c>
      <c r="BP91" s="128">
        <v>1.66</v>
      </c>
      <c r="BQ91" s="128">
        <v>1.67</v>
      </c>
      <c r="BR91" s="128">
        <v>1.68</v>
      </c>
      <c r="BS91" s="128">
        <v>1.69</v>
      </c>
      <c r="BT91" s="128">
        <v>1.7</v>
      </c>
      <c r="BU91" s="128">
        <v>1.71</v>
      </c>
      <c r="BV91" s="128">
        <v>1.72</v>
      </c>
      <c r="BW91" s="128">
        <v>1.73</v>
      </c>
      <c r="BX91" s="128">
        <v>1.74</v>
      </c>
      <c r="BY91" s="128">
        <v>1.75</v>
      </c>
      <c r="BZ91" s="128">
        <v>1.76</v>
      </c>
      <c r="CA91" s="128">
        <v>1.77</v>
      </c>
      <c r="CB91" s="128">
        <v>1.78</v>
      </c>
      <c r="CC91" s="128">
        <v>1.79</v>
      </c>
      <c r="CD91" s="128">
        <v>1.8</v>
      </c>
      <c r="CE91" s="128">
        <v>1.81</v>
      </c>
      <c r="CF91" s="128">
        <v>1.82</v>
      </c>
      <c r="CG91" s="128">
        <v>1.83</v>
      </c>
      <c r="CH91" s="128">
        <v>1.84</v>
      </c>
      <c r="CI91" s="128">
        <v>1.85</v>
      </c>
      <c r="CJ91" s="128">
        <v>1.86</v>
      </c>
      <c r="CK91" s="128">
        <v>1.87</v>
      </c>
      <c r="CL91" s="128">
        <v>1.88</v>
      </c>
      <c r="CM91" s="128">
        <v>1.89</v>
      </c>
      <c r="CN91" s="128">
        <v>1.9</v>
      </c>
      <c r="CO91" s="128">
        <v>1.91</v>
      </c>
      <c r="CP91" s="128">
        <v>1.92</v>
      </c>
      <c r="CQ91" s="128">
        <v>1.93</v>
      </c>
      <c r="CR91" s="128">
        <v>1.94</v>
      </c>
      <c r="CS91" s="128">
        <v>1.95</v>
      </c>
      <c r="CT91" s="128">
        <v>1.96</v>
      </c>
      <c r="CU91" s="128">
        <v>1.97</v>
      </c>
      <c r="CV91" s="128">
        <v>1.98</v>
      </c>
      <c r="CW91" s="128">
        <v>1.99</v>
      </c>
      <c r="CX91" s="128">
        <v>2</v>
      </c>
      <c r="CZ91" s="126">
        <f>SUMIF(MatrixF2[[1]:[2]],MatrixF2[[#This Row],[Столбец1]])/MatrixF2[[#This Row],[Столбец1]]</f>
        <v>96.999999999999872</v>
      </c>
    </row>
    <row r="92" spans="1:104" ht="21" customHeight="1" x14ac:dyDescent="0.25">
      <c r="A92" s="127">
        <v>1.89</v>
      </c>
      <c r="B92" s="128">
        <v>1</v>
      </c>
      <c r="C92" s="128">
        <v>1.01</v>
      </c>
      <c r="D92" s="128">
        <v>1.02</v>
      </c>
      <c r="E92" s="128">
        <v>1.03</v>
      </c>
      <c r="F92" s="128">
        <v>1.04</v>
      </c>
      <c r="G92" s="128">
        <v>1.05</v>
      </c>
      <c r="H92" s="128">
        <v>1.06</v>
      </c>
      <c r="I92" s="128">
        <v>1.07</v>
      </c>
      <c r="J92" s="128">
        <v>1.08</v>
      </c>
      <c r="K92" s="128">
        <v>1.0900000000000001</v>
      </c>
      <c r="L92" s="128">
        <v>1.1000000000000001</v>
      </c>
      <c r="M92" s="128">
        <v>1.1100000000000001</v>
      </c>
      <c r="N92" s="128">
        <v>1.1200000000000001</v>
      </c>
      <c r="O92" s="128">
        <v>1.1299999999999999</v>
      </c>
      <c r="P92" s="128">
        <v>1.1399999999999999</v>
      </c>
      <c r="Q92" s="128">
        <v>1.1499999999999999</v>
      </c>
      <c r="R92" s="128">
        <v>1.1599999999999999</v>
      </c>
      <c r="S92" s="128">
        <v>1.17</v>
      </c>
      <c r="T92" s="128">
        <v>1.18</v>
      </c>
      <c r="U92" s="128">
        <v>1.19</v>
      </c>
      <c r="V92" s="128">
        <v>1.2</v>
      </c>
      <c r="W92" s="128">
        <v>1.21</v>
      </c>
      <c r="X92" s="128">
        <v>1.22</v>
      </c>
      <c r="Y92" s="128">
        <v>1.23</v>
      </c>
      <c r="Z92" s="128">
        <v>1.24</v>
      </c>
      <c r="AA92" s="128">
        <v>1.25</v>
      </c>
      <c r="AB92" s="128">
        <v>1.26</v>
      </c>
      <c r="AC92" s="128">
        <v>1.27</v>
      </c>
      <c r="AD92" s="128">
        <v>1.28</v>
      </c>
      <c r="AE92" s="128">
        <v>1.29</v>
      </c>
      <c r="AF92" s="128">
        <v>1.3</v>
      </c>
      <c r="AG92" s="128">
        <v>1.31</v>
      </c>
      <c r="AH92" s="128">
        <v>1.32</v>
      </c>
      <c r="AI92" s="128">
        <v>1.33</v>
      </c>
      <c r="AJ92" s="128">
        <v>1.34</v>
      </c>
      <c r="AK92" s="128">
        <v>1.35</v>
      </c>
      <c r="AL92" s="128">
        <v>1.36</v>
      </c>
      <c r="AM92" s="128">
        <v>1.37</v>
      </c>
      <c r="AN92" s="128">
        <v>1.38</v>
      </c>
      <c r="AO92" s="128">
        <v>1.39</v>
      </c>
      <c r="AP92" s="128">
        <v>1.4</v>
      </c>
      <c r="AQ92" s="128">
        <v>1.41</v>
      </c>
      <c r="AR92" s="128">
        <v>1.42</v>
      </c>
      <c r="AS92" s="128">
        <v>1.43</v>
      </c>
      <c r="AT92" s="128">
        <v>1.44</v>
      </c>
      <c r="AU92" s="128">
        <v>1.45</v>
      </c>
      <c r="AV92" s="128">
        <v>1.46</v>
      </c>
      <c r="AW92" s="128">
        <v>1.47</v>
      </c>
      <c r="AX92" s="128">
        <v>1.48</v>
      </c>
      <c r="AY92" s="128">
        <v>1.49</v>
      </c>
      <c r="AZ92" s="128">
        <v>1.5</v>
      </c>
      <c r="BA92" s="128">
        <v>1.51</v>
      </c>
      <c r="BB92" s="128">
        <v>1.52</v>
      </c>
      <c r="BC92" s="128">
        <v>1.53</v>
      </c>
      <c r="BD92" s="128">
        <v>1.54</v>
      </c>
      <c r="BE92" s="128">
        <v>1.55</v>
      </c>
      <c r="BF92" s="128">
        <v>1.56</v>
      </c>
      <c r="BG92" s="128">
        <v>1.57</v>
      </c>
      <c r="BH92" s="128">
        <v>1.58</v>
      </c>
      <c r="BI92" s="128">
        <v>1.59</v>
      </c>
      <c r="BJ92" s="128">
        <v>1.6</v>
      </c>
      <c r="BK92" s="128">
        <v>1.61</v>
      </c>
      <c r="BL92" s="128">
        <v>1.62</v>
      </c>
      <c r="BM92" s="128">
        <v>1.63</v>
      </c>
      <c r="BN92" s="128">
        <v>1.64</v>
      </c>
      <c r="BO92" s="128">
        <v>1.65</v>
      </c>
      <c r="BP92" s="128">
        <v>1.66</v>
      </c>
      <c r="BQ92" s="128">
        <v>1.67</v>
      </c>
      <c r="BR92" s="128">
        <v>1.68</v>
      </c>
      <c r="BS92" s="128">
        <v>1.69</v>
      </c>
      <c r="BT92" s="128">
        <v>1.7</v>
      </c>
      <c r="BU92" s="128">
        <v>1.71</v>
      </c>
      <c r="BV92" s="128">
        <v>1.72</v>
      </c>
      <c r="BW92" s="128">
        <v>1.73</v>
      </c>
      <c r="BX92" s="128">
        <v>1.74</v>
      </c>
      <c r="BY92" s="128">
        <v>1.75</v>
      </c>
      <c r="BZ92" s="128">
        <v>1.76</v>
      </c>
      <c r="CA92" s="128">
        <v>1.77</v>
      </c>
      <c r="CB92" s="128">
        <v>1.78</v>
      </c>
      <c r="CC92" s="128">
        <v>1.79</v>
      </c>
      <c r="CD92" s="128">
        <v>1.8</v>
      </c>
      <c r="CE92" s="128">
        <v>1.81</v>
      </c>
      <c r="CF92" s="128">
        <v>1.82</v>
      </c>
      <c r="CG92" s="128">
        <v>1.83</v>
      </c>
      <c r="CH92" s="128">
        <v>1.84</v>
      </c>
      <c r="CI92" s="128">
        <v>1.85</v>
      </c>
      <c r="CJ92" s="128">
        <v>1.86</v>
      </c>
      <c r="CK92" s="128">
        <v>1.87</v>
      </c>
      <c r="CL92" s="128">
        <v>1.88</v>
      </c>
      <c r="CM92" s="128">
        <v>1.89</v>
      </c>
      <c r="CN92" s="128">
        <v>1.9</v>
      </c>
      <c r="CO92" s="128">
        <v>1.91</v>
      </c>
      <c r="CP92" s="128">
        <v>1.92</v>
      </c>
      <c r="CQ92" s="128">
        <v>1.93</v>
      </c>
      <c r="CR92" s="128">
        <v>1.94</v>
      </c>
      <c r="CS92" s="128">
        <v>1.95</v>
      </c>
      <c r="CT92" s="128">
        <v>1.96</v>
      </c>
      <c r="CU92" s="128">
        <v>1.97</v>
      </c>
      <c r="CV92" s="128">
        <v>1.98</v>
      </c>
      <c r="CW92" s="128">
        <v>1.99</v>
      </c>
      <c r="CX92" s="128">
        <v>2</v>
      </c>
      <c r="CZ92" s="126">
        <f>SUMIF(MatrixF2[[1]:[2]],MatrixF2[[#This Row],[Столбец1]])/MatrixF2[[#This Row],[Столбец1]]</f>
        <v>92.999999999999829</v>
      </c>
    </row>
    <row r="93" spans="1:104" ht="21" customHeight="1" x14ac:dyDescent="0.25">
      <c r="A93" s="127">
        <v>1.9</v>
      </c>
      <c r="B93" s="128">
        <v>1</v>
      </c>
      <c r="C93" s="128">
        <v>1.01</v>
      </c>
      <c r="D93" s="128">
        <v>1.02</v>
      </c>
      <c r="E93" s="128">
        <v>1.03</v>
      </c>
      <c r="F93" s="128">
        <v>1.04</v>
      </c>
      <c r="G93" s="128">
        <v>1.05</v>
      </c>
      <c r="H93" s="128">
        <v>1.06</v>
      </c>
      <c r="I93" s="128">
        <v>1.07</v>
      </c>
      <c r="J93" s="128">
        <v>1.08</v>
      </c>
      <c r="K93" s="128">
        <v>1.0900000000000001</v>
      </c>
      <c r="L93" s="128">
        <v>1.1000000000000001</v>
      </c>
      <c r="M93" s="128">
        <v>1.1100000000000001</v>
      </c>
      <c r="N93" s="128">
        <v>1.1200000000000001</v>
      </c>
      <c r="O93" s="128">
        <v>1.1299999999999999</v>
      </c>
      <c r="P93" s="128">
        <v>1.1399999999999999</v>
      </c>
      <c r="Q93" s="128">
        <v>1.1499999999999999</v>
      </c>
      <c r="R93" s="128">
        <v>1.1599999999999999</v>
      </c>
      <c r="S93" s="128">
        <v>1.17</v>
      </c>
      <c r="T93" s="128">
        <v>1.18</v>
      </c>
      <c r="U93" s="128">
        <v>1.19</v>
      </c>
      <c r="V93" s="128">
        <v>1.2</v>
      </c>
      <c r="W93" s="128">
        <v>1.21</v>
      </c>
      <c r="X93" s="128">
        <v>1.22</v>
      </c>
      <c r="Y93" s="128">
        <v>1.23</v>
      </c>
      <c r="Z93" s="128">
        <v>1.24</v>
      </c>
      <c r="AA93" s="128">
        <v>1.25</v>
      </c>
      <c r="AB93" s="128">
        <v>1.26</v>
      </c>
      <c r="AC93" s="128">
        <v>1.27</v>
      </c>
      <c r="AD93" s="128">
        <v>1.28</v>
      </c>
      <c r="AE93" s="128">
        <v>1.29</v>
      </c>
      <c r="AF93" s="128">
        <v>1.3</v>
      </c>
      <c r="AG93" s="128">
        <v>1.31</v>
      </c>
      <c r="AH93" s="128">
        <v>1.32</v>
      </c>
      <c r="AI93" s="128">
        <v>1.33</v>
      </c>
      <c r="AJ93" s="128">
        <v>1.34</v>
      </c>
      <c r="AK93" s="128">
        <v>1.35</v>
      </c>
      <c r="AL93" s="128">
        <v>1.36</v>
      </c>
      <c r="AM93" s="128">
        <v>1.37</v>
      </c>
      <c r="AN93" s="128">
        <v>1.38</v>
      </c>
      <c r="AO93" s="128">
        <v>1.39</v>
      </c>
      <c r="AP93" s="128">
        <v>1.4</v>
      </c>
      <c r="AQ93" s="128">
        <v>1.41</v>
      </c>
      <c r="AR93" s="128">
        <v>1.42</v>
      </c>
      <c r="AS93" s="128">
        <v>1.43</v>
      </c>
      <c r="AT93" s="128">
        <v>1.44</v>
      </c>
      <c r="AU93" s="128">
        <v>1.45</v>
      </c>
      <c r="AV93" s="128">
        <v>1.46</v>
      </c>
      <c r="AW93" s="128">
        <v>1.47</v>
      </c>
      <c r="AX93" s="128">
        <v>1.48</v>
      </c>
      <c r="AY93" s="128">
        <v>1.49</v>
      </c>
      <c r="AZ93" s="128">
        <v>1.5</v>
      </c>
      <c r="BA93" s="128">
        <v>1.51</v>
      </c>
      <c r="BB93" s="128">
        <v>1.52</v>
      </c>
      <c r="BC93" s="128">
        <v>1.53</v>
      </c>
      <c r="BD93" s="128">
        <v>1.54</v>
      </c>
      <c r="BE93" s="128">
        <v>1.55</v>
      </c>
      <c r="BF93" s="128">
        <v>1.56</v>
      </c>
      <c r="BG93" s="128">
        <v>1.57</v>
      </c>
      <c r="BH93" s="128">
        <v>1.58</v>
      </c>
      <c r="BI93" s="128">
        <v>1.59</v>
      </c>
      <c r="BJ93" s="128">
        <v>1.6</v>
      </c>
      <c r="BK93" s="128">
        <v>1.61</v>
      </c>
      <c r="BL93" s="128">
        <v>1.62</v>
      </c>
      <c r="BM93" s="128">
        <v>1.63</v>
      </c>
      <c r="BN93" s="128">
        <v>1.64</v>
      </c>
      <c r="BO93" s="128">
        <v>1.65</v>
      </c>
      <c r="BP93" s="128">
        <v>1.66</v>
      </c>
      <c r="BQ93" s="128">
        <v>1.67</v>
      </c>
      <c r="BR93" s="128">
        <v>1.68</v>
      </c>
      <c r="BS93" s="128">
        <v>1.69</v>
      </c>
      <c r="BT93" s="128">
        <v>1.7</v>
      </c>
      <c r="BU93" s="128">
        <v>1.71</v>
      </c>
      <c r="BV93" s="128">
        <v>1.72</v>
      </c>
      <c r="BW93" s="128">
        <v>1.73</v>
      </c>
      <c r="BX93" s="128">
        <v>1.74</v>
      </c>
      <c r="BY93" s="128">
        <v>1.75</v>
      </c>
      <c r="BZ93" s="128">
        <v>1.76</v>
      </c>
      <c r="CA93" s="128">
        <v>1.77</v>
      </c>
      <c r="CB93" s="128">
        <v>1.78</v>
      </c>
      <c r="CC93" s="128">
        <v>1.79</v>
      </c>
      <c r="CD93" s="128">
        <v>1.8</v>
      </c>
      <c r="CE93" s="128">
        <v>1.81</v>
      </c>
      <c r="CF93" s="128">
        <v>1.82</v>
      </c>
      <c r="CG93" s="128">
        <v>1.83</v>
      </c>
      <c r="CH93" s="128">
        <v>1.84</v>
      </c>
      <c r="CI93" s="128">
        <v>1.85</v>
      </c>
      <c r="CJ93" s="128">
        <v>1.86</v>
      </c>
      <c r="CK93" s="128">
        <v>1.87</v>
      </c>
      <c r="CL93" s="128">
        <v>1.88</v>
      </c>
      <c r="CM93" s="128">
        <v>1.89</v>
      </c>
      <c r="CN93" s="128">
        <v>1.9</v>
      </c>
      <c r="CO93" s="128">
        <v>1.91</v>
      </c>
      <c r="CP93" s="128">
        <v>1.92</v>
      </c>
      <c r="CQ93" s="128">
        <v>1.93</v>
      </c>
      <c r="CR93" s="128">
        <v>1.94</v>
      </c>
      <c r="CS93" s="128">
        <v>1.95</v>
      </c>
      <c r="CT93" s="128">
        <v>1.96</v>
      </c>
      <c r="CU93" s="128">
        <v>1.97</v>
      </c>
      <c r="CV93" s="128">
        <v>1.98</v>
      </c>
      <c r="CW93" s="128">
        <v>1.99</v>
      </c>
      <c r="CX93" s="128">
        <v>2</v>
      </c>
      <c r="CZ93" s="126">
        <f>SUMIF(MatrixF2[[1]:[2]],MatrixF2[[#This Row],[Столбец1]])/MatrixF2[[#This Row],[Столбец1]]</f>
        <v>90.000000000000156</v>
      </c>
    </row>
    <row r="94" spans="1:104" ht="21" customHeight="1" x14ac:dyDescent="0.25">
      <c r="A94" s="127">
        <v>1.91</v>
      </c>
      <c r="B94" s="128">
        <v>1</v>
      </c>
      <c r="C94" s="128">
        <v>1.01</v>
      </c>
      <c r="D94" s="128">
        <v>1.02</v>
      </c>
      <c r="E94" s="128">
        <v>1.03</v>
      </c>
      <c r="F94" s="128">
        <v>1.04</v>
      </c>
      <c r="G94" s="128">
        <v>1.05</v>
      </c>
      <c r="H94" s="128">
        <v>1.06</v>
      </c>
      <c r="I94" s="128">
        <v>1.07</v>
      </c>
      <c r="J94" s="128">
        <v>1.08</v>
      </c>
      <c r="K94" s="128">
        <v>1.0900000000000001</v>
      </c>
      <c r="L94" s="128">
        <v>1.1000000000000001</v>
      </c>
      <c r="M94" s="128">
        <v>1.1100000000000001</v>
      </c>
      <c r="N94" s="128">
        <v>1.1200000000000001</v>
      </c>
      <c r="O94" s="128">
        <v>1.1299999999999999</v>
      </c>
      <c r="P94" s="128">
        <v>1.1399999999999999</v>
      </c>
      <c r="Q94" s="128">
        <v>1.1499999999999999</v>
      </c>
      <c r="R94" s="128">
        <v>1.1599999999999999</v>
      </c>
      <c r="S94" s="128">
        <v>1.17</v>
      </c>
      <c r="T94" s="128">
        <v>1.18</v>
      </c>
      <c r="U94" s="128">
        <v>1.19</v>
      </c>
      <c r="V94" s="128">
        <v>1.2</v>
      </c>
      <c r="W94" s="128">
        <v>1.21</v>
      </c>
      <c r="X94" s="128">
        <v>1.22</v>
      </c>
      <c r="Y94" s="128">
        <v>1.23</v>
      </c>
      <c r="Z94" s="128">
        <v>1.24</v>
      </c>
      <c r="AA94" s="128">
        <v>1.25</v>
      </c>
      <c r="AB94" s="128">
        <v>1.26</v>
      </c>
      <c r="AC94" s="128">
        <v>1.27</v>
      </c>
      <c r="AD94" s="128">
        <v>1.28</v>
      </c>
      <c r="AE94" s="128">
        <v>1.29</v>
      </c>
      <c r="AF94" s="128">
        <v>1.3</v>
      </c>
      <c r="AG94" s="128">
        <v>1.31</v>
      </c>
      <c r="AH94" s="128">
        <v>1.32</v>
      </c>
      <c r="AI94" s="128">
        <v>1.33</v>
      </c>
      <c r="AJ94" s="128">
        <v>1.34</v>
      </c>
      <c r="AK94" s="128">
        <v>1.35</v>
      </c>
      <c r="AL94" s="128">
        <v>1.36</v>
      </c>
      <c r="AM94" s="128">
        <v>1.37</v>
      </c>
      <c r="AN94" s="128">
        <v>1.38</v>
      </c>
      <c r="AO94" s="128">
        <v>1.39</v>
      </c>
      <c r="AP94" s="128">
        <v>1.4</v>
      </c>
      <c r="AQ94" s="128">
        <v>1.41</v>
      </c>
      <c r="AR94" s="128">
        <v>1.42</v>
      </c>
      <c r="AS94" s="128">
        <v>1.43</v>
      </c>
      <c r="AT94" s="128">
        <v>1.44</v>
      </c>
      <c r="AU94" s="128">
        <v>1.45</v>
      </c>
      <c r="AV94" s="128">
        <v>1.46</v>
      </c>
      <c r="AW94" s="128">
        <v>1.47</v>
      </c>
      <c r="AX94" s="128">
        <v>1.48</v>
      </c>
      <c r="AY94" s="128">
        <v>1.49</v>
      </c>
      <c r="AZ94" s="128">
        <v>1.5</v>
      </c>
      <c r="BA94" s="128">
        <v>1.51</v>
      </c>
      <c r="BB94" s="128">
        <v>1.52</v>
      </c>
      <c r="BC94" s="128">
        <v>1.53</v>
      </c>
      <c r="BD94" s="128">
        <v>1.54</v>
      </c>
      <c r="BE94" s="128">
        <v>1.55</v>
      </c>
      <c r="BF94" s="128">
        <v>1.56</v>
      </c>
      <c r="BG94" s="128">
        <v>1.57</v>
      </c>
      <c r="BH94" s="128">
        <v>1.58</v>
      </c>
      <c r="BI94" s="128">
        <v>1.59</v>
      </c>
      <c r="BJ94" s="128">
        <v>1.6</v>
      </c>
      <c r="BK94" s="128">
        <v>1.61</v>
      </c>
      <c r="BL94" s="128">
        <v>1.62</v>
      </c>
      <c r="BM94" s="128">
        <v>1.63</v>
      </c>
      <c r="BN94" s="128">
        <v>1.64</v>
      </c>
      <c r="BO94" s="128">
        <v>1.65</v>
      </c>
      <c r="BP94" s="128">
        <v>1.66</v>
      </c>
      <c r="BQ94" s="128">
        <v>1.67</v>
      </c>
      <c r="BR94" s="128">
        <v>1.68</v>
      </c>
      <c r="BS94" s="128">
        <v>1.69</v>
      </c>
      <c r="BT94" s="128">
        <v>1.7</v>
      </c>
      <c r="BU94" s="128">
        <v>1.71</v>
      </c>
      <c r="BV94" s="128">
        <v>1.72</v>
      </c>
      <c r="BW94" s="128">
        <v>1.73</v>
      </c>
      <c r="BX94" s="128">
        <v>1.74</v>
      </c>
      <c r="BY94" s="128">
        <v>1.75</v>
      </c>
      <c r="BZ94" s="128">
        <v>1.76</v>
      </c>
      <c r="CA94" s="128">
        <v>1.77</v>
      </c>
      <c r="CB94" s="128">
        <v>1.78</v>
      </c>
      <c r="CC94" s="128">
        <v>1.79</v>
      </c>
      <c r="CD94" s="128">
        <v>1.8</v>
      </c>
      <c r="CE94" s="128">
        <v>1.81</v>
      </c>
      <c r="CF94" s="128">
        <v>1.82</v>
      </c>
      <c r="CG94" s="128">
        <v>1.83</v>
      </c>
      <c r="CH94" s="128">
        <v>1.84</v>
      </c>
      <c r="CI94" s="128">
        <v>1.85</v>
      </c>
      <c r="CJ94" s="128">
        <v>1.86</v>
      </c>
      <c r="CK94" s="128">
        <v>1.87</v>
      </c>
      <c r="CL94" s="128">
        <v>1.88</v>
      </c>
      <c r="CM94" s="128">
        <v>1.89</v>
      </c>
      <c r="CN94" s="128">
        <v>1.9</v>
      </c>
      <c r="CO94" s="128">
        <v>1.91</v>
      </c>
      <c r="CP94" s="128">
        <v>1.92</v>
      </c>
      <c r="CQ94" s="128">
        <v>1.93</v>
      </c>
      <c r="CR94" s="128">
        <v>1.94</v>
      </c>
      <c r="CS94" s="128">
        <v>1.95</v>
      </c>
      <c r="CT94" s="128">
        <v>1.96</v>
      </c>
      <c r="CU94" s="128">
        <v>1.97</v>
      </c>
      <c r="CV94" s="128">
        <v>1.98</v>
      </c>
      <c r="CW94" s="128">
        <v>1.99</v>
      </c>
      <c r="CX94" s="128">
        <v>2</v>
      </c>
      <c r="CZ94" s="126">
        <f>SUMIF(MatrixF2[[1]:[2]],MatrixF2[[#This Row],[Столбец1]])/MatrixF2[[#This Row],[Столбец1]]</f>
        <v>88.999999999999872</v>
      </c>
    </row>
    <row r="95" spans="1:104" ht="21" customHeight="1" x14ac:dyDescent="0.25">
      <c r="A95" s="127">
        <v>1.92</v>
      </c>
      <c r="B95" s="128">
        <v>1</v>
      </c>
      <c r="C95" s="128">
        <v>1.01</v>
      </c>
      <c r="D95" s="128">
        <v>1.02</v>
      </c>
      <c r="E95" s="128">
        <v>1.03</v>
      </c>
      <c r="F95" s="128">
        <v>1.04</v>
      </c>
      <c r="G95" s="128">
        <v>1.05</v>
      </c>
      <c r="H95" s="128">
        <v>1.06</v>
      </c>
      <c r="I95" s="128">
        <v>1.07</v>
      </c>
      <c r="J95" s="128">
        <v>1.08</v>
      </c>
      <c r="K95" s="128">
        <v>1.0900000000000001</v>
      </c>
      <c r="L95" s="128">
        <v>1.1000000000000001</v>
      </c>
      <c r="M95" s="128">
        <v>1.1100000000000001</v>
      </c>
      <c r="N95" s="128">
        <v>1.1200000000000001</v>
      </c>
      <c r="O95" s="128">
        <v>1.1299999999999999</v>
      </c>
      <c r="P95" s="128">
        <v>1.1399999999999999</v>
      </c>
      <c r="Q95" s="128">
        <v>1.1499999999999999</v>
      </c>
      <c r="R95" s="128">
        <v>1.1599999999999999</v>
      </c>
      <c r="S95" s="128">
        <v>1.17</v>
      </c>
      <c r="T95" s="128">
        <v>1.18</v>
      </c>
      <c r="U95" s="128">
        <v>1.19</v>
      </c>
      <c r="V95" s="128">
        <v>1.2</v>
      </c>
      <c r="W95" s="128">
        <v>1.21</v>
      </c>
      <c r="X95" s="128">
        <v>1.22</v>
      </c>
      <c r="Y95" s="128">
        <v>1.23</v>
      </c>
      <c r="Z95" s="128">
        <v>1.24</v>
      </c>
      <c r="AA95" s="128">
        <v>1.25</v>
      </c>
      <c r="AB95" s="128">
        <v>1.26</v>
      </c>
      <c r="AC95" s="128">
        <v>1.27</v>
      </c>
      <c r="AD95" s="128">
        <v>1.28</v>
      </c>
      <c r="AE95" s="128">
        <v>1.29</v>
      </c>
      <c r="AF95" s="128">
        <v>1.3</v>
      </c>
      <c r="AG95" s="128">
        <v>1.31</v>
      </c>
      <c r="AH95" s="128">
        <v>1.32</v>
      </c>
      <c r="AI95" s="128">
        <v>1.33</v>
      </c>
      <c r="AJ95" s="128">
        <v>1.34</v>
      </c>
      <c r="AK95" s="128">
        <v>1.35</v>
      </c>
      <c r="AL95" s="128">
        <v>1.36</v>
      </c>
      <c r="AM95" s="128">
        <v>1.37</v>
      </c>
      <c r="AN95" s="128">
        <v>1.38</v>
      </c>
      <c r="AO95" s="128">
        <v>1.39</v>
      </c>
      <c r="AP95" s="128">
        <v>1.4</v>
      </c>
      <c r="AQ95" s="128">
        <v>1.41</v>
      </c>
      <c r="AR95" s="128">
        <v>1.42</v>
      </c>
      <c r="AS95" s="128">
        <v>1.43</v>
      </c>
      <c r="AT95" s="128">
        <v>1.44</v>
      </c>
      <c r="AU95" s="128">
        <v>1.45</v>
      </c>
      <c r="AV95" s="128">
        <v>1.46</v>
      </c>
      <c r="AW95" s="128">
        <v>1.47</v>
      </c>
      <c r="AX95" s="128">
        <v>1.48</v>
      </c>
      <c r="AY95" s="128">
        <v>1.49</v>
      </c>
      <c r="AZ95" s="128">
        <v>1.5</v>
      </c>
      <c r="BA95" s="128">
        <v>1.51</v>
      </c>
      <c r="BB95" s="128">
        <v>1.52</v>
      </c>
      <c r="BC95" s="128">
        <v>1.53</v>
      </c>
      <c r="BD95" s="128">
        <v>1.54</v>
      </c>
      <c r="BE95" s="128">
        <v>1.55</v>
      </c>
      <c r="BF95" s="128">
        <v>1.56</v>
      </c>
      <c r="BG95" s="128">
        <v>1.57</v>
      </c>
      <c r="BH95" s="128">
        <v>1.58</v>
      </c>
      <c r="BI95" s="128">
        <v>1.59</v>
      </c>
      <c r="BJ95" s="128">
        <v>1.6</v>
      </c>
      <c r="BK95" s="128">
        <v>1.61</v>
      </c>
      <c r="BL95" s="128">
        <v>1.62</v>
      </c>
      <c r="BM95" s="128">
        <v>1.63</v>
      </c>
      <c r="BN95" s="128">
        <v>1.64</v>
      </c>
      <c r="BO95" s="128">
        <v>1.65</v>
      </c>
      <c r="BP95" s="128">
        <v>1.66</v>
      </c>
      <c r="BQ95" s="128">
        <v>1.67</v>
      </c>
      <c r="BR95" s="128">
        <v>1.68</v>
      </c>
      <c r="BS95" s="128">
        <v>1.69</v>
      </c>
      <c r="BT95" s="128">
        <v>1.7</v>
      </c>
      <c r="BU95" s="128">
        <v>1.71</v>
      </c>
      <c r="BV95" s="128">
        <v>1.72</v>
      </c>
      <c r="BW95" s="128">
        <v>1.73</v>
      </c>
      <c r="BX95" s="128">
        <v>1.74</v>
      </c>
      <c r="BY95" s="128">
        <v>1.75</v>
      </c>
      <c r="BZ95" s="128">
        <v>1.76</v>
      </c>
      <c r="CA95" s="128">
        <v>1.77</v>
      </c>
      <c r="CB95" s="128">
        <v>1.78</v>
      </c>
      <c r="CC95" s="128">
        <v>1.79</v>
      </c>
      <c r="CD95" s="128">
        <v>1.8</v>
      </c>
      <c r="CE95" s="128">
        <v>1.81</v>
      </c>
      <c r="CF95" s="128">
        <v>1.82</v>
      </c>
      <c r="CG95" s="128">
        <v>1.83</v>
      </c>
      <c r="CH95" s="128">
        <v>1.84</v>
      </c>
      <c r="CI95" s="128">
        <v>1.85</v>
      </c>
      <c r="CJ95" s="128">
        <v>1.86</v>
      </c>
      <c r="CK95" s="128">
        <v>1.87</v>
      </c>
      <c r="CL95" s="128">
        <v>1.88</v>
      </c>
      <c r="CM95" s="128">
        <v>1.89</v>
      </c>
      <c r="CN95" s="128">
        <v>1.9</v>
      </c>
      <c r="CO95" s="128">
        <v>1.91</v>
      </c>
      <c r="CP95" s="128">
        <v>1.92</v>
      </c>
      <c r="CQ95" s="128">
        <v>1.93</v>
      </c>
      <c r="CR95" s="128">
        <v>1.94</v>
      </c>
      <c r="CS95" s="128">
        <v>1.95</v>
      </c>
      <c r="CT95" s="128">
        <v>1.96</v>
      </c>
      <c r="CU95" s="128">
        <v>1.97</v>
      </c>
      <c r="CV95" s="128">
        <v>1.98</v>
      </c>
      <c r="CW95" s="128">
        <v>1.99</v>
      </c>
      <c r="CX95" s="128">
        <v>2</v>
      </c>
      <c r="CZ95" s="126">
        <f>SUMIF(MatrixF2[[1]:[2]],MatrixF2[[#This Row],[Столбец1]])/MatrixF2[[#This Row],[Столбец1]]</f>
        <v>85.999999999999929</v>
      </c>
    </row>
    <row r="96" spans="1:104" ht="21" customHeight="1" x14ac:dyDescent="0.25">
      <c r="A96" s="127">
        <v>1.93</v>
      </c>
      <c r="B96" s="128">
        <v>1</v>
      </c>
      <c r="C96" s="128">
        <v>1.01</v>
      </c>
      <c r="D96" s="128">
        <v>1.02</v>
      </c>
      <c r="E96" s="128">
        <v>1.03</v>
      </c>
      <c r="F96" s="128">
        <v>1.04</v>
      </c>
      <c r="G96" s="128">
        <v>1.05</v>
      </c>
      <c r="H96" s="128">
        <v>1.06</v>
      </c>
      <c r="I96" s="128">
        <v>1.07</v>
      </c>
      <c r="J96" s="128">
        <v>1.08</v>
      </c>
      <c r="K96" s="128">
        <v>1.0900000000000001</v>
      </c>
      <c r="L96" s="128">
        <v>1.1000000000000001</v>
      </c>
      <c r="M96" s="128">
        <v>1.1100000000000001</v>
      </c>
      <c r="N96" s="128">
        <v>1.1200000000000001</v>
      </c>
      <c r="O96" s="128">
        <v>1.1299999999999999</v>
      </c>
      <c r="P96" s="128">
        <v>1.1399999999999999</v>
      </c>
      <c r="Q96" s="128">
        <v>1.1499999999999999</v>
      </c>
      <c r="R96" s="128">
        <v>1.1599999999999999</v>
      </c>
      <c r="S96" s="128">
        <v>1.17</v>
      </c>
      <c r="T96" s="128">
        <v>1.18</v>
      </c>
      <c r="U96" s="128">
        <v>1.19</v>
      </c>
      <c r="V96" s="128">
        <v>1.2</v>
      </c>
      <c r="W96" s="128">
        <v>1.21</v>
      </c>
      <c r="X96" s="128">
        <v>1.22</v>
      </c>
      <c r="Y96" s="128">
        <v>1.23</v>
      </c>
      <c r="Z96" s="128">
        <v>1.24</v>
      </c>
      <c r="AA96" s="128">
        <v>1.25</v>
      </c>
      <c r="AB96" s="128">
        <v>1.26</v>
      </c>
      <c r="AC96" s="128">
        <v>1.27</v>
      </c>
      <c r="AD96" s="128">
        <v>1.28</v>
      </c>
      <c r="AE96" s="128">
        <v>1.29</v>
      </c>
      <c r="AF96" s="128">
        <v>1.3</v>
      </c>
      <c r="AG96" s="128">
        <v>1.31</v>
      </c>
      <c r="AH96" s="128">
        <v>1.32</v>
      </c>
      <c r="AI96" s="128">
        <v>1.33</v>
      </c>
      <c r="AJ96" s="128">
        <v>1.34</v>
      </c>
      <c r="AK96" s="128">
        <v>1.35</v>
      </c>
      <c r="AL96" s="128">
        <v>1.36</v>
      </c>
      <c r="AM96" s="128">
        <v>1.37</v>
      </c>
      <c r="AN96" s="128">
        <v>1.38</v>
      </c>
      <c r="AO96" s="128">
        <v>1.39</v>
      </c>
      <c r="AP96" s="128">
        <v>1.4</v>
      </c>
      <c r="AQ96" s="128">
        <v>1.41</v>
      </c>
      <c r="AR96" s="128">
        <v>1.42</v>
      </c>
      <c r="AS96" s="128">
        <v>1.43</v>
      </c>
      <c r="AT96" s="128">
        <v>1.44</v>
      </c>
      <c r="AU96" s="128">
        <v>1.45</v>
      </c>
      <c r="AV96" s="128">
        <v>1.46</v>
      </c>
      <c r="AW96" s="128">
        <v>1.47</v>
      </c>
      <c r="AX96" s="128">
        <v>1.48</v>
      </c>
      <c r="AY96" s="128">
        <v>1.49</v>
      </c>
      <c r="AZ96" s="128">
        <v>1.5</v>
      </c>
      <c r="BA96" s="128">
        <v>1.51</v>
      </c>
      <c r="BB96" s="128">
        <v>1.52</v>
      </c>
      <c r="BC96" s="128">
        <v>1.53</v>
      </c>
      <c r="BD96" s="128">
        <v>1.54</v>
      </c>
      <c r="BE96" s="128">
        <v>1.55</v>
      </c>
      <c r="BF96" s="128">
        <v>1.56</v>
      </c>
      <c r="BG96" s="128">
        <v>1.57</v>
      </c>
      <c r="BH96" s="128">
        <v>1.58</v>
      </c>
      <c r="BI96" s="128">
        <v>1.59</v>
      </c>
      <c r="BJ96" s="128">
        <v>1.6</v>
      </c>
      <c r="BK96" s="128">
        <v>1.61</v>
      </c>
      <c r="BL96" s="128">
        <v>1.62</v>
      </c>
      <c r="BM96" s="128">
        <v>1.63</v>
      </c>
      <c r="BN96" s="128">
        <v>1.64</v>
      </c>
      <c r="BO96" s="128">
        <v>1.65</v>
      </c>
      <c r="BP96" s="128">
        <v>1.66</v>
      </c>
      <c r="BQ96" s="128">
        <v>1.67</v>
      </c>
      <c r="BR96" s="128">
        <v>1.68</v>
      </c>
      <c r="BS96" s="128">
        <v>1.69</v>
      </c>
      <c r="BT96" s="128">
        <v>1.7</v>
      </c>
      <c r="BU96" s="128">
        <v>1.71</v>
      </c>
      <c r="BV96" s="128">
        <v>1.72</v>
      </c>
      <c r="BW96" s="128">
        <v>1.73</v>
      </c>
      <c r="BX96" s="128">
        <v>1.74</v>
      </c>
      <c r="BY96" s="128">
        <v>1.75</v>
      </c>
      <c r="BZ96" s="128">
        <v>1.76</v>
      </c>
      <c r="CA96" s="128">
        <v>1.77</v>
      </c>
      <c r="CB96" s="128">
        <v>1.78</v>
      </c>
      <c r="CC96" s="128">
        <v>1.79</v>
      </c>
      <c r="CD96" s="128">
        <v>1.8</v>
      </c>
      <c r="CE96" s="128">
        <v>1.81</v>
      </c>
      <c r="CF96" s="128">
        <v>1.82</v>
      </c>
      <c r="CG96" s="128">
        <v>1.83</v>
      </c>
      <c r="CH96" s="128">
        <v>1.84</v>
      </c>
      <c r="CI96" s="128">
        <v>1.85</v>
      </c>
      <c r="CJ96" s="128">
        <v>1.86</v>
      </c>
      <c r="CK96" s="128">
        <v>1.87</v>
      </c>
      <c r="CL96" s="128">
        <v>1.88</v>
      </c>
      <c r="CM96" s="128">
        <v>1.89</v>
      </c>
      <c r="CN96" s="128">
        <v>1.9</v>
      </c>
      <c r="CO96" s="128">
        <v>1.91</v>
      </c>
      <c r="CP96" s="128">
        <v>1.92</v>
      </c>
      <c r="CQ96" s="128">
        <v>1.93</v>
      </c>
      <c r="CR96" s="128">
        <v>1.94</v>
      </c>
      <c r="CS96" s="128">
        <v>1.95</v>
      </c>
      <c r="CT96" s="128">
        <v>1.96</v>
      </c>
      <c r="CU96" s="128">
        <v>1.97</v>
      </c>
      <c r="CV96" s="128">
        <v>1.98</v>
      </c>
      <c r="CW96" s="128">
        <v>1.99</v>
      </c>
      <c r="CX96" s="128">
        <v>2</v>
      </c>
      <c r="CZ96" s="126">
        <f>SUMIF(MatrixF2[[1]:[2]],MatrixF2[[#This Row],[Столбец1]])/MatrixF2[[#This Row],[Столбец1]]</f>
        <v>87.000000000000199</v>
      </c>
    </row>
    <row r="97" spans="1:104" ht="21" customHeight="1" x14ac:dyDescent="0.25">
      <c r="A97" s="127">
        <v>1.94</v>
      </c>
      <c r="B97" s="128">
        <v>1</v>
      </c>
      <c r="C97" s="128">
        <v>1.01</v>
      </c>
      <c r="D97" s="128">
        <v>1.02</v>
      </c>
      <c r="E97" s="128">
        <v>1.03</v>
      </c>
      <c r="F97" s="128">
        <v>1.04</v>
      </c>
      <c r="G97" s="128">
        <v>1.05</v>
      </c>
      <c r="H97" s="128">
        <v>1.06</v>
      </c>
      <c r="I97" s="128">
        <v>1.07</v>
      </c>
      <c r="J97" s="128">
        <v>1.08</v>
      </c>
      <c r="K97" s="128">
        <v>1.0900000000000001</v>
      </c>
      <c r="L97" s="128">
        <v>1.1000000000000001</v>
      </c>
      <c r="M97" s="128">
        <v>1.1100000000000001</v>
      </c>
      <c r="N97" s="128">
        <v>1.1200000000000001</v>
      </c>
      <c r="O97" s="128">
        <v>1.1299999999999999</v>
      </c>
      <c r="P97" s="128">
        <v>1.1399999999999999</v>
      </c>
      <c r="Q97" s="128">
        <v>1.1499999999999999</v>
      </c>
      <c r="R97" s="128">
        <v>1.1599999999999999</v>
      </c>
      <c r="S97" s="128">
        <v>1.17</v>
      </c>
      <c r="T97" s="128">
        <v>1.18</v>
      </c>
      <c r="U97" s="128">
        <v>1.19</v>
      </c>
      <c r="V97" s="128">
        <v>1.2</v>
      </c>
      <c r="W97" s="128">
        <v>1.21</v>
      </c>
      <c r="X97" s="128">
        <v>1.22</v>
      </c>
      <c r="Y97" s="128">
        <v>1.23</v>
      </c>
      <c r="Z97" s="128">
        <v>1.24</v>
      </c>
      <c r="AA97" s="128">
        <v>1.25</v>
      </c>
      <c r="AB97" s="128">
        <v>1.26</v>
      </c>
      <c r="AC97" s="128">
        <v>1.27</v>
      </c>
      <c r="AD97" s="128">
        <v>1.28</v>
      </c>
      <c r="AE97" s="128">
        <v>1.29</v>
      </c>
      <c r="AF97" s="128">
        <v>1.3</v>
      </c>
      <c r="AG97" s="128">
        <v>1.31</v>
      </c>
      <c r="AH97" s="128">
        <v>1.32</v>
      </c>
      <c r="AI97" s="128">
        <v>1.33</v>
      </c>
      <c r="AJ97" s="128">
        <v>1.34</v>
      </c>
      <c r="AK97" s="128">
        <v>1.35</v>
      </c>
      <c r="AL97" s="128">
        <v>1.36</v>
      </c>
      <c r="AM97" s="128">
        <v>1.37</v>
      </c>
      <c r="AN97" s="128">
        <v>1.38</v>
      </c>
      <c r="AO97" s="128">
        <v>1.39</v>
      </c>
      <c r="AP97" s="128">
        <v>1.4</v>
      </c>
      <c r="AQ97" s="128">
        <v>1.41</v>
      </c>
      <c r="AR97" s="128">
        <v>1.42</v>
      </c>
      <c r="AS97" s="128">
        <v>1.43</v>
      </c>
      <c r="AT97" s="128">
        <v>1.44</v>
      </c>
      <c r="AU97" s="128">
        <v>1.45</v>
      </c>
      <c r="AV97" s="128">
        <v>1.46</v>
      </c>
      <c r="AW97" s="128">
        <v>1.47</v>
      </c>
      <c r="AX97" s="128">
        <v>1.48</v>
      </c>
      <c r="AY97" s="128">
        <v>1.49</v>
      </c>
      <c r="AZ97" s="128">
        <v>1.5</v>
      </c>
      <c r="BA97" s="128">
        <v>1.51</v>
      </c>
      <c r="BB97" s="128">
        <v>1.52</v>
      </c>
      <c r="BC97" s="128">
        <v>1.53</v>
      </c>
      <c r="BD97" s="128">
        <v>1.54</v>
      </c>
      <c r="BE97" s="128">
        <v>1.55</v>
      </c>
      <c r="BF97" s="128">
        <v>1.56</v>
      </c>
      <c r="BG97" s="128">
        <v>1.57</v>
      </c>
      <c r="BH97" s="128">
        <v>1.58</v>
      </c>
      <c r="BI97" s="128">
        <v>1.59</v>
      </c>
      <c r="BJ97" s="128">
        <v>1.6</v>
      </c>
      <c r="BK97" s="128">
        <v>1.61</v>
      </c>
      <c r="BL97" s="128">
        <v>1.62</v>
      </c>
      <c r="BM97" s="128">
        <v>1.63</v>
      </c>
      <c r="BN97" s="128">
        <v>1.64</v>
      </c>
      <c r="BO97" s="128">
        <v>1.65</v>
      </c>
      <c r="BP97" s="128">
        <v>1.66</v>
      </c>
      <c r="BQ97" s="128">
        <v>1.67</v>
      </c>
      <c r="BR97" s="128">
        <v>1.68</v>
      </c>
      <c r="BS97" s="128">
        <v>1.69</v>
      </c>
      <c r="BT97" s="128">
        <v>1.7</v>
      </c>
      <c r="BU97" s="128">
        <v>1.71</v>
      </c>
      <c r="BV97" s="128">
        <v>1.72</v>
      </c>
      <c r="BW97" s="128">
        <v>1.73</v>
      </c>
      <c r="BX97" s="128">
        <v>1.74</v>
      </c>
      <c r="BY97" s="128">
        <v>1.75</v>
      </c>
      <c r="BZ97" s="128">
        <v>1.76</v>
      </c>
      <c r="CA97" s="128">
        <v>1.77</v>
      </c>
      <c r="CB97" s="128">
        <v>1.78</v>
      </c>
      <c r="CC97" s="128">
        <v>1.79</v>
      </c>
      <c r="CD97" s="128">
        <v>1.8</v>
      </c>
      <c r="CE97" s="128">
        <v>1.81</v>
      </c>
      <c r="CF97" s="128">
        <v>1.82</v>
      </c>
      <c r="CG97" s="128">
        <v>1.83</v>
      </c>
      <c r="CH97" s="128">
        <v>1.84</v>
      </c>
      <c r="CI97" s="128">
        <v>1.85</v>
      </c>
      <c r="CJ97" s="128">
        <v>1.86</v>
      </c>
      <c r="CK97" s="128">
        <v>1.87</v>
      </c>
      <c r="CL97" s="128">
        <v>1.88</v>
      </c>
      <c r="CM97" s="128">
        <v>1.89</v>
      </c>
      <c r="CN97" s="128">
        <v>1.9</v>
      </c>
      <c r="CO97" s="128">
        <v>1.91</v>
      </c>
      <c r="CP97" s="128">
        <v>1.92</v>
      </c>
      <c r="CQ97" s="128">
        <v>1.93</v>
      </c>
      <c r="CR97" s="128">
        <v>1.94</v>
      </c>
      <c r="CS97" s="128">
        <v>1.95</v>
      </c>
      <c r="CT97" s="128">
        <v>1.96</v>
      </c>
      <c r="CU97" s="128">
        <v>1.97</v>
      </c>
      <c r="CV97" s="128">
        <v>1.98</v>
      </c>
      <c r="CW97" s="128">
        <v>1.99</v>
      </c>
      <c r="CX97" s="128">
        <v>2</v>
      </c>
      <c r="CZ97" s="126">
        <f>SUMIF(MatrixF2[[1]:[2]],MatrixF2[[#This Row],[Столбец1]])/MatrixF2[[#This Row],[Столбец1]]</f>
        <v>80.999999999999943</v>
      </c>
    </row>
    <row r="98" spans="1:104" ht="21" customHeight="1" x14ac:dyDescent="0.25">
      <c r="A98" s="127">
        <v>1.95</v>
      </c>
      <c r="B98" s="128">
        <v>1</v>
      </c>
      <c r="C98" s="128">
        <v>1.01</v>
      </c>
      <c r="D98" s="128">
        <v>1.02</v>
      </c>
      <c r="E98" s="128">
        <v>1.03</v>
      </c>
      <c r="F98" s="128">
        <v>1.04</v>
      </c>
      <c r="G98" s="128">
        <v>1.05</v>
      </c>
      <c r="H98" s="128">
        <v>1.06</v>
      </c>
      <c r="I98" s="128">
        <v>1.07</v>
      </c>
      <c r="J98" s="128">
        <v>1.08</v>
      </c>
      <c r="K98" s="128">
        <v>1.0900000000000001</v>
      </c>
      <c r="L98" s="128">
        <v>1.1000000000000001</v>
      </c>
      <c r="M98" s="128">
        <v>1.1100000000000001</v>
      </c>
      <c r="N98" s="128">
        <v>1.1200000000000001</v>
      </c>
      <c r="O98" s="128">
        <v>1.1299999999999999</v>
      </c>
      <c r="P98" s="128">
        <v>1.1399999999999999</v>
      </c>
      <c r="Q98" s="128">
        <v>1.1499999999999999</v>
      </c>
      <c r="R98" s="128">
        <v>1.1599999999999999</v>
      </c>
      <c r="S98" s="128">
        <v>1.17</v>
      </c>
      <c r="T98" s="128">
        <v>1.18</v>
      </c>
      <c r="U98" s="128">
        <v>1.19</v>
      </c>
      <c r="V98" s="128">
        <v>1.2</v>
      </c>
      <c r="W98" s="128">
        <v>1.21</v>
      </c>
      <c r="X98" s="128">
        <v>1.22</v>
      </c>
      <c r="Y98" s="128">
        <v>1.23</v>
      </c>
      <c r="Z98" s="128">
        <v>1.24</v>
      </c>
      <c r="AA98" s="128">
        <v>1.25</v>
      </c>
      <c r="AB98" s="128">
        <v>1.26</v>
      </c>
      <c r="AC98" s="128">
        <v>1.27</v>
      </c>
      <c r="AD98" s="128">
        <v>1.28</v>
      </c>
      <c r="AE98" s="128">
        <v>1.29</v>
      </c>
      <c r="AF98" s="128">
        <v>1.3</v>
      </c>
      <c r="AG98" s="128">
        <v>1.31</v>
      </c>
      <c r="AH98" s="128">
        <v>1.32</v>
      </c>
      <c r="AI98" s="128">
        <v>1.33</v>
      </c>
      <c r="AJ98" s="128">
        <v>1.34</v>
      </c>
      <c r="AK98" s="128">
        <v>1.35</v>
      </c>
      <c r="AL98" s="128">
        <v>1.36</v>
      </c>
      <c r="AM98" s="128">
        <v>1.37</v>
      </c>
      <c r="AN98" s="128">
        <v>1.38</v>
      </c>
      <c r="AO98" s="128">
        <v>1.39</v>
      </c>
      <c r="AP98" s="128">
        <v>1.4</v>
      </c>
      <c r="AQ98" s="128">
        <v>1.41</v>
      </c>
      <c r="AR98" s="128">
        <v>1.42</v>
      </c>
      <c r="AS98" s="128">
        <v>1.43</v>
      </c>
      <c r="AT98" s="128">
        <v>1.44</v>
      </c>
      <c r="AU98" s="128">
        <v>1.45</v>
      </c>
      <c r="AV98" s="128">
        <v>1.46</v>
      </c>
      <c r="AW98" s="128">
        <v>1.47</v>
      </c>
      <c r="AX98" s="128">
        <v>1.48</v>
      </c>
      <c r="AY98" s="128">
        <v>1.49</v>
      </c>
      <c r="AZ98" s="128">
        <v>1.5</v>
      </c>
      <c r="BA98" s="128">
        <v>1.51</v>
      </c>
      <c r="BB98" s="128">
        <v>1.52</v>
      </c>
      <c r="BC98" s="128">
        <v>1.53</v>
      </c>
      <c r="BD98" s="128">
        <v>1.54</v>
      </c>
      <c r="BE98" s="128">
        <v>1.55</v>
      </c>
      <c r="BF98" s="128">
        <v>1.56</v>
      </c>
      <c r="BG98" s="128">
        <v>1.57</v>
      </c>
      <c r="BH98" s="128">
        <v>1.58</v>
      </c>
      <c r="BI98" s="128">
        <v>1.59</v>
      </c>
      <c r="BJ98" s="128">
        <v>1.6</v>
      </c>
      <c r="BK98" s="128">
        <v>1.61</v>
      </c>
      <c r="BL98" s="128">
        <v>1.62</v>
      </c>
      <c r="BM98" s="128">
        <v>1.63</v>
      </c>
      <c r="BN98" s="128">
        <v>1.64</v>
      </c>
      <c r="BO98" s="128">
        <v>1.65</v>
      </c>
      <c r="BP98" s="128">
        <v>1.66</v>
      </c>
      <c r="BQ98" s="128">
        <v>1.67</v>
      </c>
      <c r="BR98" s="128">
        <v>1.68</v>
      </c>
      <c r="BS98" s="128">
        <v>1.69</v>
      </c>
      <c r="BT98" s="128">
        <v>1.7</v>
      </c>
      <c r="BU98" s="128">
        <v>1.71</v>
      </c>
      <c r="BV98" s="128">
        <v>1.72</v>
      </c>
      <c r="BW98" s="128">
        <v>1.73</v>
      </c>
      <c r="BX98" s="128">
        <v>1.74</v>
      </c>
      <c r="BY98" s="128">
        <v>1.75</v>
      </c>
      <c r="BZ98" s="128">
        <v>1.76</v>
      </c>
      <c r="CA98" s="128">
        <v>1.77</v>
      </c>
      <c r="CB98" s="128">
        <v>1.78</v>
      </c>
      <c r="CC98" s="128">
        <v>1.79</v>
      </c>
      <c r="CD98" s="128">
        <v>1.8</v>
      </c>
      <c r="CE98" s="128">
        <v>1.81</v>
      </c>
      <c r="CF98" s="128">
        <v>1.82</v>
      </c>
      <c r="CG98" s="128">
        <v>1.83</v>
      </c>
      <c r="CH98" s="128">
        <v>1.84</v>
      </c>
      <c r="CI98" s="128">
        <v>1.85</v>
      </c>
      <c r="CJ98" s="128">
        <v>1.86</v>
      </c>
      <c r="CK98" s="128">
        <v>1.87</v>
      </c>
      <c r="CL98" s="128">
        <v>1.88</v>
      </c>
      <c r="CM98" s="128">
        <v>1.89</v>
      </c>
      <c r="CN98" s="128">
        <v>1.9</v>
      </c>
      <c r="CO98" s="128">
        <v>1.91</v>
      </c>
      <c r="CP98" s="128">
        <v>1.92</v>
      </c>
      <c r="CQ98" s="128">
        <v>1.93</v>
      </c>
      <c r="CR98" s="128">
        <v>1.94</v>
      </c>
      <c r="CS98" s="128">
        <v>1.95</v>
      </c>
      <c r="CT98" s="128">
        <v>1.96</v>
      </c>
      <c r="CU98" s="128">
        <v>1.97</v>
      </c>
      <c r="CV98" s="128">
        <v>1.98</v>
      </c>
      <c r="CW98" s="128">
        <v>1.99</v>
      </c>
      <c r="CX98" s="128">
        <v>2</v>
      </c>
      <c r="CZ98" s="126">
        <f>SUMIF(MatrixF2[[1]:[2]],MatrixF2[[#This Row],[Столбец1]])/MatrixF2[[#This Row],[Столбец1]]</f>
        <v>85.999999999999957</v>
      </c>
    </row>
    <row r="99" spans="1:104" ht="21" customHeight="1" x14ac:dyDescent="0.25">
      <c r="A99" s="127">
        <v>1.96</v>
      </c>
      <c r="B99" s="128">
        <v>1</v>
      </c>
      <c r="C99" s="128">
        <v>1.01</v>
      </c>
      <c r="D99" s="128">
        <v>1.02</v>
      </c>
      <c r="E99" s="128">
        <v>1.03</v>
      </c>
      <c r="F99" s="128">
        <v>1.04</v>
      </c>
      <c r="G99" s="128">
        <v>1.05</v>
      </c>
      <c r="H99" s="128">
        <v>1.06</v>
      </c>
      <c r="I99" s="128">
        <v>1.07</v>
      </c>
      <c r="J99" s="128">
        <v>1.08</v>
      </c>
      <c r="K99" s="128">
        <v>1.0900000000000001</v>
      </c>
      <c r="L99" s="128">
        <v>1.1000000000000001</v>
      </c>
      <c r="M99" s="128">
        <v>1.1100000000000001</v>
      </c>
      <c r="N99" s="128">
        <v>1.1200000000000001</v>
      </c>
      <c r="O99" s="128">
        <v>1.1299999999999999</v>
      </c>
      <c r="P99" s="128">
        <v>1.1399999999999999</v>
      </c>
      <c r="Q99" s="128">
        <v>1.1499999999999999</v>
      </c>
      <c r="R99" s="128">
        <v>1.1599999999999999</v>
      </c>
      <c r="S99" s="128">
        <v>1.17</v>
      </c>
      <c r="T99" s="128">
        <v>1.18</v>
      </c>
      <c r="U99" s="128">
        <v>1.19</v>
      </c>
      <c r="V99" s="128">
        <v>1.2</v>
      </c>
      <c r="W99" s="128">
        <v>1.21</v>
      </c>
      <c r="X99" s="128">
        <v>1.22</v>
      </c>
      <c r="Y99" s="128">
        <v>1.23</v>
      </c>
      <c r="Z99" s="128">
        <v>1.24</v>
      </c>
      <c r="AA99" s="128">
        <v>1.25</v>
      </c>
      <c r="AB99" s="128">
        <v>1.26</v>
      </c>
      <c r="AC99" s="128">
        <v>1.27</v>
      </c>
      <c r="AD99" s="128">
        <v>1.28</v>
      </c>
      <c r="AE99" s="128">
        <v>1.29</v>
      </c>
      <c r="AF99" s="128">
        <v>1.3</v>
      </c>
      <c r="AG99" s="128">
        <v>1.31</v>
      </c>
      <c r="AH99" s="128">
        <v>1.32</v>
      </c>
      <c r="AI99" s="128">
        <v>1.33</v>
      </c>
      <c r="AJ99" s="128">
        <v>1.34</v>
      </c>
      <c r="AK99" s="128">
        <v>1.35</v>
      </c>
      <c r="AL99" s="128">
        <v>1.36</v>
      </c>
      <c r="AM99" s="128">
        <v>1.37</v>
      </c>
      <c r="AN99" s="128">
        <v>1.38</v>
      </c>
      <c r="AO99" s="128">
        <v>1.39</v>
      </c>
      <c r="AP99" s="128">
        <v>1.4</v>
      </c>
      <c r="AQ99" s="128">
        <v>1.41</v>
      </c>
      <c r="AR99" s="128">
        <v>1.42</v>
      </c>
      <c r="AS99" s="128">
        <v>1.43</v>
      </c>
      <c r="AT99" s="128">
        <v>1.44</v>
      </c>
      <c r="AU99" s="128">
        <v>1.45</v>
      </c>
      <c r="AV99" s="128">
        <v>1.46</v>
      </c>
      <c r="AW99" s="128">
        <v>1.47</v>
      </c>
      <c r="AX99" s="128">
        <v>1.48</v>
      </c>
      <c r="AY99" s="128">
        <v>1.49</v>
      </c>
      <c r="AZ99" s="128">
        <v>1.5</v>
      </c>
      <c r="BA99" s="128">
        <v>1.51</v>
      </c>
      <c r="BB99" s="128">
        <v>1.52</v>
      </c>
      <c r="BC99" s="128">
        <v>1.53</v>
      </c>
      <c r="BD99" s="128">
        <v>1.54</v>
      </c>
      <c r="BE99" s="128">
        <v>1.55</v>
      </c>
      <c r="BF99" s="128">
        <v>1.56</v>
      </c>
      <c r="BG99" s="128">
        <v>1.57</v>
      </c>
      <c r="BH99" s="128">
        <v>1.58</v>
      </c>
      <c r="BI99" s="128">
        <v>1.59</v>
      </c>
      <c r="BJ99" s="128">
        <v>1.6</v>
      </c>
      <c r="BK99" s="128">
        <v>1.61</v>
      </c>
      <c r="BL99" s="128">
        <v>1.62</v>
      </c>
      <c r="BM99" s="128">
        <v>1.63</v>
      </c>
      <c r="BN99" s="128">
        <v>1.64</v>
      </c>
      <c r="BO99" s="128">
        <v>1.65</v>
      </c>
      <c r="BP99" s="128">
        <v>1.66</v>
      </c>
      <c r="BQ99" s="128">
        <v>1.67</v>
      </c>
      <c r="BR99" s="128">
        <v>1.68</v>
      </c>
      <c r="BS99" s="128">
        <v>1.69</v>
      </c>
      <c r="BT99" s="128">
        <v>1.7</v>
      </c>
      <c r="BU99" s="128">
        <v>1.71</v>
      </c>
      <c r="BV99" s="128">
        <v>1.72</v>
      </c>
      <c r="BW99" s="128">
        <v>1.73</v>
      </c>
      <c r="BX99" s="128">
        <v>1.74</v>
      </c>
      <c r="BY99" s="128">
        <v>1.75</v>
      </c>
      <c r="BZ99" s="128">
        <v>1.76</v>
      </c>
      <c r="CA99" s="128">
        <v>1.77</v>
      </c>
      <c r="CB99" s="128">
        <v>1.78</v>
      </c>
      <c r="CC99" s="128">
        <v>1.79</v>
      </c>
      <c r="CD99" s="128">
        <v>1.8</v>
      </c>
      <c r="CE99" s="128">
        <v>1.81</v>
      </c>
      <c r="CF99" s="128">
        <v>1.82</v>
      </c>
      <c r="CG99" s="128">
        <v>1.83</v>
      </c>
      <c r="CH99" s="128">
        <v>1.84</v>
      </c>
      <c r="CI99" s="128">
        <v>1.85</v>
      </c>
      <c r="CJ99" s="128">
        <v>1.86</v>
      </c>
      <c r="CK99" s="128">
        <v>1.87</v>
      </c>
      <c r="CL99" s="128">
        <v>1.88</v>
      </c>
      <c r="CM99" s="128">
        <v>1.89</v>
      </c>
      <c r="CN99" s="128">
        <v>1.9</v>
      </c>
      <c r="CO99" s="128">
        <v>1.91</v>
      </c>
      <c r="CP99" s="128">
        <v>1.92</v>
      </c>
      <c r="CQ99" s="128">
        <v>1.93</v>
      </c>
      <c r="CR99" s="128">
        <v>1.94</v>
      </c>
      <c r="CS99" s="128">
        <v>1.95</v>
      </c>
      <c r="CT99" s="128">
        <v>1.96</v>
      </c>
      <c r="CU99" s="128">
        <v>1.97</v>
      </c>
      <c r="CV99" s="128">
        <v>1.98</v>
      </c>
      <c r="CW99" s="128">
        <v>1.99</v>
      </c>
      <c r="CX99" s="128">
        <v>2</v>
      </c>
      <c r="CZ99" s="126">
        <f>SUMIF(MatrixF2[[1]:[2]],MatrixF2[[#This Row],[Столбец1]])/MatrixF2[[#This Row],[Столбец1]]</f>
        <v>80.999999999999972</v>
      </c>
    </row>
    <row r="100" spans="1:104" ht="21" customHeight="1" x14ac:dyDescent="0.25">
      <c r="A100" s="127">
        <v>1.97</v>
      </c>
      <c r="B100" s="128">
        <v>1</v>
      </c>
      <c r="C100" s="128">
        <v>1.01</v>
      </c>
      <c r="D100" s="128">
        <v>1.02</v>
      </c>
      <c r="E100" s="128">
        <v>1.03</v>
      </c>
      <c r="F100" s="128">
        <v>1.04</v>
      </c>
      <c r="G100" s="128">
        <v>1.05</v>
      </c>
      <c r="H100" s="128">
        <v>1.06</v>
      </c>
      <c r="I100" s="128">
        <v>1.07</v>
      </c>
      <c r="J100" s="128">
        <v>1.08</v>
      </c>
      <c r="K100" s="128">
        <v>1.0900000000000001</v>
      </c>
      <c r="L100" s="128">
        <v>1.1000000000000001</v>
      </c>
      <c r="M100" s="128">
        <v>1.1100000000000001</v>
      </c>
      <c r="N100" s="128">
        <v>1.1200000000000001</v>
      </c>
      <c r="O100" s="128">
        <v>1.1299999999999999</v>
      </c>
      <c r="P100" s="128">
        <v>1.1399999999999999</v>
      </c>
      <c r="Q100" s="128">
        <v>1.1499999999999999</v>
      </c>
      <c r="R100" s="128">
        <v>1.1599999999999999</v>
      </c>
      <c r="S100" s="128">
        <v>1.17</v>
      </c>
      <c r="T100" s="128">
        <v>1.18</v>
      </c>
      <c r="U100" s="128">
        <v>1.19</v>
      </c>
      <c r="V100" s="128">
        <v>1.2</v>
      </c>
      <c r="W100" s="128">
        <v>1.21</v>
      </c>
      <c r="X100" s="128">
        <v>1.22</v>
      </c>
      <c r="Y100" s="128">
        <v>1.23</v>
      </c>
      <c r="Z100" s="128">
        <v>1.24</v>
      </c>
      <c r="AA100" s="128">
        <v>1.25</v>
      </c>
      <c r="AB100" s="128">
        <v>1.26</v>
      </c>
      <c r="AC100" s="128">
        <v>1.27</v>
      </c>
      <c r="AD100" s="128">
        <v>1.28</v>
      </c>
      <c r="AE100" s="128">
        <v>1.29</v>
      </c>
      <c r="AF100" s="128">
        <v>1.3</v>
      </c>
      <c r="AG100" s="128">
        <v>1.31</v>
      </c>
      <c r="AH100" s="128">
        <v>1.32</v>
      </c>
      <c r="AI100" s="128">
        <v>1.33</v>
      </c>
      <c r="AJ100" s="128">
        <v>1.34</v>
      </c>
      <c r="AK100" s="128">
        <v>1.35</v>
      </c>
      <c r="AL100" s="128">
        <v>1.36</v>
      </c>
      <c r="AM100" s="128">
        <v>1.37</v>
      </c>
      <c r="AN100" s="128">
        <v>1.38</v>
      </c>
      <c r="AO100" s="128">
        <v>1.39</v>
      </c>
      <c r="AP100" s="128">
        <v>1.4</v>
      </c>
      <c r="AQ100" s="128">
        <v>1.41</v>
      </c>
      <c r="AR100" s="128">
        <v>1.42</v>
      </c>
      <c r="AS100" s="128">
        <v>1.43</v>
      </c>
      <c r="AT100" s="128">
        <v>1.44</v>
      </c>
      <c r="AU100" s="128">
        <v>1.45</v>
      </c>
      <c r="AV100" s="128">
        <v>1.46</v>
      </c>
      <c r="AW100" s="128">
        <v>1.47</v>
      </c>
      <c r="AX100" s="128">
        <v>1.48</v>
      </c>
      <c r="AY100" s="128">
        <v>1.49</v>
      </c>
      <c r="AZ100" s="128">
        <v>1.5</v>
      </c>
      <c r="BA100" s="128">
        <v>1.51</v>
      </c>
      <c r="BB100" s="128">
        <v>1.52</v>
      </c>
      <c r="BC100" s="128">
        <v>1.53</v>
      </c>
      <c r="BD100" s="128">
        <v>1.54</v>
      </c>
      <c r="BE100" s="128">
        <v>1.55</v>
      </c>
      <c r="BF100" s="128">
        <v>1.56</v>
      </c>
      <c r="BG100" s="128">
        <v>1.57</v>
      </c>
      <c r="BH100" s="128">
        <v>1.58</v>
      </c>
      <c r="BI100" s="128">
        <v>1.59</v>
      </c>
      <c r="BJ100" s="128">
        <v>1.6</v>
      </c>
      <c r="BK100" s="128">
        <v>1.61</v>
      </c>
      <c r="BL100" s="128">
        <v>1.62</v>
      </c>
      <c r="BM100" s="128">
        <v>1.63</v>
      </c>
      <c r="BN100" s="128">
        <v>1.64</v>
      </c>
      <c r="BO100" s="128">
        <v>1.65</v>
      </c>
      <c r="BP100" s="128">
        <v>1.66</v>
      </c>
      <c r="BQ100" s="128">
        <v>1.67</v>
      </c>
      <c r="BR100" s="128">
        <v>1.68</v>
      </c>
      <c r="BS100" s="128">
        <v>1.69</v>
      </c>
      <c r="BT100" s="128">
        <v>1.7</v>
      </c>
      <c r="BU100" s="128">
        <v>1.71</v>
      </c>
      <c r="BV100" s="128">
        <v>1.72</v>
      </c>
      <c r="BW100" s="128">
        <v>1.73</v>
      </c>
      <c r="BX100" s="128">
        <v>1.74</v>
      </c>
      <c r="BY100" s="128">
        <v>1.75</v>
      </c>
      <c r="BZ100" s="128">
        <v>1.76</v>
      </c>
      <c r="CA100" s="128">
        <v>1.77</v>
      </c>
      <c r="CB100" s="128">
        <v>1.78</v>
      </c>
      <c r="CC100" s="128">
        <v>1.79</v>
      </c>
      <c r="CD100" s="128">
        <v>1.8</v>
      </c>
      <c r="CE100" s="128">
        <v>1.81</v>
      </c>
      <c r="CF100" s="128">
        <v>1.82</v>
      </c>
      <c r="CG100" s="128">
        <v>1.83</v>
      </c>
      <c r="CH100" s="128">
        <v>1.84</v>
      </c>
      <c r="CI100" s="128">
        <v>1.85</v>
      </c>
      <c r="CJ100" s="128">
        <v>1.86</v>
      </c>
      <c r="CK100" s="128">
        <v>1.87</v>
      </c>
      <c r="CL100" s="128">
        <v>1.88</v>
      </c>
      <c r="CM100" s="128">
        <v>1.89</v>
      </c>
      <c r="CN100" s="128">
        <v>1.9</v>
      </c>
      <c r="CO100" s="128">
        <v>1.91</v>
      </c>
      <c r="CP100" s="128">
        <v>1.92</v>
      </c>
      <c r="CQ100" s="128">
        <v>1.93</v>
      </c>
      <c r="CR100" s="128">
        <v>1.94</v>
      </c>
      <c r="CS100" s="128">
        <v>1.95</v>
      </c>
      <c r="CT100" s="128">
        <v>1.96</v>
      </c>
      <c r="CU100" s="128">
        <v>1.97</v>
      </c>
      <c r="CV100" s="128">
        <v>1.98</v>
      </c>
      <c r="CW100" s="128">
        <v>1.99</v>
      </c>
      <c r="CX100" s="128">
        <v>2</v>
      </c>
      <c r="CZ100" s="126">
        <f>SUMIF(MatrixF2[[1]:[2]],MatrixF2[[#This Row],[Столбец1]])/MatrixF2[[#This Row],[Столбец1]]</f>
        <v>79.999999999999972</v>
      </c>
    </row>
    <row r="101" spans="1:104" ht="21" customHeight="1" x14ac:dyDescent="0.25">
      <c r="A101" s="127">
        <v>1.98</v>
      </c>
      <c r="B101" s="128">
        <v>1</v>
      </c>
      <c r="C101" s="128">
        <v>1.01</v>
      </c>
      <c r="D101" s="128">
        <v>1.02</v>
      </c>
      <c r="E101" s="128">
        <v>1.03</v>
      </c>
      <c r="F101" s="128">
        <v>1.04</v>
      </c>
      <c r="G101" s="128">
        <v>1.05</v>
      </c>
      <c r="H101" s="128">
        <v>1.06</v>
      </c>
      <c r="I101" s="128">
        <v>1.07</v>
      </c>
      <c r="J101" s="128">
        <v>1.08</v>
      </c>
      <c r="K101" s="128">
        <v>1.0900000000000001</v>
      </c>
      <c r="L101" s="128">
        <v>1.1000000000000001</v>
      </c>
      <c r="M101" s="128">
        <v>1.1100000000000001</v>
      </c>
      <c r="N101" s="128">
        <v>1.1200000000000001</v>
      </c>
      <c r="O101" s="128">
        <v>1.1299999999999999</v>
      </c>
      <c r="P101" s="128">
        <v>1.1399999999999999</v>
      </c>
      <c r="Q101" s="128">
        <v>1.1499999999999999</v>
      </c>
      <c r="R101" s="128">
        <v>1.1599999999999999</v>
      </c>
      <c r="S101" s="128">
        <v>1.17</v>
      </c>
      <c r="T101" s="128">
        <v>1.18</v>
      </c>
      <c r="U101" s="128">
        <v>1.19</v>
      </c>
      <c r="V101" s="128">
        <v>1.2</v>
      </c>
      <c r="W101" s="128">
        <v>1.21</v>
      </c>
      <c r="X101" s="128">
        <v>1.22</v>
      </c>
      <c r="Y101" s="128">
        <v>1.23</v>
      </c>
      <c r="Z101" s="128">
        <v>1.24</v>
      </c>
      <c r="AA101" s="128">
        <v>1.25</v>
      </c>
      <c r="AB101" s="128">
        <v>1.26</v>
      </c>
      <c r="AC101" s="128">
        <v>1.27</v>
      </c>
      <c r="AD101" s="128">
        <v>1.28</v>
      </c>
      <c r="AE101" s="128">
        <v>1.29</v>
      </c>
      <c r="AF101" s="128">
        <v>1.3</v>
      </c>
      <c r="AG101" s="128">
        <v>1.31</v>
      </c>
      <c r="AH101" s="128">
        <v>1.32</v>
      </c>
      <c r="AI101" s="128">
        <v>1.33</v>
      </c>
      <c r="AJ101" s="128">
        <v>1.34</v>
      </c>
      <c r="AK101" s="128">
        <v>1.35</v>
      </c>
      <c r="AL101" s="128">
        <v>1.36</v>
      </c>
      <c r="AM101" s="128">
        <v>1.37</v>
      </c>
      <c r="AN101" s="128">
        <v>1.38</v>
      </c>
      <c r="AO101" s="128">
        <v>1.39</v>
      </c>
      <c r="AP101" s="128">
        <v>1.4</v>
      </c>
      <c r="AQ101" s="128">
        <v>1.41</v>
      </c>
      <c r="AR101" s="128">
        <v>1.42</v>
      </c>
      <c r="AS101" s="128">
        <v>1.43</v>
      </c>
      <c r="AT101" s="128">
        <v>1.44</v>
      </c>
      <c r="AU101" s="128">
        <v>1.45</v>
      </c>
      <c r="AV101" s="128">
        <v>1.46</v>
      </c>
      <c r="AW101" s="128">
        <v>1.47</v>
      </c>
      <c r="AX101" s="128">
        <v>1.48</v>
      </c>
      <c r="AY101" s="128">
        <v>1.49</v>
      </c>
      <c r="AZ101" s="128">
        <v>1.5</v>
      </c>
      <c r="BA101" s="128">
        <v>1.51</v>
      </c>
      <c r="BB101" s="128">
        <v>1.52</v>
      </c>
      <c r="BC101" s="128">
        <v>1.53</v>
      </c>
      <c r="BD101" s="128">
        <v>1.54</v>
      </c>
      <c r="BE101" s="128">
        <v>1.55</v>
      </c>
      <c r="BF101" s="128">
        <v>1.56</v>
      </c>
      <c r="BG101" s="128">
        <v>1.57</v>
      </c>
      <c r="BH101" s="128">
        <v>1.58</v>
      </c>
      <c r="BI101" s="128">
        <v>1.59</v>
      </c>
      <c r="BJ101" s="128">
        <v>1.6</v>
      </c>
      <c r="BK101" s="128">
        <v>1.61</v>
      </c>
      <c r="BL101" s="128">
        <v>1.62</v>
      </c>
      <c r="BM101" s="128">
        <v>1.63</v>
      </c>
      <c r="BN101" s="128">
        <v>1.64</v>
      </c>
      <c r="BO101" s="128">
        <v>1.65</v>
      </c>
      <c r="BP101" s="128">
        <v>1.66</v>
      </c>
      <c r="BQ101" s="128">
        <v>1.67</v>
      </c>
      <c r="BR101" s="128">
        <v>1.68</v>
      </c>
      <c r="BS101" s="128">
        <v>1.69</v>
      </c>
      <c r="BT101" s="128">
        <v>1.7</v>
      </c>
      <c r="BU101" s="128">
        <v>1.71</v>
      </c>
      <c r="BV101" s="128">
        <v>1.72</v>
      </c>
      <c r="BW101" s="128">
        <v>1.73</v>
      </c>
      <c r="BX101" s="128">
        <v>1.74</v>
      </c>
      <c r="BY101" s="128">
        <v>1.75</v>
      </c>
      <c r="BZ101" s="128">
        <v>1.76</v>
      </c>
      <c r="CA101" s="128">
        <v>1.77</v>
      </c>
      <c r="CB101" s="128">
        <v>1.78</v>
      </c>
      <c r="CC101" s="128">
        <v>1.79</v>
      </c>
      <c r="CD101" s="128">
        <v>1.8</v>
      </c>
      <c r="CE101" s="128">
        <v>1.81</v>
      </c>
      <c r="CF101" s="128">
        <v>1.82</v>
      </c>
      <c r="CG101" s="128">
        <v>1.83</v>
      </c>
      <c r="CH101" s="128">
        <v>1.84</v>
      </c>
      <c r="CI101" s="128">
        <v>1.85</v>
      </c>
      <c r="CJ101" s="128">
        <v>1.86</v>
      </c>
      <c r="CK101" s="128">
        <v>1.87</v>
      </c>
      <c r="CL101" s="128">
        <v>1.88</v>
      </c>
      <c r="CM101" s="128">
        <v>1.89</v>
      </c>
      <c r="CN101" s="128">
        <v>1.9</v>
      </c>
      <c r="CO101" s="128">
        <v>1.91</v>
      </c>
      <c r="CP101" s="128">
        <v>1.92</v>
      </c>
      <c r="CQ101" s="128">
        <v>1.93</v>
      </c>
      <c r="CR101" s="128">
        <v>1.94</v>
      </c>
      <c r="CS101" s="128">
        <v>1.95</v>
      </c>
      <c r="CT101" s="128">
        <v>1.96</v>
      </c>
      <c r="CU101" s="128">
        <v>1.97</v>
      </c>
      <c r="CV101" s="128">
        <v>1.98</v>
      </c>
      <c r="CW101" s="128">
        <v>1.99</v>
      </c>
      <c r="CX101" s="128">
        <v>2</v>
      </c>
      <c r="CZ101" s="126">
        <f>SUMIF(MatrixF2[[1]:[2]],MatrixF2[[#This Row],[Столбец1]])/MatrixF2[[#This Row],[Столбец1]]</f>
        <v>76.999999999999972</v>
      </c>
    </row>
    <row r="102" spans="1:104" ht="21" customHeight="1" x14ac:dyDescent="0.25">
      <c r="A102" s="127">
        <v>1.99</v>
      </c>
      <c r="B102" s="128">
        <v>1</v>
      </c>
      <c r="C102" s="128">
        <v>1.01</v>
      </c>
      <c r="D102" s="128">
        <v>1.02</v>
      </c>
      <c r="E102" s="128">
        <v>1.03</v>
      </c>
      <c r="F102" s="128">
        <v>1.04</v>
      </c>
      <c r="G102" s="128">
        <v>1.05</v>
      </c>
      <c r="H102" s="128">
        <v>1.06</v>
      </c>
      <c r="I102" s="128">
        <v>1.07</v>
      </c>
      <c r="J102" s="128">
        <v>1.08</v>
      </c>
      <c r="K102" s="128">
        <v>1.0900000000000001</v>
      </c>
      <c r="L102" s="128">
        <v>1.1000000000000001</v>
      </c>
      <c r="M102" s="128">
        <v>1.1100000000000001</v>
      </c>
      <c r="N102" s="128">
        <v>1.1200000000000001</v>
      </c>
      <c r="O102" s="128">
        <v>1.1299999999999999</v>
      </c>
      <c r="P102" s="128">
        <v>1.1399999999999999</v>
      </c>
      <c r="Q102" s="128">
        <v>1.1499999999999999</v>
      </c>
      <c r="R102" s="128">
        <v>1.1599999999999999</v>
      </c>
      <c r="S102" s="128">
        <v>1.17</v>
      </c>
      <c r="T102" s="128">
        <v>1.18</v>
      </c>
      <c r="U102" s="128">
        <v>1.19</v>
      </c>
      <c r="V102" s="128">
        <v>1.2</v>
      </c>
      <c r="W102" s="128">
        <v>1.21</v>
      </c>
      <c r="X102" s="128">
        <v>1.22</v>
      </c>
      <c r="Y102" s="128">
        <v>1.23</v>
      </c>
      <c r="Z102" s="128">
        <v>1.24</v>
      </c>
      <c r="AA102" s="128">
        <v>1.25</v>
      </c>
      <c r="AB102" s="128">
        <v>1.26</v>
      </c>
      <c r="AC102" s="128">
        <v>1.27</v>
      </c>
      <c r="AD102" s="128">
        <v>1.28</v>
      </c>
      <c r="AE102" s="128">
        <v>1.29</v>
      </c>
      <c r="AF102" s="128">
        <v>1.3</v>
      </c>
      <c r="AG102" s="128">
        <v>1.31</v>
      </c>
      <c r="AH102" s="128">
        <v>1.32</v>
      </c>
      <c r="AI102" s="128">
        <v>1.33</v>
      </c>
      <c r="AJ102" s="128">
        <v>1.34</v>
      </c>
      <c r="AK102" s="128">
        <v>1.35</v>
      </c>
      <c r="AL102" s="128">
        <v>1.36</v>
      </c>
      <c r="AM102" s="128">
        <v>1.37</v>
      </c>
      <c r="AN102" s="128">
        <v>1.38</v>
      </c>
      <c r="AO102" s="128">
        <v>1.39</v>
      </c>
      <c r="AP102" s="128">
        <v>1.4</v>
      </c>
      <c r="AQ102" s="128">
        <v>1.41</v>
      </c>
      <c r="AR102" s="128">
        <v>1.42</v>
      </c>
      <c r="AS102" s="128">
        <v>1.43</v>
      </c>
      <c r="AT102" s="128">
        <v>1.44</v>
      </c>
      <c r="AU102" s="128">
        <v>1.45</v>
      </c>
      <c r="AV102" s="128">
        <v>1.46</v>
      </c>
      <c r="AW102" s="128">
        <v>1.47</v>
      </c>
      <c r="AX102" s="128">
        <v>1.48</v>
      </c>
      <c r="AY102" s="128">
        <v>1.49</v>
      </c>
      <c r="AZ102" s="128">
        <v>1.5</v>
      </c>
      <c r="BA102" s="128">
        <v>1.51</v>
      </c>
      <c r="BB102" s="128">
        <v>1.52</v>
      </c>
      <c r="BC102" s="128">
        <v>1.53</v>
      </c>
      <c r="BD102" s="128">
        <v>1.54</v>
      </c>
      <c r="BE102" s="128">
        <v>1.55</v>
      </c>
      <c r="BF102" s="128">
        <v>1.56</v>
      </c>
      <c r="BG102" s="128">
        <v>1.57</v>
      </c>
      <c r="BH102" s="128">
        <v>1.58</v>
      </c>
      <c r="BI102" s="128">
        <v>1.59</v>
      </c>
      <c r="BJ102" s="128">
        <v>1.6</v>
      </c>
      <c r="BK102" s="128">
        <v>1.61</v>
      </c>
      <c r="BL102" s="128">
        <v>1.62</v>
      </c>
      <c r="BM102" s="128">
        <v>1.63</v>
      </c>
      <c r="BN102" s="128">
        <v>1.64</v>
      </c>
      <c r="BO102" s="128">
        <v>1.65</v>
      </c>
      <c r="BP102" s="128">
        <v>1.66</v>
      </c>
      <c r="BQ102" s="128">
        <v>1.67</v>
      </c>
      <c r="BR102" s="128">
        <v>1.68</v>
      </c>
      <c r="BS102" s="128">
        <v>1.69</v>
      </c>
      <c r="BT102" s="128">
        <v>1.7</v>
      </c>
      <c r="BU102" s="128">
        <v>1.71</v>
      </c>
      <c r="BV102" s="128">
        <v>1.72</v>
      </c>
      <c r="BW102" s="128">
        <v>1.73</v>
      </c>
      <c r="BX102" s="128">
        <v>1.74</v>
      </c>
      <c r="BY102" s="128">
        <v>1.75</v>
      </c>
      <c r="BZ102" s="128">
        <v>1.76</v>
      </c>
      <c r="CA102" s="128">
        <v>1.77</v>
      </c>
      <c r="CB102" s="128">
        <v>1.78</v>
      </c>
      <c r="CC102" s="128">
        <v>1.79</v>
      </c>
      <c r="CD102" s="128">
        <v>1.8</v>
      </c>
      <c r="CE102" s="128">
        <v>1.81</v>
      </c>
      <c r="CF102" s="128">
        <v>1.82</v>
      </c>
      <c r="CG102" s="128">
        <v>1.83</v>
      </c>
      <c r="CH102" s="128">
        <v>1.84</v>
      </c>
      <c r="CI102" s="128">
        <v>1.85</v>
      </c>
      <c r="CJ102" s="128">
        <v>1.86</v>
      </c>
      <c r="CK102" s="128">
        <v>1.87</v>
      </c>
      <c r="CL102" s="128">
        <v>1.88</v>
      </c>
      <c r="CM102" s="128">
        <v>1.89</v>
      </c>
      <c r="CN102" s="128">
        <v>1.9</v>
      </c>
      <c r="CO102" s="128">
        <v>1.91</v>
      </c>
      <c r="CP102" s="128">
        <v>1.92</v>
      </c>
      <c r="CQ102" s="128">
        <v>1.93</v>
      </c>
      <c r="CR102" s="128">
        <v>1.94</v>
      </c>
      <c r="CS102" s="128">
        <v>1.95</v>
      </c>
      <c r="CT102" s="128">
        <v>1.96</v>
      </c>
      <c r="CU102" s="128">
        <v>1.97</v>
      </c>
      <c r="CV102" s="128">
        <v>1.98</v>
      </c>
      <c r="CW102" s="128">
        <v>1.99</v>
      </c>
      <c r="CX102" s="128">
        <v>2</v>
      </c>
      <c r="CZ102" s="126">
        <f>SUMIF(MatrixF2[[1]:[2]],MatrixF2[[#This Row],[Столбец1]])/MatrixF2[[#This Row],[Столбец1]]</f>
        <v>69.999999999999943</v>
      </c>
    </row>
    <row r="103" spans="1:104" ht="21" customHeight="1" x14ac:dyDescent="0.25">
      <c r="A103" s="127">
        <v>2</v>
      </c>
      <c r="B103" s="128">
        <v>1</v>
      </c>
      <c r="C103" s="128">
        <v>1.01</v>
      </c>
      <c r="D103" s="128">
        <v>1.02</v>
      </c>
      <c r="E103" s="128">
        <v>1.03</v>
      </c>
      <c r="F103" s="128">
        <v>1.04</v>
      </c>
      <c r="G103" s="128">
        <v>1.05</v>
      </c>
      <c r="H103" s="128">
        <v>1.06</v>
      </c>
      <c r="I103" s="128">
        <v>1.07</v>
      </c>
      <c r="J103" s="128">
        <v>1.08</v>
      </c>
      <c r="K103" s="128">
        <v>1.0900000000000001</v>
      </c>
      <c r="L103" s="128">
        <v>1.1000000000000001</v>
      </c>
      <c r="M103" s="128">
        <v>1.1100000000000001</v>
      </c>
      <c r="N103" s="128">
        <v>1.1200000000000001</v>
      </c>
      <c r="O103" s="128">
        <v>1.1299999999999999</v>
      </c>
      <c r="P103" s="128">
        <v>1.1399999999999999</v>
      </c>
      <c r="Q103" s="128">
        <v>1.1499999999999999</v>
      </c>
      <c r="R103" s="128">
        <v>1.1599999999999999</v>
      </c>
      <c r="S103" s="128">
        <v>1.17</v>
      </c>
      <c r="T103" s="128">
        <v>1.18</v>
      </c>
      <c r="U103" s="128">
        <v>1.19</v>
      </c>
      <c r="V103" s="128">
        <v>1.2</v>
      </c>
      <c r="W103" s="128">
        <v>1.21</v>
      </c>
      <c r="X103" s="128">
        <v>1.22</v>
      </c>
      <c r="Y103" s="128">
        <v>1.23</v>
      </c>
      <c r="Z103" s="128">
        <v>1.24</v>
      </c>
      <c r="AA103" s="128">
        <v>1.25</v>
      </c>
      <c r="AB103" s="128">
        <v>1.26</v>
      </c>
      <c r="AC103" s="128">
        <v>1.27</v>
      </c>
      <c r="AD103" s="128">
        <v>1.28</v>
      </c>
      <c r="AE103" s="128">
        <v>1.29</v>
      </c>
      <c r="AF103" s="128">
        <v>1.3</v>
      </c>
      <c r="AG103" s="128">
        <v>1.31</v>
      </c>
      <c r="AH103" s="128">
        <v>1.32</v>
      </c>
      <c r="AI103" s="128">
        <v>1.33</v>
      </c>
      <c r="AJ103" s="128">
        <v>1.34</v>
      </c>
      <c r="AK103" s="128">
        <v>1.35</v>
      </c>
      <c r="AL103" s="128">
        <v>1.36</v>
      </c>
      <c r="AM103" s="128">
        <v>1.37</v>
      </c>
      <c r="AN103" s="128">
        <v>1.38</v>
      </c>
      <c r="AO103" s="128">
        <v>1.39</v>
      </c>
      <c r="AP103" s="128">
        <v>1.4</v>
      </c>
      <c r="AQ103" s="128">
        <v>1.41</v>
      </c>
      <c r="AR103" s="128">
        <v>1.42</v>
      </c>
      <c r="AS103" s="128">
        <v>1.43</v>
      </c>
      <c r="AT103" s="128">
        <v>1.44</v>
      </c>
      <c r="AU103" s="128">
        <v>1.45</v>
      </c>
      <c r="AV103" s="128">
        <v>1.46</v>
      </c>
      <c r="AW103" s="128">
        <v>1.47</v>
      </c>
      <c r="AX103" s="128">
        <v>1.48</v>
      </c>
      <c r="AY103" s="128">
        <v>1.49</v>
      </c>
      <c r="AZ103" s="128">
        <v>1.5</v>
      </c>
      <c r="BA103" s="128">
        <v>1.51</v>
      </c>
      <c r="BB103" s="128">
        <v>1.52</v>
      </c>
      <c r="BC103" s="128">
        <v>1.53</v>
      </c>
      <c r="BD103" s="128">
        <v>1.54</v>
      </c>
      <c r="BE103" s="128">
        <v>1.55</v>
      </c>
      <c r="BF103" s="128">
        <v>1.56</v>
      </c>
      <c r="BG103" s="128">
        <v>1.57</v>
      </c>
      <c r="BH103" s="128">
        <v>1.58</v>
      </c>
      <c r="BI103" s="128">
        <v>1.59</v>
      </c>
      <c r="BJ103" s="128">
        <v>1.6</v>
      </c>
      <c r="BK103" s="128">
        <v>1.61</v>
      </c>
      <c r="BL103" s="128">
        <v>1.62</v>
      </c>
      <c r="BM103" s="128">
        <v>1.63</v>
      </c>
      <c r="BN103" s="128">
        <v>1.64</v>
      </c>
      <c r="BO103" s="128">
        <v>1.65</v>
      </c>
      <c r="BP103" s="128">
        <v>1.66</v>
      </c>
      <c r="BQ103" s="128">
        <v>1.67</v>
      </c>
      <c r="BR103" s="128">
        <v>1.68</v>
      </c>
      <c r="BS103" s="128">
        <v>1.69</v>
      </c>
      <c r="BT103" s="128">
        <v>1.7</v>
      </c>
      <c r="BU103" s="128">
        <v>1.71</v>
      </c>
      <c r="BV103" s="128">
        <v>1.72</v>
      </c>
      <c r="BW103" s="128">
        <v>1.73</v>
      </c>
      <c r="BX103" s="128">
        <v>1.74</v>
      </c>
      <c r="BY103" s="128">
        <v>1.75</v>
      </c>
      <c r="BZ103" s="128">
        <v>1.76</v>
      </c>
      <c r="CA103" s="128">
        <v>1.77</v>
      </c>
      <c r="CB103" s="128">
        <v>1.78</v>
      </c>
      <c r="CC103" s="128">
        <v>1.79</v>
      </c>
      <c r="CD103" s="128">
        <v>1.8</v>
      </c>
      <c r="CE103" s="128">
        <v>1.81</v>
      </c>
      <c r="CF103" s="128">
        <v>1.82</v>
      </c>
      <c r="CG103" s="128">
        <v>1.83</v>
      </c>
      <c r="CH103" s="128">
        <v>1.84</v>
      </c>
      <c r="CI103" s="128">
        <v>1.85</v>
      </c>
      <c r="CJ103" s="128">
        <v>1.86</v>
      </c>
      <c r="CK103" s="128">
        <v>1.87</v>
      </c>
      <c r="CL103" s="128">
        <v>1.88</v>
      </c>
      <c r="CM103" s="128">
        <v>1.89</v>
      </c>
      <c r="CN103" s="128">
        <v>1.9</v>
      </c>
      <c r="CO103" s="128">
        <v>1.91</v>
      </c>
      <c r="CP103" s="128">
        <v>1.92</v>
      </c>
      <c r="CQ103" s="128">
        <v>1.93</v>
      </c>
      <c r="CR103" s="128">
        <v>1.94</v>
      </c>
      <c r="CS103" s="128">
        <v>1.95</v>
      </c>
      <c r="CT103" s="128">
        <v>1.96</v>
      </c>
      <c r="CU103" s="128">
        <v>1.97</v>
      </c>
      <c r="CV103" s="128">
        <v>1.98</v>
      </c>
      <c r="CW103" s="128">
        <v>1.99</v>
      </c>
      <c r="CX103" s="128">
        <v>2</v>
      </c>
      <c r="CZ103" s="126">
        <f>SUMIF(MatrixF2[[1]:[2]],MatrixF2[[#This Row],[Столбец1]])/MatrixF2[[#This Row],[Столбец1]]</f>
        <v>101</v>
      </c>
    </row>
    <row r="105" spans="1:104" s="126" customFormat="1" ht="21" customHeight="1" x14ac:dyDescent="0.25">
      <c r="B105" s="126">
        <f>SUMIF(MatrixF2[[1]:[2]],MatrixF2[[#Headers],[1]])/MatrixF2[[#Headers],[1]]</f>
        <v>101</v>
      </c>
      <c r="C105" s="126">
        <f>SUMIF(MatrixF2[[1]:[2]],MatrixF2[[#Headers],[1,01]])/MatrixF2[[#Headers],[1,01]]</f>
        <v>69.999999999999986</v>
      </c>
      <c r="D105" s="126">
        <f>SUMIF(MatrixF2[[1]:[2]],MatrixF2[[#Headers],[1,02]])/MatrixF2[[#Headers],[1,02]]</f>
        <v>75.000000000000043</v>
      </c>
      <c r="E105" s="126">
        <f>SUMIF(MatrixF2[[1]:[2]],MatrixF2[[#Headers],[1,03]])/MatrixF2[[#Headers],[1,03]]</f>
        <v>82.000000000000057</v>
      </c>
      <c r="F105" s="126">
        <f>SUMIF(MatrixF2[[1]:[2]],MatrixF2[[#Headers],[1,04]])/MatrixF2[[#Headers],[1,04]]</f>
        <v>81.000000000000071</v>
      </c>
      <c r="G105" s="126">
        <f>SUMIF(MatrixF2[[1]:[2]],MatrixF2[[#Headers],[1,05]])/MatrixF2[[#Headers],[1,05]]</f>
        <v>85.999999999999858</v>
      </c>
      <c r="H105" s="126">
        <f>SUMIF(MatrixF2[[1]:[2]],MatrixF2[[#Headers],[1,06]])/MatrixF2[[#Headers],[1,06]]</f>
        <v>81.000000000000085</v>
      </c>
      <c r="I105" s="126">
        <f>SUMIF(MatrixF2[[1]:[2]],MatrixF2[[#Headers],[1,07]])/MatrixF2[[#Headers],[1,07]]</f>
        <v>86.999999999999829</v>
      </c>
      <c r="J105" s="126">
        <f>SUMIF(MatrixF2[[1]:[2]],MatrixF2[[#Headers],[1,08]])/MatrixF2[[#Headers],[1,08]]</f>
        <v>85.999999999999886</v>
      </c>
      <c r="K105" s="126">
        <f>SUMIF(MatrixF2[[1]:[2]],MatrixF2[[#Headers],[1,09]])/MatrixF2[[#Headers],[1,09]]</f>
        <v>89.000000000000185</v>
      </c>
      <c r="L105" s="126">
        <f>SUMIF(MatrixF2[[1]:[2]],MatrixF2[[#Headers],[1,1]])/MatrixF2[[#Headers],[1,1]]</f>
        <v>89.999999999999872</v>
      </c>
      <c r="M105" s="126">
        <f>SUMIF(MatrixF2[[1]:[2]],MatrixF2[[#Headers],[1,11]])/MatrixF2[[#Headers],[1,11]]</f>
        <v>92.999999999999957</v>
      </c>
      <c r="N105" s="126">
        <f>SUMIF(MatrixF2[[1]:[2]],MatrixF2[[#Headers],[1,12]])/MatrixF2[[#Headers],[1,12]]</f>
        <v>95.000000000000099</v>
      </c>
      <c r="O105" s="126">
        <f>SUMIF(MatrixF2[[1]:[2]],MatrixF2[[#Headers],[1,13]])/MatrixF2[[#Headers],[1,13]]</f>
        <v>89.999999999999929</v>
      </c>
      <c r="P105" s="126">
        <f>SUMIF(MatrixF2[[1]:[2]],MatrixF2[[#Headers],[1,14]])/MatrixF2[[#Headers],[1,14]]</f>
        <v>97.000000000000043</v>
      </c>
      <c r="Q105" s="126">
        <f>SUMIF(MatrixF2[[1]:[2]],MatrixF2[[#Headers],[1,15]])/MatrixF2[[#Headers],[1,15]]</f>
        <v>97.000000000000171</v>
      </c>
      <c r="R105" s="126">
        <f>SUMIF(MatrixF2[[1]:[2]],MatrixF2[[#Headers],[1,16]])/MatrixF2[[#Headers],[1,16]]</f>
        <v>99.999999999999801</v>
      </c>
      <c r="S105" s="126">
        <f>SUMIF(MatrixF2[[1]:[2]],MatrixF2[[#Headers],[1,17]])/MatrixF2[[#Headers],[1,17]]</f>
        <v>93.000000000000114</v>
      </c>
      <c r="T105" s="126">
        <f>SUMIF(MatrixF2[[1]:[2]],MatrixF2[[#Headers],[1,18]])/MatrixF2[[#Headers],[1,18]]</f>
        <v>101.00000000000027</v>
      </c>
      <c r="U105" s="126">
        <f>SUMIF(MatrixF2[[1]:[2]],MatrixF2[[#Headers],[1,19]])/MatrixF2[[#Headers],[1,19]]</f>
        <v>100.99999999999987</v>
      </c>
      <c r="V105" s="126">
        <f>SUMIF(MatrixF2[[1]:[2]],MatrixF2[[#Headers],[1,2]])/MatrixF2[[#Headers],[1,2]]</f>
        <v>102.00000000000017</v>
      </c>
      <c r="W105" s="126">
        <f>SUMIF(MatrixF2[[1]:[2]],MatrixF2[[#Headers],[1,21]])/MatrixF2[[#Headers],[1,21]]</f>
        <v>100.99999999999979</v>
      </c>
      <c r="X105" s="126">
        <f>SUMIF(MatrixF2[[1]:[2]],MatrixF2[[#Headers],[1,22]])/MatrixF2[[#Headers],[1,22]]</f>
        <v>106.99999999999993</v>
      </c>
      <c r="Y105" s="126">
        <f>SUMIF(MatrixF2[[1]:[2]],MatrixF2[[#Headers],[1,23]])/MatrixF2[[#Headers],[1,23]]</f>
        <v>103.0000000000001</v>
      </c>
      <c r="Z105" s="126">
        <f>SUMIF(MatrixF2[[1]:[2]],MatrixF2[[#Headers],[1,24]])/MatrixF2[[#Headers],[1,24]]</f>
        <v>108.99999999999986</v>
      </c>
      <c r="AA105" s="126">
        <f>SUMIF(MatrixF2[[1]:[2]],MatrixF2[[#Headers],[1,25]])/MatrixF2[[#Headers],[1,25]]</f>
        <v>101</v>
      </c>
      <c r="AB105" s="126">
        <f>SUMIF(MatrixF2[[1]:[2]],MatrixF2[[#Headers],[1,26]])/MatrixF2[[#Headers],[1,26]]</f>
        <v>109.00000000000014</v>
      </c>
      <c r="AC105" s="126">
        <f>SUMIF(MatrixF2[[1]:[2]],MatrixF2[[#Headers],[1,27]])/MatrixF2[[#Headers],[1,27]]</f>
        <v>107.99999999999996</v>
      </c>
      <c r="AD105" s="126">
        <f>SUMIF(MatrixF2[[1]:[2]],MatrixF2[[#Headers],[1,28]])/MatrixF2[[#Headers],[1,28]]</f>
        <v>109.00000000000007</v>
      </c>
      <c r="AE105" s="126">
        <f>SUMIF(MatrixF2[[1]:[2]],MatrixF2[[#Headers],[1,29]])/MatrixF2[[#Headers],[1,29]]</f>
        <v>111.00000000000016</v>
      </c>
      <c r="AF105" s="126">
        <f>SUMIF(MatrixF2[[1]:[2]],MatrixF2[[#Headers],[1,3]])/MatrixF2[[#Headers],[1,3]]</f>
        <v>108.99999999999994</v>
      </c>
      <c r="AG105" s="126">
        <f>SUMIF(MatrixF2[[1]:[2]],MatrixF2[[#Headers],[1,31]])/MatrixF2[[#Headers],[1,31]]</f>
        <v>109.00000000000011</v>
      </c>
      <c r="AH105" s="126">
        <f>SUMIF(MatrixF2[[1]:[2]],MatrixF2[[#Headers],[1,32]])/MatrixF2[[#Headers],[1,32]]</f>
        <v>111.99999999999967</v>
      </c>
      <c r="AI105" s="126">
        <f>SUMIF(MatrixF2[[1]:[2]],MatrixF2[[#Headers],[1,33]])/MatrixF2[[#Headers],[1,33]]</f>
        <v>113.00000000000006</v>
      </c>
      <c r="AJ105" s="126">
        <f>SUMIF(MatrixF2[[1]:[2]],MatrixF2[[#Headers],[1,34]])/MatrixF2[[#Headers],[1,34]]</f>
        <v>111.00000000000021</v>
      </c>
      <c r="AK105" s="126">
        <f>SUMIF(MatrixF2[[1]:[2]],MatrixF2[[#Headers],[1,35]])/MatrixF2[[#Headers],[1,35]]</f>
        <v>112.99999999999974</v>
      </c>
      <c r="AL105" s="126">
        <f>SUMIF(MatrixF2[[1]:[2]],MatrixF2[[#Headers],[1,36]])/MatrixF2[[#Headers],[1,36]]</f>
        <v>111.00000000000013</v>
      </c>
      <c r="AM105" s="126">
        <f>SUMIF(MatrixF2[[1]:[2]],MatrixF2[[#Headers],[1,37]])/MatrixF2[[#Headers],[1,37]]</f>
        <v>109.00000000000017</v>
      </c>
      <c r="AN105" s="126">
        <f>SUMIF(MatrixF2[[1]:[2]],MatrixF2[[#Headers],[1,38]])/MatrixF2[[#Headers],[1,38]]</f>
        <v>113.99999999999982</v>
      </c>
      <c r="AO105" s="126">
        <f>SUMIF(MatrixF2[[1]:[2]],MatrixF2[[#Headers],[1,39]])/MatrixF2[[#Headers],[1,39]]</f>
        <v>110.99999999999986</v>
      </c>
      <c r="AP105" s="126">
        <f>SUMIF(MatrixF2[[1]:[2]],MatrixF2[[#Headers],[1,4]])/MatrixF2[[#Headers],[1,4]]</f>
        <v>114.00000000000024</v>
      </c>
      <c r="AQ105" s="126">
        <f>SUMIF(MatrixF2[[1]:[2]],MatrixF2[[#Headers],[1,41]])/MatrixF2[[#Headers],[1,41]]</f>
        <v>110.9999999999998</v>
      </c>
      <c r="AR105" s="126">
        <f>SUMIF(MatrixF2[[1]:[2]],MatrixF2[[#Headers],[1,42]])/MatrixF2[[#Headers],[1,42]]</f>
        <v>108.99999999999993</v>
      </c>
      <c r="AS105" s="126">
        <f>SUMIF(MatrixF2[[1]:[2]],MatrixF2[[#Headers],[1,43]])/MatrixF2[[#Headers],[1,43]]</f>
        <v>112.00000000000033</v>
      </c>
      <c r="AT105" s="126">
        <f>SUMIF(MatrixF2[[1]:[2]],MatrixF2[[#Headers],[1,44]])/MatrixF2[[#Headers],[1,44]]</f>
        <v>107.99999999999989</v>
      </c>
      <c r="AU105" s="126">
        <f>SUMIF(MatrixF2[[1]:[2]],MatrixF2[[#Headers],[1,45]])/MatrixF2[[#Headers],[1,45]]</f>
        <v>108.99999999999996</v>
      </c>
      <c r="AV105" s="126">
        <f>SUMIF(MatrixF2[[1]:[2]],MatrixF2[[#Headers],[1,46]])/MatrixF2[[#Headers],[1,46]]</f>
        <v>107.99999999999994</v>
      </c>
      <c r="AW105" s="126">
        <f>SUMIF(MatrixF2[[1]:[2]],MatrixF2[[#Headers],[1,47]])/MatrixF2[[#Headers],[1,47]]</f>
        <v>105.99999999999994</v>
      </c>
      <c r="AX105" s="126">
        <f>SUMIF(MatrixF2[[1]:[2]],MatrixF2[[#Headers],[1,48]])/MatrixF2[[#Headers],[1,48]]</f>
        <v>103.99999999999996</v>
      </c>
      <c r="AY105" s="126">
        <f>SUMIF(MatrixF2[[1]:[2]],MatrixF2[[#Headers],[1,49]])/MatrixF2[[#Headers],[1,49]]</f>
        <v>101.99999999999997</v>
      </c>
      <c r="AZ105" s="126">
        <f>SUMIF(MatrixF2[[1]:[2]],MatrixF2[[#Headers],[1,5]])/MatrixF2[[#Headers],[1,5]]</f>
        <v>101</v>
      </c>
      <c r="BA105" s="126">
        <f>SUMIF(MatrixF2[[1]:[2]],MatrixF2[[#Headers],[1,51]])/MatrixF2[[#Headers],[1,51]]</f>
        <v>102.00000000000003</v>
      </c>
      <c r="BB105" s="126">
        <f>SUMIF(MatrixF2[[1]:[2]],MatrixF2[[#Headers],[1,52]])/MatrixF2[[#Headers],[1,52]]</f>
        <v>104.00000000000006</v>
      </c>
      <c r="BC105" s="126">
        <f>SUMIF(MatrixF2[[1]:[2]],MatrixF2[[#Headers],[1,53]])/MatrixF2[[#Headers],[1,53]]</f>
        <v>106.00000000000006</v>
      </c>
      <c r="BD105" s="126">
        <f>SUMIF(MatrixF2[[1]:[2]],MatrixF2[[#Headers],[1,54]])/MatrixF2[[#Headers],[1,54]]</f>
        <v>108.00000000000003</v>
      </c>
      <c r="BE105" s="126">
        <f>SUMIF(MatrixF2[[1]:[2]],MatrixF2[[#Headers],[1,55]])/MatrixF2[[#Headers],[1,55]]</f>
        <v>109.00000000000009</v>
      </c>
      <c r="BF105" s="126">
        <f>SUMIF(MatrixF2[[1]:[2]],MatrixF2[[#Headers],[1,56]])/MatrixF2[[#Headers],[1,56]]</f>
        <v>108.00000000000011</v>
      </c>
      <c r="BG105" s="126">
        <f>SUMIF(MatrixF2[[1]:[2]],MatrixF2[[#Headers],[1,57]])/MatrixF2[[#Headers],[1,57]]</f>
        <v>111.99999999999969</v>
      </c>
      <c r="BH105" s="126">
        <f>SUMIF(MatrixF2[[1]:[2]],MatrixF2[[#Headers],[1,58]])/MatrixF2[[#Headers],[1,58]]</f>
        <v>109.00000000000014</v>
      </c>
      <c r="BI105" s="126">
        <f>SUMIF(MatrixF2[[1]:[2]],MatrixF2[[#Headers],[1,59]])/MatrixF2[[#Headers],[1,59]]</f>
        <v>111.00000000000018</v>
      </c>
      <c r="BJ105" s="126">
        <f>SUMIF(MatrixF2[[1]:[2]],MatrixF2[[#Headers],[1,6]])/MatrixF2[[#Headers],[1,6]]</f>
        <v>113.99999999999974</v>
      </c>
      <c r="BK105" s="126">
        <f>SUMIF(MatrixF2[[1]:[2]],MatrixF2[[#Headers],[1,61]])/MatrixF2[[#Headers],[1,61]]</f>
        <v>111.00000000000024</v>
      </c>
      <c r="BL105" s="126">
        <f>SUMIF(MatrixF2[[1]:[2]],MatrixF2[[#Headers],[1,62]])/MatrixF2[[#Headers],[1,62]]</f>
        <v>112.00000000000017</v>
      </c>
      <c r="BM105" s="126">
        <f>SUMIF(MatrixF2[[1]:[2]],MatrixF2[[#Headers],[1,63]])/MatrixF2[[#Headers],[1,63]]</f>
        <v>110.99999999999984</v>
      </c>
      <c r="BN105" s="126">
        <f>SUMIF(MatrixF2[[1]:[2]],MatrixF2[[#Headers],[1,64]])/MatrixF2[[#Headers],[1,64]]</f>
        <v>110.99999999999976</v>
      </c>
      <c r="BO105" s="126">
        <f>SUMIF(MatrixF2[[1]:[2]],MatrixF2[[#Headers],[1,65]])/MatrixF2[[#Headers],[1,65]]</f>
        <v>113.00000000000024</v>
      </c>
      <c r="BP105" s="126">
        <f>SUMIF(MatrixF2[[1]:[2]],MatrixF2[[#Headers],[1,66]])/MatrixF2[[#Headers],[1,66]]</f>
        <v>110.99999999999983</v>
      </c>
      <c r="BQ105" s="126">
        <f>SUMIF(MatrixF2[[1]:[2]],MatrixF2[[#Headers],[1,67]])/MatrixF2[[#Headers],[1,67]]</f>
        <v>112.99999999999979</v>
      </c>
      <c r="BR105" s="126">
        <f>SUMIF(MatrixF2[[1]:[2]],MatrixF2[[#Headers],[1,68]])/MatrixF2[[#Headers],[1,68]]</f>
        <v>112.00000000000028</v>
      </c>
      <c r="BS105" s="126">
        <f>SUMIF(MatrixF2[[1]:[2]],MatrixF2[[#Headers],[1,69]])/MatrixF2[[#Headers],[1,69]]</f>
        <v>108.99999999999989</v>
      </c>
      <c r="BT105" s="126">
        <f>SUMIF(MatrixF2[[1]:[2]],MatrixF2[[#Headers],[1,7]])/MatrixF2[[#Headers],[1,7]]</f>
        <v>108.99999999999986</v>
      </c>
      <c r="BU105" s="126">
        <f>SUMIF(MatrixF2[[1]:[2]],MatrixF2[[#Headers],[1,71]])/MatrixF2[[#Headers],[1,71]]</f>
        <v>111.00000000000006</v>
      </c>
      <c r="BV105" s="126">
        <f>SUMIF(MatrixF2[[1]:[2]],MatrixF2[[#Headers],[1,72]])/MatrixF2[[#Headers],[1,72]]</f>
        <v>106.99999999999994</v>
      </c>
      <c r="BW105" s="126">
        <f>SUMIF(MatrixF2[[1]:[2]],MatrixF2[[#Headers],[1,73]])/MatrixF2[[#Headers],[1,73]]</f>
        <v>109.99999999999984</v>
      </c>
      <c r="BX105" s="126">
        <f>SUMIF(MatrixF2[[1]:[2]],MatrixF2[[#Headers],[1,74]])/MatrixF2[[#Headers],[1,74]]</f>
        <v>109.0000000000001</v>
      </c>
      <c r="BY105" s="126">
        <f>SUMIF(MatrixF2[[1]:[2]],MatrixF2[[#Headers],[1,75]])/MatrixF2[[#Headers],[1,75]]</f>
        <v>101</v>
      </c>
      <c r="BZ105" s="126">
        <f>SUMIF(MatrixF2[[1]:[2]],MatrixF2[[#Headers],[1,76]])/MatrixF2[[#Headers],[1,76]]</f>
        <v>108.9999999999999</v>
      </c>
      <c r="CA105" s="126">
        <f>SUMIF(MatrixF2[[1]:[2]],MatrixF2[[#Headers],[1,77]])/MatrixF2[[#Headers],[1,77]]</f>
        <v>103.00000000000013</v>
      </c>
      <c r="CB105" s="126">
        <f>SUMIF(MatrixF2[[1]:[2]],MatrixF2[[#Headers],[1,78]])/MatrixF2[[#Headers],[1,78]]</f>
        <v>107.00000000000006</v>
      </c>
      <c r="CC105" s="126">
        <f>SUMIF(MatrixF2[[1]:[2]],MatrixF2[[#Headers],[1,79]])/MatrixF2[[#Headers],[1,79]]</f>
        <v>100.99999999999997</v>
      </c>
      <c r="CD105" s="126">
        <f>SUMIF(MatrixF2[[1]:[2]],MatrixF2[[#Headers],[1,8]])/MatrixF2[[#Headers],[1,8]]</f>
        <v>102.0000000000001</v>
      </c>
      <c r="CE105" s="126">
        <f>SUMIF(MatrixF2[[1]:[2]],MatrixF2[[#Headers],[1,81]])/MatrixF2[[#Headers],[1,81]]</f>
        <v>101.0000000000001</v>
      </c>
      <c r="CF105" s="126">
        <f>SUMIF(MatrixF2[[1]:[2]],MatrixF2[[#Headers],[1,82]])/MatrixF2[[#Headers],[1,82]]</f>
        <v>100.99999999999976</v>
      </c>
      <c r="CG105" s="126">
        <f>SUMIF(MatrixF2[[1]:[2]],MatrixF2[[#Headers],[1,83]])/MatrixF2[[#Headers],[1,83]]</f>
        <v>93.000000000000099</v>
      </c>
      <c r="CH105" s="126">
        <f>SUMIF(MatrixF2[[1]:[2]],MatrixF2[[#Headers],[1,84]])/MatrixF2[[#Headers],[1,84]]</f>
        <v>100.00000000000016</v>
      </c>
      <c r="CI105" s="126">
        <f>SUMIF(MatrixF2[[1]:[2]],MatrixF2[[#Headers],[1,85]])/MatrixF2[[#Headers],[1,85]]</f>
        <v>96.999999999999815</v>
      </c>
      <c r="CJ105" s="126">
        <f>SUMIF(MatrixF2[[1]:[2]],MatrixF2[[#Headers],[1,86]])/MatrixF2[[#Headers],[1,86]]</f>
        <v>97.000000000000185</v>
      </c>
      <c r="CK105" s="126">
        <f>SUMIF(MatrixF2[[1]:[2]],MatrixF2[[#Headers],[1,87]])/MatrixF2[[#Headers],[1,87]]</f>
        <v>88.000000000000099</v>
      </c>
      <c r="CL105" s="126">
        <f>SUMIF(MatrixF2[[1]:[2]],MatrixF2[[#Headers],[1,88]])/MatrixF2[[#Headers],[1,88]]</f>
        <v>96.999999999999872</v>
      </c>
      <c r="CM105" s="126">
        <f>SUMIF(MatrixF2[[1]:[2]],MatrixF2[[#Headers],[1,89]])/MatrixF2[[#Headers],[1,89]]</f>
        <v>92.999999999999829</v>
      </c>
      <c r="CN105" s="126">
        <f>SUMIF(MatrixF2[[1]:[2]],MatrixF2[[#Headers],[1,9]])/MatrixF2[[#Headers],[1,9]]</f>
        <v>90.000000000000156</v>
      </c>
      <c r="CO105" s="126">
        <f>SUMIF(MatrixF2[[1]:[2]],MatrixF2[[#Headers],[1,91]])/MatrixF2[[#Headers],[1,91]]</f>
        <v>88.999999999999872</v>
      </c>
      <c r="CP105" s="126">
        <f>SUMIF(MatrixF2[[1]:[2]],MatrixF2[[#Headers],[1,92]])/MatrixF2[[#Headers],[1,92]]</f>
        <v>85.999999999999929</v>
      </c>
      <c r="CQ105" s="126">
        <f>SUMIF(MatrixF2[[1]:[2]],MatrixF2[[#Headers],[1,93]])/MatrixF2[[#Headers],[1,93]]</f>
        <v>87.000000000000199</v>
      </c>
      <c r="CR105" s="126">
        <f>SUMIF(MatrixF2[[1]:[2]],MatrixF2[[#Headers],[1,94]])/MatrixF2[[#Headers],[1,94]]</f>
        <v>80.999999999999943</v>
      </c>
      <c r="CS105" s="126">
        <f>SUMIF(MatrixF2[[1]:[2]],MatrixF2[[#Headers],[1,95]])/MatrixF2[[#Headers],[1,95]]</f>
        <v>85.999999999999957</v>
      </c>
      <c r="CT105" s="126">
        <f>SUMIF(MatrixF2[[1]:[2]],MatrixF2[[#Headers],[1,96]])/MatrixF2[[#Headers],[1,96]]</f>
        <v>80.999999999999972</v>
      </c>
      <c r="CU105" s="126">
        <f>SUMIF(MatrixF2[[1]:[2]],MatrixF2[[#Headers],[1,97]])/MatrixF2[[#Headers],[1,97]]</f>
        <v>79.999999999999972</v>
      </c>
      <c r="CV105" s="126">
        <f>SUMIF(MatrixF2[[1]:[2]],MatrixF2[[#Headers],[1,98]])/MatrixF2[[#Headers],[1,98]]</f>
        <v>76.999999999999972</v>
      </c>
      <c r="CW105" s="126">
        <f>SUMIF(MatrixF2[[1]:[2]],MatrixF2[[#Headers],[1,99]])/MatrixF2[[#Headers],[1,99]]</f>
        <v>69.999999999999943</v>
      </c>
      <c r="CX105" s="126">
        <f>SUMIF(MatrixF2[[1]:[2]],MatrixF2[[#Headers],[2]])/MatrixF2[[#Headers],[2]]</f>
        <v>101</v>
      </c>
      <c r="CZ105" s="126">
        <f>SUM(CZ3:CZ103)</f>
        <v>10201</v>
      </c>
    </row>
  </sheetData>
  <mergeCells count="1">
    <mergeCell ref="A1:C1"/>
  </mergeCells>
  <conditionalFormatting sqref="B3:CX103">
    <cfRule type="colorScale" priority="1">
      <colorScale>
        <cfvo type="min"/>
        <cfvo type="percentile" val="50"/>
        <cfvo type="max"/>
        <color rgb="FFF8696B"/>
        <color rgb="FFFFEB84"/>
        <color rgb="FF63BE7B"/>
      </colorScale>
    </cfRule>
  </conditionalFormatting>
  <hyperlinks>
    <hyperlink ref="A1:C1" location="Содержание!A1" display="&lt;&lt;НАЗАД" xr:uid="{00000000-0004-0000-0E00-000000000000}"/>
  </hyperlinks>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Лист811"/>
  <dimension ref="A1:CZ105"/>
  <sheetViews>
    <sheetView zoomScaleNormal="100" workbookViewId="0">
      <pane xSplit="1" ySplit="2" topLeftCell="B6" activePane="bottomRight" state="frozen"/>
      <selection pane="topRight" activeCell="B1" sqref="B1"/>
      <selection pane="bottomLeft" activeCell="A3" sqref="A3"/>
      <selection pane="bottomRight" activeCell="F1" sqref="F1"/>
    </sheetView>
  </sheetViews>
  <sheetFormatPr defaultColWidth="4.7109375" defaultRowHeight="21" customHeight="1" x14ac:dyDescent="0.25"/>
  <cols>
    <col min="1" max="103" width="4.7109375" style="2"/>
    <col min="104" max="104" width="4.7109375" style="126" customWidth="1"/>
    <col min="105" max="16384" width="4.7109375" style="2"/>
  </cols>
  <sheetData>
    <row r="1" spans="1:104" ht="21" customHeight="1" x14ac:dyDescent="0.25">
      <c r="A1" s="261" t="s">
        <v>109</v>
      </c>
      <c r="B1" s="261"/>
      <c r="C1" s="261"/>
      <c r="D1" s="205">
        <v>1.57</v>
      </c>
      <c r="E1" s="206" t="s">
        <v>614</v>
      </c>
      <c r="F1" s="205">
        <f>COUNTIF(MatrixF3[[1]:[2]],"="&amp;XFC1)</f>
        <v>0</v>
      </c>
    </row>
    <row r="2" spans="1:104" ht="21" customHeight="1" x14ac:dyDescent="0.25">
      <c r="A2" s="127" t="s">
        <v>99</v>
      </c>
      <c r="B2" s="127" t="s">
        <v>100</v>
      </c>
      <c r="C2" s="127" t="s">
        <v>0</v>
      </c>
      <c r="D2" s="127" t="s">
        <v>1</v>
      </c>
      <c r="E2" s="127" t="s">
        <v>2</v>
      </c>
      <c r="F2" s="127" t="s">
        <v>3</v>
      </c>
      <c r="G2" s="127" t="s">
        <v>4</v>
      </c>
      <c r="H2" s="127" t="s">
        <v>5</v>
      </c>
      <c r="I2" s="127" t="s">
        <v>6</v>
      </c>
      <c r="J2" s="127" t="s">
        <v>7</v>
      </c>
      <c r="K2" s="127" t="s">
        <v>8</v>
      </c>
      <c r="L2" s="127" t="s">
        <v>9</v>
      </c>
      <c r="M2" s="127" t="s">
        <v>10</v>
      </c>
      <c r="N2" s="127" t="s">
        <v>11</v>
      </c>
      <c r="O2" s="127" t="s">
        <v>12</v>
      </c>
      <c r="P2" s="127" t="s">
        <v>13</v>
      </c>
      <c r="Q2" s="127" t="s">
        <v>14</v>
      </c>
      <c r="R2" s="127" t="s">
        <v>15</v>
      </c>
      <c r="S2" s="127" t="s">
        <v>16</v>
      </c>
      <c r="T2" s="127" t="s">
        <v>17</v>
      </c>
      <c r="U2" s="127" t="s">
        <v>18</v>
      </c>
      <c r="V2" s="127" t="s">
        <v>19</v>
      </c>
      <c r="W2" s="127" t="s">
        <v>20</v>
      </c>
      <c r="X2" s="127" t="s">
        <v>21</v>
      </c>
      <c r="Y2" s="127" t="s">
        <v>22</v>
      </c>
      <c r="Z2" s="127" t="s">
        <v>23</v>
      </c>
      <c r="AA2" s="127" t="s">
        <v>24</v>
      </c>
      <c r="AB2" s="127" t="s">
        <v>25</v>
      </c>
      <c r="AC2" s="127" t="s">
        <v>26</v>
      </c>
      <c r="AD2" s="127" t="s">
        <v>27</v>
      </c>
      <c r="AE2" s="127" t="s">
        <v>28</v>
      </c>
      <c r="AF2" s="127" t="s">
        <v>29</v>
      </c>
      <c r="AG2" s="127" t="s">
        <v>30</v>
      </c>
      <c r="AH2" s="127" t="s">
        <v>31</v>
      </c>
      <c r="AI2" s="127" t="s">
        <v>32</v>
      </c>
      <c r="AJ2" s="127" t="s">
        <v>33</v>
      </c>
      <c r="AK2" s="127" t="s">
        <v>34</v>
      </c>
      <c r="AL2" s="127" t="s">
        <v>35</v>
      </c>
      <c r="AM2" s="127" t="s">
        <v>36</v>
      </c>
      <c r="AN2" s="127" t="s">
        <v>37</v>
      </c>
      <c r="AO2" s="127" t="s">
        <v>38</v>
      </c>
      <c r="AP2" s="127" t="s">
        <v>39</v>
      </c>
      <c r="AQ2" s="127" t="s">
        <v>40</v>
      </c>
      <c r="AR2" s="127" t="s">
        <v>41</v>
      </c>
      <c r="AS2" s="127" t="s">
        <v>42</v>
      </c>
      <c r="AT2" s="127" t="s">
        <v>43</v>
      </c>
      <c r="AU2" s="127" t="s">
        <v>44</v>
      </c>
      <c r="AV2" s="127" t="s">
        <v>45</v>
      </c>
      <c r="AW2" s="127" t="s">
        <v>46</v>
      </c>
      <c r="AX2" s="127" t="s">
        <v>47</v>
      </c>
      <c r="AY2" s="127" t="s">
        <v>48</v>
      </c>
      <c r="AZ2" s="127" t="s">
        <v>49</v>
      </c>
      <c r="BA2" s="127" t="s">
        <v>50</v>
      </c>
      <c r="BB2" s="127" t="s">
        <v>51</v>
      </c>
      <c r="BC2" s="127" t="s">
        <v>52</v>
      </c>
      <c r="BD2" s="127" t="s">
        <v>53</v>
      </c>
      <c r="BE2" s="127" t="s">
        <v>54</v>
      </c>
      <c r="BF2" s="127" t="s">
        <v>55</v>
      </c>
      <c r="BG2" s="127" t="s">
        <v>56</v>
      </c>
      <c r="BH2" s="127" t="s">
        <v>57</v>
      </c>
      <c r="BI2" s="127" t="s">
        <v>58</v>
      </c>
      <c r="BJ2" s="127" t="s">
        <v>59</v>
      </c>
      <c r="BK2" s="127" t="s">
        <v>60</v>
      </c>
      <c r="BL2" s="127" t="s">
        <v>61</v>
      </c>
      <c r="BM2" s="127" t="s">
        <v>62</v>
      </c>
      <c r="BN2" s="127" t="s">
        <v>63</v>
      </c>
      <c r="BO2" s="127" t="s">
        <v>64</v>
      </c>
      <c r="BP2" s="127" t="s">
        <v>65</v>
      </c>
      <c r="BQ2" s="127" t="s">
        <v>66</v>
      </c>
      <c r="BR2" s="127" t="s">
        <v>67</v>
      </c>
      <c r="BS2" s="127" t="s">
        <v>68</v>
      </c>
      <c r="BT2" s="127" t="s">
        <v>69</v>
      </c>
      <c r="BU2" s="127" t="s">
        <v>70</v>
      </c>
      <c r="BV2" s="127" t="s">
        <v>71</v>
      </c>
      <c r="BW2" s="127" t="s">
        <v>72</v>
      </c>
      <c r="BX2" s="127" t="s">
        <v>73</v>
      </c>
      <c r="BY2" s="127" t="s">
        <v>74</v>
      </c>
      <c r="BZ2" s="127" t="s">
        <v>75</v>
      </c>
      <c r="CA2" s="127" t="s">
        <v>76</v>
      </c>
      <c r="CB2" s="127" t="s">
        <v>77</v>
      </c>
      <c r="CC2" s="127" t="s">
        <v>78</v>
      </c>
      <c r="CD2" s="127" t="s">
        <v>79</v>
      </c>
      <c r="CE2" s="127" t="s">
        <v>80</v>
      </c>
      <c r="CF2" s="127" t="s">
        <v>81</v>
      </c>
      <c r="CG2" s="127" t="s">
        <v>82</v>
      </c>
      <c r="CH2" s="127" t="s">
        <v>83</v>
      </c>
      <c r="CI2" s="127" t="s">
        <v>84</v>
      </c>
      <c r="CJ2" s="127" t="s">
        <v>85</v>
      </c>
      <c r="CK2" s="127" t="s">
        <v>86</v>
      </c>
      <c r="CL2" s="127" t="s">
        <v>87</v>
      </c>
      <c r="CM2" s="127" t="s">
        <v>88</v>
      </c>
      <c r="CN2" s="127" t="s">
        <v>89</v>
      </c>
      <c r="CO2" s="127" t="s">
        <v>90</v>
      </c>
      <c r="CP2" s="127" t="s">
        <v>91</v>
      </c>
      <c r="CQ2" s="127" t="s">
        <v>92</v>
      </c>
      <c r="CR2" s="127" t="s">
        <v>93</v>
      </c>
      <c r="CS2" s="127" t="s">
        <v>94</v>
      </c>
      <c r="CT2" s="127" t="s">
        <v>95</v>
      </c>
      <c r="CU2" s="127" t="s">
        <v>96</v>
      </c>
      <c r="CV2" s="127" t="s">
        <v>97</v>
      </c>
      <c r="CW2" s="127" t="s">
        <v>98</v>
      </c>
      <c r="CX2" s="127" t="s">
        <v>101</v>
      </c>
    </row>
    <row r="3" spans="1:104" ht="21" customHeight="1" x14ac:dyDescent="0.25">
      <c r="A3" s="127">
        <v>1</v>
      </c>
      <c r="B3" s="128">
        <v>1</v>
      </c>
      <c r="C3" s="128">
        <v>1</v>
      </c>
      <c r="D3" s="128">
        <v>1</v>
      </c>
      <c r="E3" s="128">
        <v>1</v>
      </c>
      <c r="F3" s="128">
        <v>1</v>
      </c>
      <c r="G3" s="128">
        <v>1</v>
      </c>
      <c r="H3" s="128">
        <v>1</v>
      </c>
      <c r="I3" s="128">
        <v>1</v>
      </c>
      <c r="J3" s="128">
        <v>1</v>
      </c>
      <c r="K3" s="128">
        <v>1</v>
      </c>
      <c r="L3" s="128">
        <v>1</v>
      </c>
      <c r="M3" s="128">
        <v>1</v>
      </c>
      <c r="N3" s="128">
        <v>1</v>
      </c>
      <c r="O3" s="128">
        <v>1</v>
      </c>
      <c r="P3" s="128">
        <v>1</v>
      </c>
      <c r="Q3" s="128">
        <v>1</v>
      </c>
      <c r="R3" s="128">
        <v>1</v>
      </c>
      <c r="S3" s="128">
        <v>1</v>
      </c>
      <c r="T3" s="128">
        <v>1</v>
      </c>
      <c r="U3" s="128">
        <v>1</v>
      </c>
      <c r="V3" s="128">
        <v>1</v>
      </c>
      <c r="W3" s="128">
        <v>1</v>
      </c>
      <c r="X3" s="128">
        <v>1</v>
      </c>
      <c r="Y3" s="128">
        <v>1</v>
      </c>
      <c r="Z3" s="128">
        <v>1</v>
      </c>
      <c r="AA3" s="128">
        <v>1</v>
      </c>
      <c r="AB3" s="128">
        <v>1</v>
      </c>
      <c r="AC3" s="128">
        <v>1</v>
      </c>
      <c r="AD3" s="128">
        <v>1</v>
      </c>
      <c r="AE3" s="128">
        <v>1</v>
      </c>
      <c r="AF3" s="128">
        <v>1</v>
      </c>
      <c r="AG3" s="128">
        <v>1</v>
      </c>
      <c r="AH3" s="128">
        <v>1</v>
      </c>
      <c r="AI3" s="128">
        <v>1</v>
      </c>
      <c r="AJ3" s="128">
        <v>1</v>
      </c>
      <c r="AK3" s="128">
        <v>1</v>
      </c>
      <c r="AL3" s="128">
        <v>1</v>
      </c>
      <c r="AM3" s="128">
        <v>1</v>
      </c>
      <c r="AN3" s="128">
        <v>1</v>
      </c>
      <c r="AO3" s="128">
        <v>1</v>
      </c>
      <c r="AP3" s="128">
        <v>1</v>
      </c>
      <c r="AQ3" s="128">
        <v>1</v>
      </c>
      <c r="AR3" s="128">
        <v>1</v>
      </c>
      <c r="AS3" s="128">
        <v>1</v>
      </c>
      <c r="AT3" s="128">
        <v>1</v>
      </c>
      <c r="AU3" s="128">
        <v>1</v>
      </c>
      <c r="AV3" s="128">
        <v>1</v>
      </c>
      <c r="AW3" s="128">
        <v>1</v>
      </c>
      <c r="AX3" s="128">
        <v>1</v>
      </c>
      <c r="AY3" s="128">
        <v>1</v>
      </c>
      <c r="AZ3" s="128">
        <v>1</v>
      </c>
      <c r="BA3" s="128">
        <v>1</v>
      </c>
      <c r="BB3" s="128">
        <v>1</v>
      </c>
      <c r="BC3" s="128">
        <v>1</v>
      </c>
      <c r="BD3" s="128">
        <v>1</v>
      </c>
      <c r="BE3" s="128">
        <v>1</v>
      </c>
      <c r="BF3" s="128">
        <v>1</v>
      </c>
      <c r="BG3" s="128">
        <v>1</v>
      </c>
      <c r="BH3" s="128">
        <v>1</v>
      </c>
      <c r="BI3" s="128">
        <v>1</v>
      </c>
      <c r="BJ3" s="128">
        <v>1</v>
      </c>
      <c r="BK3" s="128">
        <v>1</v>
      </c>
      <c r="BL3" s="128">
        <v>1</v>
      </c>
      <c r="BM3" s="128">
        <v>1</v>
      </c>
      <c r="BN3" s="128">
        <v>1</v>
      </c>
      <c r="BO3" s="128">
        <v>1</v>
      </c>
      <c r="BP3" s="128">
        <v>1</v>
      </c>
      <c r="BQ3" s="128">
        <v>1</v>
      </c>
      <c r="BR3" s="128">
        <v>1</v>
      </c>
      <c r="BS3" s="128">
        <v>1</v>
      </c>
      <c r="BT3" s="128">
        <v>1</v>
      </c>
      <c r="BU3" s="128">
        <v>1</v>
      </c>
      <c r="BV3" s="128">
        <v>1</v>
      </c>
      <c r="BW3" s="128">
        <v>1</v>
      </c>
      <c r="BX3" s="128">
        <v>1</v>
      </c>
      <c r="BY3" s="128">
        <v>1</v>
      </c>
      <c r="BZ3" s="128">
        <v>1</v>
      </c>
      <c r="CA3" s="128">
        <v>1</v>
      </c>
      <c r="CB3" s="128">
        <v>1</v>
      </c>
      <c r="CC3" s="128">
        <v>1</v>
      </c>
      <c r="CD3" s="128">
        <v>1</v>
      </c>
      <c r="CE3" s="128">
        <v>1</v>
      </c>
      <c r="CF3" s="128">
        <v>1</v>
      </c>
      <c r="CG3" s="128">
        <v>1</v>
      </c>
      <c r="CH3" s="128">
        <v>1</v>
      </c>
      <c r="CI3" s="128">
        <v>1</v>
      </c>
      <c r="CJ3" s="128">
        <v>1</v>
      </c>
      <c r="CK3" s="128">
        <v>1</v>
      </c>
      <c r="CL3" s="128">
        <v>1</v>
      </c>
      <c r="CM3" s="128">
        <v>1</v>
      </c>
      <c r="CN3" s="128">
        <v>1</v>
      </c>
      <c r="CO3" s="128">
        <v>1</v>
      </c>
      <c r="CP3" s="128">
        <v>1</v>
      </c>
      <c r="CQ3" s="128">
        <v>1</v>
      </c>
      <c r="CR3" s="128">
        <v>1</v>
      </c>
      <c r="CS3" s="128">
        <v>1</v>
      </c>
      <c r="CT3" s="128">
        <v>1</v>
      </c>
      <c r="CU3" s="128">
        <v>1</v>
      </c>
      <c r="CV3" s="128">
        <v>1</v>
      </c>
      <c r="CW3" s="128">
        <v>1</v>
      </c>
      <c r="CX3" s="128">
        <v>1</v>
      </c>
      <c r="CZ3" s="126">
        <f>SUMIF(MatrixF3[[1]:[2]],MatrixF3[[#This Row],[Столбец1]])/MatrixF3[[#This Row],[Столбец1]]</f>
        <v>101</v>
      </c>
    </row>
    <row r="4" spans="1:104" ht="21" customHeight="1" x14ac:dyDescent="0.25">
      <c r="A4" s="127">
        <v>1.01</v>
      </c>
      <c r="B4" s="128">
        <v>1.01</v>
      </c>
      <c r="C4" s="128">
        <v>1.01</v>
      </c>
      <c r="D4" s="128">
        <v>1.01</v>
      </c>
      <c r="E4" s="128">
        <v>1.01</v>
      </c>
      <c r="F4" s="128">
        <v>1.01</v>
      </c>
      <c r="G4" s="128">
        <v>1.01</v>
      </c>
      <c r="H4" s="128">
        <v>1.01</v>
      </c>
      <c r="I4" s="128">
        <v>1.01</v>
      </c>
      <c r="J4" s="128">
        <v>1.01</v>
      </c>
      <c r="K4" s="128">
        <v>1.01</v>
      </c>
      <c r="L4" s="128">
        <v>1.01</v>
      </c>
      <c r="M4" s="128">
        <v>1.01</v>
      </c>
      <c r="N4" s="128">
        <v>1.01</v>
      </c>
      <c r="O4" s="128">
        <v>1.01</v>
      </c>
      <c r="P4" s="128">
        <v>1.01</v>
      </c>
      <c r="Q4" s="128">
        <v>1.01</v>
      </c>
      <c r="R4" s="128">
        <v>1.01</v>
      </c>
      <c r="S4" s="128">
        <v>1.01</v>
      </c>
      <c r="T4" s="128">
        <v>1.01</v>
      </c>
      <c r="U4" s="128">
        <v>1.01</v>
      </c>
      <c r="V4" s="128">
        <v>1.01</v>
      </c>
      <c r="W4" s="128">
        <v>1.01</v>
      </c>
      <c r="X4" s="128">
        <v>1.01</v>
      </c>
      <c r="Y4" s="128">
        <v>1.01</v>
      </c>
      <c r="Z4" s="128">
        <v>1.01</v>
      </c>
      <c r="AA4" s="128">
        <v>1.01</v>
      </c>
      <c r="AB4" s="128">
        <v>1.01</v>
      </c>
      <c r="AC4" s="128">
        <v>1.01</v>
      </c>
      <c r="AD4" s="128">
        <v>1.01</v>
      </c>
      <c r="AE4" s="128">
        <v>1.01</v>
      </c>
      <c r="AF4" s="128">
        <v>1.01</v>
      </c>
      <c r="AG4" s="128">
        <v>1.01</v>
      </c>
      <c r="AH4" s="128">
        <v>1.01</v>
      </c>
      <c r="AI4" s="128">
        <v>1.01</v>
      </c>
      <c r="AJ4" s="128">
        <v>1.01</v>
      </c>
      <c r="AK4" s="128">
        <v>1.02</v>
      </c>
      <c r="AL4" s="128">
        <v>1.02</v>
      </c>
      <c r="AM4" s="128">
        <v>1.02</v>
      </c>
      <c r="AN4" s="128">
        <v>1.02</v>
      </c>
      <c r="AO4" s="128">
        <v>1.02</v>
      </c>
      <c r="AP4" s="128">
        <v>1.02</v>
      </c>
      <c r="AQ4" s="128">
        <v>1.02</v>
      </c>
      <c r="AR4" s="128">
        <v>1.02</v>
      </c>
      <c r="AS4" s="128">
        <v>1.02</v>
      </c>
      <c r="AT4" s="128">
        <v>1.02</v>
      </c>
      <c r="AU4" s="128">
        <v>1.02</v>
      </c>
      <c r="AV4" s="128">
        <v>1.02</v>
      </c>
      <c r="AW4" s="128">
        <v>1.02</v>
      </c>
      <c r="AX4" s="128">
        <v>1.02</v>
      </c>
      <c r="AY4" s="128">
        <v>1.02</v>
      </c>
      <c r="AZ4" s="128">
        <v>1.02</v>
      </c>
      <c r="BA4" s="128">
        <v>1.02</v>
      </c>
      <c r="BB4" s="128">
        <v>1.02</v>
      </c>
      <c r="BC4" s="128">
        <v>1.02</v>
      </c>
      <c r="BD4" s="128">
        <v>1.02</v>
      </c>
      <c r="BE4" s="128">
        <v>1.02</v>
      </c>
      <c r="BF4" s="128">
        <v>1.02</v>
      </c>
      <c r="BG4" s="128">
        <v>1.02</v>
      </c>
      <c r="BH4" s="128">
        <v>1.02</v>
      </c>
      <c r="BI4" s="128">
        <v>1.02</v>
      </c>
      <c r="BJ4" s="128">
        <v>1.02</v>
      </c>
      <c r="BK4" s="128">
        <v>1.02</v>
      </c>
      <c r="BL4" s="128">
        <v>1.02</v>
      </c>
      <c r="BM4" s="128">
        <v>1.02</v>
      </c>
      <c r="BN4" s="128">
        <v>1.02</v>
      </c>
      <c r="BO4" s="128">
        <v>1.02</v>
      </c>
      <c r="BP4" s="128">
        <v>1.01</v>
      </c>
      <c r="BQ4" s="128">
        <v>1.01</v>
      </c>
      <c r="BR4" s="128">
        <v>1.01</v>
      </c>
      <c r="BS4" s="128">
        <v>1.01</v>
      </c>
      <c r="BT4" s="128">
        <v>1.01</v>
      </c>
      <c r="BU4" s="128">
        <v>1.01</v>
      </c>
      <c r="BV4" s="128">
        <v>1.01</v>
      </c>
      <c r="BW4" s="128">
        <v>1.01</v>
      </c>
      <c r="BX4" s="128">
        <v>1.01</v>
      </c>
      <c r="BY4" s="128">
        <v>1.01</v>
      </c>
      <c r="BZ4" s="128">
        <v>1.01</v>
      </c>
      <c r="CA4" s="128">
        <v>1.01</v>
      </c>
      <c r="CB4" s="128">
        <v>1.01</v>
      </c>
      <c r="CC4" s="128">
        <v>1.01</v>
      </c>
      <c r="CD4" s="128">
        <v>1.01</v>
      </c>
      <c r="CE4" s="128">
        <v>1.01</v>
      </c>
      <c r="CF4" s="128">
        <v>1.01</v>
      </c>
      <c r="CG4" s="128">
        <v>1.01</v>
      </c>
      <c r="CH4" s="128">
        <v>1.01</v>
      </c>
      <c r="CI4" s="128">
        <v>1.01</v>
      </c>
      <c r="CJ4" s="128">
        <v>1.01</v>
      </c>
      <c r="CK4" s="128">
        <v>1.01</v>
      </c>
      <c r="CL4" s="128">
        <v>1.01</v>
      </c>
      <c r="CM4" s="128">
        <v>1.01</v>
      </c>
      <c r="CN4" s="128">
        <v>1.01</v>
      </c>
      <c r="CO4" s="128">
        <v>1.01</v>
      </c>
      <c r="CP4" s="128">
        <v>1.01</v>
      </c>
      <c r="CQ4" s="128">
        <v>1.01</v>
      </c>
      <c r="CR4" s="128">
        <v>1.01</v>
      </c>
      <c r="CS4" s="128">
        <v>1.01</v>
      </c>
      <c r="CT4" s="128">
        <v>1.01</v>
      </c>
      <c r="CU4" s="128">
        <v>1.01</v>
      </c>
      <c r="CV4" s="128">
        <v>1.01</v>
      </c>
      <c r="CW4" s="128">
        <v>1.01</v>
      </c>
      <c r="CX4" s="128">
        <v>1.01</v>
      </c>
      <c r="CZ4" s="126">
        <f>SUMIF(MatrixF3[[1]:[2]],MatrixF3[[#This Row],[Столбец1]])/MatrixF3[[#This Row],[Столбец1]]</f>
        <v>69.999999999999986</v>
      </c>
    </row>
    <row r="5" spans="1:104" ht="21" customHeight="1" x14ac:dyDescent="0.25">
      <c r="A5" s="127">
        <v>1.02</v>
      </c>
      <c r="B5" s="128">
        <v>1.02</v>
      </c>
      <c r="C5" s="128">
        <v>1.02</v>
      </c>
      <c r="D5" s="128">
        <v>1.02</v>
      </c>
      <c r="E5" s="128">
        <v>1.02</v>
      </c>
      <c r="F5" s="128">
        <v>1.02</v>
      </c>
      <c r="G5" s="128">
        <v>1.02</v>
      </c>
      <c r="H5" s="128">
        <v>1.02</v>
      </c>
      <c r="I5" s="128">
        <v>1.02</v>
      </c>
      <c r="J5" s="128">
        <v>1.02</v>
      </c>
      <c r="K5" s="128">
        <v>1.02</v>
      </c>
      <c r="L5" s="128">
        <v>1.02</v>
      </c>
      <c r="M5" s="128">
        <v>1.02</v>
      </c>
      <c r="N5" s="128">
        <v>1.02</v>
      </c>
      <c r="O5" s="128">
        <v>1.02</v>
      </c>
      <c r="P5" s="128">
        <v>1.02</v>
      </c>
      <c r="Q5" s="128">
        <v>1.02</v>
      </c>
      <c r="R5" s="128">
        <v>1.02</v>
      </c>
      <c r="S5" s="128">
        <v>1.02</v>
      </c>
      <c r="T5" s="128">
        <v>1.02</v>
      </c>
      <c r="U5" s="128">
        <v>1.02</v>
      </c>
      <c r="V5" s="128">
        <v>1.02</v>
      </c>
      <c r="W5" s="128">
        <v>1.02</v>
      </c>
      <c r="X5" s="128">
        <v>1.03</v>
      </c>
      <c r="Y5" s="128">
        <v>1.03</v>
      </c>
      <c r="Z5" s="128">
        <v>1.03</v>
      </c>
      <c r="AA5" s="128">
        <v>1.03</v>
      </c>
      <c r="AB5" s="128">
        <v>1.03</v>
      </c>
      <c r="AC5" s="128">
        <v>1.03</v>
      </c>
      <c r="AD5" s="128">
        <v>1.03</v>
      </c>
      <c r="AE5" s="128">
        <v>1.03</v>
      </c>
      <c r="AF5" s="128">
        <v>1.03</v>
      </c>
      <c r="AG5" s="128">
        <v>1.03</v>
      </c>
      <c r="AH5" s="128">
        <v>1.03</v>
      </c>
      <c r="AI5" s="128">
        <v>1.03</v>
      </c>
      <c r="AJ5" s="128">
        <v>1.03</v>
      </c>
      <c r="AK5" s="128">
        <v>1.03</v>
      </c>
      <c r="AL5" s="128">
        <v>1.03</v>
      </c>
      <c r="AM5" s="128">
        <v>1.03</v>
      </c>
      <c r="AN5" s="128">
        <v>1.03</v>
      </c>
      <c r="AO5" s="128">
        <v>1.03</v>
      </c>
      <c r="AP5" s="128">
        <v>1.03</v>
      </c>
      <c r="AQ5" s="128">
        <v>1.03</v>
      </c>
      <c r="AR5" s="128">
        <v>1.03</v>
      </c>
      <c r="AS5" s="128">
        <v>1.03</v>
      </c>
      <c r="AT5" s="128">
        <v>1.03</v>
      </c>
      <c r="AU5" s="128">
        <v>1.04</v>
      </c>
      <c r="AV5" s="128">
        <v>1.04</v>
      </c>
      <c r="AW5" s="128">
        <v>1.04</v>
      </c>
      <c r="AX5" s="128">
        <v>1.04</v>
      </c>
      <c r="AY5" s="128">
        <v>1.04</v>
      </c>
      <c r="AZ5" s="128">
        <v>1.04</v>
      </c>
      <c r="BA5" s="128">
        <v>1.04</v>
      </c>
      <c r="BB5" s="128">
        <v>1.04</v>
      </c>
      <c r="BC5" s="128">
        <v>1.04</v>
      </c>
      <c r="BD5" s="128">
        <v>1.04</v>
      </c>
      <c r="BE5" s="128">
        <v>1.04</v>
      </c>
      <c r="BF5" s="128">
        <v>1.03</v>
      </c>
      <c r="BG5" s="128">
        <v>1.03</v>
      </c>
      <c r="BH5" s="128">
        <v>1.03</v>
      </c>
      <c r="BI5" s="128">
        <v>1.03</v>
      </c>
      <c r="BJ5" s="128">
        <v>1.03</v>
      </c>
      <c r="BK5" s="128">
        <v>1.03</v>
      </c>
      <c r="BL5" s="128">
        <v>1.03</v>
      </c>
      <c r="BM5" s="128">
        <v>1.03</v>
      </c>
      <c r="BN5" s="128">
        <v>1.03</v>
      </c>
      <c r="BO5" s="128">
        <v>1.03</v>
      </c>
      <c r="BP5" s="128">
        <v>1.03</v>
      </c>
      <c r="BQ5" s="128">
        <v>1.03</v>
      </c>
      <c r="BR5" s="128">
        <v>1.03</v>
      </c>
      <c r="BS5" s="128">
        <v>1.03</v>
      </c>
      <c r="BT5" s="128">
        <v>1.03</v>
      </c>
      <c r="BU5" s="128">
        <v>1.03</v>
      </c>
      <c r="BV5" s="128">
        <v>1.03</v>
      </c>
      <c r="BW5" s="128">
        <v>1.03</v>
      </c>
      <c r="BX5" s="128">
        <v>1.03</v>
      </c>
      <c r="BY5" s="128">
        <v>1.03</v>
      </c>
      <c r="BZ5" s="128">
        <v>1.03</v>
      </c>
      <c r="CA5" s="128">
        <v>1.03</v>
      </c>
      <c r="CB5" s="128">
        <v>1.03</v>
      </c>
      <c r="CC5" s="128">
        <v>1.02</v>
      </c>
      <c r="CD5" s="128">
        <v>1.02</v>
      </c>
      <c r="CE5" s="128">
        <v>1.02</v>
      </c>
      <c r="CF5" s="128">
        <v>1.02</v>
      </c>
      <c r="CG5" s="128">
        <v>1.02</v>
      </c>
      <c r="CH5" s="128">
        <v>1.02</v>
      </c>
      <c r="CI5" s="128">
        <v>1.02</v>
      </c>
      <c r="CJ5" s="128">
        <v>1.02</v>
      </c>
      <c r="CK5" s="128">
        <v>1.02</v>
      </c>
      <c r="CL5" s="128">
        <v>1.02</v>
      </c>
      <c r="CM5" s="128">
        <v>1.02</v>
      </c>
      <c r="CN5" s="128">
        <v>1.02</v>
      </c>
      <c r="CO5" s="128">
        <v>1.02</v>
      </c>
      <c r="CP5" s="128">
        <v>1.02</v>
      </c>
      <c r="CQ5" s="128">
        <v>1.02</v>
      </c>
      <c r="CR5" s="128">
        <v>1.02</v>
      </c>
      <c r="CS5" s="128">
        <v>1.02</v>
      </c>
      <c r="CT5" s="128">
        <v>1.02</v>
      </c>
      <c r="CU5" s="128">
        <v>1.02</v>
      </c>
      <c r="CV5" s="128">
        <v>1.02</v>
      </c>
      <c r="CW5" s="128">
        <v>1.02</v>
      </c>
      <c r="CX5" s="128">
        <v>1.02</v>
      </c>
      <c r="CZ5" s="126">
        <f>SUMIF(MatrixF3[[1]:[2]],MatrixF3[[#This Row],[Столбец1]])/MatrixF3[[#This Row],[Столбец1]]</f>
        <v>75.000000000000043</v>
      </c>
    </row>
    <row r="6" spans="1:104" ht="21" customHeight="1" x14ac:dyDescent="0.25">
      <c r="A6" s="127">
        <v>1.03</v>
      </c>
      <c r="B6" s="128">
        <v>1.03</v>
      </c>
      <c r="C6" s="128">
        <v>1.03</v>
      </c>
      <c r="D6" s="128">
        <v>1.03</v>
      </c>
      <c r="E6" s="128">
        <v>1.03</v>
      </c>
      <c r="F6" s="128">
        <v>1.03</v>
      </c>
      <c r="G6" s="128">
        <v>1.03</v>
      </c>
      <c r="H6" s="128">
        <v>1.03</v>
      </c>
      <c r="I6" s="128">
        <v>1.03</v>
      </c>
      <c r="J6" s="128">
        <v>1.03</v>
      </c>
      <c r="K6" s="128">
        <v>1.03</v>
      </c>
      <c r="L6" s="128">
        <v>1.03</v>
      </c>
      <c r="M6" s="128">
        <v>1.03</v>
      </c>
      <c r="N6" s="128">
        <v>1.03</v>
      </c>
      <c r="O6" s="128">
        <v>1.03</v>
      </c>
      <c r="P6" s="128">
        <v>1.03</v>
      </c>
      <c r="Q6" s="128">
        <v>1.03</v>
      </c>
      <c r="R6" s="128">
        <v>1.03</v>
      </c>
      <c r="S6" s="128">
        <v>1.03</v>
      </c>
      <c r="T6" s="128">
        <v>1.04</v>
      </c>
      <c r="U6" s="128">
        <v>1.04</v>
      </c>
      <c r="V6" s="128">
        <v>1.04</v>
      </c>
      <c r="W6" s="128">
        <v>1.04</v>
      </c>
      <c r="X6" s="128">
        <v>1.04</v>
      </c>
      <c r="Y6" s="128">
        <v>1.04</v>
      </c>
      <c r="Z6" s="128">
        <v>1.04</v>
      </c>
      <c r="AA6" s="128">
        <v>1.04</v>
      </c>
      <c r="AB6" s="128">
        <v>1.04</v>
      </c>
      <c r="AC6" s="128">
        <v>1.04</v>
      </c>
      <c r="AD6" s="128">
        <v>1.04</v>
      </c>
      <c r="AE6" s="128">
        <v>1.04</v>
      </c>
      <c r="AF6" s="128">
        <v>1.04</v>
      </c>
      <c r="AG6" s="128">
        <v>1.04</v>
      </c>
      <c r="AH6" s="128">
        <v>1.04</v>
      </c>
      <c r="AI6" s="128">
        <v>1.04</v>
      </c>
      <c r="AJ6" s="128">
        <v>1.04</v>
      </c>
      <c r="AK6" s="128">
        <v>1.04</v>
      </c>
      <c r="AL6" s="128">
        <v>1.04</v>
      </c>
      <c r="AM6" s="128">
        <v>1.05</v>
      </c>
      <c r="AN6" s="128">
        <v>1.05</v>
      </c>
      <c r="AO6" s="128">
        <v>1.05</v>
      </c>
      <c r="AP6" s="128">
        <v>1.05</v>
      </c>
      <c r="AQ6" s="128">
        <v>1.05</v>
      </c>
      <c r="AR6" s="128">
        <v>1.05</v>
      </c>
      <c r="AS6" s="128">
        <v>1.05</v>
      </c>
      <c r="AT6" s="128">
        <v>1.05</v>
      </c>
      <c r="AU6" s="128">
        <v>1.05</v>
      </c>
      <c r="AV6" s="128">
        <v>1.05</v>
      </c>
      <c r="AW6" s="128">
        <v>1.05</v>
      </c>
      <c r="AX6" s="128">
        <v>1.05</v>
      </c>
      <c r="AY6" s="128">
        <v>1.06</v>
      </c>
      <c r="AZ6" s="128">
        <v>1.06</v>
      </c>
      <c r="BA6" s="128">
        <v>1.06</v>
      </c>
      <c r="BB6" s="128">
        <v>1.05</v>
      </c>
      <c r="BC6" s="128">
        <v>1.05</v>
      </c>
      <c r="BD6" s="128">
        <v>1.05</v>
      </c>
      <c r="BE6" s="128">
        <v>1.05</v>
      </c>
      <c r="BF6" s="128">
        <v>1.05</v>
      </c>
      <c r="BG6" s="128">
        <v>1.05</v>
      </c>
      <c r="BH6" s="128">
        <v>1.05</v>
      </c>
      <c r="BI6" s="128">
        <v>1.05</v>
      </c>
      <c r="BJ6" s="128">
        <v>1.05</v>
      </c>
      <c r="BK6" s="128">
        <v>1.05</v>
      </c>
      <c r="BL6" s="128">
        <v>1.05</v>
      </c>
      <c r="BM6" s="128">
        <v>1.05</v>
      </c>
      <c r="BN6" s="128">
        <v>1.04</v>
      </c>
      <c r="BO6" s="128">
        <v>1.04</v>
      </c>
      <c r="BP6" s="128">
        <v>1.04</v>
      </c>
      <c r="BQ6" s="128">
        <v>1.04</v>
      </c>
      <c r="BR6" s="128">
        <v>1.04</v>
      </c>
      <c r="BS6" s="128">
        <v>1.04</v>
      </c>
      <c r="BT6" s="128">
        <v>1.04</v>
      </c>
      <c r="BU6" s="128">
        <v>1.04</v>
      </c>
      <c r="BV6" s="128">
        <v>1.04</v>
      </c>
      <c r="BW6" s="128">
        <v>1.04</v>
      </c>
      <c r="BX6" s="128">
        <v>1.04</v>
      </c>
      <c r="BY6" s="128">
        <v>1.04</v>
      </c>
      <c r="BZ6" s="128">
        <v>1.04</v>
      </c>
      <c r="CA6" s="128">
        <v>1.04</v>
      </c>
      <c r="CB6" s="128">
        <v>1.04</v>
      </c>
      <c r="CC6" s="128">
        <v>1.04</v>
      </c>
      <c r="CD6" s="128">
        <v>1.04</v>
      </c>
      <c r="CE6" s="128">
        <v>1.04</v>
      </c>
      <c r="CF6" s="128">
        <v>1.04</v>
      </c>
      <c r="CG6" s="128">
        <v>1.03</v>
      </c>
      <c r="CH6" s="128">
        <v>1.03</v>
      </c>
      <c r="CI6" s="128">
        <v>1.03</v>
      </c>
      <c r="CJ6" s="128">
        <v>1.03</v>
      </c>
      <c r="CK6" s="128">
        <v>1.03</v>
      </c>
      <c r="CL6" s="128">
        <v>1.03</v>
      </c>
      <c r="CM6" s="128">
        <v>1.03</v>
      </c>
      <c r="CN6" s="128">
        <v>1.03</v>
      </c>
      <c r="CO6" s="128">
        <v>1.03</v>
      </c>
      <c r="CP6" s="128">
        <v>1.03</v>
      </c>
      <c r="CQ6" s="128">
        <v>1.03</v>
      </c>
      <c r="CR6" s="128">
        <v>1.03</v>
      </c>
      <c r="CS6" s="128">
        <v>1.03</v>
      </c>
      <c r="CT6" s="128">
        <v>1.03</v>
      </c>
      <c r="CU6" s="128">
        <v>1.03</v>
      </c>
      <c r="CV6" s="128">
        <v>1.03</v>
      </c>
      <c r="CW6" s="128">
        <v>1.03</v>
      </c>
      <c r="CX6" s="128">
        <v>1.03</v>
      </c>
      <c r="CZ6" s="126">
        <f>SUMIF(MatrixF3[[1]:[2]],MatrixF3[[#This Row],[Столбец1]])/MatrixF3[[#This Row],[Столбец1]]</f>
        <v>82.000000000000057</v>
      </c>
    </row>
    <row r="7" spans="1:104" ht="21" customHeight="1" x14ac:dyDescent="0.25">
      <c r="A7" s="127">
        <v>1.04</v>
      </c>
      <c r="B7" s="128">
        <v>1.04</v>
      </c>
      <c r="C7" s="128">
        <v>1.04</v>
      </c>
      <c r="D7" s="128">
        <v>1.04</v>
      </c>
      <c r="E7" s="128">
        <v>1.04</v>
      </c>
      <c r="F7" s="128">
        <v>1.04</v>
      </c>
      <c r="G7" s="128">
        <v>1.04</v>
      </c>
      <c r="H7" s="128">
        <v>1.04</v>
      </c>
      <c r="I7" s="128">
        <v>1.04</v>
      </c>
      <c r="J7" s="128">
        <v>1.04</v>
      </c>
      <c r="K7" s="128">
        <v>1.04</v>
      </c>
      <c r="L7" s="128">
        <v>1.04</v>
      </c>
      <c r="M7" s="128">
        <v>1.04</v>
      </c>
      <c r="N7" s="128">
        <v>1.04</v>
      </c>
      <c r="O7" s="128">
        <v>1.04</v>
      </c>
      <c r="P7" s="128">
        <v>1.04</v>
      </c>
      <c r="Q7" s="128">
        <v>1.04</v>
      </c>
      <c r="R7" s="128">
        <v>1.05</v>
      </c>
      <c r="S7" s="128">
        <v>1.05</v>
      </c>
      <c r="T7" s="128">
        <v>1.05</v>
      </c>
      <c r="U7" s="128">
        <v>1.05</v>
      </c>
      <c r="V7" s="128">
        <v>1.05</v>
      </c>
      <c r="W7" s="128">
        <v>1.05</v>
      </c>
      <c r="X7" s="128">
        <v>1.05</v>
      </c>
      <c r="Y7" s="128">
        <v>1.05</v>
      </c>
      <c r="Z7" s="128">
        <v>1.05</v>
      </c>
      <c r="AA7" s="128">
        <v>1.05</v>
      </c>
      <c r="AB7" s="128">
        <v>1.05</v>
      </c>
      <c r="AC7" s="128">
        <v>1.05</v>
      </c>
      <c r="AD7" s="128">
        <v>1.05</v>
      </c>
      <c r="AE7" s="128">
        <v>1.05</v>
      </c>
      <c r="AF7" s="128">
        <v>1.05</v>
      </c>
      <c r="AG7" s="128">
        <v>1.05</v>
      </c>
      <c r="AH7" s="128">
        <v>1.06</v>
      </c>
      <c r="AI7" s="128">
        <v>1.06</v>
      </c>
      <c r="AJ7" s="128">
        <v>1.06</v>
      </c>
      <c r="AK7" s="128">
        <v>1.06</v>
      </c>
      <c r="AL7" s="128">
        <v>1.06</v>
      </c>
      <c r="AM7" s="128">
        <v>1.06</v>
      </c>
      <c r="AN7" s="128">
        <v>1.06</v>
      </c>
      <c r="AO7" s="128">
        <v>1.06</v>
      </c>
      <c r="AP7" s="128">
        <v>1.06</v>
      </c>
      <c r="AQ7" s="128">
        <v>1.06</v>
      </c>
      <c r="AR7" s="128">
        <v>1.06</v>
      </c>
      <c r="AS7" s="128">
        <v>1.07</v>
      </c>
      <c r="AT7" s="128">
        <v>1.07</v>
      </c>
      <c r="AU7" s="128">
        <v>1.07</v>
      </c>
      <c r="AV7" s="128">
        <v>1.07</v>
      </c>
      <c r="AW7" s="128">
        <v>1.07</v>
      </c>
      <c r="AX7" s="128">
        <v>1.07</v>
      </c>
      <c r="AY7" s="128">
        <v>1.07</v>
      </c>
      <c r="AZ7" s="128">
        <v>1.07</v>
      </c>
      <c r="BA7" s="128">
        <v>1.07</v>
      </c>
      <c r="BB7" s="128">
        <v>1.07</v>
      </c>
      <c r="BC7" s="128">
        <v>1.07</v>
      </c>
      <c r="BD7" s="128">
        <v>1.07</v>
      </c>
      <c r="BE7" s="128">
        <v>1.07</v>
      </c>
      <c r="BF7" s="128">
        <v>1.07</v>
      </c>
      <c r="BG7" s="128">
        <v>1.07</v>
      </c>
      <c r="BH7" s="128">
        <v>1.06</v>
      </c>
      <c r="BI7" s="128">
        <v>1.06</v>
      </c>
      <c r="BJ7" s="128">
        <v>1.06</v>
      </c>
      <c r="BK7" s="128">
        <v>1.06</v>
      </c>
      <c r="BL7" s="128">
        <v>1.06</v>
      </c>
      <c r="BM7" s="128">
        <v>1.06</v>
      </c>
      <c r="BN7" s="128">
        <v>1.06</v>
      </c>
      <c r="BO7" s="128">
        <v>1.06</v>
      </c>
      <c r="BP7" s="128">
        <v>1.06</v>
      </c>
      <c r="BQ7" s="128">
        <v>1.06</v>
      </c>
      <c r="BR7" s="128">
        <v>1.06</v>
      </c>
      <c r="BS7" s="128">
        <v>1.05</v>
      </c>
      <c r="BT7" s="128">
        <v>1.05</v>
      </c>
      <c r="BU7" s="128">
        <v>1.05</v>
      </c>
      <c r="BV7" s="128">
        <v>1.05</v>
      </c>
      <c r="BW7" s="128">
        <v>1.05</v>
      </c>
      <c r="BX7" s="128">
        <v>1.05</v>
      </c>
      <c r="BY7" s="128">
        <v>1.05</v>
      </c>
      <c r="BZ7" s="128">
        <v>1.05</v>
      </c>
      <c r="CA7" s="128">
        <v>1.05</v>
      </c>
      <c r="CB7" s="128">
        <v>1.05</v>
      </c>
      <c r="CC7" s="128">
        <v>1.05</v>
      </c>
      <c r="CD7" s="128">
        <v>1.05</v>
      </c>
      <c r="CE7" s="128">
        <v>1.05</v>
      </c>
      <c r="CF7" s="128">
        <v>1.05</v>
      </c>
      <c r="CG7" s="128">
        <v>1.05</v>
      </c>
      <c r="CH7" s="128">
        <v>1.05</v>
      </c>
      <c r="CI7" s="128">
        <v>1.04</v>
      </c>
      <c r="CJ7" s="128">
        <v>1.04</v>
      </c>
      <c r="CK7" s="128">
        <v>1.04</v>
      </c>
      <c r="CL7" s="128">
        <v>1.04</v>
      </c>
      <c r="CM7" s="128">
        <v>1.04</v>
      </c>
      <c r="CN7" s="128">
        <v>1.04</v>
      </c>
      <c r="CO7" s="128">
        <v>1.04</v>
      </c>
      <c r="CP7" s="128">
        <v>1.04</v>
      </c>
      <c r="CQ7" s="128">
        <v>1.04</v>
      </c>
      <c r="CR7" s="128">
        <v>1.04</v>
      </c>
      <c r="CS7" s="128">
        <v>1.04</v>
      </c>
      <c r="CT7" s="128">
        <v>1.04</v>
      </c>
      <c r="CU7" s="128">
        <v>1.04</v>
      </c>
      <c r="CV7" s="128">
        <v>1.04</v>
      </c>
      <c r="CW7" s="128">
        <v>1.04</v>
      </c>
      <c r="CX7" s="128">
        <v>1.04</v>
      </c>
      <c r="CZ7" s="126">
        <f>SUMIF(MatrixF3[[1]:[2]],MatrixF3[[#This Row],[Столбец1]])/MatrixF3[[#This Row],[Столбец1]]</f>
        <v>81.000000000000071</v>
      </c>
    </row>
    <row r="8" spans="1:104" ht="21" customHeight="1" x14ac:dyDescent="0.25">
      <c r="A8" s="127">
        <v>1.05</v>
      </c>
      <c r="B8" s="128">
        <v>1.05</v>
      </c>
      <c r="C8" s="128">
        <v>1.05</v>
      </c>
      <c r="D8" s="128">
        <v>1.05</v>
      </c>
      <c r="E8" s="128">
        <v>1.05</v>
      </c>
      <c r="F8" s="128">
        <v>1.05</v>
      </c>
      <c r="G8" s="128">
        <v>1.05</v>
      </c>
      <c r="H8" s="128">
        <v>1.05</v>
      </c>
      <c r="I8" s="128">
        <v>1.05</v>
      </c>
      <c r="J8" s="128">
        <v>1.05</v>
      </c>
      <c r="K8" s="128">
        <v>1.05</v>
      </c>
      <c r="L8" s="128">
        <v>1.05</v>
      </c>
      <c r="M8" s="128">
        <v>1.05</v>
      </c>
      <c r="N8" s="128">
        <v>1.05</v>
      </c>
      <c r="O8" s="128">
        <v>1.05</v>
      </c>
      <c r="P8" s="128">
        <v>1.05</v>
      </c>
      <c r="Q8" s="128">
        <v>1.06</v>
      </c>
      <c r="R8" s="128">
        <v>1.06</v>
      </c>
      <c r="S8" s="128">
        <v>1.06</v>
      </c>
      <c r="T8" s="128">
        <v>1.06</v>
      </c>
      <c r="U8" s="128">
        <v>1.06</v>
      </c>
      <c r="V8" s="128">
        <v>1.06</v>
      </c>
      <c r="W8" s="128">
        <v>1.06</v>
      </c>
      <c r="X8" s="128">
        <v>1.06</v>
      </c>
      <c r="Y8" s="128">
        <v>1.06</v>
      </c>
      <c r="Z8" s="128">
        <v>1.06</v>
      </c>
      <c r="AA8" s="128">
        <v>1.06</v>
      </c>
      <c r="AB8" s="128">
        <v>1.06</v>
      </c>
      <c r="AC8" s="128">
        <v>1.06</v>
      </c>
      <c r="AD8" s="128">
        <v>1.06</v>
      </c>
      <c r="AE8" s="128">
        <v>1.07</v>
      </c>
      <c r="AF8" s="128">
        <v>1.07</v>
      </c>
      <c r="AG8" s="128">
        <v>1.07</v>
      </c>
      <c r="AH8" s="128">
        <v>1.07</v>
      </c>
      <c r="AI8" s="128">
        <v>1.07</v>
      </c>
      <c r="AJ8" s="128">
        <v>1.07</v>
      </c>
      <c r="AK8" s="128">
        <v>1.07</v>
      </c>
      <c r="AL8" s="128">
        <v>1.07</v>
      </c>
      <c r="AM8" s="128">
        <v>1.07</v>
      </c>
      <c r="AN8" s="128">
        <v>1.07</v>
      </c>
      <c r="AO8" s="128">
        <v>1.08</v>
      </c>
      <c r="AP8" s="128">
        <v>1.08</v>
      </c>
      <c r="AQ8" s="128">
        <v>1.08</v>
      </c>
      <c r="AR8" s="128">
        <v>1.08</v>
      </c>
      <c r="AS8" s="128">
        <v>1.08</v>
      </c>
      <c r="AT8" s="128">
        <v>1.08</v>
      </c>
      <c r="AU8" s="128">
        <v>1.08</v>
      </c>
      <c r="AV8" s="128">
        <v>1.08</v>
      </c>
      <c r="AW8" s="128">
        <v>1.0900000000000001</v>
      </c>
      <c r="AX8" s="128">
        <v>1.0900000000000001</v>
      </c>
      <c r="AY8" s="128">
        <v>1.0900000000000001</v>
      </c>
      <c r="AZ8" s="128">
        <v>1.0900000000000001</v>
      </c>
      <c r="BA8" s="128">
        <v>1.0900000000000001</v>
      </c>
      <c r="BB8" s="128">
        <v>1.0900000000000001</v>
      </c>
      <c r="BC8" s="128">
        <v>1.0900000000000001</v>
      </c>
      <c r="BD8" s="128">
        <v>1.08</v>
      </c>
      <c r="BE8" s="128">
        <v>1.08</v>
      </c>
      <c r="BF8" s="128">
        <v>1.08</v>
      </c>
      <c r="BG8" s="128">
        <v>1.08</v>
      </c>
      <c r="BH8" s="128">
        <v>1.08</v>
      </c>
      <c r="BI8" s="128">
        <v>1.08</v>
      </c>
      <c r="BJ8" s="128">
        <v>1.08</v>
      </c>
      <c r="BK8" s="128">
        <v>1.08</v>
      </c>
      <c r="BL8" s="128">
        <v>1.07</v>
      </c>
      <c r="BM8" s="128">
        <v>1.07</v>
      </c>
      <c r="BN8" s="128">
        <v>1.07</v>
      </c>
      <c r="BO8" s="128">
        <v>1.07</v>
      </c>
      <c r="BP8" s="128">
        <v>1.07</v>
      </c>
      <c r="BQ8" s="128">
        <v>1.07</v>
      </c>
      <c r="BR8" s="128">
        <v>1.07</v>
      </c>
      <c r="BS8" s="128">
        <v>1.07</v>
      </c>
      <c r="BT8" s="128">
        <v>1.07</v>
      </c>
      <c r="BU8" s="128">
        <v>1.07</v>
      </c>
      <c r="BV8" s="128">
        <v>1.06</v>
      </c>
      <c r="BW8" s="128">
        <v>1.06</v>
      </c>
      <c r="BX8" s="128">
        <v>1.06</v>
      </c>
      <c r="BY8" s="128">
        <v>1.06</v>
      </c>
      <c r="BZ8" s="128">
        <v>1.06</v>
      </c>
      <c r="CA8" s="128">
        <v>1.06</v>
      </c>
      <c r="CB8" s="128">
        <v>1.06</v>
      </c>
      <c r="CC8" s="128">
        <v>1.06</v>
      </c>
      <c r="CD8" s="128">
        <v>1.06</v>
      </c>
      <c r="CE8" s="128">
        <v>1.06</v>
      </c>
      <c r="CF8" s="128">
        <v>1.06</v>
      </c>
      <c r="CG8" s="128">
        <v>1.06</v>
      </c>
      <c r="CH8" s="128">
        <v>1.06</v>
      </c>
      <c r="CI8" s="128">
        <v>1.06</v>
      </c>
      <c r="CJ8" s="128">
        <v>1.05</v>
      </c>
      <c r="CK8" s="128">
        <v>1.05</v>
      </c>
      <c r="CL8" s="128">
        <v>1.05</v>
      </c>
      <c r="CM8" s="128">
        <v>1.05</v>
      </c>
      <c r="CN8" s="128">
        <v>1.05</v>
      </c>
      <c r="CO8" s="128">
        <v>1.05</v>
      </c>
      <c r="CP8" s="128">
        <v>1.05</v>
      </c>
      <c r="CQ8" s="128">
        <v>1.05</v>
      </c>
      <c r="CR8" s="128">
        <v>1.05</v>
      </c>
      <c r="CS8" s="128">
        <v>1.05</v>
      </c>
      <c r="CT8" s="128">
        <v>1.05</v>
      </c>
      <c r="CU8" s="128">
        <v>1.05</v>
      </c>
      <c r="CV8" s="128">
        <v>1.05</v>
      </c>
      <c r="CW8" s="128">
        <v>1.05</v>
      </c>
      <c r="CX8" s="128">
        <v>1.05</v>
      </c>
      <c r="CZ8" s="126">
        <f>SUMIF(MatrixF3[[1]:[2]],MatrixF3[[#This Row],[Столбец1]])/MatrixF3[[#This Row],[Столбец1]]</f>
        <v>85.999999999999858</v>
      </c>
    </row>
    <row r="9" spans="1:104" ht="21" customHeight="1" x14ac:dyDescent="0.25">
      <c r="A9" s="127">
        <v>1.06</v>
      </c>
      <c r="B9" s="128">
        <v>1.06</v>
      </c>
      <c r="C9" s="128">
        <v>1.06</v>
      </c>
      <c r="D9" s="128">
        <v>1.06</v>
      </c>
      <c r="E9" s="128">
        <v>1.06</v>
      </c>
      <c r="F9" s="128">
        <v>1.06</v>
      </c>
      <c r="G9" s="128">
        <v>1.06</v>
      </c>
      <c r="H9" s="128">
        <v>1.06</v>
      </c>
      <c r="I9" s="128">
        <v>1.06</v>
      </c>
      <c r="J9" s="128">
        <v>1.06</v>
      </c>
      <c r="K9" s="128">
        <v>1.06</v>
      </c>
      <c r="L9" s="128">
        <v>1.06</v>
      </c>
      <c r="M9" s="128">
        <v>1.06</v>
      </c>
      <c r="N9" s="128">
        <v>1.06</v>
      </c>
      <c r="O9" s="128">
        <v>1.06</v>
      </c>
      <c r="P9" s="128">
        <v>1.07</v>
      </c>
      <c r="Q9" s="128">
        <v>1.07</v>
      </c>
      <c r="R9" s="128">
        <v>1.07</v>
      </c>
      <c r="S9" s="128">
        <v>1.07</v>
      </c>
      <c r="T9" s="128">
        <v>1.07</v>
      </c>
      <c r="U9" s="128">
        <v>1.07</v>
      </c>
      <c r="V9" s="128">
        <v>1.07</v>
      </c>
      <c r="W9" s="128">
        <v>1.07</v>
      </c>
      <c r="X9" s="128">
        <v>1.07</v>
      </c>
      <c r="Y9" s="128">
        <v>1.07</v>
      </c>
      <c r="Z9" s="128">
        <v>1.07</v>
      </c>
      <c r="AA9" s="128">
        <v>1.07</v>
      </c>
      <c r="AB9" s="128">
        <v>1.08</v>
      </c>
      <c r="AC9" s="128">
        <v>1.08</v>
      </c>
      <c r="AD9" s="128">
        <v>1.08</v>
      </c>
      <c r="AE9" s="128">
        <v>1.08</v>
      </c>
      <c r="AF9" s="128">
        <v>1.08</v>
      </c>
      <c r="AG9" s="128">
        <v>1.08</v>
      </c>
      <c r="AH9" s="128">
        <v>1.08</v>
      </c>
      <c r="AI9" s="128">
        <v>1.08</v>
      </c>
      <c r="AJ9" s="128">
        <v>1.08</v>
      </c>
      <c r="AK9" s="128">
        <v>1.08</v>
      </c>
      <c r="AL9" s="128">
        <v>1.0900000000000001</v>
      </c>
      <c r="AM9" s="128">
        <v>1.0900000000000001</v>
      </c>
      <c r="AN9" s="128">
        <v>1.0900000000000001</v>
      </c>
      <c r="AO9" s="128">
        <v>1.0900000000000001</v>
      </c>
      <c r="AP9" s="128">
        <v>1.0900000000000001</v>
      </c>
      <c r="AQ9" s="128">
        <v>1.0900000000000001</v>
      </c>
      <c r="AR9" s="128">
        <v>1.0900000000000001</v>
      </c>
      <c r="AS9" s="128">
        <v>1.1000000000000001</v>
      </c>
      <c r="AT9" s="128">
        <v>1.1000000000000001</v>
      </c>
      <c r="AU9" s="128">
        <v>1.1000000000000001</v>
      </c>
      <c r="AV9" s="128">
        <v>1.1000000000000001</v>
      </c>
      <c r="AW9" s="128">
        <v>1.1000000000000001</v>
      </c>
      <c r="AX9" s="128">
        <v>1.1000000000000001</v>
      </c>
      <c r="AY9" s="128">
        <v>1.1100000000000001</v>
      </c>
      <c r="AZ9" s="128">
        <v>1.1100000000000001</v>
      </c>
      <c r="BA9" s="128">
        <v>1.1100000000000001</v>
      </c>
      <c r="BB9" s="128">
        <v>1.1000000000000001</v>
      </c>
      <c r="BC9" s="128">
        <v>1.1000000000000001</v>
      </c>
      <c r="BD9" s="128">
        <v>1.1000000000000001</v>
      </c>
      <c r="BE9" s="128">
        <v>1.1000000000000001</v>
      </c>
      <c r="BF9" s="128">
        <v>1.1000000000000001</v>
      </c>
      <c r="BG9" s="128">
        <v>1.1000000000000001</v>
      </c>
      <c r="BH9" s="128">
        <v>1.0900000000000001</v>
      </c>
      <c r="BI9" s="128">
        <v>1.0900000000000001</v>
      </c>
      <c r="BJ9" s="128">
        <v>1.0900000000000001</v>
      </c>
      <c r="BK9" s="128">
        <v>1.0900000000000001</v>
      </c>
      <c r="BL9" s="128">
        <v>1.0900000000000001</v>
      </c>
      <c r="BM9" s="128">
        <v>1.0900000000000001</v>
      </c>
      <c r="BN9" s="128">
        <v>1.0900000000000001</v>
      </c>
      <c r="BO9" s="128">
        <v>1.08</v>
      </c>
      <c r="BP9" s="128">
        <v>1.08</v>
      </c>
      <c r="BQ9" s="128">
        <v>1.08</v>
      </c>
      <c r="BR9" s="128">
        <v>1.08</v>
      </c>
      <c r="BS9" s="128">
        <v>1.08</v>
      </c>
      <c r="BT9" s="128">
        <v>1.08</v>
      </c>
      <c r="BU9" s="128">
        <v>1.08</v>
      </c>
      <c r="BV9" s="128">
        <v>1.08</v>
      </c>
      <c r="BW9" s="128">
        <v>1.08</v>
      </c>
      <c r="BX9" s="128">
        <v>1.08</v>
      </c>
      <c r="BY9" s="128">
        <v>1.07</v>
      </c>
      <c r="BZ9" s="128">
        <v>1.07</v>
      </c>
      <c r="CA9" s="128">
        <v>1.07</v>
      </c>
      <c r="CB9" s="128">
        <v>1.07</v>
      </c>
      <c r="CC9" s="128">
        <v>1.07</v>
      </c>
      <c r="CD9" s="128">
        <v>1.07</v>
      </c>
      <c r="CE9" s="128">
        <v>1.07</v>
      </c>
      <c r="CF9" s="128">
        <v>1.07</v>
      </c>
      <c r="CG9" s="128">
        <v>1.07</v>
      </c>
      <c r="CH9" s="128">
        <v>1.07</v>
      </c>
      <c r="CI9" s="128">
        <v>1.07</v>
      </c>
      <c r="CJ9" s="128">
        <v>1.07</v>
      </c>
      <c r="CK9" s="128">
        <v>1.06</v>
      </c>
      <c r="CL9" s="128">
        <v>1.06</v>
      </c>
      <c r="CM9" s="128">
        <v>1.06</v>
      </c>
      <c r="CN9" s="128">
        <v>1.06</v>
      </c>
      <c r="CO9" s="128">
        <v>1.06</v>
      </c>
      <c r="CP9" s="128">
        <v>1.06</v>
      </c>
      <c r="CQ9" s="128">
        <v>1.06</v>
      </c>
      <c r="CR9" s="128">
        <v>1.06</v>
      </c>
      <c r="CS9" s="128">
        <v>1.06</v>
      </c>
      <c r="CT9" s="128">
        <v>1.06</v>
      </c>
      <c r="CU9" s="128">
        <v>1.06</v>
      </c>
      <c r="CV9" s="128">
        <v>1.06</v>
      </c>
      <c r="CW9" s="128">
        <v>1.06</v>
      </c>
      <c r="CX9" s="128">
        <v>1.06</v>
      </c>
      <c r="CZ9" s="126">
        <f>SUMIF(MatrixF3[[1]:[2]],MatrixF3[[#This Row],[Столбец1]])/MatrixF3[[#This Row],[Столбец1]]</f>
        <v>81.000000000000085</v>
      </c>
    </row>
    <row r="10" spans="1:104" ht="21" customHeight="1" x14ac:dyDescent="0.25">
      <c r="A10" s="127">
        <v>1.07</v>
      </c>
      <c r="B10" s="128">
        <v>1.07</v>
      </c>
      <c r="C10" s="128">
        <v>1.07</v>
      </c>
      <c r="D10" s="128">
        <v>1.07</v>
      </c>
      <c r="E10" s="128">
        <v>1.07</v>
      </c>
      <c r="F10" s="128">
        <v>1.07</v>
      </c>
      <c r="G10" s="128">
        <v>1.07</v>
      </c>
      <c r="H10" s="128">
        <v>1.07</v>
      </c>
      <c r="I10" s="128">
        <v>1.07</v>
      </c>
      <c r="J10" s="128">
        <v>1.07</v>
      </c>
      <c r="K10" s="128">
        <v>1.07</v>
      </c>
      <c r="L10" s="128">
        <v>1.07</v>
      </c>
      <c r="M10" s="128">
        <v>1.07</v>
      </c>
      <c r="N10" s="128">
        <v>1.07</v>
      </c>
      <c r="O10" s="128">
        <v>1.07</v>
      </c>
      <c r="P10" s="128">
        <v>1.08</v>
      </c>
      <c r="Q10" s="128">
        <v>1.08</v>
      </c>
      <c r="R10" s="128">
        <v>1.08</v>
      </c>
      <c r="S10" s="128">
        <v>1.08</v>
      </c>
      <c r="T10" s="128">
        <v>1.08</v>
      </c>
      <c r="U10" s="128">
        <v>1.08</v>
      </c>
      <c r="V10" s="128">
        <v>1.08</v>
      </c>
      <c r="W10" s="128">
        <v>1.08</v>
      </c>
      <c r="X10" s="128">
        <v>1.08</v>
      </c>
      <c r="Y10" s="128">
        <v>1.08</v>
      </c>
      <c r="Z10" s="128">
        <v>1.08</v>
      </c>
      <c r="AA10" s="128">
        <v>1.0900000000000001</v>
      </c>
      <c r="AB10" s="128">
        <v>1.0900000000000001</v>
      </c>
      <c r="AC10" s="128">
        <v>1.0900000000000001</v>
      </c>
      <c r="AD10" s="128">
        <v>1.0900000000000001</v>
      </c>
      <c r="AE10" s="128">
        <v>1.0900000000000001</v>
      </c>
      <c r="AF10" s="128">
        <v>1.0900000000000001</v>
      </c>
      <c r="AG10" s="128">
        <v>1.0900000000000001</v>
      </c>
      <c r="AH10" s="128">
        <v>1.0900000000000001</v>
      </c>
      <c r="AI10" s="128">
        <v>1.0900000000000001</v>
      </c>
      <c r="AJ10" s="128">
        <v>1.1000000000000001</v>
      </c>
      <c r="AK10" s="128">
        <v>1.1000000000000001</v>
      </c>
      <c r="AL10" s="128">
        <v>1.1000000000000001</v>
      </c>
      <c r="AM10" s="128">
        <v>1.1000000000000001</v>
      </c>
      <c r="AN10" s="128">
        <v>1.1000000000000001</v>
      </c>
      <c r="AO10" s="128">
        <v>1.1000000000000001</v>
      </c>
      <c r="AP10" s="128">
        <v>1.1000000000000001</v>
      </c>
      <c r="AQ10" s="128">
        <v>1.1100000000000001</v>
      </c>
      <c r="AR10" s="128">
        <v>1.1100000000000001</v>
      </c>
      <c r="AS10" s="128">
        <v>1.1100000000000001</v>
      </c>
      <c r="AT10" s="128">
        <v>1.1100000000000001</v>
      </c>
      <c r="AU10" s="128">
        <v>1.1100000000000001</v>
      </c>
      <c r="AV10" s="128">
        <v>1.1100000000000001</v>
      </c>
      <c r="AW10" s="128">
        <v>1.1200000000000001</v>
      </c>
      <c r="AX10" s="128">
        <v>1.1200000000000001</v>
      </c>
      <c r="AY10" s="128">
        <v>1.1200000000000001</v>
      </c>
      <c r="AZ10" s="128">
        <v>1.1200000000000001</v>
      </c>
      <c r="BA10" s="128">
        <v>1.1200000000000001</v>
      </c>
      <c r="BB10" s="128">
        <v>1.1200000000000001</v>
      </c>
      <c r="BC10" s="128">
        <v>1.1200000000000001</v>
      </c>
      <c r="BD10" s="128">
        <v>1.1100000000000001</v>
      </c>
      <c r="BE10" s="128">
        <v>1.1100000000000001</v>
      </c>
      <c r="BF10" s="128">
        <v>1.1100000000000001</v>
      </c>
      <c r="BG10" s="128">
        <v>1.1100000000000001</v>
      </c>
      <c r="BH10" s="128">
        <v>1.1100000000000001</v>
      </c>
      <c r="BI10" s="128">
        <v>1.1100000000000001</v>
      </c>
      <c r="BJ10" s="128">
        <v>1.1000000000000001</v>
      </c>
      <c r="BK10" s="128">
        <v>1.1000000000000001</v>
      </c>
      <c r="BL10" s="128">
        <v>1.1000000000000001</v>
      </c>
      <c r="BM10" s="128">
        <v>1.1000000000000001</v>
      </c>
      <c r="BN10" s="128">
        <v>1.1000000000000001</v>
      </c>
      <c r="BO10" s="128">
        <v>1.1000000000000001</v>
      </c>
      <c r="BP10" s="128">
        <v>1.1000000000000001</v>
      </c>
      <c r="BQ10" s="128">
        <v>1.0900000000000001</v>
      </c>
      <c r="BR10" s="128">
        <v>1.0900000000000001</v>
      </c>
      <c r="BS10" s="128">
        <v>1.0900000000000001</v>
      </c>
      <c r="BT10" s="128">
        <v>1.0900000000000001</v>
      </c>
      <c r="BU10" s="128">
        <v>1.0900000000000001</v>
      </c>
      <c r="BV10" s="128">
        <v>1.0900000000000001</v>
      </c>
      <c r="BW10" s="128">
        <v>1.0900000000000001</v>
      </c>
      <c r="BX10" s="128">
        <v>1.0900000000000001</v>
      </c>
      <c r="BY10" s="128">
        <v>1.0900000000000001</v>
      </c>
      <c r="BZ10" s="128">
        <v>1.08</v>
      </c>
      <c r="CA10" s="128">
        <v>1.08</v>
      </c>
      <c r="CB10" s="128">
        <v>1.08</v>
      </c>
      <c r="CC10" s="128">
        <v>1.08</v>
      </c>
      <c r="CD10" s="128">
        <v>1.08</v>
      </c>
      <c r="CE10" s="128">
        <v>1.08</v>
      </c>
      <c r="CF10" s="128">
        <v>1.08</v>
      </c>
      <c r="CG10" s="128">
        <v>1.08</v>
      </c>
      <c r="CH10" s="128">
        <v>1.08</v>
      </c>
      <c r="CI10" s="128">
        <v>1.08</v>
      </c>
      <c r="CJ10" s="128">
        <v>1.08</v>
      </c>
      <c r="CK10" s="128">
        <v>1.07</v>
      </c>
      <c r="CL10" s="128">
        <v>1.07</v>
      </c>
      <c r="CM10" s="128">
        <v>1.07</v>
      </c>
      <c r="CN10" s="128">
        <v>1.07</v>
      </c>
      <c r="CO10" s="128">
        <v>1.07</v>
      </c>
      <c r="CP10" s="128">
        <v>1.07</v>
      </c>
      <c r="CQ10" s="128">
        <v>1.07</v>
      </c>
      <c r="CR10" s="128">
        <v>1.07</v>
      </c>
      <c r="CS10" s="128">
        <v>1.07</v>
      </c>
      <c r="CT10" s="128">
        <v>1.07</v>
      </c>
      <c r="CU10" s="128">
        <v>1.07</v>
      </c>
      <c r="CV10" s="128">
        <v>1.07</v>
      </c>
      <c r="CW10" s="128">
        <v>1.07</v>
      </c>
      <c r="CX10" s="128">
        <v>1.07</v>
      </c>
      <c r="CZ10" s="126">
        <f>SUMIF(MatrixF3[[1]:[2]],MatrixF3[[#This Row],[Столбец1]])/MatrixF3[[#This Row],[Столбец1]]</f>
        <v>86.999999999999829</v>
      </c>
    </row>
    <row r="11" spans="1:104" ht="21" customHeight="1" x14ac:dyDescent="0.25">
      <c r="A11" s="127">
        <v>1.08</v>
      </c>
      <c r="B11" s="128">
        <v>1.08</v>
      </c>
      <c r="C11" s="128">
        <v>1.08</v>
      </c>
      <c r="D11" s="128">
        <v>1.08</v>
      </c>
      <c r="E11" s="128">
        <v>1.08</v>
      </c>
      <c r="F11" s="128">
        <v>1.08</v>
      </c>
      <c r="G11" s="128">
        <v>1.08</v>
      </c>
      <c r="H11" s="128">
        <v>1.08</v>
      </c>
      <c r="I11" s="128">
        <v>1.08</v>
      </c>
      <c r="J11" s="128">
        <v>1.08</v>
      </c>
      <c r="K11" s="128">
        <v>1.08</v>
      </c>
      <c r="L11" s="128">
        <v>1.08</v>
      </c>
      <c r="M11" s="128">
        <v>1.08</v>
      </c>
      <c r="N11" s="128">
        <v>1.08</v>
      </c>
      <c r="O11" s="128">
        <v>1.08</v>
      </c>
      <c r="P11" s="128">
        <v>1.0900000000000001</v>
      </c>
      <c r="Q11" s="128">
        <v>1.0900000000000001</v>
      </c>
      <c r="R11" s="128">
        <v>1.0900000000000001</v>
      </c>
      <c r="S11" s="128">
        <v>1.0900000000000001</v>
      </c>
      <c r="T11" s="128">
        <v>1.0900000000000001</v>
      </c>
      <c r="U11" s="128">
        <v>1.0900000000000001</v>
      </c>
      <c r="V11" s="128">
        <v>1.0900000000000001</v>
      </c>
      <c r="W11" s="128">
        <v>1.0900000000000001</v>
      </c>
      <c r="X11" s="128">
        <v>1.0900000000000001</v>
      </c>
      <c r="Y11" s="128">
        <v>1.0900000000000001</v>
      </c>
      <c r="Z11" s="128">
        <v>1.1000000000000001</v>
      </c>
      <c r="AA11" s="128">
        <v>1.1000000000000001</v>
      </c>
      <c r="AB11" s="128">
        <v>1.1000000000000001</v>
      </c>
      <c r="AC11" s="128">
        <v>1.1000000000000001</v>
      </c>
      <c r="AD11" s="128">
        <v>1.1000000000000001</v>
      </c>
      <c r="AE11" s="128">
        <v>1.1000000000000001</v>
      </c>
      <c r="AF11" s="128">
        <v>1.1000000000000001</v>
      </c>
      <c r="AG11" s="128">
        <v>1.1000000000000001</v>
      </c>
      <c r="AH11" s="128">
        <v>1.1100000000000001</v>
      </c>
      <c r="AI11" s="128">
        <v>1.1100000000000001</v>
      </c>
      <c r="AJ11" s="128">
        <v>1.1100000000000001</v>
      </c>
      <c r="AK11" s="128">
        <v>1.1100000000000001</v>
      </c>
      <c r="AL11" s="128">
        <v>1.1100000000000001</v>
      </c>
      <c r="AM11" s="128">
        <v>1.1100000000000001</v>
      </c>
      <c r="AN11" s="128">
        <v>1.1100000000000001</v>
      </c>
      <c r="AO11" s="128">
        <v>1.1200000000000001</v>
      </c>
      <c r="AP11" s="128">
        <v>1.1200000000000001</v>
      </c>
      <c r="AQ11" s="128">
        <v>1.1200000000000001</v>
      </c>
      <c r="AR11" s="128">
        <v>1.1200000000000001</v>
      </c>
      <c r="AS11" s="128">
        <v>1.1200000000000001</v>
      </c>
      <c r="AT11" s="128">
        <v>1.1299999999999999</v>
      </c>
      <c r="AU11" s="128">
        <v>1.1299999999999999</v>
      </c>
      <c r="AV11" s="128">
        <v>1.1299999999999999</v>
      </c>
      <c r="AW11" s="128">
        <v>1.1299999999999999</v>
      </c>
      <c r="AX11" s="128">
        <v>1.1299999999999999</v>
      </c>
      <c r="AY11" s="128">
        <v>1.1399999999999999</v>
      </c>
      <c r="AZ11" s="128">
        <v>1.1399999999999999</v>
      </c>
      <c r="BA11" s="128">
        <v>1.1399999999999999</v>
      </c>
      <c r="BB11" s="128">
        <v>1.1299999999999999</v>
      </c>
      <c r="BC11" s="128">
        <v>1.1299999999999999</v>
      </c>
      <c r="BD11" s="128">
        <v>1.1299999999999999</v>
      </c>
      <c r="BE11" s="128">
        <v>1.1299999999999999</v>
      </c>
      <c r="BF11" s="128">
        <v>1.1299999999999999</v>
      </c>
      <c r="BG11" s="128">
        <v>1.1200000000000001</v>
      </c>
      <c r="BH11" s="128">
        <v>1.1200000000000001</v>
      </c>
      <c r="BI11" s="128">
        <v>1.1200000000000001</v>
      </c>
      <c r="BJ11" s="128">
        <v>1.1200000000000001</v>
      </c>
      <c r="BK11" s="128">
        <v>1.1200000000000001</v>
      </c>
      <c r="BL11" s="128">
        <v>1.1100000000000001</v>
      </c>
      <c r="BM11" s="128">
        <v>1.1100000000000001</v>
      </c>
      <c r="BN11" s="128">
        <v>1.1100000000000001</v>
      </c>
      <c r="BO11" s="128">
        <v>1.1100000000000001</v>
      </c>
      <c r="BP11" s="128">
        <v>1.1100000000000001</v>
      </c>
      <c r="BQ11" s="128">
        <v>1.1100000000000001</v>
      </c>
      <c r="BR11" s="128">
        <v>1.1100000000000001</v>
      </c>
      <c r="BS11" s="128">
        <v>1.1000000000000001</v>
      </c>
      <c r="BT11" s="128">
        <v>1.1000000000000001</v>
      </c>
      <c r="BU11" s="128">
        <v>1.1000000000000001</v>
      </c>
      <c r="BV11" s="128">
        <v>1.1000000000000001</v>
      </c>
      <c r="BW11" s="128">
        <v>1.1000000000000001</v>
      </c>
      <c r="BX11" s="128">
        <v>1.1000000000000001</v>
      </c>
      <c r="BY11" s="128">
        <v>1.1000000000000001</v>
      </c>
      <c r="BZ11" s="128">
        <v>1.1000000000000001</v>
      </c>
      <c r="CA11" s="128">
        <v>1.0900000000000001</v>
      </c>
      <c r="CB11" s="128">
        <v>1.0900000000000001</v>
      </c>
      <c r="CC11" s="128">
        <v>1.0900000000000001</v>
      </c>
      <c r="CD11" s="128">
        <v>1.0900000000000001</v>
      </c>
      <c r="CE11" s="128">
        <v>1.0900000000000001</v>
      </c>
      <c r="CF11" s="128">
        <v>1.0900000000000001</v>
      </c>
      <c r="CG11" s="128">
        <v>1.0900000000000001</v>
      </c>
      <c r="CH11" s="128">
        <v>1.0900000000000001</v>
      </c>
      <c r="CI11" s="128">
        <v>1.0900000000000001</v>
      </c>
      <c r="CJ11" s="128">
        <v>1.0900000000000001</v>
      </c>
      <c r="CK11" s="128">
        <v>1.08</v>
      </c>
      <c r="CL11" s="128">
        <v>1.08</v>
      </c>
      <c r="CM11" s="128">
        <v>1.08</v>
      </c>
      <c r="CN11" s="128">
        <v>1.08</v>
      </c>
      <c r="CO11" s="128">
        <v>1.08</v>
      </c>
      <c r="CP11" s="128">
        <v>1.08</v>
      </c>
      <c r="CQ11" s="128">
        <v>1.08</v>
      </c>
      <c r="CR11" s="128">
        <v>1.08</v>
      </c>
      <c r="CS11" s="128">
        <v>1.08</v>
      </c>
      <c r="CT11" s="128">
        <v>1.08</v>
      </c>
      <c r="CU11" s="128">
        <v>1.08</v>
      </c>
      <c r="CV11" s="128">
        <v>1.08</v>
      </c>
      <c r="CW11" s="128">
        <v>1.08</v>
      </c>
      <c r="CX11" s="128">
        <v>1.08</v>
      </c>
      <c r="CZ11" s="126">
        <f>SUMIF(MatrixF3[[1]:[2]],MatrixF3[[#This Row],[Столбец1]])/MatrixF3[[#This Row],[Столбец1]]</f>
        <v>85.999999999999886</v>
      </c>
    </row>
    <row r="12" spans="1:104" ht="21" customHeight="1" x14ac:dyDescent="0.25">
      <c r="A12" s="127">
        <v>1.0900000000000001</v>
      </c>
      <c r="B12" s="128">
        <v>1.0900000000000001</v>
      </c>
      <c r="C12" s="128">
        <v>1.0900000000000001</v>
      </c>
      <c r="D12" s="128">
        <v>1.0900000000000001</v>
      </c>
      <c r="E12" s="128">
        <v>1.0900000000000001</v>
      </c>
      <c r="F12" s="128">
        <v>1.0900000000000001</v>
      </c>
      <c r="G12" s="128">
        <v>1.0900000000000001</v>
      </c>
      <c r="H12" s="128">
        <v>1.0900000000000001</v>
      </c>
      <c r="I12" s="128">
        <v>1.0900000000000001</v>
      </c>
      <c r="J12" s="128">
        <v>1.0900000000000001</v>
      </c>
      <c r="K12" s="128">
        <v>1.0900000000000001</v>
      </c>
      <c r="L12" s="128">
        <v>1.0900000000000001</v>
      </c>
      <c r="M12" s="128">
        <v>1.0900000000000001</v>
      </c>
      <c r="N12" s="128">
        <v>1.0900000000000001</v>
      </c>
      <c r="O12" s="128">
        <v>1.0900000000000001</v>
      </c>
      <c r="P12" s="128">
        <v>1.0900000000000001</v>
      </c>
      <c r="Q12" s="128">
        <v>1.1000000000000001</v>
      </c>
      <c r="R12" s="128">
        <v>1.1000000000000001</v>
      </c>
      <c r="S12" s="128">
        <v>1.1000000000000001</v>
      </c>
      <c r="T12" s="128">
        <v>1.1000000000000001</v>
      </c>
      <c r="U12" s="128">
        <v>1.1000000000000001</v>
      </c>
      <c r="V12" s="128">
        <v>1.1000000000000001</v>
      </c>
      <c r="W12" s="128">
        <v>1.1000000000000001</v>
      </c>
      <c r="X12" s="128">
        <v>1.1000000000000001</v>
      </c>
      <c r="Y12" s="128">
        <v>1.1000000000000001</v>
      </c>
      <c r="Z12" s="128">
        <v>1.1100000000000001</v>
      </c>
      <c r="AA12" s="128">
        <v>1.1100000000000001</v>
      </c>
      <c r="AB12" s="128">
        <v>1.1100000000000001</v>
      </c>
      <c r="AC12" s="128">
        <v>1.1100000000000001</v>
      </c>
      <c r="AD12" s="128">
        <v>1.1100000000000001</v>
      </c>
      <c r="AE12" s="128">
        <v>1.1100000000000001</v>
      </c>
      <c r="AF12" s="128">
        <v>1.1100000000000001</v>
      </c>
      <c r="AG12" s="128">
        <v>1.1200000000000001</v>
      </c>
      <c r="AH12" s="128">
        <v>1.1200000000000001</v>
      </c>
      <c r="AI12" s="128">
        <v>1.1200000000000001</v>
      </c>
      <c r="AJ12" s="128">
        <v>1.1200000000000001</v>
      </c>
      <c r="AK12" s="128">
        <v>1.1200000000000001</v>
      </c>
      <c r="AL12" s="128">
        <v>1.1200000000000001</v>
      </c>
      <c r="AM12" s="128">
        <v>1.1200000000000001</v>
      </c>
      <c r="AN12" s="128">
        <v>1.1299999999999999</v>
      </c>
      <c r="AO12" s="128">
        <v>1.1299999999999999</v>
      </c>
      <c r="AP12" s="128">
        <v>1.1299999999999999</v>
      </c>
      <c r="AQ12" s="128">
        <v>1.1299999999999999</v>
      </c>
      <c r="AR12" s="128">
        <v>1.1299999999999999</v>
      </c>
      <c r="AS12" s="128">
        <v>1.1399999999999999</v>
      </c>
      <c r="AT12" s="128">
        <v>1.1399999999999999</v>
      </c>
      <c r="AU12" s="128">
        <v>1.1399999999999999</v>
      </c>
      <c r="AV12" s="128">
        <v>1.1399999999999999</v>
      </c>
      <c r="AW12" s="128">
        <v>1.1499999999999999</v>
      </c>
      <c r="AX12" s="128">
        <v>1.1499999999999999</v>
      </c>
      <c r="AY12" s="128">
        <v>1.1499999999999999</v>
      </c>
      <c r="AZ12" s="128">
        <v>1.1499999999999999</v>
      </c>
      <c r="BA12" s="128">
        <v>1.1499999999999999</v>
      </c>
      <c r="BB12" s="128">
        <v>1.1499999999999999</v>
      </c>
      <c r="BC12" s="128">
        <v>1.1499999999999999</v>
      </c>
      <c r="BD12" s="128">
        <v>1.1399999999999999</v>
      </c>
      <c r="BE12" s="128">
        <v>1.1399999999999999</v>
      </c>
      <c r="BF12" s="128">
        <v>1.1399999999999999</v>
      </c>
      <c r="BG12" s="128">
        <v>1.1399999999999999</v>
      </c>
      <c r="BH12" s="128">
        <v>1.1299999999999999</v>
      </c>
      <c r="BI12" s="128">
        <v>1.1299999999999999</v>
      </c>
      <c r="BJ12" s="128">
        <v>1.1299999999999999</v>
      </c>
      <c r="BK12" s="128">
        <v>1.1299999999999999</v>
      </c>
      <c r="BL12" s="128">
        <v>1.1299999999999999</v>
      </c>
      <c r="BM12" s="128">
        <v>1.1200000000000001</v>
      </c>
      <c r="BN12" s="128">
        <v>1.1200000000000001</v>
      </c>
      <c r="BO12" s="128">
        <v>1.1200000000000001</v>
      </c>
      <c r="BP12" s="128">
        <v>1.1200000000000001</v>
      </c>
      <c r="BQ12" s="128">
        <v>1.1200000000000001</v>
      </c>
      <c r="BR12" s="128">
        <v>1.1200000000000001</v>
      </c>
      <c r="BS12" s="128">
        <v>1.1200000000000001</v>
      </c>
      <c r="BT12" s="128">
        <v>1.1100000000000001</v>
      </c>
      <c r="BU12" s="128">
        <v>1.1100000000000001</v>
      </c>
      <c r="BV12" s="128">
        <v>1.1100000000000001</v>
      </c>
      <c r="BW12" s="128">
        <v>1.1100000000000001</v>
      </c>
      <c r="BX12" s="128">
        <v>1.1100000000000001</v>
      </c>
      <c r="BY12" s="128">
        <v>1.1100000000000001</v>
      </c>
      <c r="BZ12" s="128">
        <v>1.1100000000000001</v>
      </c>
      <c r="CA12" s="128">
        <v>1.1000000000000001</v>
      </c>
      <c r="CB12" s="128">
        <v>1.1000000000000001</v>
      </c>
      <c r="CC12" s="128">
        <v>1.1000000000000001</v>
      </c>
      <c r="CD12" s="128">
        <v>1.1000000000000001</v>
      </c>
      <c r="CE12" s="128">
        <v>1.1000000000000001</v>
      </c>
      <c r="CF12" s="128">
        <v>1.1000000000000001</v>
      </c>
      <c r="CG12" s="128">
        <v>1.1000000000000001</v>
      </c>
      <c r="CH12" s="128">
        <v>1.1000000000000001</v>
      </c>
      <c r="CI12" s="128">
        <v>1.1000000000000001</v>
      </c>
      <c r="CJ12" s="128">
        <v>1.0900000000000001</v>
      </c>
      <c r="CK12" s="128">
        <v>1.0900000000000001</v>
      </c>
      <c r="CL12" s="128">
        <v>1.0900000000000001</v>
      </c>
      <c r="CM12" s="128">
        <v>1.0900000000000001</v>
      </c>
      <c r="CN12" s="128">
        <v>1.0900000000000001</v>
      </c>
      <c r="CO12" s="128">
        <v>1.0900000000000001</v>
      </c>
      <c r="CP12" s="128">
        <v>1.0900000000000001</v>
      </c>
      <c r="CQ12" s="128">
        <v>1.0900000000000001</v>
      </c>
      <c r="CR12" s="128">
        <v>1.0900000000000001</v>
      </c>
      <c r="CS12" s="128">
        <v>1.0900000000000001</v>
      </c>
      <c r="CT12" s="128">
        <v>1.0900000000000001</v>
      </c>
      <c r="CU12" s="128">
        <v>1.0900000000000001</v>
      </c>
      <c r="CV12" s="128">
        <v>1.0900000000000001</v>
      </c>
      <c r="CW12" s="128">
        <v>1.0900000000000001</v>
      </c>
      <c r="CX12" s="128">
        <v>1.0900000000000001</v>
      </c>
      <c r="CZ12" s="126">
        <f>SUMIF(MatrixF3[[1]:[2]],MatrixF3[[#This Row],[Столбец1]])/MatrixF3[[#This Row],[Столбец1]]</f>
        <v>89.000000000000185</v>
      </c>
    </row>
    <row r="13" spans="1:104" ht="21" customHeight="1" x14ac:dyDescent="0.25">
      <c r="A13" s="127">
        <v>1.1000000000000001</v>
      </c>
      <c r="B13" s="128">
        <v>1.1000000000000001</v>
      </c>
      <c r="C13" s="128">
        <v>1.1000000000000001</v>
      </c>
      <c r="D13" s="128">
        <v>1.1000000000000001</v>
      </c>
      <c r="E13" s="128">
        <v>1.1000000000000001</v>
      </c>
      <c r="F13" s="128">
        <v>1.1000000000000001</v>
      </c>
      <c r="G13" s="128">
        <v>1.1000000000000001</v>
      </c>
      <c r="H13" s="128">
        <v>1.1000000000000001</v>
      </c>
      <c r="I13" s="128">
        <v>1.1000000000000001</v>
      </c>
      <c r="J13" s="128">
        <v>1.1000000000000001</v>
      </c>
      <c r="K13" s="128">
        <v>1.1000000000000001</v>
      </c>
      <c r="L13" s="128">
        <v>1.1000000000000001</v>
      </c>
      <c r="M13" s="128">
        <v>1.1000000000000001</v>
      </c>
      <c r="N13" s="128">
        <v>1.1000000000000001</v>
      </c>
      <c r="O13" s="128">
        <v>1.1000000000000001</v>
      </c>
      <c r="P13" s="128">
        <v>1.1000000000000001</v>
      </c>
      <c r="Q13" s="128">
        <v>1.1100000000000001</v>
      </c>
      <c r="R13" s="128">
        <v>1.1100000000000001</v>
      </c>
      <c r="S13" s="128">
        <v>1.1100000000000001</v>
      </c>
      <c r="T13" s="128">
        <v>1.1100000000000001</v>
      </c>
      <c r="U13" s="128">
        <v>1.1100000000000001</v>
      </c>
      <c r="V13" s="128">
        <v>1.1100000000000001</v>
      </c>
      <c r="W13" s="128">
        <v>1.1100000000000001</v>
      </c>
      <c r="X13" s="128">
        <v>1.1100000000000001</v>
      </c>
      <c r="Y13" s="128">
        <v>1.1100000000000001</v>
      </c>
      <c r="Z13" s="128">
        <v>1.1200000000000001</v>
      </c>
      <c r="AA13" s="128">
        <v>1.1200000000000001</v>
      </c>
      <c r="AB13" s="128">
        <v>1.1200000000000001</v>
      </c>
      <c r="AC13" s="128">
        <v>1.1200000000000001</v>
      </c>
      <c r="AD13" s="128">
        <v>1.1200000000000001</v>
      </c>
      <c r="AE13" s="128">
        <v>1.1200000000000001</v>
      </c>
      <c r="AF13" s="128">
        <v>1.1200000000000001</v>
      </c>
      <c r="AG13" s="128">
        <v>1.1299999999999999</v>
      </c>
      <c r="AH13" s="128">
        <v>1.1299999999999999</v>
      </c>
      <c r="AI13" s="128">
        <v>1.1299999999999999</v>
      </c>
      <c r="AJ13" s="128">
        <v>1.1299999999999999</v>
      </c>
      <c r="AK13" s="128">
        <v>1.1299999999999999</v>
      </c>
      <c r="AL13" s="128">
        <v>1.1399999999999999</v>
      </c>
      <c r="AM13" s="128">
        <v>1.1399999999999999</v>
      </c>
      <c r="AN13" s="128">
        <v>1.1399999999999999</v>
      </c>
      <c r="AO13" s="128">
        <v>1.1399999999999999</v>
      </c>
      <c r="AP13" s="128">
        <v>1.1399999999999999</v>
      </c>
      <c r="AQ13" s="128">
        <v>1.1399999999999999</v>
      </c>
      <c r="AR13" s="128">
        <v>1.1499999999999999</v>
      </c>
      <c r="AS13" s="128">
        <v>1.1499999999999999</v>
      </c>
      <c r="AT13" s="128">
        <v>1.1499999999999999</v>
      </c>
      <c r="AU13" s="128">
        <v>1.1499999999999999</v>
      </c>
      <c r="AV13" s="128">
        <v>1.1599999999999999</v>
      </c>
      <c r="AW13" s="128">
        <v>1.1599999999999999</v>
      </c>
      <c r="AX13" s="128">
        <v>1.1599999999999999</v>
      </c>
      <c r="AY13" s="128">
        <v>1.1599999999999999</v>
      </c>
      <c r="AZ13" s="128">
        <v>1.17</v>
      </c>
      <c r="BA13" s="128">
        <v>1.1599999999999999</v>
      </c>
      <c r="BB13" s="128">
        <v>1.1599999999999999</v>
      </c>
      <c r="BC13" s="128">
        <v>1.1599999999999999</v>
      </c>
      <c r="BD13" s="128">
        <v>1.1599999999999999</v>
      </c>
      <c r="BE13" s="128">
        <v>1.1499999999999999</v>
      </c>
      <c r="BF13" s="128">
        <v>1.1499999999999999</v>
      </c>
      <c r="BG13" s="128">
        <v>1.1499999999999999</v>
      </c>
      <c r="BH13" s="128">
        <v>1.1499999999999999</v>
      </c>
      <c r="BI13" s="128">
        <v>1.1399999999999999</v>
      </c>
      <c r="BJ13" s="128">
        <v>1.1399999999999999</v>
      </c>
      <c r="BK13" s="128">
        <v>1.1399999999999999</v>
      </c>
      <c r="BL13" s="128">
        <v>1.1399999999999999</v>
      </c>
      <c r="BM13" s="128">
        <v>1.1399999999999999</v>
      </c>
      <c r="BN13" s="128">
        <v>1.1399999999999999</v>
      </c>
      <c r="BO13" s="128">
        <v>1.1299999999999999</v>
      </c>
      <c r="BP13" s="128">
        <v>1.1299999999999999</v>
      </c>
      <c r="BQ13" s="128">
        <v>1.1299999999999999</v>
      </c>
      <c r="BR13" s="128">
        <v>1.1299999999999999</v>
      </c>
      <c r="BS13" s="128">
        <v>1.1299999999999999</v>
      </c>
      <c r="BT13" s="128">
        <v>1.1200000000000001</v>
      </c>
      <c r="BU13" s="128">
        <v>1.1200000000000001</v>
      </c>
      <c r="BV13" s="128">
        <v>1.1200000000000001</v>
      </c>
      <c r="BW13" s="128">
        <v>1.1200000000000001</v>
      </c>
      <c r="BX13" s="128">
        <v>1.1200000000000001</v>
      </c>
      <c r="BY13" s="128">
        <v>1.1200000000000001</v>
      </c>
      <c r="BZ13" s="128">
        <v>1.1200000000000001</v>
      </c>
      <c r="CA13" s="128">
        <v>1.1100000000000001</v>
      </c>
      <c r="CB13" s="128">
        <v>1.1100000000000001</v>
      </c>
      <c r="CC13" s="128">
        <v>1.1100000000000001</v>
      </c>
      <c r="CD13" s="128">
        <v>1.1100000000000001</v>
      </c>
      <c r="CE13" s="128">
        <v>1.1100000000000001</v>
      </c>
      <c r="CF13" s="128">
        <v>1.1100000000000001</v>
      </c>
      <c r="CG13" s="128">
        <v>1.1100000000000001</v>
      </c>
      <c r="CH13" s="128">
        <v>1.1100000000000001</v>
      </c>
      <c r="CI13" s="128">
        <v>1.1100000000000001</v>
      </c>
      <c r="CJ13" s="128">
        <v>1.1000000000000001</v>
      </c>
      <c r="CK13" s="128">
        <v>1.1000000000000001</v>
      </c>
      <c r="CL13" s="128">
        <v>1.1000000000000001</v>
      </c>
      <c r="CM13" s="128">
        <v>1.1000000000000001</v>
      </c>
      <c r="CN13" s="128">
        <v>1.1000000000000001</v>
      </c>
      <c r="CO13" s="128">
        <v>1.1000000000000001</v>
      </c>
      <c r="CP13" s="128">
        <v>1.1000000000000001</v>
      </c>
      <c r="CQ13" s="128">
        <v>1.1000000000000001</v>
      </c>
      <c r="CR13" s="128">
        <v>1.1000000000000001</v>
      </c>
      <c r="CS13" s="128">
        <v>1.1000000000000001</v>
      </c>
      <c r="CT13" s="128">
        <v>1.1000000000000001</v>
      </c>
      <c r="CU13" s="128">
        <v>1.1000000000000001</v>
      </c>
      <c r="CV13" s="128">
        <v>1.1000000000000001</v>
      </c>
      <c r="CW13" s="128">
        <v>1.1000000000000001</v>
      </c>
      <c r="CX13" s="128">
        <v>1.1000000000000001</v>
      </c>
      <c r="CZ13" s="126">
        <f>SUMIF(MatrixF3[[1]:[2]],MatrixF3[[#This Row],[Столбец1]])/MatrixF3[[#This Row],[Столбец1]]</f>
        <v>89.999999999999872</v>
      </c>
    </row>
    <row r="14" spans="1:104" ht="21" customHeight="1" x14ac:dyDescent="0.25">
      <c r="A14" s="127">
        <v>1.1100000000000001</v>
      </c>
      <c r="B14" s="128">
        <v>1.1100000000000001</v>
      </c>
      <c r="C14" s="128">
        <v>1.1100000000000001</v>
      </c>
      <c r="D14" s="128">
        <v>1.1100000000000001</v>
      </c>
      <c r="E14" s="128">
        <v>1.1100000000000001</v>
      </c>
      <c r="F14" s="128">
        <v>1.1100000000000001</v>
      </c>
      <c r="G14" s="128">
        <v>1.1100000000000001</v>
      </c>
      <c r="H14" s="128">
        <v>1.1100000000000001</v>
      </c>
      <c r="I14" s="128">
        <v>1.1100000000000001</v>
      </c>
      <c r="J14" s="128">
        <v>1.1100000000000001</v>
      </c>
      <c r="K14" s="128">
        <v>1.1100000000000001</v>
      </c>
      <c r="L14" s="128">
        <v>1.1100000000000001</v>
      </c>
      <c r="M14" s="128">
        <v>1.1100000000000001</v>
      </c>
      <c r="N14" s="128">
        <v>1.1100000000000001</v>
      </c>
      <c r="O14" s="128">
        <v>1.1100000000000001</v>
      </c>
      <c r="P14" s="128">
        <v>1.1100000000000001</v>
      </c>
      <c r="Q14" s="128">
        <v>1.1100000000000001</v>
      </c>
      <c r="R14" s="128">
        <v>1.1200000000000001</v>
      </c>
      <c r="S14" s="128">
        <v>1.1200000000000001</v>
      </c>
      <c r="T14" s="128">
        <v>1.1200000000000001</v>
      </c>
      <c r="U14" s="128">
        <v>1.1200000000000001</v>
      </c>
      <c r="V14" s="128">
        <v>1.1200000000000001</v>
      </c>
      <c r="W14" s="128">
        <v>1.1200000000000001</v>
      </c>
      <c r="X14" s="128">
        <v>1.1200000000000001</v>
      </c>
      <c r="Y14" s="128">
        <v>1.1200000000000001</v>
      </c>
      <c r="Z14" s="128">
        <v>1.1299999999999999</v>
      </c>
      <c r="AA14" s="128">
        <v>1.1299999999999999</v>
      </c>
      <c r="AB14" s="128">
        <v>1.1299999999999999</v>
      </c>
      <c r="AC14" s="128">
        <v>1.1299999999999999</v>
      </c>
      <c r="AD14" s="128">
        <v>1.1299999999999999</v>
      </c>
      <c r="AE14" s="128">
        <v>1.1299999999999999</v>
      </c>
      <c r="AF14" s="128">
        <v>1.1399999999999999</v>
      </c>
      <c r="AG14" s="128">
        <v>1.1399999999999999</v>
      </c>
      <c r="AH14" s="128">
        <v>1.1399999999999999</v>
      </c>
      <c r="AI14" s="128">
        <v>1.1399999999999999</v>
      </c>
      <c r="AJ14" s="128">
        <v>1.1399999999999999</v>
      </c>
      <c r="AK14" s="128">
        <v>1.1399999999999999</v>
      </c>
      <c r="AL14" s="128">
        <v>1.1499999999999999</v>
      </c>
      <c r="AM14" s="128">
        <v>1.1499999999999999</v>
      </c>
      <c r="AN14" s="128">
        <v>1.1499999999999999</v>
      </c>
      <c r="AO14" s="128">
        <v>1.1499999999999999</v>
      </c>
      <c r="AP14" s="128">
        <v>1.1499999999999999</v>
      </c>
      <c r="AQ14" s="128">
        <v>1.1599999999999999</v>
      </c>
      <c r="AR14" s="128">
        <v>1.1599999999999999</v>
      </c>
      <c r="AS14" s="128">
        <v>1.1599999999999999</v>
      </c>
      <c r="AT14" s="128">
        <v>1.1599999999999999</v>
      </c>
      <c r="AU14" s="128">
        <v>1.17</v>
      </c>
      <c r="AV14" s="128">
        <v>1.17</v>
      </c>
      <c r="AW14" s="128">
        <v>1.17</v>
      </c>
      <c r="AX14" s="128">
        <v>1.17</v>
      </c>
      <c r="AY14" s="128">
        <v>1.18</v>
      </c>
      <c r="AZ14" s="128">
        <v>1.18</v>
      </c>
      <c r="BA14" s="128">
        <v>1.18</v>
      </c>
      <c r="BB14" s="128">
        <v>1.17</v>
      </c>
      <c r="BC14" s="128">
        <v>1.17</v>
      </c>
      <c r="BD14" s="128">
        <v>1.17</v>
      </c>
      <c r="BE14" s="128">
        <v>1.17</v>
      </c>
      <c r="BF14" s="128">
        <v>1.1599999999999999</v>
      </c>
      <c r="BG14" s="128">
        <v>1.1599999999999999</v>
      </c>
      <c r="BH14" s="128">
        <v>1.1599999999999999</v>
      </c>
      <c r="BI14" s="128">
        <v>1.1599999999999999</v>
      </c>
      <c r="BJ14" s="128">
        <v>1.1499999999999999</v>
      </c>
      <c r="BK14" s="128">
        <v>1.1499999999999999</v>
      </c>
      <c r="BL14" s="128">
        <v>1.1499999999999999</v>
      </c>
      <c r="BM14" s="128">
        <v>1.1499999999999999</v>
      </c>
      <c r="BN14" s="128">
        <v>1.1499999999999999</v>
      </c>
      <c r="BO14" s="128">
        <v>1.1399999999999999</v>
      </c>
      <c r="BP14" s="128">
        <v>1.1399999999999999</v>
      </c>
      <c r="BQ14" s="128">
        <v>1.1399999999999999</v>
      </c>
      <c r="BR14" s="128">
        <v>1.1399999999999999</v>
      </c>
      <c r="BS14" s="128">
        <v>1.1399999999999999</v>
      </c>
      <c r="BT14" s="128">
        <v>1.1399999999999999</v>
      </c>
      <c r="BU14" s="128">
        <v>1.1299999999999999</v>
      </c>
      <c r="BV14" s="128">
        <v>1.1299999999999999</v>
      </c>
      <c r="BW14" s="128">
        <v>1.1299999999999999</v>
      </c>
      <c r="BX14" s="128">
        <v>1.1299999999999999</v>
      </c>
      <c r="BY14" s="128">
        <v>1.1299999999999999</v>
      </c>
      <c r="BZ14" s="128">
        <v>1.1299999999999999</v>
      </c>
      <c r="CA14" s="128">
        <v>1.1200000000000001</v>
      </c>
      <c r="CB14" s="128">
        <v>1.1200000000000001</v>
      </c>
      <c r="CC14" s="128">
        <v>1.1200000000000001</v>
      </c>
      <c r="CD14" s="128">
        <v>1.1200000000000001</v>
      </c>
      <c r="CE14" s="128">
        <v>1.1200000000000001</v>
      </c>
      <c r="CF14" s="128">
        <v>1.1200000000000001</v>
      </c>
      <c r="CG14" s="128">
        <v>1.1200000000000001</v>
      </c>
      <c r="CH14" s="128">
        <v>1.1200000000000001</v>
      </c>
      <c r="CI14" s="128">
        <v>1.1100000000000001</v>
      </c>
      <c r="CJ14" s="128">
        <v>1.1100000000000001</v>
      </c>
      <c r="CK14" s="128">
        <v>1.1100000000000001</v>
      </c>
      <c r="CL14" s="128">
        <v>1.1100000000000001</v>
      </c>
      <c r="CM14" s="128">
        <v>1.1100000000000001</v>
      </c>
      <c r="CN14" s="128">
        <v>1.1100000000000001</v>
      </c>
      <c r="CO14" s="128">
        <v>1.1100000000000001</v>
      </c>
      <c r="CP14" s="128">
        <v>1.1100000000000001</v>
      </c>
      <c r="CQ14" s="128">
        <v>1.1100000000000001</v>
      </c>
      <c r="CR14" s="128">
        <v>1.1100000000000001</v>
      </c>
      <c r="CS14" s="128">
        <v>1.1100000000000001</v>
      </c>
      <c r="CT14" s="128">
        <v>1.1100000000000001</v>
      </c>
      <c r="CU14" s="128">
        <v>1.1100000000000001</v>
      </c>
      <c r="CV14" s="128">
        <v>1.1100000000000001</v>
      </c>
      <c r="CW14" s="128">
        <v>1.1100000000000001</v>
      </c>
      <c r="CX14" s="128">
        <v>1.1100000000000001</v>
      </c>
      <c r="CZ14" s="126">
        <f>SUMIF(MatrixF3[[1]:[2]],MatrixF3[[#This Row],[Столбец1]])/MatrixF3[[#This Row],[Столбец1]]</f>
        <v>92.999999999999957</v>
      </c>
    </row>
    <row r="15" spans="1:104" ht="21" customHeight="1" x14ac:dyDescent="0.25">
      <c r="A15" s="127">
        <v>1.1200000000000001</v>
      </c>
      <c r="B15" s="128">
        <v>1.1200000000000001</v>
      </c>
      <c r="C15" s="128">
        <v>1.1200000000000001</v>
      </c>
      <c r="D15" s="128">
        <v>1.1200000000000001</v>
      </c>
      <c r="E15" s="128">
        <v>1.1200000000000001</v>
      </c>
      <c r="F15" s="128">
        <v>1.1200000000000001</v>
      </c>
      <c r="G15" s="128">
        <v>1.1200000000000001</v>
      </c>
      <c r="H15" s="128">
        <v>1.1200000000000001</v>
      </c>
      <c r="I15" s="128">
        <v>1.1200000000000001</v>
      </c>
      <c r="J15" s="128">
        <v>1.1200000000000001</v>
      </c>
      <c r="K15" s="128">
        <v>1.1200000000000001</v>
      </c>
      <c r="L15" s="128">
        <v>1.1200000000000001</v>
      </c>
      <c r="M15" s="128">
        <v>1.1200000000000001</v>
      </c>
      <c r="N15" s="128">
        <v>1.1200000000000001</v>
      </c>
      <c r="O15" s="128">
        <v>1.1200000000000001</v>
      </c>
      <c r="P15" s="128">
        <v>1.1200000000000001</v>
      </c>
      <c r="Q15" s="128">
        <v>1.1200000000000001</v>
      </c>
      <c r="R15" s="128">
        <v>1.1200000000000001</v>
      </c>
      <c r="S15" s="128">
        <v>1.1299999999999999</v>
      </c>
      <c r="T15" s="128">
        <v>1.1299999999999999</v>
      </c>
      <c r="U15" s="128">
        <v>1.1299999999999999</v>
      </c>
      <c r="V15" s="128">
        <v>1.1299999999999999</v>
      </c>
      <c r="W15" s="128">
        <v>1.1299999999999999</v>
      </c>
      <c r="X15" s="128">
        <v>1.1299999999999999</v>
      </c>
      <c r="Y15" s="128">
        <v>1.1299999999999999</v>
      </c>
      <c r="Z15" s="128">
        <v>1.1399999999999999</v>
      </c>
      <c r="AA15" s="128">
        <v>1.1399999999999999</v>
      </c>
      <c r="AB15" s="128">
        <v>1.1399999999999999</v>
      </c>
      <c r="AC15" s="128">
        <v>1.1399999999999999</v>
      </c>
      <c r="AD15" s="128">
        <v>1.1399999999999999</v>
      </c>
      <c r="AE15" s="128">
        <v>1.1399999999999999</v>
      </c>
      <c r="AF15" s="128">
        <v>1.1499999999999999</v>
      </c>
      <c r="AG15" s="128">
        <v>1.1499999999999999</v>
      </c>
      <c r="AH15" s="128">
        <v>1.1499999999999999</v>
      </c>
      <c r="AI15" s="128">
        <v>1.1499999999999999</v>
      </c>
      <c r="AJ15" s="128">
        <v>1.1499999999999999</v>
      </c>
      <c r="AK15" s="128">
        <v>1.1599999999999999</v>
      </c>
      <c r="AL15" s="128">
        <v>1.1599999999999999</v>
      </c>
      <c r="AM15" s="128">
        <v>1.1599999999999999</v>
      </c>
      <c r="AN15" s="128">
        <v>1.1599999999999999</v>
      </c>
      <c r="AO15" s="128">
        <v>1.1599999999999999</v>
      </c>
      <c r="AP15" s="128">
        <v>1.17</v>
      </c>
      <c r="AQ15" s="128">
        <v>1.17</v>
      </c>
      <c r="AR15" s="128">
        <v>1.17</v>
      </c>
      <c r="AS15" s="128">
        <v>1.17</v>
      </c>
      <c r="AT15" s="128">
        <v>1.18</v>
      </c>
      <c r="AU15" s="128">
        <v>1.18</v>
      </c>
      <c r="AV15" s="128">
        <v>1.18</v>
      </c>
      <c r="AW15" s="128">
        <v>1.18</v>
      </c>
      <c r="AX15" s="128">
        <v>1.19</v>
      </c>
      <c r="AY15" s="128">
        <v>1.19</v>
      </c>
      <c r="AZ15" s="128">
        <v>1.19</v>
      </c>
      <c r="BA15" s="128">
        <v>1.19</v>
      </c>
      <c r="BB15" s="128">
        <v>1.19</v>
      </c>
      <c r="BC15" s="128">
        <v>1.18</v>
      </c>
      <c r="BD15" s="128">
        <v>1.18</v>
      </c>
      <c r="BE15" s="128">
        <v>1.18</v>
      </c>
      <c r="BF15" s="128">
        <v>1.18</v>
      </c>
      <c r="BG15" s="128">
        <v>1.17</v>
      </c>
      <c r="BH15" s="128">
        <v>1.17</v>
      </c>
      <c r="BI15" s="128">
        <v>1.17</v>
      </c>
      <c r="BJ15" s="128">
        <v>1.17</v>
      </c>
      <c r="BK15" s="128">
        <v>1.1599999999999999</v>
      </c>
      <c r="BL15" s="128">
        <v>1.1599999999999999</v>
      </c>
      <c r="BM15" s="128">
        <v>1.1599999999999999</v>
      </c>
      <c r="BN15" s="128">
        <v>1.1599999999999999</v>
      </c>
      <c r="BO15" s="128">
        <v>1.1599999999999999</v>
      </c>
      <c r="BP15" s="128">
        <v>1.1499999999999999</v>
      </c>
      <c r="BQ15" s="128">
        <v>1.1499999999999999</v>
      </c>
      <c r="BR15" s="128">
        <v>1.1499999999999999</v>
      </c>
      <c r="BS15" s="128">
        <v>1.1499999999999999</v>
      </c>
      <c r="BT15" s="128">
        <v>1.1499999999999999</v>
      </c>
      <c r="BU15" s="128">
        <v>1.1399999999999999</v>
      </c>
      <c r="BV15" s="128">
        <v>1.1399999999999999</v>
      </c>
      <c r="BW15" s="128">
        <v>1.1399999999999999</v>
      </c>
      <c r="BX15" s="128">
        <v>1.1399999999999999</v>
      </c>
      <c r="BY15" s="128">
        <v>1.1399999999999999</v>
      </c>
      <c r="BZ15" s="128">
        <v>1.1399999999999999</v>
      </c>
      <c r="CA15" s="128">
        <v>1.1299999999999999</v>
      </c>
      <c r="CB15" s="128">
        <v>1.1299999999999999</v>
      </c>
      <c r="CC15" s="128">
        <v>1.1299999999999999</v>
      </c>
      <c r="CD15" s="128">
        <v>1.1299999999999999</v>
      </c>
      <c r="CE15" s="128">
        <v>1.1299999999999999</v>
      </c>
      <c r="CF15" s="128">
        <v>1.1299999999999999</v>
      </c>
      <c r="CG15" s="128">
        <v>1.1299999999999999</v>
      </c>
      <c r="CH15" s="128">
        <v>1.1200000000000001</v>
      </c>
      <c r="CI15" s="128">
        <v>1.1200000000000001</v>
      </c>
      <c r="CJ15" s="128">
        <v>1.1200000000000001</v>
      </c>
      <c r="CK15" s="128">
        <v>1.1200000000000001</v>
      </c>
      <c r="CL15" s="128">
        <v>1.1200000000000001</v>
      </c>
      <c r="CM15" s="128">
        <v>1.1200000000000001</v>
      </c>
      <c r="CN15" s="128">
        <v>1.1200000000000001</v>
      </c>
      <c r="CO15" s="128">
        <v>1.1200000000000001</v>
      </c>
      <c r="CP15" s="128">
        <v>1.1200000000000001</v>
      </c>
      <c r="CQ15" s="128">
        <v>1.1200000000000001</v>
      </c>
      <c r="CR15" s="128">
        <v>1.1200000000000001</v>
      </c>
      <c r="CS15" s="128">
        <v>1.1200000000000001</v>
      </c>
      <c r="CT15" s="128">
        <v>1.1200000000000001</v>
      </c>
      <c r="CU15" s="128">
        <v>1.1200000000000001</v>
      </c>
      <c r="CV15" s="128">
        <v>1.1200000000000001</v>
      </c>
      <c r="CW15" s="128">
        <v>1.1200000000000001</v>
      </c>
      <c r="CX15" s="128">
        <v>1.1200000000000001</v>
      </c>
      <c r="CZ15" s="126">
        <f>SUMIF(MatrixF3[[1]:[2]],MatrixF3[[#This Row],[Столбец1]])/MatrixF3[[#This Row],[Столбец1]]</f>
        <v>95.000000000000099</v>
      </c>
    </row>
    <row r="16" spans="1:104" ht="21" customHeight="1" x14ac:dyDescent="0.25">
      <c r="A16" s="127">
        <v>1.1299999999999999</v>
      </c>
      <c r="B16" s="128">
        <v>1.1299999999999999</v>
      </c>
      <c r="C16" s="128">
        <v>1.1299999999999999</v>
      </c>
      <c r="D16" s="128">
        <v>1.1299999999999999</v>
      </c>
      <c r="E16" s="128">
        <v>1.1299999999999999</v>
      </c>
      <c r="F16" s="128">
        <v>1.1299999999999999</v>
      </c>
      <c r="G16" s="128">
        <v>1.1299999999999999</v>
      </c>
      <c r="H16" s="128">
        <v>1.1299999999999999</v>
      </c>
      <c r="I16" s="128">
        <v>1.1299999999999999</v>
      </c>
      <c r="J16" s="128">
        <v>1.1299999999999999</v>
      </c>
      <c r="K16" s="128">
        <v>1.1299999999999999</v>
      </c>
      <c r="L16" s="128">
        <v>1.1299999999999999</v>
      </c>
      <c r="M16" s="128">
        <v>1.1299999999999999</v>
      </c>
      <c r="N16" s="128">
        <v>1.1299999999999999</v>
      </c>
      <c r="O16" s="128">
        <v>1.1299999999999999</v>
      </c>
      <c r="P16" s="128">
        <v>1.1299999999999999</v>
      </c>
      <c r="Q16" s="128">
        <v>1.1299999999999999</v>
      </c>
      <c r="R16" s="128">
        <v>1.1299999999999999</v>
      </c>
      <c r="S16" s="128">
        <v>1.1399999999999999</v>
      </c>
      <c r="T16" s="128">
        <v>1.1399999999999999</v>
      </c>
      <c r="U16" s="128">
        <v>1.1399999999999999</v>
      </c>
      <c r="V16" s="128">
        <v>1.1399999999999999</v>
      </c>
      <c r="W16" s="128">
        <v>1.1399999999999999</v>
      </c>
      <c r="X16" s="128">
        <v>1.1399999999999999</v>
      </c>
      <c r="Y16" s="128">
        <v>1.1399999999999999</v>
      </c>
      <c r="Z16" s="128">
        <v>1.1499999999999999</v>
      </c>
      <c r="AA16" s="128">
        <v>1.1499999999999999</v>
      </c>
      <c r="AB16" s="128">
        <v>1.1499999999999999</v>
      </c>
      <c r="AC16" s="128">
        <v>1.1499999999999999</v>
      </c>
      <c r="AD16" s="128">
        <v>1.1499999999999999</v>
      </c>
      <c r="AE16" s="128">
        <v>1.1499999999999999</v>
      </c>
      <c r="AF16" s="128">
        <v>1.1599999999999999</v>
      </c>
      <c r="AG16" s="128">
        <v>1.1599999999999999</v>
      </c>
      <c r="AH16" s="128">
        <v>1.1599999999999999</v>
      </c>
      <c r="AI16" s="128">
        <v>1.1599999999999999</v>
      </c>
      <c r="AJ16" s="128">
        <v>1.1599999999999999</v>
      </c>
      <c r="AK16" s="128">
        <v>1.17</v>
      </c>
      <c r="AL16" s="128">
        <v>1.17</v>
      </c>
      <c r="AM16" s="128">
        <v>1.17</v>
      </c>
      <c r="AN16" s="128">
        <v>1.17</v>
      </c>
      <c r="AO16" s="128">
        <v>1.18</v>
      </c>
      <c r="AP16" s="128">
        <v>1.18</v>
      </c>
      <c r="AQ16" s="128">
        <v>1.18</v>
      </c>
      <c r="AR16" s="128">
        <v>1.18</v>
      </c>
      <c r="AS16" s="128">
        <v>1.19</v>
      </c>
      <c r="AT16" s="128">
        <v>1.19</v>
      </c>
      <c r="AU16" s="128">
        <v>1.19</v>
      </c>
      <c r="AV16" s="128">
        <v>1.19</v>
      </c>
      <c r="AW16" s="128">
        <v>1.2</v>
      </c>
      <c r="AX16" s="128">
        <v>1.2</v>
      </c>
      <c r="AY16" s="128">
        <v>1.2</v>
      </c>
      <c r="AZ16" s="128">
        <v>1.21</v>
      </c>
      <c r="BA16" s="128">
        <v>1.2</v>
      </c>
      <c r="BB16" s="128">
        <v>1.2</v>
      </c>
      <c r="BC16" s="128">
        <v>1.2</v>
      </c>
      <c r="BD16" s="128">
        <v>1.19</v>
      </c>
      <c r="BE16" s="128">
        <v>1.19</v>
      </c>
      <c r="BF16" s="128">
        <v>1.19</v>
      </c>
      <c r="BG16" s="128">
        <v>1.19</v>
      </c>
      <c r="BH16" s="128">
        <v>1.18</v>
      </c>
      <c r="BI16" s="128">
        <v>1.18</v>
      </c>
      <c r="BJ16" s="128">
        <v>1.18</v>
      </c>
      <c r="BK16" s="128">
        <v>1.18</v>
      </c>
      <c r="BL16" s="128">
        <v>1.17</v>
      </c>
      <c r="BM16" s="128">
        <v>1.17</v>
      </c>
      <c r="BN16" s="128">
        <v>1.17</v>
      </c>
      <c r="BO16" s="128">
        <v>1.17</v>
      </c>
      <c r="BP16" s="128">
        <v>1.1599999999999999</v>
      </c>
      <c r="BQ16" s="128">
        <v>1.1599999999999999</v>
      </c>
      <c r="BR16" s="128">
        <v>1.1599999999999999</v>
      </c>
      <c r="BS16" s="128">
        <v>1.1599999999999999</v>
      </c>
      <c r="BT16" s="128">
        <v>1.1599999999999999</v>
      </c>
      <c r="BU16" s="128">
        <v>1.1499999999999999</v>
      </c>
      <c r="BV16" s="128">
        <v>1.1499999999999999</v>
      </c>
      <c r="BW16" s="128">
        <v>1.1499999999999999</v>
      </c>
      <c r="BX16" s="128">
        <v>1.1499999999999999</v>
      </c>
      <c r="BY16" s="128">
        <v>1.1499999999999999</v>
      </c>
      <c r="BZ16" s="128">
        <v>1.1499999999999999</v>
      </c>
      <c r="CA16" s="128">
        <v>1.1399999999999999</v>
      </c>
      <c r="CB16" s="128">
        <v>1.1399999999999999</v>
      </c>
      <c r="CC16" s="128">
        <v>1.1399999999999999</v>
      </c>
      <c r="CD16" s="128">
        <v>1.1399999999999999</v>
      </c>
      <c r="CE16" s="128">
        <v>1.1399999999999999</v>
      </c>
      <c r="CF16" s="128">
        <v>1.1399999999999999</v>
      </c>
      <c r="CG16" s="128">
        <v>1.1399999999999999</v>
      </c>
      <c r="CH16" s="128">
        <v>1.1299999999999999</v>
      </c>
      <c r="CI16" s="128">
        <v>1.1299999999999999</v>
      </c>
      <c r="CJ16" s="128">
        <v>1.1299999999999999</v>
      </c>
      <c r="CK16" s="128">
        <v>1.1299999999999999</v>
      </c>
      <c r="CL16" s="128">
        <v>1.1299999999999999</v>
      </c>
      <c r="CM16" s="128">
        <v>1.1299999999999999</v>
      </c>
      <c r="CN16" s="128">
        <v>1.1299999999999999</v>
      </c>
      <c r="CO16" s="128">
        <v>1.1299999999999999</v>
      </c>
      <c r="CP16" s="128">
        <v>1.1299999999999999</v>
      </c>
      <c r="CQ16" s="128">
        <v>1.1299999999999999</v>
      </c>
      <c r="CR16" s="128">
        <v>1.1299999999999999</v>
      </c>
      <c r="CS16" s="128">
        <v>1.1299999999999999</v>
      </c>
      <c r="CT16" s="128">
        <v>1.1299999999999999</v>
      </c>
      <c r="CU16" s="128">
        <v>1.1299999999999999</v>
      </c>
      <c r="CV16" s="128">
        <v>1.1299999999999999</v>
      </c>
      <c r="CW16" s="128">
        <v>1.1299999999999999</v>
      </c>
      <c r="CX16" s="128">
        <v>1.1299999999999999</v>
      </c>
      <c r="CZ16" s="126">
        <f>SUMIF(MatrixF3[[1]:[2]],MatrixF3[[#This Row],[Столбец1]])/MatrixF3[[#This Row],[Столбец1]]</f>
        <v>89.999999999999929</v>
      </c>
    </row>
    <row r="17" spans="1:104" ht="21" customHeight="1" x14ac:dyDescent="0.25">
      <c r="A17" s="127">
        <v>1.1399999999999999</v>
      </c>
      <c r="B17" s="128">
        <v>1.1399999999999999</v>
      </c>
      <c r="C17" s="128">
        <v>1.1399999999999999</v>
      </c>
      <c r="D17" s="128">
        <v>1.1399999999999999</v>
      </c>
      <c r="E17" s="128">
        <v>1.1399999999999999</v>
      </c>
      <c r="F17" s="128">
        <v>1.1399999999999999</v>
      </c>
      <c r="G17" s="128">
        <v>1.1399999999999999</v>
      </c>
      <c r="H17" s="128">
        <v>1.1399999999999999</v>
      </c>
      <c r="I17" s="128">
        <v>1.1399999999999999</v>
      </c>
      <c r="J17" s="128">
        <v>1.1399999999999999</v>
      </c>
      <c r="K17" s="128">
        <v>1.1399999999999999</v>
      </c>
      <c r="L17" s="128">
        <v>1.1399999999999999</v>
      </c>
      <c r="M17" s="128">
        <v>1.1399999999999999</v>
      </c>
      <c r="N17" s="128">
        <v>1.1399999999999999</v>
      </c>
      <c r="O17" s="128">
        <v>1.1399999999999999</v>
      </c>
      <c r="P17" s="128">
        <v>1.1399999999999999</v>
      </c>
      <c r="Q17" s="128">
        <v>1.1399999999999999</v>
      </c>
      <c r="R17" s="128">
        <v>1.1399999999999999</v>
      </c>
      <c r="S17" s="128">
        <v>1.1399999999999999</v>
      </c>
      <c r="T17" s="128">
        <v>1.1499999999999999</v>
      </c>
      <c r="U17" s="128">
        <v>1.1499999999999999</v>
      </c>
      <c r="V17" s="128">
        <v>1.1499999999999999</v>
      </c>
      <c r="W17" s="128">
        <v>1.1499999999999999</v>
      </c>
      <c r="X17" s="128">
        <v>1.1499999999999999</v>
      </c>
      <c r="Y17" s="128">
        <v>1.1499999999999999</v>
      </c>
      <c r="Z17" s="128">
        <v>1.1599999999999999</v>
      </c>
      <c r="AA17" s="128">
        <v>1.1599999999999999</v>
      </c>
      <c r="AB17" s="128">
        <v>1.1599999999999999</v>
      </c>
      <c r="AC17" s="128">
        <v>1.1599999999999999</v>
      </c>
      <c r="AD17" s="128">
        <v>1.1599999999999999</v>
      </c>
      <c r="AE17" s="128">
        <v>1.1599999999999999</v>
      </c>
      <c r="AF17" s="128">
        <v>1.17</v>
      </c>
      <c r="AG17" s="128">
        <v>1.17</v>
      </c>
      <c r="AH17" s="128">
        <v>1.17</v>
      </c>
      <c r="AI17" s="128">
        <v>1.17</v>
      </c>
      <c r="AJ17" s="128">
        <v>1.18</v>
      </c>
      <c r="AK17" s="128">
        <v>1.18</v>
      </c>
      <c r="AL17" s="128">
        <v>1.18</v>
      </c>
      <c r="AM17" s="128">
        <v>1.18</v>
      </c>
      <c r="AN17" s="128">
        <v>1.18</v>
      </c>
      <c r="AO17" s="128">
        <v>1.19</v>
      </c>
      <c r="AP17" s="128">
        <v>1.19</v>
      </c>
      <c r="AQ17" s="128">
        <v>1.19</v>
      </c>
      <c r="AR17" s="128">
        <v>1.19</v>
      </c>
      <c r="AS17" s="128">
        <v>1.2</v>
      </c>
      <c r="AT17" s="128">
        <v>1.2</v>
      </c>
      <c r="AU17" s="128">
        <v>1.2</v>
      </c>
      <c r="AV17" s="128">
        <v>1.21</v>
      </c>
      <c r="AW17" s="128">
        <v>1.21</v>
      </c>
      <c r="AX17" s="128">
        <v>1.21</v>
      </c>
      <c r="AY17" s="128">
        <v>1.22</v>
      </c>
      <c r="AZ17" s="128">
        <v>1.22</v>
      </c>
      <c r="BA17" s="128">
        <v>1.22</v>
      </c>
      <c r="BB17" s="128">
        <v>1.21</v>
      </c>
      <c r="BC17" s="128">
        <v>1.21</v>
      </c>
      <c r="BD17" s="128">
        <v>1.21</v>
      </c>
      <c r="BE17" s="128">
        <v>1.2</v>
      </c>
      <c r="BF17" s="128">
        <v>1.2</v>
      </c>
      <c r="BG17" s="128">
        <v>1.2</v>
      </c>
      <c r="BH17" s="128">
        <v>1.19</v>
      </c>
      <c r="BI17" s="128">
        <v>1.19</v>
      </c>
      <c r="BJ17" s="128">
        <v>1.19</v>
      </c>
      <c r="BK17" s="128">
        <v>1.19</v>
      </c>
      <c r="BL17" s="128">
        <v>1.18</v>
      </c>
      <c r="BM17" s="128">
        <v>1.18</v>
      </c>
      <c r="BN17" s="128">
        <v>1.18</v>
      </c>
      <c r="BO17" s="128">
        <v>1.18</v>
      </c>
      <c r="BP17" s="128">
        <v>1.18</v>
      </c>
      <c r="BQ17" s="128">
        <v>1.17</v>
      </c>
      <c r="BR17" s="128">
        <v>1.17</v>
      </c>
      <c r="BS17" s="128">
        <v>1.17</v>
      </c>
      <c r="BT17" s="128">
        <v>1.17</v>
      </c>
      <c r="BU17" s="128">
        <v>1.1599999999999999</v>
      </c>
      <c r="BV17" s="128">
        <v>1.1599999999999999</v>
      </c>
      <c r="BW17" s="128">
        <v>1.1599999999999999</v>
      </c>
      <c r="BX17" s="128">
        <v>1.1599999999999999</v>
      </c>
      <c r="BY17" s="128">
        <v>1.1599999999999999</v>
      </c>
      <c r="BZ17" s="128">
        <v>1.1599999999999999</v>
      </c>
      <c r="CA17" s="128">
        <v>1.1499999999999999</v>
      </c>
      <c r="CB17" s="128">
        <v>1.1499999999999999</v>
      </c>
      <c r="CC17" s="128">
        <v>1.1499999999999999</v>
      </c>
      <c r="CD17" s="128">
        <v>1.1499999999999999</v>
      </c>
      <c r="CE17" s="128">
        <v>1.1499999999999999</v>
      </c>
      <c r="CF17" s="128">
        <v>1.1499999999999999</v>
      </c>
      <c r="CG17" s="128">
        <v>1.1399999999999999</v>
      </c>
      <c r="CH17" s="128">
        <v>1.1399999999999999</v>
      </c>
      <c r="CI17" s="128">
        <v>1.1399999999999999</v>
      </c>
      <c r="CJ17" s="128">
        <v>1.1399999999999999</v>
      </c>
      <c r="CK17" s="128">
        <v>1.1399999999999999</v>
      </c>
      <c r="CL17" s="128">
        <v>1.1399999999999999</v>
      </c>
      <c r="CM17" s="128">
        <v>1.1399999999999999</v>
      </c>
      <c r="CN17" s="128">
        <v>1.1399999999999999</v>
      </c>
      <c r="CO17" s="128">
        <v>1.1399999999999999</v>
      </c>
      <c r="CP17" s="128">
        <v>1.1399999999999999</v>
      </c>
      <c r="CQ17" s="128">
        <v>1.1399999999999999</v>
      </c>
      <c r="CR17" s="128">
        <v>1.1399999999999999</v>
      </c>
      <c r="CS17" s="128">
        <v>1.1399999999999999</v>
      </c>
      <c r="CT17" s="128">
        <v>1.1399999999999999</v>
      </c>
      <c r="CU17" s="128">
        <v>1.1399999999999999</v>
      </c>
      <c r="CV17" s="128">
        <v>1.1399999999999999</v>
      </c>
      <c r="CW17" s="128">
        <v>1.1399999999999999</v>
      </c>
      <c r="CX17" s="128">
        <v>1.1399999999999999</v>
      </c>
      <c r="CZ17" s="126">
        <f>SUMIF(MatrixF3[[1]:[2]],MatrixF3[[#This Row],[Столбец1]])/MatrixF3[[#This Row],[Столбец1]]</f>
        <v>97.000000000000043</v>
      </c>
    </row>
    <row r="18" spans="1:104" ht="21" customHeight="1" x14ac:dyDescent="0.25">
      <c r="A18" s="127">
        <v>1.1499999999999999</v>
      </c>
      <c r="B18" s="128">
        <v>1.1499999999999999</v>
      </c>
      <c r="C18" s="128">
        <v>1.1499999999999999</v>
      </c>
      <c r="D18" s="128">
        <v>1.1499999999999999</v>
      </c>
      <c r="E18" s="128">
        <v>1.1499999999999999</v>
      </c>
      <c r="F18" s="128">
        <v>1.1499999999999999</v>
      </c>
      <c r="G18" s="128">
        <v>1.1499999999999999</v>
      </c>
      <c r="H18" s="128">
        <v>1.1499999999999999</v>
      </c>
      <c r="I18" s="128">
        <v>1.1499999999999999</v>
      </c>
      <c r="J18" s="128">
        <v>1.1499999999999999</v>
      </c>
      <c r="K18" s="128">
        <v>1.1499999999999999</v>
      </c>
      <c r="L18" s="128">
        <v>1.1499999999999999</v>
      </c>
      <c r="M18" s="128">
        <v>1.1499999999999999</v>
      </c>
      <c r="N18" s="128">
        <v>1.1499999999999999</v>
      </c>
      <c r="O18" s="128">
        <v>1.1499999999999999</v>
      </c>
      <c r="P18" s="128">
        <v>1.1499999999999999</v>
      </c>
      <c r="Q18" s="128">
        <v>1.1499999999999999</v>
      </c>
      <c r="R18" s="128">
        <v>1.1499999999999999</v>
      </c>
      <c r="S18" s="128">
        <v>1.1499999999999999</v>
      </c>
      <c r="T18" s="128">
        <v>1.1499999999999999</v>
      </c>
      <c r="U18" s="128">
        <v>1.1599999999999999</v>
      </c>
      <c r="V18" s="128">
        <v>1.1599999999999999</v>
      </c>
      <c r="W18" s="128">
        <v>1.1599999999999999</v>
      </c>
      <c r="X18" s="128">
        <v>1.1599999999999999</v>
      </c>
      <c r="Y18" s="128">
        <v>1.1599999999999999</v>
      </c>
      <c r="Z18" s="128">
        <v>1.1599999999999999</v>
      </c>
      <c r="AA18" s="128">
        <v>1.17</v>
      </c>
      <c r="AB18" s="128">
        <v>1.17</v>
      </c>
      <c r="AC18" s="128">
        <v>1.17</v>
      </c>
      <c r="AD18" s="128">
        <v>1.17</v>
      </c>
      <c r="AE18" s="128">
        <v>1.17</v>
      </c>
      <c r="AF18" s="128">
        <v>1.18</v>
      </c>
      <c r="AG18" s="128">
        <v>1.18</v>
      </c>
      <c r="AH18" s="128">
        <v>1.18</v>
      </c>
      <c r="AI18" s="128">
        <v>1.18</v>
      </c>
      <c r="AJ18" s="128">
        <v>1.19</v>
      </c>
      <c r="AK18" s="128">
        <v>1.19</v>
      </c>
      <c r="AL18" s="128">
        <v>1.19</v>
      </c>
      <c r="AM18" s="128">
        <v>1.19</v>
      </c>
      <c r="AN18" s="128">
        <v>1.19</v>
      </c>
      <c r="AO18" s="128">
        <v>1.2</v>
      </c>
      <c r="AP18" s="128">
        <v>1.2</v>
      </c>
      <c r="AQ18" s="128">
        <v>1.2</v>
      </c>
      <c r="AR18" s="128">
        <v>1.21</v>
      </c>
      <c r="AS18" s="128">
        <v>1.21</v>
      </c>
      <c r="AT18" s="128">
        <v>1.21</v>
      </c>
      <c r="AU18" s="128">
        <v>1.21</v>
      </c>
      <c r="AV18" s="128">
        <v>1.22</v>
      </c>
      <c r="AW18" s="128">
        <v>1.22</v>
      </c>
      <c r="AX18" s="128">
        <v>1.22</v>
      </c>
      <c r="AY18" s="128">
        <v>1.23</v>
      </c>
      <c r="AZ18" s="128">
        <v>1.23</v>
      </c>
      <c r="BA18" s="128">
        <v>1.23</v>
      </c>
      <c r="BB18" s="128">
        <v>1.22</v>
      </c>
      <c r="BC18" s="128">
        <v>1.22</v>
      </c>
      <c r="BD18" s="128">
        <v>1.22</v>
      </c>
      <c r="BE18" s="128">
        <v>1.21</v>
      </c>
      <c r="BF18" s="128">
        <v>1.21</v>
      </c>
      <c r="BG18" s="128">
        <v>1.21</v>
      </c>
      <c r="BH18" s="128">
        <v>1.21</v>
      </c>
      <c r="BI18" s="128">
        <v>1.2</v>
      </c>
      <c r="BJ18" s="128">
        <v>1.2</v>
      </c>
      <c r="BK18" s="128">
        <v>1.2</v>
      </c>
      <c r="BL18" s="128">
        <v>1.19</v>
      </c>
      <c r="BM18" s="128">
        <v>1.19</v>
      </c>
      <c r="BN18" s="128">
        <v>1.19</v>
      </c>
      <c r="BO18" s="128">
        <v>1.19</v>
      </c>
      <c r="BP18" s="128">
        <v>1.19</v>
      </c>
      <c r="BQ18" s="128">
        <v>1.18</v>
      </c>
      <c r="BR18" s="128">
        <v>1.18</v>
      </c>
      <c r="BS18" s="128">
        <v>1.18</v>
      </c>
      <c r="BT18" s="128">
        <v>1.18</v>
      </c>
      <c r="BU18" s="128">
        <v>1.17</v>
      </c>
      <c r="BV18" s="128">
        <v>1.17</v>
      </c>
      <c r="BW18" s="128">
        <v>1.17</v>
      </c>
      <c r="BX18" s="128">
        <v>1.17</v>
      </c>
      <c r="BY18" s="128">
        <v>1.17</v>
      </c>
      <c r="BZ18" s="128">
        <v>1.1599999999999999</v>
      </c>
      <c r="CA18" s="128">
        <v>1.1599999999999999</v>
      </c>
      <c r="CB18" s="128">
        <v>1.1599999999999999</v>
      </c>
      <c r="CC18" s="128">
        <v>1.1599999999999999</v>
      </c>
      <c r="CD18" s="128">
        <v>1.1599999999999999</v>
      </c>
      <c r="CE18" s="128">
        <v>1.1599999999999999</v>
      </c>
      <c r="CF18" s="128">
        <v>1.1499999999999999</v>
      </c>
      <c r="CG18" s="128">
        <v>1.1499999999999999</v>
      </c>
      <c r="CH18" s="128">
        <v>1.1499999999999999</v>
      </c>
      <c r="CI18" s="128">
        <v>1.1499999999999999</v>
      </c>
      <c r="CJ18" s="128">
        <v>1.1499999999999999</v>
      </c>
      <c r="CK18" s="128">
        <v>1.1499999999999999</v>
      </c>
      <c r="CL18" s="128">
        <v>1.1499999999999999</v>
      </c>
      <c r="CM18" s="128">
        <v>1.1499999999999999</v>
      </c>
      <c r="CN18" s="128">
        <v>1.1499999999999999</v>
      </c>
      <c r="CO18" s="128">
        <v>1.1499999999999999</v>
      </c>
      <c r="CP18" s="128">
        <v>1.1499999999999999</v>
      </c>
      <c r="CQ18" s="128">
        <v>1.1499999999999999</v>
      </c>
      <c r="CR18" s="128">
        <v>1.1499999999999999</v>
      </c>
      <c r="CS18" s="128">
        <v>1.1499999999999999</v>
      </c>
      <c r="CT18" s="128">
        <v>1.1499999999999999</v>
      </c>
      <c r="CU18" s="128">
        <v>1.1499999999999999</v>
      </c>
      <c r="CV18" s="128">
        <v>1.1499999999999999</v>
      </c>
      <c r="CW18" s="128">
        <v>1.1499999999999999</v>
      </c>
      <c r="CX18" s="128">
        <v>1.1499999999999999</v>
      </c>
      <c r="CZ18" s="126">
        <f>SUMIF(MatrixF3[[1]:[2]],MatrixF3[[#This Row],[Столбец1]])/MatrixF3[[#This Row],[Столбец1]]</f>
        <v>97.000000000000171</v>
      </c>
    </row>
    <row r="19" spans="1:104" ht="21" customHeight="1" x14ac:dyDescent="0.25">
      <c r="A19" s="127">
        <v>1.1599999999999999</v>
      </c>
      <c r="B19" s="128">
        <v>1.1599999999999999</v>
      </c>
      <c r="C19" s="128">
        <v>1.1599999999999999</v>
      </c>
      <c r="D19" s="128">
        <v>1.1599999999999999</v>
      </c>
      <c r="E19" s="128">
        <v>1.1599999999999999</v>
      </c>
      <c r="F19" s="128">
        <v>1.1599999999999999</v>
      </c>
      <c r="G19" s="128">
        <v>1.1599999999999999</v>
      </c>
      <c r="H19" s="128">
        <v>1.1599999999999999</v>
      </c>
      <c r="I19" s="128">
        <v>1.1599999999999999</v>
      </c>
      <c r="J19" s="128">
        <v>1.1599999999999999</v>
      </c>
      <c r="K19" s="128">
        <v>1.1599999999999999</v>
      </c>
      <c r="L19" s="128">
        <v>1.1599999999999999</v>
      </c>
      <c r="M19" s="128">
        <v>1.1599999999999999</v>
      </c>
      <c r="N19" s="128">
        <v>1.1599999999999999</v>
      </c>
      <c r="O19" s="128">
        <v>1.1599999999999999</v>
      </c>
      <c r="P19" s="128">
        <v>1.1599999999999999</v>
      </c>
      <c r="Q19" s="128">
        <v>1.1599999999999999</v>
      </c>
      <c r="R19" s="128">
        <v>1.1599999999999999</v>
      </c>
      <c r="S19" s="128">
        <v>1.1599999999999999</v>
      </c>
      <c r="T19" s="128">
        <v>1.1599999999999999</v>
      </c>
      <c r="U19" s="128">
        <v>1.1599999999999999</v>
      </c>
      <c r="V19" s="128">
        <v>1.17</v>
      </c>
      <c r="W19" s="128">
        <v>1.17</v>
      </c>
      <c r="X19" s="128">
        <v>1.17</v>
      </c>
      <c r="Y19" s="128">
        <v>1.17</v>
      </c>
      <c r="Z19" s="128">
        <v>1.17</v>
      </c>
      <c r="AA19" s="128">
        <v>1.18</v>
      </c>
      <c r="AB19" s="128">
        <v>1.18</v>
      </c>
      <c r="AC19" s="128">
        <v>1.18</v>
      </c>
      <c r="AD19" s="128">
        <v>1.18</v>
      </c>
      <c r="AE19" s="128">
        <v>1.18</v>
      </c>
      <c r="AF19" s="128">
        <v>1.19</v>
      </c>
      <c r="AG19" s="128">
        <v>1.19</v>
      </c>
      <c r="AH19" s="128">
        <v>1.19</v>
      </c>
      <c r="AI19" s="128">
        <v>1.19</v>
      </c>
      <c r="AJ19" s="128">
        <v>1.2</v>
      </c>
      <c r="AK19" s="128">
        <v>1.2</v>
      </c>
      <c r="AL19" s="128">
        <v>1.2</v>
      </c>
      <c r="AM19" s="128">
        <v>1.2</v>
      </c>
      <c r="AN19" s="128">
        <v>1.21</v>
      </c>
      <c r="AO19" s="128">
        <v>1.21</v>
      </c>
      <c r="AP19" s="128">
        <v>1.21</v>
      </c>
      <c r="AQ19" s="128">
        <v>1.21</v>
      </c>
      <c r="AR19" s="128">
        <v>1.22</v>
      </c>
      <c r="AS19" s="128">
        <v>1.22</v>
      </c>
      <c r="AT19" s="128">
        <v>1.22</v>
      </c>
      <c r="AU19" s="128">
        <v>1.23</v>
      </c>
      <c r="AV19" s="128">
        <v>1.23</v>
      </c>
      <c r="AW19" s="128">
        <v>1.23</v>
      </c>
      <c r="AX19" s="128">
        <v>1.24</v>
      </c>
      <c r="AY19" s="128">
        <v>1.24</v>
      </c>
      <c r="AZ19" s="128">
        <v>1.24</v>
      </c>
      <c r="BA19" s="128">
        <v>1.24</v>
      </c>
      <c r="BB19" s="128">
        <v>1.24</v>
      </c>
      <c r="BC19" s="128">
        <v>1.23</v>
      </c>
      <c r="BD19" s="128">
        <v>1.23</v>
      </c>
      <c r="BE19" s="128">
        <v>1.23</v>
      </c>
      <c r="BF19" s="128">
        <v>1.22</v>
      </c>
      <c r="BG19" s="128">
        <v>1.22</v>
      </c>
      <c r="BH19" s="128">
        <v>1.22</v>
      </c>
      <c r="BI19" s="128">
        <v>1.21</v>
      </c>
      <c r="BJ19" s="128">
        <v>1.21</v>
      </c>
      <c r="BK19" s="128">
        <v>1.21</v>
      </c>
      <c r="BL19" s="128">
        <v>1.21</v>
      </c>
      <c r="BM19" s="128">
        <v>1.2</v>
      </c>
      <c r="BN19" s="128">
        <v>1.2</v>
      </c>
      <c r="BO19" s="128">
        <v>1.2</v>
      </c>
      <c r="BP19" s="128">
        <v>1.2</v>
      </c>
      <c r="BQ19" s="128">
        <v>1.19</v>
      </c>
      <c r="BR19" s="128">
        <v>1.19</v>
      </c>
      <c r="BS19" s="128">
        <v>1.19</v>
      </c>
      <c r="BT19" s="128">
        <v>1.19</v>
      </c>
      <c r="BU19" s="128">
        <v>1.18</v>
      </c>
      <c r="BV19" s="128">
        <v>1.18</v>
      </c>
      <c r="BW19" s="128">
        <v>1.18</v>
      </c>
      <c r="BX19" s="128">
        <v>1.18</v>
      </c>
      <c r="BY19" s="128">
        <v>1.18</v>
      </c>
      <c r="BZ19" s="128">
        <v>1.17</v>
      </c>
      <c r="CA19" s="128">
        <v>1.17</v>
      </c>
      <c r="CB19" s="128">
        <v>1.17</v>
      </c>
      <c r="CC19" s="128">
        <v>1.17</v>
      </c>
      <c r="CD19" s="128">
        <v>1.17</v>
      </c>
      <c r="CE19" s="128">
        <v>1.1599999999999999</v>
      </c>
      <c r="CF19" s="128">
        <v>1.1599999999999999</v>
      </c>
      <c r="CG19" s="128">
        <v>1.1599999999999999</v>
      </c>
      <c r="CH19" s="128">
        <v>1.1599999999999999</v>
      </c>
      <c r="CI19" s="128">
        <v>1.1599999999999999</v>
      </c>
      <c r="CJ19" s="128">
        <v>1.1599999999999999</v>
      </c>
      <c r="CK19" s="128">
        <v>1.1599999999999999</v>
      </c>
      <c r="CL19" s="128">
        <v>1.1599999999999999</v>
      </c>
      <c r="CM19" s="128">
        <v>1.1599999999999999</v>
      </c>
      <c r="CN19" s="128">
        <v>1.1599999999999999</v>
      </c>
      <c r="CO19" s="128">
        <v>1.1599999999999999</v>
      </c>
      <c r="CP19" s="128">
        <v>1.1599999999999999</v>
      </c>
      <c r="CQ19" s="128">
        <v>1.1599999999999999</v>
      </c>
      <c r="CR19" s="128">
        <v>1.1599999999999999</v>
      </c>
      <c r="CS19" s="128">
        <v>1.1599999999999999</v>
      </c>
      <c r="CT19" s="128">
        <v>1.1599999999999999</v>
      </c>
      <c r="CU19" s="128">
        <v>1.1599999999999999</v>
      </c>
      <c r="CV19" s="128">
        <v>1.1599999999999999</v>
      </c>
      <c r="CW19" s="128">
        <v>1.1599999999999999</v>
      </c>
      <c r="CX19" s="128">
        <v>1.1599999999999999</v>
      </c>
      <c r="CZ19" s="126">
        <f>SUMIF(MatrixF3[[1]:[2]],MatrixF3[[#This Row],[Столбец1]])/MatrixF3[[#This Row],[Столбец1]]</f>
        <v>99.999999999999801</v>
      </c>
    </row>
    <row r="20" spans="1:104" ht="21" customHeight="1" x14ac:dyDescent="0.25">
      <c r="A20" s="127">
        <v>1.17</v>
      </c>
      <c r="B20" s="128">
        <v>1.17</v>
      </c>
      <c r="C20" s="128">
        <v>1.17</v>
      </c>
      <c r="D20" s="128">
        <v>1.17</v>
      </c>
      <c r="E20" s="128">
        <v>1.17</v>
      </c>
      <c r="F20" s="128">
        <v>1.17</v>
      </c>
      <c r="G20" s="128">
        <v>1.17</v>
      </c>
      <c r="H20" s="128">
        <v>1.17</v>
      </c>
      <c r="I20" s="128">
        <v>1.17</v>
      </c>
      <c r="J20" s="128">
        <v>1.17</v>
      </c>
      <c r="K20" s="128">
        <v>1.17</v>
      </c>
      <c r="L20" s="128">
        <v>1.17</v>
      </c>
      <c r="M20" s="128">
        <v>1.17</v>
      </c>
      <c r="N20" s="128">
        <v>1.17</v>
      </c>
      <c r="O20" s="128">
        <v>1.17</v>
      </c>
      <c r="P20" s="128">
        <v>1.17</v>
      </c>
      <c r="Q20" s="128">
        <v>1.17</v>
      </c>
      <c r="R20" s="128">
        <v>1.17</v>
      </c>
      <c r="S20" s="128">
        <v>1.17</v>
      </c>
      <c r="T20" s="128">
        <v>1.17</v>
      </c>
      <c r="U20" s="128">
        <v>1.17</v>
      </c>
      <c r="V20" s="128">
        <v>1.18</v>
      </c>
      <c r="W20" s="128">
        <v>1.18</v>
      </c>
      <c r="X20" s="128">
        <v>1.18</v>
      </c>
      <c r="Y20" s="128">
        <v>1.18</v>
      </c>
      <c r="Z20" s="128">
        <v>1.18</v>
      </c>
      <c r="AA20" s="128">
        <v>1.18</v>
      </c>
      <c r="AB20" s="128">
        <v>1.19</v>
      </c>
      <c r="AC20" s="128">
        <v>1.19</v>
      </c>
      <c r="AD20" s="128">
        <v>1.19</v>
      </c>
      <c r="AE20" s="128">
        <v>1.19</v>
      </c>
      <c r="AF20" s="128">
        <v>1.2</v>
      </c>
      <c r="AG20" s="128">
        <v>1.2</v>
      </c>
      <c r="AH20" s="128">
        <v>1.2</v>
      </c>
      <c r="AI20" s="128">
        <v>1.2</v>
      </c>
      <c r="AJ20" s="128">
        <v>1.2</v>
      </c>
      <c r="AK20" s="128">
        <v>1.21</v>
      </c>
      <c r="AL20" s="128">
        <v>1.21</v>
      </c>
      <c r="AM20" s="128">
        <v>1.21</v>
      </c>
      <c r="AN20" s="128">
        <v>1.22</v>
      </c>
      <c r="AO20" s="128">
        <v>1.22</v>
      </c>
      <c r="AP20" s="128">
        <v>1.22</v>
      </c>
      <c r="AQ20" s="128">
        <v>1.22</v>
      </c>
      <c r="AR20" s="128">
        <v>1.23</v>
      </c>
      <c r="AS20" s="128">
        <v>1.23</v>
      </c>
      <c r="AT20" s="128">
        <v>1.23</v>
      </c>
      <c r="AU20" s="128">
        <v>1.24</v>
      </c>
      <c r="AV20" s="128">
        <v>1.24</v>
      </c>
      <c r="AW20" s="128">
        <v>1.24</v>
      </c>
      <c r="AX20" s="128">
        <v>1.25</v>
      </c>
      <c r="AY20" s="128">
        <v>1.25</v>
      </c>
      <c r="AZ20" s="128">
        <v>1.25</v>
      </c>
      <c r="BA20" s="128">
        <v>1.25</v>
      </c>
      <c r="BB20" s="128">
        <v>1.25</v>
      </c>
      <c r="BC20" s="128">
        <v>1.24</v>
      </c>
      <c r="BD20" s="128">
        <v>1.24</v>
      </c>
      <c r="BE20" s="128">
        <v>1.24</v>
      </c>
      <c r="BF20" s="128">
        <v>1.23</v>
      </c>
      <c r="BG20" s="128">
        <v>1.23</v>
      </c>
      <c r="BH20" s="128">
        <v>1.23</v>
      </c>
      <c r="BI20" s="128">
        <v>1.22</v>
      </c>
      <c r="BJ20" s="128">
        <v>1.22</v>
      </c>
      <c r="BK20" s="128">
        <v>1.22</v>
      </c>
      <c r="BL20" s="128">
        <v>1.22</v>
      </c>
      <c r="BM20" s="128">
        <v>1.21</v>
      </c>
      <c r="BN20" s="128">
        <v>1.21</v>
      </c>
      <c r="BO20" s="128">
        <v>1.21</v>
      </c>
      <c r="BP20" s="128">
        <v>1.2</v>
      </c>
      <c r="BQ20" s="128">
        <v>1.2</v>
      </c>
      <c r="BR20" s="128">
        <v>1.2</v>
      </c>
      <c r="BS20" s="128">
        <v>1.2</v>
      </c>
      <c r="BT20" s="128">
        <v>1.2</v>
      </c>
      <c r="BU20" s="128">
        <v>1.19</v>
      </c>
      <c r="BV20" s="128">
        <v>1.19</v>
      </c>
      <c r="BW20" s="128">
        <v>1.19</v>
      </c>
      <c r="BX20" s="128">
        <v>1.19</v>
      </c>
      <c r="BY20" s="128">
        <v>1.18</v>
      </c>
      <c r="BZ20" s="128">
        <v>1.18</v>
      </c>
      <c r="CA20" s="128">
        <v>1.18</v>
      </c>
      <c r="CB20" s="128">
        <v>1.18</v>
      </c>
      <c r="CC20" s="128">
        <v>1.18</v>
      </c>
      <c r="CD20" s="128">
        <v>1.18</v>
      </c>
      <c r="CE20" s="128">
        <v>1.17</v>
      </c>
      <c r="CF20" s="128">
        <v>1.17</v>
      </c>
      <c r="CG20" s="128">
        <v>1.17</v>
      </c>
      <c r="CH20" s="128">
        <v>1.17</v>
      </c>
      <c r="CI20" s="128">
        <v>1.17</v>
      </c>
      <c r="CJ20" s="128">
        <v>1.17</v>
      </c>
      <c r="CK20" s="128">
        <v>1.17</v>
      </c>
      <c r="CL20" s="128">
        <v>1.17</v>
      </c>
      <c r="CM20" s="128">
        <v>1.17</v>
      </c>
      <c r="CN20" s="128">
        <v>1.17</v>
      </c>
      <c r="CO20" s="128">
        <v>1.17</v>
      </c>
      <c r="CP20" s="128">
        <v>1.17</v>
      </c>
      <c r="CQ20" s="128">
        <v>1.17</v>
      </c>
      <c r="CR20" s="128">
        <v>1.17</v>
      </c>
      <c r="CS20" s="128">
        <v>1.17</v>
      </c>
      <c r="CT20" s="128">
        <v>1.17</v>
      </c>
      <c r="CU20" s="128">
        <v>1.17</v>
      </c>
      <c r="CV20" s="128">
        <v>1.17</v>
      </c>
      <c r="CW20" s="128">
        <v>1.17</v>
      </c>
      <c r="CX20" s="128">
        <v>1.17</v>
      </c>
      <c r="CZ20" s="126">
        <f>SUMIF(MatrixF3[[1]:[2]],MatrixF3[[#This Row],[Столбец1]])/MatrixF3[[#This Row],[Столбец1]]</f>
        <v>93.000000000000114</v>
      </c>
    </row>
    <row r="21" spans="1:104" ht="21" customHeight="1" x14ac:dyDescent="0.25">
      <c r="A21" s="127">
        <v>1.18</v>
      </c>
      <c r="B21" s="128">
        <v>1.18</v>
      </c>
      <c r="C21" s="128">
        <v>1.18</v>
      </c>
      <c r="D21" s="128">
        <v>1.18</v>
      </c>
      <c r="E21" s="128">
        <v>1.18</v>
      </c>
      <c r="F21" s="128">
        <v>1.18</v>
      </c>
      <c r="G21" s="128">
        <v>1.18</v>
      </c>
      <c r="H21" s="128">
        <v>1.18</v>
      </c>
      <c r="I21" s="128">
        <v>1.18</v>
      </c>
      <c r="J21" s="128">
        <v>1.18</v>
      </c>
      <c r="K21" s="128">
        <v>1.18</v>
      </c>
      <c r="L21" s="128">
        <v>1.18</v>
      </c>
      <c r="M21" s="128">
        <v>1.18</v>
      </c>
      <c r="N21" s="128">
        <v>1.18</v>
      </c>
      <c r="O21" s="128">
        <v>1.18</v>
      </c>
      <c r="P21" s="128">
        <v>1.18</v>
      </c>
      <c r="Q21" s="128">
        <v>1.18</v>
      </c>
      <c r="R21" s="128">
        <v>1.18</v>
      </c>
      <c r="S21" s="128">
        <v>1.18</v>
      </c>
      <c r="T21" s="128">
        <v>1.18</v>
      </c>
      <c r="U21" s="128">
        <v>1.18</v>
      </c>
      <c r="V21" s="128">
        <v>1.18</v>
      </c>
      <c r="W21" s="128">
        <v>1.19</v>
      </c>
      <c r="X21" s="128">
        <v>1.19</v>
      </c>
      <c r="Y21" s="128">
        <v>1.19</v>
      </c>
      <c r="Z21" s="128">
        <v>1.19</v>
      </c>
      <c r="AA21" s="128">
        <v>1.19</v>
      </c>
      <c r="AB21" s="128">
        <v>1.2</v>
      </c>
      <c r="AC21" s="128">
        <v>1.2</v>
      </c>
      <c r="AD21" s="128">
        <v>1.2</v>
      </c>
      <c r="AE21" s="128">
        <v>1.2</v>
      </c>
      <c r="AF21" s="128">
        <v>1.2</v>
      </c>
      <c r="AG21" s="128">
        <v>1.21</v>
      </c>
      <c r="AH21" s="128">
        <v>1.21</v>
      </c>
      <c r="AI21" s="128">
        <v>1.21</v>
      </c>
      <c r="AJ21" s="128">
        <v>1.21</v>
      </c>
      <c r="AK21" s="128">
        <v>1.22</v>
      </c>
      <c r="AL21" s="128">
        <v>1.22</v>
      </c>
      <c r="AM21" s="128">
        <v>1.22</v>
      </c>
      <c r="AN21" s="128">
        <v>1.22</v>
      </c>
      <c r="AO21" s="128">
        <v>1.23</v>
      </c>
      <c r="AP21" s="128">
        <v>1.23</v>
      </c>
      <c r="AQ21" s="128">
        <v>1.23</v>
      </c>
      <c r="AR21" s="128">
        <v>1.24</v>
      </c>
      <c r="AS21" s="128">
        <v>1.24</v>
      </c>
      <c r="AT21" s="128">
        <v>1.24</v>
      </c>
      <c r="AU21" s="128">
        <v>1.25</v>
      </c>
      <c r="AV21" s="128">
        <v>1.25</v>
      </c>
      <c r="AW21" s="128">
        <v>1.25</v>
      </c>
      <c r="AX21" s="128">
        <v>1.26</v>
      </c>
      <c r="AY21" s="128">
        <v>1.26</v>
      </c>
      <c r="AZ21" s="128">
        <v>1.26</v>
      </c>
      <c r="BA21" s="128">
        <v>1.26</v>
      </c>
      <c r="BB21" s="128">
        <v>1.26</v>
      </c>
      <c r="BC21" s="128">
        <v>1.25</v>
      </c>
      <c r="BD21" s="128">
        <v>1.25</v>
      </c>
      <c r="BE21" s="128">
        <v>1.25</v>
      </c>
      <c r="BF21" s="128">
        <v>1.24</v>
      </c>
      <c r="BG21" s="128">
        <v>1.24</v>
      </c>
      <c r="BH21" s="128">
        <v>1.24</v>
      </c>
      <c r="BI21" s="128">
        <v>1.23</v>
      </c>
      <c r="BJ21" s="128">
        <v>1.23</v>
      </c>
      <c r="BK21" s="128">
        <v>1.23</v>
      </c>
      <c r="BL21" s="128">
        <v>1.22</v>
      </c>
      <c r="BM21" s="128">
        <v>1.22</v>
      </c>
      <c r="BN21" s="128">
        <v>1.22</v>
      </c>
      <c r="BO21" s="128">
        <v>1.22</v>
      </c>
      <c r="BP21" s="128">
        <v>1.21</v>
      </c>
      <c r="BQ21" s="128">
        <v>1.21</v>
      </c>
      <c r="BR21" s="128">
        <v>1.21</v>
      </c>
      <c r="BS21" s="128">
        <v>1.21</v>
      </c>
      <c r="BT21" s="128">
        <v>1.2</v>
      </c>
      <c r="BU21" s="128">
        <v>1.2</v>
      </c>
      <c r="BV21" s="128">
        <v>1.2</v>
      </c>
      <c r="BW21" s="128">
        <v>1.2</v>
      </c>
      <c r="BX21" s="128">
        <v>1.2</v>
      </c>
      <c r="BY21" s="128">
        <v>1.19</v>
      </c>
      <c r="BZ21" s="128">
        <v>1.19</v>
      </c>
      <c r="CA21" s="128">
        <v>1.19</v>
      </c>
      <c r="CB21" s="128">
        <v>1.19</v>
      </c>
      <c r="CC21" s="128">
        <v>1.19</v>
      </c>
      <c r="CD21" s="128">
        <v>1.18</v>
      </c>
      <c r="CE21" s="128">
        <v>1.18</v>
      </c>
      <c r="CF21" s="128">
        <v>1.18</v>
      </c>
      <c r="CG21" s="128">
        <v>1.18</v>
      </c>
      <c r="CH21" s="128">
        <v>1.18</v>
      </c>
      <c r="CI21" s="128">
        <v>1.18</v>
      </c>
      <c r="CJ21" s="128">
        <v>1.18</v>
      </c>
      <c r="CK21" s="128">
        <v>1.18</v>
      </c>
      <c r="CL21" s="128">
        <v>1.18</v>
      </c>
      <c r="CM21" s="128">
        <v>1.18</v>
      </c>
      <c r="CN21" s="128">
        <v>1.18</v>
      </c>
      <c r="CO21" s="128">
        <v>1.18</v>
      </c>
      <c r="CP21" s="128">
        <v>1.18</v>
      </c>
      <c r="CQ21" s="128">
        <v>1.18</v>
      </c>
      <c r="CR21" s="128">
        <v>1.18</v>
      </c>
      <c r="CS21" s="128">
        <v>1.18</v>
      </c>
      <c r="CT21" s="128">
        <v>1.18</v>
      </c>
      <c r="CU21" s="128">
        <v>1.18</v>
      </c>
      <c r="CV21" s="128">
        <v>1.18</v>
      </c>
      <c r="CW21" s="128">
        <v>1.18</v>
      </c>
      <c r="CX21" s="128">
        <v>1.18</v>
      </c>
      <c r="CZ21" s="126">
        <f>SUMIF(MatrixF3[[1]:[2]],MatrixF3[[#This Row],[Столбец1]])/MatrixF3[[#This Row],[Столбец1]]</f>
        <v>101.00000000000027</v>
      </c>
    </row>
    <row r="22" spans="1:104" ht="21" customHeight="1" x14ac:dyDescent="0.25">
      <c r="A22" s="127">
        <v>1.19</v>
      </c>
      <c r="B22" s="128">
        <v>1.19</v>
      </c>
      <c r="C22" s="128">
        <v>1.19</v>
      </c>
      <c r="D22" s="128">
        <v>1.19</v>
      </c>
      <c r="E22" s="128">
        <v>1.19</v>
      </c>
      <c r="F22" s="128">
        <v>1.19</v>
      </c>
      <c r="G22" s="128">
        <v>1.19</v>
      </c>
      <c r="H22" s="128">
        <v>1.19</v>
      </c>
      <c r="I22" s="128">
        <v>1.19</v>
      </c>
      <c r="J22" s="128">
        <v>1.19</v>
      </c>
      <c r="K22" s="128">
        <v>1.19</v>
      </c>
      <c r="L22" s="128">
        <v>1.19</v>
      </c>
      <c r="M22" s="128">
        <v>1.19</v>
      </c>
      <c r="N22" s="128">
        <v>1.19</v>
      </c>
      <c r="O22" s="128">
        <v>1.19</v>
      </c>
      <c r="P22" s="128">
        <v>1.19</v>
      </c>
      <c r="Q22" s="128">
        <v>1.19</v>
      </c>
      <c r="R22" s="128">
        <v>1.19</v>
      </c>
      <c r="S22" s="128">
        <v>1.19</v>
      </c>
      <c r="T22" s="128">
        <v>1.19</v>
      </c>
      <c r="U22" s="128">
        <v>1.19</v>
      </c>
      <c r="V22" s="128">
        <v>1.19</v>
      </c>
      <c r="W22" s="128">
        <v>1.19</v>
      </c>
      <c r="X22" s="128">
        <v>1.2</v>
      </c>
      <c r="Y22" s="128">
        <v>1.2</v>
      </c>
      <c r="Z22" s="128">
        <v>1.2</v>
      </c>
      <c r="AA22" s="128">
        <v>1.2</v>
      </c>
      <c r="AB22" s="128">
        <v>1.2</v>
      </c>
      <c r="AC22" s="128">
        <v>1.21</v>
      </c>
      <c r="AD22" s="128">
        <v>1.21</v>
      </c>
      <c r="AE22" s="128">
        <v>1.21</v>
      </c>
      <c r="AF22" s="128">
        <v>1.21</v>
      </c>
      <c r="AG22" s="128">
        <v>1.22</v>
      </c>
      <c r="AH22" s="128">
        <v>1.22</v>
      </c>
      <c r="AI22" s="128">
        <v>1.22</v>
      </c>
      <c r="AJ22" s="128">
        <v>1.22</v>
      </c>
      <c r="AK22" s="128">
        <v>1.23</v>
      </c>
      <c r="AL22" s="128">
        <v>1.23</v>
      </c>
      <c r="AM22" s="128">
        <v>1.23</v>
      </c>
      <c r="AN22" s="128">
        <v>1.23</v>
      </c>
      <c r="AO22" s="128">
        <v>1.24</v>
      </c>
      <c r="AP22" s="128">
        <v>1.24</v>
      </c>
      <c r="AQ22" s="128">
        <v>1.24</v>
      </c>
      <c r="AR22" s="128">
        <v>1.25</v>
      </c>
      <c r="AS22" s="128">
        <v>1.25</v>
      </c>
      <c r="AT22" s="128">
        <v>1.25</v>
      </c>
      <c r="AU22" s="128">
        <v>1.26</v>
      </c>
      <c r="AV22" s="128">
        <v>1.26</v>
      </c>
      <c r="AW22" s="128">
        <v>1.26</v>
      </c>
      <c r="AX22" s="128">
        <v>1.27</v>
      </c>
      <c r="AY22" s="128">
        <v>1.27</v>
      </c>
      <c r="AZ22" s="128">
        <v>1.28</v>
      </c>
      <c r="BA22" s="128">
        <v>1.27</v>
      </c>
      <c r="BB22" s="128">
        <v>1.27</v>
      </c>
      <c r="BC22" s="128">
        <v>1.26</v>
      </c>
      <c r="BD22" s="128">
        <v>1.26</v>
      </c>
      <c r="BE22" s="128">
        <v>1.26</v>
      </c>
      <c r="BF22" s="128">
        <v>1.25</v>
      </c>
      <c r="BG22" s="128">
        <v>1.25</v>
      </c>
      <c r="BH22" s="128">
        <v>1.25</v>
      </c>
      <c r="BI22" s="128">
        <v>1.24</v>
      </c>
      <c r="BJ22" s="128">
        <v>1.24</v>
      </c>
      <c r="BK22" s="128">
        <v>1.24</v>
      </c>
      <c r="BL22" s="128">
        <v>1.23</v>
      </c>
      <c r="BM22" s="128">
        <v>1.23</v>
      </c>
      <c r="BN22" s="128">
        <v>1.23</v>
      </c>
      <c r="BO22" s="128">
        <v>1.23</v>
      </c>
      <c r="BP22" s="128">
        <v>1.22</v>
      </c>
      <c r="BQ22" s="128">
        <v>1.22</v>
      </c>
      <c r="BR22" s="128">
        <v>1.22</v>
      </c>
      <c r="BS22" s="128">
        <v>1.22</v>
      </c>
      <c r="BT22" s="128">
        <v>1.21</v>
      </c>
      <c r="BU22" s="128">
        <v>1.21</v>
      </c>
      <c r="BV22" s="128">
        <v>1.21</v>
      </c>
      <c r="BW22" s="128">
        <v>1.21</v>
      </c>
      <c r="BX22" s="128">
        <v>1.2</v>
      </c>
      <c r="BY22" s="128">
        <v>1.2</v>
      </c>
      <c r="BZ22" s="128">
        <v>1.2</v>
      </c>
      <c r="CA22" s="128">
        <v>1.2</v>
      </c>
      <c r="CB22" s="128">
        <v>1.2</v>
      </c>
      <c r="CC22" s="128">
        <v>1.19</v>
      </c>
      <c r="CD22" s="128">
        <v>1.19</v>
      </c>
      <c r="CE22" s="128">
        <v>1.19</v>
      </c>
      <c r="CF22" s="128">
        <v>1.19</v>
      </c>
      <c r="CG22" s="128">
        <v>1.19</v>
      </c>
      <c r="CH22" s="128">
        <v>1.19</v>
      </c>
      <c r="CI22" s="128">
        <v>1.19</v>
      </c>
      <c r="CJ22" s="128">
        <v>1.19</v>
      </c>
      <c r="CK22" s="128">
        <v>1.19</v>
      </c>
      <c r="CL22" s="128">
        <v>1.19</v>
      </c>
      <c r="CM22" s="128">
        <v>1.19</v>
      </c>
      <c r="CN22" s="128">
        <v>1.19</v>
      </c>
      <c r="CO22" s="128">
        <v>1.19</v>
      </c>
      <c r="CP22" s="128">
        <v>1.19</v>
      </c>
      <c r="CQ22" s="128">
        <v>1.19</v>
      </c>
      <c r="CR22" s="128">
        <v>1.19</v>
      </c>
      <c r="CS22" s="128">
        <v>1.19</v>
      </c>
      <c r="CT22" s="128">
        <v>1.19</v>
      </c>
      <c r="CU22" s="128">
        <v>1.19</v>
      </c>
      <c r="CV22" s="128">
        <v>1.19</v>
      </c>
      <c r="CW22" s="128">
        <v>1.19</v>
      </c>
      <c r="CX22" s="128">
        <v>1.19</v>
      </c>
      <c r="CZ22" s="126">
        <f>SUMIF(MatrixF3[[1]:[2]],MatrixF3[[#This Row],[Столбец1]])/MatrixF3[[#This Row],[Столбец1]]</f>
        <v>100.99999999999987</v>
      </c>
    </row>
    <row r="23" spans="1:104" ht="21" customHeight="1" x14ac:dyDescent="0.25">
      <c r="A23" s="127">
        <v>1.2</v>
      </c>
      <c r="B23" s="128">
        <v>1.2</v>
      </c>
      <c r="C23" s="128">
        <v>1.2</v>
      </c>
      <c r="D23" s="128">
        <v>1.2</v>
      </c>
      <c r="E23" s="128">
        <v>1.2</v>
      </c>
      <c r="F23" s="128">
        <v>1.2</v>
      </c>
      <c r="G23" s="128">
        <v>1.2</v>
      </c>
      <c r="H23" s="128">
        <v>1.2</v>
      </c>
      <c r="I23" s="128">
        <v>1.2</v>
      </c>
      <c r="J23" s="128">
        <v>1.2</v>
      </c>
      <c r="K23" s="128">
        <v>1.2</v>
      </c>
      <c r="L23" s="128">
        <v>1.2</v>
      </c>
      <c r="M23" s="128">
        <v>1.2</v>
      </c>
      <c r="N23" s="128">
        <v>1.2</v>
      </c>
      <c r="O23" s="128">
        <v>1.2</v>
      </c>
      <c r="P23" s="128">
        <v>1.2</v>
      </c>
      <c r="Q23" s="128">
        <v>1.2</v>
      </c>
      <c r="R23" s="128">
        <v>1.2</v>
      </c>
      <c r="S23" s="128">
        <v>1.2</v>
      </c>
      <c r="T23" s="128">
        <v>1.2</v>
      </c>
      <c r="U23" s="128">
        <v>1.2</v>
      </c>
      <c r="V23" s="128">
        <v>1.2</v>
      </c>
      <c r="W23" s="128">
        <v>1.2</v>
      </c>
      <c r="X23" s="128">
        <v>1.2</v>
      </c>
      <c r="Y23" s="128">
        <v>1.21</v>
      </c>
      <c r="Z23" s="128">
        <v>1.21</v>
      </c>
      <c r="AA23" s="128">
        <v>1.21</v>
      </c>
      <c r="AB23" s="128">
        <v>1.21</v>
      </c>
      <c r="AC23" s="128">
        <v>1.22</v>
      </c>
      <c r="AD23" s="128">
        <v>1.22</v>
      </c>
      <c r="AE23" s="128">
        <v>1.22</v>
      </c>
      <c r="AF23" s="128">
        <v>1.22</v>
      </c>
      <c r="AG23" s="128">
        <v>1.22</v>
      </c>
      <c r="AH23" s="128">
        <v>1.23</v>
      </c>
      <c r="AI23" s="128">
        <v>1.23</v>
      </c>
      <c r="AJ23" s="128">
        <v>1.23</v>
      </c>
      <c r="AK23" s="128">
        <v>1.24</v>
      </c>
      <c r="AL23" s="128">
        <v>1.24</v>
      </c>
      <c r="AM23" s="128">
        <v>1.24</v>
      </c>
      <c r="AN23" s="128">
        <v>1.24</v>
      </c>
      <c r="AO23" s="128">
        <v>1.25</v>
      </c>
      <c r="AP23" s="128">
        <v>1.25</v>
      </c>
      <c r="AQ23" s="128">
        <v>1.25</v>
      </c>
      <c r="AR23" s="128">
        <v>1.26</v>
      </c>
      <c r="AS23" s="128">
        <v>1.26</v>
      </c>
      <c r="AT23" s="128">
        <v>1.26</v>
      </c>
      <c r="AU23" s="128">
        <v>1.27</v>
      </c>
      <c r="AV23" s="128">
        <v>1.27</v>
      </c>
      <c r="AW23" s="128">
        <v>1.27</v>
      </c>
      <c r="AX23" s="128">
        <v>1.28</v>
      </c>
      <c r="AY23" s="128">
        <v>1.28</v>
      </c>
      <c r="AZ23" s="128">
        <v>1.29</v>
      </c>
      <c r="BA23" s="128">
        <v>1.28</v>
      </c>
      <c r="BB23" s="128">
        <v>1.28</v>
      </c>
      <c r="BC23" s="128">
        <v>1.27</v>
      </c>
      <c r="BD23" s="128">
        <v>1.27</v>
      </c>
      <c r="BE23" s="128">
        <v>1.27</v>
      </c>
      <c r="BF23" s="128">
        <v>1.26</v>
      </c>
      <c r="BG23" s="128">
        <v>1.26</v>
      </c>
      <c r="BH23" s="128">
        <v>1.26</v>
      </c>
      <c r="BI23" s="128">
        <v>1.25</v>
      </c>
      <c r="BJ23" s="128">
        <v>1.25</v>
      </c>
      <c r="BK23" s="128">
        <v>1.25</v>
      </c>
      <c r="BL23" s="128">
        <v>1.24</v>
      </c>
      <c r="BM23" s="128">
        <v>1.24</v>
      </c>
      <c r="BN23" s="128">
        <v>1.24</v>
      </c>
      <c r="BO23" s="128">
        <v>1.24</v>
      </c>
      <c r="BP23" s="128">
        <v>1.23</v>
      </c>
      <c r="BQ23" s="128">
        <v>1.23</v>
      </c>
      <c r="BR23" s="128">
        <v>1.23</v>
      </c>
      <c r="BS23" s="128">
        <v>1.22</v>
      </c>
      <c r="BT23" s="128">
        <v>1.22</v>
      </c>
      <c r="BU23" s="128">
        <v>1.22</v>
      </c>
      <c r="BV23" s="128">
        <v>1.22</v>
      </c>
      <c r="BW23" s="128">
        <v>1.22</v>
      </c>
      <c r="BX23" s="128">
        <v>1.21</v>
      </c>
      <c r="BY23" s="128">
        <v>1.21</v>
      </c>
      <c r="BZ23" s="128">
        <v>1.21</v>
      </c>
      <c r="CA23" s="128">
        <v>1.21</v>
      </c>
      <c r="CB23" s="128">
        <v>1.2</v>
      </c>
      <c r="CC23" s="128">
        <v>1.2</v>
      </c>
      <c r="CD23" s="128">
        <v>1.2</v>
      </c>
      <c r="CE23" s="128">
        <v>1.2</v>
      </c>
      <c r="CF23" s="128">
        <v>1.2</v>
      </c>
      <c r="CG23" s="128">
        <v>1.2</v>
      </c>
      <c r="CH23" s="128">
        <v>1.2</v>
      </c>
      <c r="CI23" s="128">
        <v>1.2</v>
      </c>
      <c r="CJ23" s="128">
        <v>1.2</v>
      </c>
      <c r="CK23" s="128">
        <v>1.2</v>
      </c>
      <c r="CL23" s="128">
        <v>1.2</v>
      </c>
      <c r="CM23" s="128">
        <v>1.2</v>
      </c>
      <c r="CN23" s="128">
        <v>1.2</v>
      </c>
      <c r="CO23" s="128">
        <v>1.2</v>
      </c>
      <c r="CP23" s="128">
        <v>1.2</v>
      </c>
      <c r="CQ23" s="128">
        <v>1.2</v>
      </c>
      <c r="CR23" s="128">
        <v>1.2</v>
      </c>
      <c r="CS23" s="128">
        <v>1.2</v>
      </c>
      <c r="CT23" s="128">
        <v>1.2</v>
      </c>
      <c r="CU23" s="128">
        <v>1.2</v>
      </c>
      <c r="CV23" s="128">
        <v>1.2</v>
      </c>
      <c r="CW23" s="128">
        <v>1.2</v>
      </c>
      <c r="CX23" s="128">
        <v>1.2</v>
      </c>
      <c r="CZ23" s="126">
        <f>SUMIF(MatrixF3[[1]:[2]],MatrixF3[[#This Row],[Столбец1]])/MatrixF3[[#This Row],[Столбец1]]</f>
        <v>102.00000000000017</v>
      </c>
    </row>
    <row r="24" spans="1:104" ht="21" customHeight="1" x14ac:dyDescent="0.25">
      <c r="A24" s="127">
        <v>1.21</v>
      </c>
      <c r="B24" s="128">
        <v>1.21</v>
      </c>
      <c r="C24" s="128">
        <v>1.21</v>
      </c>
      <c r="D24" s="128">
        <v>1.21</v>
      </c>
      <c r="E24" s="128">
        <v>1.21</v>
      </c>
      <c r="F24" s="128">
        <v>1.21</v>
      </c>
      <c r="G24" s="128">
        <v>1.21</v>
      </c>
      <c r="H24" s="128">
        <v>1.21</v>
      </c>
      <c r="I24" s="128">
        <v>1.21</v>
      </c>
      <c r="J24" s="128">
        <v>1.21</v>
      </c>
      <c r="K24" s="128">
        <v>1.21</v>
      </c>
      <c r="L24" s="128">
        <v>1.21</v>
      </c>
      <c r="M24" s="128">
        <v>1.21</v>
      </c>
      <c r="N24" s="128">
        <v>1.21</v>
      </c>
      <c r="O24" s="128">
        <v>1.21</v>
      </c>
      <c r="P24" s="128">
        <v>1.21</v>
      </c>
      <c r="Q24" s="128">
        <v>1.21</v>
      </c>
      <c r="R24" s="128">
        <v>1.21</v>
      </c>
      <c r="S24" s="128">
        <v>1.21</v>
      </c>
      <c r="T24" s="128">
        <v>1.21</v>
      </c>
      <c r="U24" s="128">
        <v>1.21</v>
      </c>
      <c r="V24" s="128">
        <v>1.21</v>
      </c>
      <c r="W24" s="128">
        <v>1.21</v>
      </c>
      <c r="X24" s="128">
        <v>1.21</v>
      </c>
      <c r="Y24" s="128">
        <v>1.21</v>
      </c>
      <c r="Z24" s="128">
        <v>1.22</v>
      </c>
      <c r="AA24" s="128">
        <v>1.22</v>
      </c>
      <c r="AB24" s="128">
        <v>1.22</v>
      </c>
      <c r="AC24" s="128">
        <v>1.22</v>
      </c>
      <c r="AD24" s="128">
        <v>1.23</v>
      </c>
      <c r="AE24" s="128">
        <v>1.23</v>
      </c>
      <c r="AF24" s="128">
        <v>1.23</v>
      </c>
      <c r="AG24" s="128">
        <v>1.23</v>
      </c>
      <c r="AH24" s="128">
        <v>1.24</v>
      </c>
      <c r="AI24" s="128">
        <v>1.24</v>
      </c>
      <c r="AJ24" s="128">
        <v>1.24</v>
      </c>
      <c r="AK24" s="128">
        <v>1.24</v>
      </c>
      <c r="AL24" s="128">
        <v>1.25</v>
      </c>
      <c r="AM24" s="128">
        <v>1.25</v>
      </c>
      <c r="AN24" s="128">
        <v>1.25</v>
      </c>
      <c r="AO24" s="128">
        <v>1.26</v>
      </c>
      <c r="AP24" s="128">
        <v>1.26</v>
      </c>
      <c r="AQ24" s="128">
        <v>1.26</v>
      </c>
      <c r="AR24" s="128">
        <v>1.27</v>
      </c>
      <c r="AS24" s="128">
        <v>1.27</v>
      </c>
      <c r="AT24" s="128">
        <v>1.27</v>
      </c>
      <c r="AU24" s="128">
        <v>1.28</v>
      </c>
      <c r="AV24" s="128">
        <v>1.28</v>
      </c>
      <c r="AW24" s="128">
        <v>1.28</v>
      </c>
      <c r="AX24" s="128">
        <v>1.29</v>
      </c>
      <c r="AY24" s="128">
        <v>1.29</v>
      </c>
      <c r="AZ24" s="128">
        <v>1.3</v>
      </c>
      <c r="BA24" s="128">
        <v>1.29</v>
      </c>
      <c r="BB24" s="128">
        <v>1.29</v>
      </c>
      <c r="BC24" s="128">
        <v>1.28</v>
      </c>
      <c r="BD24" s="128">
        <v>1.28</v>
      </c>
      <c r="BE24" s="128">
        <v>1.28</v>
      </c>
      <c r="BF24" s="128">
        <v>1.27</v>
      </c>
      <c r="BG24" s="128">
        <v>1.27</v>
      </c>
      <c r="BH24" s="128">
        <v>1.27</v>
      </c>
      <c r="BI24" s="128">
        <v>1.26</v>
      </c>
      <c r="BJ24" s="128">
        <v>1.26</v>
      </c>
      <c r="BK24" s="128">
        <v>1.26</v>
      </c>
      <c r="BL24" s="128">
        <v>1.25</v>
      </c>
      <c r="BM24" s="128">
        <v>1.25</v>
      </c>
      <c r="BN24" s="128">
        <v>1.25</v>
      </c>
      <c r="BO24" s="128">
        <v>1.24</v>
      </c>
      <c r="BP24" s="128">
        <v>1.24</v>
      </c>
      <c r="BQ24" s="128">
        <v>1.24</v>
      </c>
      <c r="BR24" s="128">
        <v>1.24</v>
      </c>
      <c r="BS24" s="128">
        <v>1.23</v>
      </c>
      <c r="BT24" s="128">
        <v>1.23</v>
      </c>
      <c r="BU24" s="128">
        <v>1.23</v>
      </c>
      <c r="BV24" s="128">
        <v>1.23</v>
      </c>
      <c r="BW24" s="128">
        <v>1.22</v>
      </c>
      <c r="BX24" s="128">
        <v>1.22</v>
      </c>
      <c r="BY24" s="128">
        <v>1.22</v>
      </c>
      <c r="BZ24" s="128">
        <v>1.22</v>
      </c>
      <c r="CA24" s="128">
        <v>1.21</v>
      </c>
      <c r="CB24" s="128">
        <v>1.21</v>
      </c>
      <c r="CC24" s="128">
        <v>1.21</v>
      </c>
      <c r="CD24" s="128">
        <v>1.21</v>
      </c>
      <c r="CE24" s="128">
        <v>1.21</v>
      </c>
      <c r="CF24" s="128">
        <v>1.21</v>
      </c>
      <c r="CG24" s="128">
        <v>1.21</v>
      </c>
      <c r="CH24" s="128">
        <v>1.21</v>
      </c>
      <c r="CI24" s="128">
        <v>1.21</v>
      </c>
      <c r="CJ24" s="128">
        <v>1.21</v>
      </c>
      <c r="CK24" s="128">
        <v>1.21</v>
      </c>
      <c r="CL24" s="128">
        <v>1.21</v>
      </c>
      <c r="CM24" s="128">
        <v>1.21</v>
      </c>
      <c r="CN24" s="128">
        <v>1.21</v>
      </c>
      <c r="CO24" s="128">
        <v>1.21</v>
      </c>
      <c r="CP24" s="128">
        <v>1.21</v>
      </c>
      <c r="CQ24" s="128">
        <v>1.21</v>
      </c>
      <c r="CR24" s="128">
        <v>1.21</v>
      </c>
      <c r="CS24" s="128">
        <v>1.21</v>
      </c>
      <c r="CT24" s="128">
        <v>1.21</v>
      </c>
      <c r="CU24" s="128">
        <v>1.21</v>
      </c>
      <c r="CV24" s="128">
        <v>1.21</v>
      </c>
      <c r="CW24" s="128">
        <v>1.21</v>
      </c>
      <c r="CX24" s="128">
        <v>1.21</v>
      </c>
      <c r="CZ24" s="126">
        <f>SUMIF(MatrixF3[[1]:[2]],MatrixF3[[#This Row],[Столбец1]])/MatrixF3[[#This Row],[Столбец1]]</f>
        <v>100.99999999999979</v>
      </c>
    </row>
    <row r="25" spans="1:104" ht="21" customHeight="1" x14ac:dyDescent="0.25">
      <c r="A25" s="127">
        <v>1.22</v>
      </c>
      <c r="B25" s="128">
        <v>1.22</v>
      </c>
      <c r="C25" s="128">
        <v>1.22</v>
      </c>
      <c r="D25" s="128">
        <v>1.22</v>
      </c>
      <c r="E25" s="128">
        <v>1.22</v>
      </c>
      <c r="F25" s="128">
        <v>1.22</v>
      </c>
      <c r="G25" s="128">
        <v>1.22</v>
      </c>
      <c r="H25" s="128">
        <v>1.22</v>
      </c>
      <c r="I25" s="128">
        <v>1.22</v>
      </c>
      <c r="J25" s="128">
        <v>1.22</v>
      </c>
      <c r="K25" s="128">
        <v>1.22</v>
      </c>
      <c r="L25" s="128">
        <v>1.22</v>
      </c>
      <c r="M25" s="128">
        <v>1.22</v>
      </c>
      <c r="N25" s="128">
        <v>1.22</v>
      </c>
      <c r="O25" s="128">
        <v>1.22</v>
      </c>
      <c r="P25" s="128">
        <v>1.22</v>
      </c>
      <c r="Q25" s="128">
        <v>1.22</v>
      </c>
      <c r="R25" s="128">
        <v>1.22</v>
      </c>
      <c r="S25" s="128">
        <v>1.22</v>
      </c>
      <c r="T25" s="128">
        <v>1.22</v>
      </c>
      <c r="U25" s="128">
        <v>1.22</v>
      </c>
      <c r="V25" s="128">
        <v>1.22</v>
      </c>
      <c r="W25" s="128">
        <v>1.22</v>
      </c>
      <c r="X25" s="128">
        <v>1.22</v>
      </c>
      <c r="Y25" s="128">
        <v>1.22</v>
      </c>
      <c r="Z25" s="128">
        <v>1.22</v>
      </c>
      <c r="AA25" s="128">
        <v>1.23</v>
      </c>
      <c r="AB25" s="128">
        <v>1.23</v>
      </c>
      <c r="AC25" s="128">
        <v>1.23</v>
      </c>
      <c r="AD25" s="128">
        <v>1.23</v>
      </c>
      <c r="AE25" s="128">
        <v>1.24</v>
      </c>
      <c r="AF25" s="128">
        <v>1.24</v>
      </c>
      <c r="AG25" s="128">
        <v>1.24</v>
      </c>
      <c r="AH25" s="128">
        <v>1.24</v>
      </c>
      <c r="AI25" s="128">
        <v>1.25</v>
      </c>
      <c r="AJ25" s="128">
        <v>1.25</v>
      </c>
      <c r="AK25" s="128">
        <v>1.25</v>
      </c>
      <c r="AL25" s="128">
        <v>1.26</v>
      </c>
      <c r="AM25" s="128">
        <v>1.26</v>
      </c>
      <c r="AN25" s="128">
        <v>1.26</v>
      </c>
      <c r="AO25" s="128">
        <v>1.27</v>
      </c>
      <c r="AP25" s="128">
        <v>1.27</v>
      </c>
      <c r="AQ25" s="128">
        <v>1.27</v>
      </c>
      <c r="AR25" s="128">
        <v>1.28</v>
      </c>
      <c r="AS25" s="128">
        <v>1.28</v>
      </c>
      <c r="AT25" s="128">
        <v>1.28</v>
      </c>
      <c r="AU25" s="128">
        <v>1.29</v>
      </c>
      <c r="AV25" s="128">
        <v>1.29</v>
      </c>
      <c r="AW25" s="128">
        <v>1.29</v>
      </c>
      <c r="AX25" s="128">
        <v>1.3</v>
      </c>
      <c r="AY25" s="128">
        <v>1.3</v>
      </c>
      <c r="AZ25" s="128">
        <v>1.31</v>
      </c>
      <c r="BA25" s="128">
        <v>1.3</v>
      </c>
      <c r="BB25" s="128">
        <v>1.3</v>
      </c>
      <c r="BC25" s="128">
        <v>1.29</v>
      </c>
      <c r="BD25" s="128">
        <v>1.29</v>
      </c>
      <c r="BE25" s="128">
        <v>1.29</v>
      </c>
      <c r="BF25" s="128">
        <v>1.28</v>
      </c>
      <c r="BG25" s="128">
        <v>1.28</v>
      </c>
      <c r="BH25" s="128">
        <v>1.28</v>
      </c>
      <c r="BI25" s="128">
        <v>1.27</v>
      </c>
      <c r="BJ25" s="128">
        <v>1.27</v>
      </c>
      <c r="BK25" s="128">
        <v>1.27</v>
      </c>
      <c r="BL25" s="128">
        <v>1.26</v>
      </c>
      <c r="BM25" s="128">
        <v>1.26</v>
      </c>
      <c r="BN25" s="128">
        <v>1.26</v>
      </c>
      <c r="BO25" s="128">
        <v>1.25</v>
      </c>
      <c r="BP25" s="128">
        <v>1.25</v>
      </c>
      <c r="BQ25" s="128">
        <v>1.25</v>
      </c>
      <c r="BR25" s="128">
        <v>1.24</v>
      </c>
      <c r="BS25" s="128">
        <v>1.24</v>
      </c>
      <c r="BT25" s="128">
        <v>1.24</v>
      </c>
      <c r="BU25" s="128">
        <v>1.24</v>
      </c>
      <c r="BV25" s="128">
        <v>1.23</v>
      </c>
      <c r="BW25" s="128">
        <v>1.23</v>
      </c>
      <c r="BX25" s="128">
        <v>1.23</v>
      </c>
      <c r="BY25" s="128">
        <v>1.23</v>
      </c>
      <c r="BZ25" s="128">
        <v>1.22</v>
      </c>
      <c r="CA25" s="128">
        <v>1.22</v>
      </c>
      <c r="CB25" s="128">
        <v>1.22</v>
      </c>
      <c r="CC25" s="128">
        <v>1.22</v>
      </c>
      <c r="CD25" s="128">
        <v>1.22</v>
      </c>
      <c r="CE25" s="128">
        <v>1.22</v>
      </c>
      <c r="CF25" s="128">
        <v>1.22</v>
      </c>
      <c r="CG25" s="128">
        <v>1.22</v>
      </c>
      <c r="CH25" s="128">
        <v>1.22</v>
      </c>
      <c r="CI25" s="128">
        <v>1.22</v>
      </c>
      <c r="CJ25" s="128">
        <v>1.22</v>
      </c>
      <c r="CK25" s="128">
        <v>1.22</v>
      </c>
      <c r="CL25" s="128">
        <v>1.22</v>
      </c>
      <c r="CM25" s="128">
        <v>1.22</v>
      </c>
      <c r="CN25" s="128">
        <v>1.22</v>
      </c>
      <c r="CO25" s="128">
        <v>1.22</v>
      </c>
      <c r="CP25" s="128">
        <v>1.22</v>
      </c>
      <c r="CQ25" s="128">
        <v>1.22</v>
      </c>
      <c r="CR25" s="128">
        <v>1.22</v>
      </c>
      <c r="CS25" s="128">
        <v>1.22</v>
      </c>
      <c r="CT25" s="128">
        <v>1.22</v>
      </c>
      <c r="CU25" s="128">
        <v>1.22</v>
      </c>
      <c r="CV25" s="128">
        <v>1.22</v>
      </c>
      <c r="CW25" s="128">
        <v>1.22</v>
      </c>
      <c r="CX25" s="128">
        <v>1.22</v>
      </c>
      <c r="CZ25" s="126">
        <f>SUMIF(MatrixF3[[1]:[2]],MatrixF3[[#This Row],[Столбец1]])/MatrixF3[[#This Row],[Столбец1]]</f>
        <v>106.99999999999993</v>
      </c>
    </row>
    <row r="26" spans="1:104" ht="21" customHeight="1" x14ac:dyDescent="0.25">
      <c r="A26" s="127">
        <v>1.23</v>
      </c>
      <c r="B26" s="128">
        <v>1.23</v>
      </c>
      <c r="C26" s="128">
        <v>1.23</v>
      </c>
      <c r="D26" s="128">
        <v>1.23</v>
      </c>
      <c r="E26" s="128">
        <v>1.23</v>
      </c>
      <c r="F26" s="128">
        <v>1.23</v>
      </c>
      <c r="G26" s="128">
        <v>1.23</v>
      </c>
      <c r="H26" s="128">
        <v>1.23</v>
      </c>
      <c r="I26" s="128">
        <v>1.23</v>
      </c>
      <c r="J26" s="128">
        <v>1.23</v>
      </c>
      <c r="K26" s="128">
        <v>1.23</v>
      </c>
      <c r="L26" s="128">
        <v>1.23</v>
      </c>
      <c r="M26" s="128">
        <v>1.23</v>
      </c>
      <c r="N26" s="128">
        <v>1.23</v>
      </c>
      <c r="O26" s="128">
        <v>1.23</v>
      </c>
      <c r="P26" s="128">
        <v>1.23</v>
      </c>
      <c r="Q26" s="128">
        <v>1.23</v>
      </c>
      <c r="R26" s="128">
        <v>1.23</v>
      </c>
      <c r="S26" s="128">
        <v>1.23</v>
      </c>
      <c r="T26" s="128">
        <v>1.23</v>
      </c>
      <c r="U26" s="128">
        <v>1.23</v>
      </c>
      <c r="V26" s="128">
        <v>1.23</v>
      </c>
      <c r="W26" s="128">
        <v>1.23</v>
      </c>
      <c r="X26" s="128">
        <v>1.23</v>
      </c>
      <c r="Y26" s="128">
        <v>1.23</v>
      </c>
      <c r="Z26" s="128">
        <v>1.23</v>
      </c>
      <c r="AA26" s="128">
        <v>1.23</v>
      </c>
      <c r="AB26" s="128">
        <v>1.24</v>
      </c>
      <c r="AC26" s="128">
        <v>1.24</v>
      </c>
      <c r="AD26" s="128">
        <v>1.24</v>
      </c>
      <c r="AE26" s="128">
        <v>1.24</v>
      </c>
      <c r="AF26" s="128">
        <v>1.25</v>
      </c>
      <c r="AG26" s="128">
        <v>1.25</v>
      </c>
      <c r="AH26" s="128">
        <v>1.25</v>
      </c>
      <c r="AI26" s="128">
        <v>1.26</v>
      </c>
      <c r="AJ26" s="128">
        <v>1.26</v>
      </c>
      <c r="AK26" s="128">
        <v>1.26</v>
      </c>
      <c r="AL26" s="128">
        <v>1.26</v>
      </c>
      <c r="AM26" s="128">
        <v>1.27</v>
      </c>
      <c r="AN26" s="128">
        <v>1.27</v>
      </c>
      <c r="AO26" s="128">
        <v>1.27</v>
      </c>
      <c r="AP26" s="128">
        <v>1.28</v>
      </c>
      <c r="AQ26" s="128">
        <v>1.28</v>
      </c>
      <c r="AR26" s="128">
        <v>1.28</v>
      </c>
      <c r="AS26" s="128">
        <v>1.29</v>
      </c>
      <c r="AT26" s="128">
        <v>1.29</v>
      </c>
      <c r="AU26" s="128">
        <v>1.29</v>
      </c>
      <c r="AV26" s="128">
        <v>1.3</v>
      </c>
      <c r="AW26" s="128">
        <v>1.3</v>
      </c>
      <c r="AX26" s="128">
        <v>1.31</v>
      </c>
      <c r="AY26" s="128">
        <v>1.31</v>
      </c>
      <c r="AZ26" s="128">
        <v>1.32</v>
      </c>
      <c r="BA26" s="128">
        <v>1.31</v>
      </c>
      <c r="BB26" s="128">
        <v>1.31</v>
      </c>
      <c r="BC26" s="128">
        <v>1.3</v>
      </c>
      <c r="BD26" s="128">
        <v>1.3</v>
      </c>
      <c r="BE26" s="128">
        <v>1.29</v>
      </c>
      <c r="BF26" s="128">
        <v>1.29</v>
      </c>
      <c r="BG26" s="128">
        <v>1.29</v>
      </c>
      <c r="BH26" s="128">
        <v>1.28</v>
      </c>
      <c r="BI26" s="128">
        <v>1.28</v>
      </c>
      <c r="BJ26" s="128">
        <v>1.28</v>
      </c>
      <c r="BK26" s="128">
        <v>1.27</v>
      </c>
      <c r="BL26" s="128">
        <v>1.27</v>
      </c>
      <c r="BM26" s="128">
        <v>1.27</v>
      </c>
      <c r="BN26" s="128">
        <v>1.26</v>
      </c>
      <c r="BO26" s="128">
        <v>1.26</v>
      </c>
      <c r="BP26" s="128">
        <v>1.26</v>
      </c>
      <c r="BQ26" s="128">
        <v>1.26</v>
      </c>
      <c r="BR26" s="128">
        <v>1.25</v>
      </c>
      <c r="BS26" s="128">
        <v>1.25</v>
      </c>
      <c r="BT26" s="128">
        <v>1.25</v>
      </c>
      <c r="BU26" s="128">
        <v>1.24</v>
      </c>
      <c r="BV26" s="128">
        <v>1.24</v>
      </c>
      <c r="BW26" s="128">
        <v>1.24</v>
      </c>
      <c r="BX26" s="128">
        <v>1.24</v>
      </c>
      <c r="BY26" s="128">
        <v>1.23</v>
      </c>
      <c r="BZ26" s="128">
        <v>1.23</v>
      </c>
      <c r="CA26" s="128">
        <v>1.23</v>
      </c>
      <c r="CB26" s="128">
        <v>1.23</v>
      </c>
      <c r="CC26" s="128">
        <v>1.23</v>
      </c>
      <c r="CD26" s="128">
        <v>1.23</v>
      </c>
      <c r="CE26" s="128">
        <v>1.23</v>
      </c>
      <c r="CF26" s="128">
        <v>1.23</v>
      </c>
      <c r="CG26" s="128">
        <v>1.23</v>
      </c>
      <c r="CH26" s="128">
        <v>1.23</v>
      </c>
      <c r="CI26" s="128">
        <v>1.23</v>
      </c>
      <c r="CJ26" s="128">
        <v>1.23</v>
      </c>
      <c r="CK26" s="128">
        <v>1.23</v>
      </c>
      <c r="CL26" s="128">
        <v>1.23</v>
      </c>
      <c r="CM26" s="128">
        <v>1.23</v>
      </c>
      <c r="CN26" s="128">
        <v>1.23</v>
      </c>
      <c r="CO26" s="128">
        <v>1.23</v>
      </c>
      <c r="CP26" s="128">
        <v>1.23</v>
      </c>
      <c r="CQ26" s="128">
        <v>1.23</v>
      </c>
      <c r="CR26" s="128">
        <v>1.23</v>
      </c>
      <c r="CS26" s="128">
        <v>1.23</v>
      </c>
      <c r="CT26" s="128">
        <v>1.23</v>
      </c>
      <c r="CU26" s="128">
        <v>1.23</v>
      </c>
      <c r="CV26" s="128">
        <v>1.23</v>
      </c>
      <c r="CW26" s="128">
        <v>1.23</v>
      </c>
      <c r="CX26" s="128">
        <v>1.23</v>
      </c>
      <c r="CZ26" s="126">
        <f>SUMIF(MatrixF3[[1]:[2]],MatrixF3[[#This Row],[Столбец1]])/MatrixF3[[#This Row],[Столбец1]]</f>
        <v>103.0000000000001</v>
      </c>
    </row>
    <row r="27" spans="1:104" ht="21" customHeight="1" x14ac:dyDescent="0.25">
      <c r="A27" s="127">
        <v>1.24</v>
      </c>
      <c r="B27" s="128">
        <v>1.24</v>
      </c>
      <c r="C27" s="128">
        <v>1.24</v>
      </c>
      <c r="D27" s="128">
        <v>1.24</v>
      </c>
      <c r="E27" s="128">
        <v>1.24</v>
      </c>
      <c r="F27" s="128">
        <v>1.24</v>
      </c>
      <c r="G27" s="128">
        <v>1.24</v>
      </c>
      <c r="H27" s="128">
        <v>1.24</v>
      </c>
      <c r="I27" s="128">
        <v>1.24</v>
      </c>
      <c r="J27" s="128">
        <v>1.24</v>
      </c>
      <c r="K27" s="128">
        <v>1.24</v>
      </c>
      <c r="L27" s="128">
        <v>1.24</v>
      </c>
      <c r="M27" s="128">
        <v>1.24</v>
      </c>
      <c r="N27" s="128">
        <v>1.24</v>
      </c>
      <c r="O27" s="128">
        <v>1.24</v>
      </c>
      <c r="P27" s="128">
        <v>1.24</v>
      </c>
      <c r="Q27" s="128">
        <v>1.24</v>
      </c>
      <c r="R27" s="128">
        <v>1.24</v>
      </c>
      <c r="S27" s="128">
        <v>1.24</v>
      </c>
      <c r="T27" s="128">
        <v>1.24</v>
      </c>
      <c r="U27" s="128">
        <v>1.24</v>
      </c>
      <c r="V27" s="128">
        <v>1.24</v>
      </c>
      <c r="W27" s="128">
        <v>1.24</v>
      </c>
      <c r="X27" s="128">
        <v>1.24</v>
      </c>
      <c r="Y27" s="128">
        <v>1.24</v>
      </c>
      <c r="Z27" s="128">
        <v>1.24</v>
      </c>
      <c r="AA27" s="128">
        <v>1.24</v>
      </c>
      <c r="AB27" s="128">
        <v>1.24</v>
      </c>
      <c r="AC27" s="128">
        <v>1.25</v>
      </c>
      <c r="AD27" s="128">
        <v>1.25</v>
      </c>
      <c r="AE27" s="128">
        <v>1.25</v>
      </c>
      <c r="AF27" s="128">
        <v>1.26</v>
      </c>
      <c r="AG27" s="128">
        <v>1.26</v>
      </c>
      <c r="AH27" s="128">
        <v>1.26</v>
      </c>
      <c r="AI27" s="128">
        <v>1.26</v>
      </c>
      <c r="AJ27" s="128">
        <v>1.27</v>
      </c>
      <c r="AK27" s="128">
        <v>1.27</v>
      </c>
      <c r="AL27" s="128">
        <v>1.27</v>
      </c>
      <c r="AM27" s="128">
        <v>1.28</v>
      </c>
      <c r="AN27" s="128">
        <v>1.28</v>
      </c>
      <c r="AO27" s="128">
        <v>1.28</v>
      </c>
      <c r="AP27" s="128">
        <v>1.29</v>
      </c>
      <c r="AQ27" s="128">
        <v>1.29</v>
      </c>
      <c r="AR27" s="128">
        <v>1.29</v>
      </c>
      <c r="AS27" s="128">
        <v>1.3</v>
      </c>
      <c r="AT27" s="128">
        <v>1.3</v>
      </c>
      <c r="AU27" s="128">
        <v>1.3</v>
      </c>
      <c r="AV27" s="128">
        <v>1.31</v>
      </c>
      <c r="AW27" s="128">
        <v>1.31</v>
      </c>
      <c r="AX27" s="128">
        <v>1.32</v>
      </c>
      <c r="AY27" s="128">
        <v>1.32</v>
      </c>
      <c r="AZ27" s="128">
        <v>1.32</v>
      </c>
      <c r="BA27" s="128">
        <v>1.32</v>
      </c>
      <c r="BB27" s="128">
        <v>1.32</v>
      </c>
      <c r="BC27" s="128">
        <v>1.31</v>
      </c>
      <c r="BD27" s="128">
        <v>1.31</v>
      </c>
      <c r="BE27" s="128">
        <v>1.3</v>
      </c>
      <c r="BF27" s="128">
        <v>1.3</v>
      </c>
      <c r="BG27" s="128">
        <v>1.3</v>
      </c>
      <c r="BH27" s="128">
        <v>1.29</v>
      </c>
      <c r="BI27" s="128">
        <v>1.29</v>
      </c>
      <c r="BJ27" s="128">
        <v>1.29</v>
      </c>
      <c r="BK27" s="128">
        <v>1.28</v>
      </c>
      <c r="BL27" s="128">
        <v>1.28</v>
      </c>
      <c r="BM27" s="128">
        <v>1.28</v>
      </c>
      <c r="BN27" s="128">
        <v>1.27</v>
      </c>
      <c r="BO27" s="128">
        <v>1.27</v>
      </c>
      <c r="BP27" s="128">
        <v>1.27</v>
      </c>
      <c r="BQ27" s="128">
        <v>1.26</v>
      </c>
      <c r="BR27" s="128">
        <v>1.26</v>
      </c>
      <c r="BS27" s="128">
        <v>1.26</v>
      </c>
      <c r="BT27" s="128">
        <v>1.26</v>
      </c>
      <c r="BU27" s="128">
        <v>1.25</v>
      </c>
      <c r="BV27" s="128">
        <v>1.25</v>
      </c>
      <c r="BW27" s="128">
        <v>1.25</v>
      </c>
      <c r="BX27" s="128">
        <v>1.24</v>
      </c>
      <c r="BY27" s="128">
        <v>1.24</v>
      </c>
      <c r="BZ27" s="128">
        <v>1.24</v>
      </c>
      <c r="CA27" s="128">
        <v>1.24</v>
      </c>
      <c r="CB27" s="128">
        <v>1.24</v>
      </c>
      <c r="CC27" s="128">
        <v>1.24</v>
      </c>
      <c r="CD27" s="128">
        <v>1.24</v>
      </c>
      <c r="CE27" s="128">
        <v>1.24</v>
      </c>
      <c r="CF27" s="128">
        <v>1.24</v>
      </c>
      <c r="CG27" s="128">
        <v>1.24</v>
      </c>
      <c r="CH27" s="128">
        <v>1.24</v>
      </c>
      <c r="CI27" s="128">
        <v>1.24</v>
      </c>
      <c r="CJ27" s="128">
        <v>1.24</v>
      </c>
      <c r="CK27" s="128">
        <v>1.24</v>
      </c>
      <c r="CL27" s="128">
        <v>1.24</v>
      </c>
      <c r="CM27" s="128">
        <v>1.24</v>
      </c>
      <c r="CN27" s="128">
        <v>1.24</v>
      </c>
      <c r="CO27" s="128">
        <v>1.24</v>
      </c>
      <c r="CP27" s="128">
        <v>1.24</v>
      </c>
      <c r="CQ27" s="128">
        <v>1.24</v>
      </c>
      <c r="CR27" s="128">
        <v>1.24</v>
      </c>
      <c r="CS27" s="128">
        <v>1.24</v>
      </c>
      <c r="CT27" s="128">
        <v>1.24</v>
      </c>
      <c r="CU27" s="128">
        <v>1.24</v>
      </c>
      <c r="CV27" s="128">
        <v>1.24</v>
      </c>
      <c r="CW27" s="128">
        <v>1.24</v>
      </c>
      <c r="CX27" s="128">
        <v>1.24</v>
      </c>
      <c r="CZ27" s="126">
        <f>SUMIF(MatrixF3[[1]:[2]],MatrixF3[[#This Row],[Столбец1]])/MatrixF3[[#This Row],[Столбец1]]</f>
        <v>108.99999999999986</v>
      </c>
    </row>
    <row r="28" spans="1:104" ht="21" customHeight="1" x14ac:dyDescent="0.25">
      <c r="A28" s="127">
        <v>1.25</v>
      </c>
      <c r="B28" s="128">
        <v>1.25</v>
      </c>
      <c r="C28" s="128">
        <v>1.25</v>
      </c>
      <c r="D28" s="128">
        <v>1.25</v>
      </c>
      <c r="E28" s="128">
        <v>1.25</v>
      </c>
      <c r="F28" s="128">
        <v>1.25</v>
      </c>
      <c r="G28" s="128">
        <v>1.25</v>
      </c>
      <c r="H28" s="128">
        <v>1.25</v>
      </c>
      <c r="I28" s="128">
        <v>1.25</v>
      </c>
      <c r="J28" s="128">
        <v>1.25</v>
      </c>
      <c r="K28" s="128">
        <v>1.25</v>
      </c>
      <c r="L28" s="128">
        <v>1.25</v>
      </c>
      <c r="M28" s="128">
        <v>1.25</v>
      </c>
      <c r="N28" s="128">
        <v>1.25</v>
      </c>
      <c r="O28" s="128">
        <v>1.25</v>
      </c>
      <c r="P28" s="128">
        <v>1.25</v>
      </c>
      <c r="Q28" s="128">
        <v>1.25</v>
      </c>
      <c r="R28" s="128">
        <v>1.25</v>
      </c>
      <c r="S28" s="128">
        <v>1.25</v>
      </c>
      <c r="T28" s="128">
        <v>1.25</v>
      </c>
      <c r="U28" s="128">
        <v>1.25</v>
      </c>
      <c r="V28" s="128">
        <v>1.25</v>
      </c>
      <c r="W28" s="128">
        <v>1.25</v>
      </c>
      <c r="X28" s="128">
        <v>1.25</v>
      </c>
      <c r="Y28" s="128">
        <v>1.25</v>
      </c>
      <c r="Z28" s="128">
        <v>1.25</v>
      </c>
      <c r="AA28" s="128">
        <v>1.25</v>
      </c>
      <c r="AB28" s="128">
        <v>1.25</v>
      </c>
      <c r="AC28" s="128">
        <v>1.26</v>
      </c>
      <c r="AD28" s="128">
        <v>1.26</v>
      </c>
      <c r="AE28" s="128">
        <v>1.26</v>
      </c>
      <c r="AF28" s="128">
        <v>1.26</v>
      </c>
      <c r="AG28" s="128">
        <v>1.27</v>
      </c>
      <c r="AH28" s="128">
        <v>1.27</v>
      </c>
      <c r="AI28" s="128">
        <v>1.27</v>
      </c>
      <c r="AJ28" s="128">
        <v>1.27</v>
      </c>
      <c r="AK28" s="128">
        <v>1.28</v>
      </c>
      <c r="AL28" s="128">
        <v>1.28</v>
      </c>
      <c r="AM28" s="128">
        <v>1.28</v>
      </c>
      <c r="AN28" s="128">
        <v>1.29</v>
      </c>
      <c r="AO28" s="128">
        <v>1.29</v>
      </c>
      <c r="AP28" s="128">
        <v>1.29</v>
      </c>
      <c r="AQ28" s="128">
        <v>1.3</v>
      </c>
      <c r="AR28" s="128">
        <v>1.3</v>
      </c>
      <c r="AS28" s="128">
        <v>1.3</v>
      </c>
      <c r="AT28" s="128">
        <v>1.31</v>
      </c>
      <c r="AU28" s="128">
        <v>1.31</v>
      </c>
      <c r="AV28" s="128">
        <v>1.32</v>
      </c>
      <c r="AW28" s="128">
        <v>1.32</v>
      </c>
      <c r="AX28" s="128">
        <v>1.32</v>
      </c>
      <c r="AY28" s="128">
        <v>1.33</v>
      </c>
      <c r="AZ28" s="128">
        <v>1.33</v>
      </c>
      <c r="BA28" s="128">
        <v>1.33</v>
      </c>
      <c r="BB28" s="128">
        <v>1.32</v>
      </c>
      <c r="BC28" s="128">
        <v>1.32</v>
      </c>
      <c r="BD28" s="128">
        <v>1.32</v>
      </c>
      <c r="BE28" s="128">
        <v>1.31</v>
      </c>
      <c r="BF28" s="128">
        <v>1.31</v>
      </c>
      <c r="BG28" s="128">
        <v>1.3</v>
      </c>
      <c r="BH28" s="128">
        <v>1.3</v>
      </c>
      <c r="BI28" s="128">
        <v>1.3</v>
      </c>
      <c r="BJ28" s="128">
        <v>1.29</v>
      </c>
      <c r="BK28" s="128">
        <v>1.29</v>
      </c>
      <c r="BL28" s="128">
        <v>1.29</v>
      </c>
      <c r="BM28" s="128">
        <v>1.28</v>
      </c>
      <c r="BN28" s="128">
        <v>1.28</v>
      </c>
      <c r="BO28" s="128">
        <v>1.28</v>
      </c>
      <c r="BP28" s="128">
        <v>1.27</v>
      </c>
      <c r="BQ28" s="128">
        <v>1.27</v>
      </c>
      <c r="BR28" s="128">
        <v>1.27</v>
      </c>
      <c r="BS28" s="128">
        <v>1.27</v>
      </c>
      <c r="BT28" s="128">
        <v>1.26</v>
      </c>
      <c r="BU28" s="128">
        <v>1.26</v>
      </c>
      <c r="BV28" s="128">
        <v>1.26</v>
      </c>
      <c r="BW28" s="128">
        <v>1.26</v>
      </c>
      <c r="BX28" s="128">
        <v>1.25</v>
      </c>
      <c r="BY28" s="128">
        <v>1.25</v>
      </c>
      <c r="BZ28" s="128">
        <v>1.25</v>
      </c>
      <c r="CA28" s="128">
        <v>1.25</v>
      </c>
      <c r="CB28" s="128">
        <v>1.25</v>
      </c>
      <c r="CC28" s="128">
        <v>1.25</v>
      </c>
      <c r="CD28" s="128">
        <v>1.25</v>
      </c>
      <c r="CE28" s="128">
        <v>1.25</v>
      </c>
      <c r="CF28" s="128">
        <v>1.25</v>
      </c>
      <c r="CG28" s="128">
        <v>1.25</v>
      </c>
      <c r="CH28" s="128">
        <v>1.25</v>
      </c>
      <c r="CI28" s="128">
        <v>1.25</v>
      </c>
      <c r="CJ28" s="128">
        <v>1.25</v>
      </c>
      <c r="CK28" s="128">
        <v>1.25</v>
      </c>
      <c r="CL28" s="128">
        <v>1.25</v>
      </c>
      <c r="CM28" s="128">
        <v>1.25</v>
      </c>
      <c r="CN28" s="128">
        <v>1.25</v>
      </c>
      <c r="CO28" s="128">
        <v>1.25</v>
      </c>
      <c r="CP28" s="128">
        <v>1.25</v>
      </c>
      <c r="CQ28" s="128">
        <v>1.25</v>
      </c>
      <c r="CR28" s="128">
        <v>1.25</v>
      </c>
      <c r="CS28" s="128">
        <v>1.25</v>
      </c>
      <c r="CT28" s="128">
        <v>1.25</v>
      </c>
      <c r="CU28" s="128">
        <v>1.25</v>
      </c>
      <c r="CV28" s="128">
        <v>1.25</v>
      </c>
      <c r="CW28" s="128">
        <v>1.25</v>
      </c>
      <c r="CX28" s="128">
        <v>1.25</v>
      </c>
      <c r="CZ28" s="126">
        <f>SUMIF(MatrixF3[[1]:[2]],MatrixF3[[#This Row],[Столбец1]])/MatrixF3[[#This Row],[Столбец1]]</f>
        <v>101</v>
      </c>
    </row>
    <row r="29" spans="1:104" ht="21" customHeight="1" x14ac:dyDescent="0.25">
      <c r="A29" s="127">
        <v>1.26</v>
      </c>
      <c r="B29" s="128">
        <v>1.26</v>
      </c>
      <c r="C29" s="128">
        <v>1.26</v>
      </c>
      <c r="D29" s="128">
        <v>1.26</v>
      </c>
      <c r="E29" s="128">
        <v>1.26</v>
      </c>
      <c r="F29" s="128">
        <v>1.26</v>
      </c>
      <c r="G29" s="128">
        <v>1.26</v>
      </c>
      <c r="H29" s="128">
        <v>1.26</v>
      </c>
      <c r="I29" s="128">
        <v>1.26</v>
      </c>
      <c r="J29" s="128">
        <v>1.26</v>
      </c>
      <c r="K29" s="128">
        <v>1.26</v>
      </c>
      <c r="L29" s="128">
        <v>1.26</v>
      </c>
      <c r="M29" s="128">
        <v>1.26</v>
      </c>
      <c r="N29" s="128">
        <v>1.26</v>
      </c>
      <c r="O29" s="128">
        <v>1.26</v>
      </c>
      <c r="P29" s="128">
        <v>1.26</v>
      </c>
      <c r="Q29" s="128">
        <v>1.26</v>
      </c>
      <c r="R29" s="128">
        <v>1.26</v>
      </c>
      <c r="S29" s="128">
        <v>1.26</v>
      </c>
      <c r="T29" s="128">
        <v>1.26</v>
      </c>
      <c r="U29" s="128">
        <v>1.26</v>
      </c>
      <c r="V29" s="128">
        <v>1.26</v>
      </c>
      <c r="W29" s="128">
        <v>1.26</v>
      </c>
      <c r="X29" s="128">
        <v>1.26</v>
      </c>
      <c r="Y29" s="128">
        <v>1.26</v>
      </c>
      <c r="Z29" s="128">
        <v>1.26</v>
      </c>
      <c r="AA29" s="128">
        <v>1.26</v>
      </c>
      <c r="AB29" s="128">
        <v>1.26</v>
      </c>
      <c r="AC29" s="128">
        <v>1.26</v>
      </c>
      <c r="AD29" s="128">
        <v>1.27</v>
      </c>
      <c r="AE29" s="128">
        <v>1.27</v>
      </c>
      <c r="AF29" s="128">
        <v>1.27</v>
      </c>
      <c r="AG29" s="128">
        <v>1.27</v>
      </c>
      <c r="AH29" s="128">
        <v>1.28</v>
      </c>
      <c r="AI29" s="128">
        <v>1.28</v>
      </c>
      <c r="AJ29" s="128">
        <v>1.28</v>
      </c>
      <c r="AK29" s="128">
        <v>1.29</v>
      </c>
      <c r="AL29" s="128">
        <v>1.29</v>
      </c>
      <c r="AM29" s="128">
        <v>1.29</v>
      </c>
      <c r="AN29" s="128">
        <v>1.3</v>
      </c>
      <c r="AO29" s="128">
        <v>1.3</v>
      </c>
      <c r="AP29" s="128">
        <v>1.3</v>
      </c>
      <c r="AQ29" s="128">
        <v>1.31</v>
      </c>
      <c r="AR29" s="128">
        <v>1.31</v>
      </c>
      <c r="AS29" s="128">
        <v>1.31</v>
      </c>
      <c r="AT29" s="128">
        <v>1.32</v>
      </c>
      <c r="AU29" s="128">
        <v>1.32</v>
      </c>
      <c r="AV29" s="128">
        <v>1.32</v>
      </c>
      <c r="AW29" s="128">
        <v>1.33</v>
      </c>
      <c r="AX29" s="128">
        <v>1.33</v>
      </c>
      <c r="AY29" s="128">
        <v>1.34</v>
      </c>
      <c r="AZ29" s="128">
        <v>1.34</v>
      </c>
      <c r="BA29" s="128">
        <v>1.34</v>
      </c>
      <c r="BB29" s="128">
        <v>1.33</v>
      </c>
      <c r="BC29" s="128">
        <v>1.33</v>
      </c>
      <c r="BD29" s="128">
        <v>1.32</v>
      </c>
      <c r="BE29" s="128">
        <v>1.32</v>
      </c>
      <c r="BF29" s="128">
        <v>1.32</v>
      </c>
      <c r="BG29" s="128">
        <v>1.31</v>
      </c>
      <c r="BH29" s="128">
        <v>1.31</v>
      </c>
      <c r="BI29" s="128">
        <v>1.31</v>
      </c>
      <c r="BJ29" s="128">
        <v>1.3</v>
      </c>
      <c r="BK29" s="128">
        <v>1.3</v>
      </c>
      <c r="BL29" s="128">
        <v>1.3</v>
      </c>
      <c r="BM29" s="128">
        <v>1.29</v>
      </c>
      <c r="BN29" s="128">
        <v>1.29</v>
      </c>
      <c r="BO29" s="128">
        <v>1.29</v>
      </c>
      <c r="BP29" s="128">
        <v>1.28</v>
      </c>
      <c r="BQ29" s="128">
        <v>1.28</v>
      </c>
      <c r="BR29" s="128">
        <v>1.28</v>
      </c>
      <c r="BS29" s="128">
        <v>1.27</v>
      </c>
      <c r="BT29" s="128">
        <v>1.27</v>
      </c>
      <c r="BU29" s="128">
        <v>1.27</v>
      </c>
      <c r="BV29" s="128">
        <v>1.27</v>
      </c>
      <c r="BW29" s="128">
        <v>1.26</v>
      </c>
      <c r="BX29" s="128">
        <v>1.26</v>
      </c>
      <c r="BY29" s="128">
        <v>1.26</v>
      </c>
      <c r="BZ29" s="128">
        <v>1.26</v>
      </c>
      <c r="CA29" s="128">
        <v>1.26</v>
      </c>
      <c r="CB29" s="128">
        <v>1.26</v>
      </c>
      <c r="CC29" s="128">
        <v>1.26</v>
      </c>
      <c r="CD29" s="128">
        <v>1.26</v>
      </c>
      <c r="CE29" s="128">
        <v>1.26</v>
      </c>
      <c r="CF29" s="128">
        <v>1.26</v>
      </c>
      <c r="CG29" s="128">
        <v>1.26</v>
      </c>
      <c r="CH29" s="128">
        <v>1.26</v>
      </c>
      <c r="CI29" s="128">
        <v>1.26</v>
      </c>
      <c r="CJ29" s="128">
        <v>1.26</v>
      </c>
      <c r="CK29" s="128">
        <v>1.26</v>
      </c>
      <c r="CL29" s="128">
        <v>1.26</v>
      </c>
      <c r="CM29" s="128">
        <v>1.26</v>
      </c>
      <c r="CN29" s="128">
        <v>1.26</v>
      </c>
      <c r="CO29" s="128">
        <v>1.26</v>
      </c>
      <c r="CP29" s="128">
        <v>1.26</v>
      </c>
      <c r="CQ29" s="128">
        <v>1.26</v>
      </c>
      <c r="CR29" s="128">
        <v>1.26</v>
      </c>
      <c r="CS29" s="128">
        <v>1.26</v>
      </c>
      <c r="CT29" s="128">
        <v>1.26</v>
      </c>
      <c r="CU29" s="128">
        <v>1.26</v>
      </c>
      <c r="CV29" s="128">
        <v>1.26</v>
      </c>
      <c r="CW29" s="128">
        <v>1.26</v>
      </c>
      <c r="CX29" s="128">
        <v>1.26</v>
      </c>
      <c r="CZ29" s="126">
        <f>SUMIF(MatrixF3[[1]:[2]],MatrixF3[[#This Row],[Столбец1]])/MatrixF3[[#This Row],[Столбец1]]</f>
        <v>109.00000000000014</v>
      </c>
    </row>
    <row r="30" spans="1:104" ht="21" customHeight="1" x14ac:dyDescent="0.25">
      <c r="A30" s="127">
        <v>1.27</v>
      </c>
      <c r="B30" s="128">
        <v>1.27</v>
      </c>
      <c r="C30" s="128">
        <v>1.27</v>
      </c>
      <c r="D30" s="128">
        <v>1.27</v>
      </c>
      <c r="E30" s="128">
        <v>1.27</v>
      </c>
      <c r="F30" s="128">
        <v>1.27</v>
      </c>
      <c r="G30" s="128">
        <v>1.27</v>
      </c>
      <c r="H30" s="128">
        <v>1.27</v>
      </c>
      <c r="I30" s="128">
        <v>1.27</v>
      </c>
      <c r="J30" s="128">
        <v>1.27</v>
      </c>
      <c r="K30" s="128">
        <v>1.27</v>
      </c>
      <c r="L30" s="128">
        <v>1.27</v>
      </c>
      <c r="M30" s="128">
        <v>1.27</v>
      </c>
      <c r="N30" s="128">
        <v>1.27</v>
      </c>
      <c r="O30" s="128">
        <v>1.27</v>
      </c>
      <c r="P30" s="128">
        <v>1.27</v>
      </c>
      <c r="Q30" s="128">
        <v>1.27</v>
      </c>
      <c r="R30" s="128">
        <v>1.27</v>
      </c>
      <c r="S30" s="128">
        <v>1.27</v>
      </c>
      <c r="T30" s="128">
        <v>1.27</v>
      </c>
      <c r="U30" s="128">
        <v>1.27</v>
      </c>
      <c r="V30" s="128">
        <v>1.27</v>
      </c>
      <c r="W30" s="128">
        <v>1.27</v>
      </c>
      <c r="X30" s="128">
        <v>1.27</v>
      </c>
      <c r="Y30" s="128">
        <v>1.27</v>
      </c>
      <c r="Z30" s="128">
        <v>1.27</v>
      </c>
      <c r="AA30" s="128">
        <v>1.27</v>
      </c>
      <c r="AB30" s="128">
        <v>1.27</v>
      </c>
      <c r="AC30" s="128">
        <v>1.27</v>
      </c>
      <c r="AD30" s="128">
        <v>1.27</v>
      </c>
      <c r="AE30" s="128">
        <v>1.28</v>
      </c>
      <c r="AF30" s="128">
        <v>1.28</v>
      </c>
      <c r="AG30" s="128">
        <v>1.28</v>
      </c>
      <c r="AH30" s="128">
        <v>1.28</v>
      </c>
      <c r="AI30" s="128">
        <v>1.29</v>
      </c>
      <c r="AJ30" s="128">
        <v>1.29</v>
      </c>
      <c r="AK30" s="128">
        <v>1.29</v>
      </c>
      <c r="AL30" s="128">
        <v>1.3</v>
      </c>
      <c r="AM30" s="128">
        <v>1.3</v>
      </c>
      <c r="AN30" s="128">
        <v>1.3</v>
      </c>
      <c r="AO30" s="128">
        <v>1.31</v>
      </c>
      <c r="AP30" s="128">
        <v>1.31</v>
      </c>
      <c r="AQ30" s="128">
        <v>1.31</v>
      </c>
      <c r="AR30" s="128">
        <v>1.32</v>
      </c>
      <c r="AS30" s="128">
        <v>1.32</v>
      </c>
      <c r="AT30" s="128">
        <v>1.33</v>
      </c>
      <c r="AU30" s="128">
        <v>1.33</v>
      </c>
      <c r="AV30" s="128">
        <v>1.33</v>
      </c>
      <c r="AW30" s="128">
        <v>1.34</v>
      </c>
      <c r="AX30" s="128">
        <v>1.34</v>
      </c>
      <c r="AY30" s="128">
        <v>1.35</v>
      </c>
      <c r="AZ30" s="128">
        <v>1.35</v>
      </c>
      <c r="BA30" s="128">
        <v>1.35</v>
      </c>
      <c r="BB30" s="128">
        <v>1.34</v>
      </c>
      <c r="BC30" s="128">
        <v>1.34</v>
      </c>
      <c r="BD30" s="128">
        <v>1.33</v>
      </c>
      <c r="BE30" s="128">
        <v>1.33</v>
      </c>
      <c r="BF30" s="128">
        <v>1.33</v>
      </c>
      <c r="BG30" s="128">
        <v>1.32</v>
      </c>
      <c r="BH30" s="128">
        <v>1.32</v>
      </c>
      <c r="BI30" s="128">
        <v>1.31</v>
      </c>
      <c r="BJ30" s="128">
        <v>1.31</v>
      </c>
      <c r="BK30" s="128">
        <v>1.31</v>
      </c>
      <c r="BL30" s="128">
        <v>1.3</v>
      </c>
      <c r="BM30" s="128">
        <v>1.3</v>
      </c>
      <c r="BN30" s="128">
        <v>1.3</v>
      </c>
      <c r="BO30" s="128">
        <v>1.29</v>
      </c>
      <c r="BP30" s="128">
        <v>1.29</v>
      </c>
      <c r="BQ30" s="128">
        <v>1.29</v>
      </c>
      <c r="BR30" s="128">
        <v>1.28</v>
      </c>
      <c r="BS30" s="128">
        <v>1.28</v>
      </c>
      <c r="BT30" s="128">
        <v>1.28</v>
      </c>
      <c r="BU30" s="128">
        <v>1.28</v>
      </c>
      <c r="BV30" s="128">
        <v>1.27</v>
      </c>
      <c r="BW30" s="128">
        <v>1.27</v>
      </c>
      <c r="BX30" s="128">
        <v>1.27</v>
      </c>
      <c r="BY30" s="128">
        <v>1.27</v>
      </c>
      <c r="BZ30" s="128">
        <v>1.27</v>
      </c>
      <c r="CA30" s="128">
        <v>1.27</v>
      </c>
      <c r="CB30" s="128">
        <v>1.27</v>
      </c>
      <c r="CC30" s="128">
        <v>1.27</v>
      </c>
      <c r="CD30" s="128">
        <v>1.27</v>
      </c>
      <c r="CE30" s="128">
        <v>1.27</v>
      </c>
      <c r="CF30" s="128">
        <v>1.27</v>
      </c>
      <c r="CG30" s="128">
        <v>1.27</v>
      </c>
      <c r="CH30" s="128">
        <v>1.27</v>
      </c>
      <c r="CI30" s="128">
        <v>1.27</v>
      </c>
      <c r="CJ30" s="128">
        <v>1.27</v>
      </c>
      <c r="CK30" s="128">
        <v>1.27</v>
      </c>
      <c r="CL30" s="128">
        <v>1.27</v>
      </c>
      <c r="CM30" s="128">
        <v>1.27</v>
      </c>
      <c r="CN30" s="128">
        <v>1.27</v>
      </c>
      <c r="CO30" s="128">
        <v>1.27</v>
      </c>
      <c r="CP30" s="128">
        <v>1.27</v>
      </c>
      <c r="CQ30" s="128">
        <v>1.27</v>
      </c>
      <c r="CR30" s="128">
        <v>1.27</v>
      </c>
      <c r="CS30" s="128">
        <v>1.27</v>
      </c>
      <c r="CT30" s="128">
        <v>1.27</v>
      </c>
      <c r="CU30" s="128">
        <v>1.27</v>
      </c>
      <c r="CV30" s="128">
        <v>1.27</v>
      </c>
      <c r="CW30" s="128">
        <v>1.27</v>
      </c>
      <c r="CX30" s="128">
        <v>1.27</v>
      </c>
      <c r="CZ30" s="126">
        <f>SUMIF(MatrixF3[[1]:[2]],MatrixF3[[#This Row],[Столбец1]])/MatrixF3[[#This Row],[Столбец1]]</f>
        <v>107.99999999999996</v>
      </c>
    </row>
    <row r="31" spans="1:104" ht="21" customHeight="1" x14ac:dyDescent="0.25">
      <c r="A31" s="127">
        <v>1.28</v>
      </c>
      <c r="B31" s="128">
        <v>1.28</v>
      </c>
      <c r="C31" s="128">
        <v>1.28</v>
      </c>
      <c r="D31" s="128">
        <v>1.28</v>
      </c>
      <c r="E31" s="128">
        <v>1.28</v>
      </c>
      <c r="F31" s="128">
        <v>1.28</v>
      </c>
      <c r="G31" s="128">
        <v>1.28</v>
      </c>
      <c r="H31" s="128">
        <v>1.28</v>
      </c>
      <c r="I31" s="128">
        <v>1.28</v>
      </c>
      <c r="J31" s="128">
        <v>1.28</v>
      </c>
      <c r="K31" s="128">
        <v>1.28</v>
      </c>
      <c r="L31" s="128">
        <v>1.28</v>
      </c>
      <c r="M31" s="128">
        <v>1.28</v>
      </c>
      <c r="N31" s="128">
        <v>1.28</v>
      </c>
      <c r="O31" s="128">
        <v>1.28</v>
      </c>
      <c r="P31" s="128">
        <v>1.28</v>
      </c>
      <c r="Q31" s="128">
        <v>1.28</v>
      </c>
      <c r="R31" s="128">
        <v>1.28</v>
      </c>
      <c r="S31" s="128">
        <v>1.28</v>
      </c>
      <c r="T31" s="128">
        <v>1.28</v>
      </c>
      <c r="U31" s="128">
        <v>1.28</v>
      </c>
      <c r="V31" s="128">
        <v>1.28</v>
      </c>
      <c r="W31" s="128">
        <v>1.28</v>
      </c>
      <c r="X31" s="128">
        <v>1.28</v>
      </c>
      <c r="Y31" s="128">
        <v>1.28</v>
      </c>
      <c r="Z31" s="128">
        <v>1.28</v>
      </c>
      <c r="AA31" s="128">
        <v>1.28</v>
      </c>
      <c r="AB31" s="128">
        <v>1.28</v>
      </c>
      <c r="AC31" s="128">
        <v>1.28</v>
      </c>
      <c r="AD31" s="128">
        <v>1.28</v>
      </c>
      <c r="AE31" s="128">
        <v>1.28</v>
      </c>
      <c r="AF31" s="128">
        <v>1.29</v>
      </c>
      <c r="AG31" s="128">
        <v>1.29</v>
      </c>
      <c r="AH31" s="128">
        <v>1.29</v>
      </c>
      <c r="AI31" s="128">
        <v>1.29</v>
      </c>
      <c r="AJ31" s="128">
        <v>1.3</v>
      </c>
      <c r="AK31" s="128">
        <v>1.3</v>
      </c>
      <c r="AL31" s="128">
        <v>1.3</v>
      </c>
      <c r="AM31" s="128">
        <v>1.31</v>
      </c>
      <c r="AN31" s="128">
        <v>1.31</v>
      </c>
      <c r="AO31" s="128">
        <v>1.31</v>
      </c>
      <c r="AP31" s="128">
        <v>1.32</v>
      </c>
      <c r="AQ31" s="128">
        <v>1.32</v>
      </c>
      <c r="AR31" s="128">
        <v>1.33</v>
      </c>
      <c r="AS31" s="128">
        <v>1.33</v>
      </c>
      <c r="AT31" s="128">
        <v>1.33</v>
      </c>
      <c r="AU31" s="128">
        <v>1.34</v>
      </c>
      <c r="AV31" s="128">
        <v>1.34</v>
      </c>
      <c r="AW31" s="128">
        <v>1.35</v>
      </c>
      <c r="AX31" s="128">
        <v>1.35</v>
      </c>
      <c r="AY31" s="128">
        <v>1.35</v>
      </c>
      <c r="AZ31" s="128">
        <v>1.36</v>
      </c>
      <c r="BA31" s="128">
        <v>1.35</v>
      </c>
      <c r="BB31" s="128">
        <v>1.35</v>
      </c>
      <c r="BC31" s="128">
        <v>1.35</v>
      </c>
      <c r="BD31" s="128">
        <v>1.34</v>
      </c>
      <c r="BE31" s="128">
        <v>1.34</v>
      </c>
      <c r="BF31" s="128">
        <v>1.33</v>
      </c>
      <c r="BG31" s="128">
        <v>1.33</v>
      </c>
      <c r="BH31" s="128">
        <v>1.33</v>
      </c>
      <c r="BI31" s="128">
        <v>1.32</v>
      </c>
      <c r="BJ31" s="128">
        <v>1.32</v>
      </c>
      <c r="BK31" s="128">
        <v>1.31</v>
      </c>
      <c r="BL31" s="128">
        <v>1.31</v>
      </c>
      <c r="BM31" s="128">
        <v>1.31</v>
      </c>
      <c r="BN31" s="128">
        <v>1.3</v>
      </c>
      <c r="BO31" s="128">
        <v>1.3</v>
      </c>
      <c r="BP31" s="128">
        <v>1.3</v>
      </c>
      <c r="BQ31" s="128">
        <v>1.29</v>
      </c>
      <c r="BR31" s="128">
        <v>1.29</v>
      </c>
      <c r="BS31" s="128">
        <v>1.29</v>
      </c>
      <c r="BT31" s="128">
        <v>1.29</v>
      </c>
      <c r="BU31" s="128">
        <v>1.28</v>
      </c>
      <c r="BV31" s="128">
        <v>1.28</v>
      </c>
      <c r="BW31" s="128">
        <v>1.28</v>
      </c>
      <c r="BX31" s="128">
        <v>1.28</v>
      </c>
      <c r="BY31" s="128">
        <v>1.28</v>
      </c>
      <c r="BZ31" s="128">
        <v>1.28</v>
      </c>
      <c r="CA31" s="128">
        <v>1.28</v>
      </c>
      <c r="CB31" s="128">
        <v>1.28</v>
      </c>
      <c r="CC31" s="128">
        <v>1.28</v>
      </c>
      <c r="CD31" s="128">
        <v>1.28</v>
      </c>
      <c r="CE31" s="128">
        <v>1.28</v>
      </c>
      <c r="CF31" s="128">
        <v>1.28</v>
      </c>
      <c r="CG31" s="128">
        <v>1.28</v>
      </c>
      <c r="CH31" s="128">
        <v>1.28</v>
      </c>
      <c r="CI31" s="128">
        <v>1.28</v>
      </c>
      <c r="CJ31" s="128">
        <v>1.28</v>
      </c>
      <c r="CK31" s="128">
        <v>1.28</v>
      </c>
      <c r="CL31" s="128">
        <v>1.28</v>
      </c>
      <c r="CM31" s="128">
        <v>1.28</v>
      </c>
      <c r="CN31" s="128">
        <v>1.28</v>
      </c>
      <c r="CO31" s="128">
        <v>1.28</v>
      </c>
      <c r="CP31" s="128">
        <v>1.28</v>
      </c>
      <c r="CQ31" s="128">
        <v>1.28</v>
      </c>
      <c r="CR31" s="128">
        <v>1.28</v>
      </c>
      <c r="CS31" s="128">
        <v>1.28</v>
      </c>
      <c r="CT31" s="128">
        <v>1.28</v>
      </c>
      <c r="CU31" s="128">
        <v>1.28</v>
      </c>
      <c r="CV31" s="128">
        <v>1.28</v>
      </c>
      <c r="CW31" s="128">
        <v>1.28</v>
      </c>
      <c r="CX31" s="128">
        <v>1.28</v>
      </c>
      <c r="CZ31" s="126">
        <f>SUMIF(MatrixF3[[1]:[2]],MatrixF3[[#This Row],[Столбец1]])/MatrixF3[[#This Row],[Столбец1]]</f>
        <v>109.00000000000007</v>
      </c>
    </row>
    <row r="32" spans="1:104" ht="21" customHeight="1" x14ac:dyDescent="0.25">
      <c r="A32" s="127">
        <v>1.29</v>
      </c>
      <c r="B32" s="128">
        <v>1.29</v>
      </c>
      <c r="C32" s="128">
        <v>1.29</v>
      </c>
      <c r="D32" s="128">
        <v>1.29</v>
      </c>
      <c r="E32" s="128">
        <v>1.29</v>
      </c>
      <c r="F32" s="128">
        <v>1.29</v>
      </c>
      <c r="G32" s="128">
        <v>1.29</v>
      </c>
      <c r="H32" s="128">
        <v>1.29</v>
      </c>
      <c r="I32" s="128">
        <v>1.29</v>
      </c>
      <c r="J32" s="128">
        <v>1.29</v>
      </c>
      <c r="K32" s="128">
        <v>1.29</v>
      </c>
      <c r="L32" s="128">
        <v>1.29</v>
      </c>
      <c r="M32" s="128">
        <v>1.29</v>
      </c>
      <c r="N32" s="128">
        <v>1.29</v>
      </c>
      <c r="O32" s="128">
        <v>1.29</v>
      </c>
      <c r="P32" s="128">
        <v>1.29</v>
      </c>
      <c r="Q32" s="128">
        <v>1.29</v>
      </c>
      <c r="R32" s="128">
        <v>1.29</v>
      </c>
      <c r="S32" s="128">
        <v>1.29</v>
      </c>
      <c r="T32" s="128">
        <v>1.29</v>
      </c>
      <c r="U32" s="128">
        <v>1.29</v>
      </c>
      <c r="V32" s="128">
        <v>1.29</v>
      </c>
      <c r="W32" s="128">
        <v>1.29</v>
      </c>
      <c r="X32" s="128">
        <v>1.29</v>
      </c>
      <c r="Y32" s="128">
        <v>1.29</v>
      </c>
      <c r="Z32" s="128">
        <v>1.29</v>
      </c>
      <c r="AA32" s="128">
        <v>1.29</v>
      </c>
      <c r="AB32" s="128">
        <v>1.29</v>
      </c>
      <c r="AC32" s="128">
        <v>1.29</v>
      </c>
      <c r="AD32" s="128">
        <v>1.29</v>
      </c>
      <c r="AE32" s="128">
        <v>1.29</v>
      </c>
      <c r="AF32" s="128">
        <v>1.29</v>
      </c>
      <c r="AG32" s="128">
        <v>1.3</v>
      </c>
      <c r="AH32" s="128">
        <v>1.3</v>
      </c>
      <c r="AI32" s="128">
        <v>1.3</v>
      </c>
      <c r="AJ32" s="128">
        <v>1.31</v>
      </c>
      <c r="AK32" s="128">
        <v>1.31</v>
      </c>
      <c r="AL32" s="128">
        <v>1.31</v>
      </c>
      <c r="AM32" s="128">
        <v>1.32</v>
      </c>
      <c r="AN32" s="128">
        <v>1.32</v>
      </c>
      <c r="AO32" s="128">
        <v>1.32</v>
      </c>
      <c r="AP32" s="128">
        <v>1.33</v>
      </c>
      <c r="AQ32" s="128">
        <v>1.33</v>
      </c>
      <c r="AR32" s="128">
        <v>1.33</v>
      </c>
      <c r="AS32" s="128">
        <v>1.34</v>
      </c>
      <c r="AT32" s="128">
        <v>1.34</v>
      </c>
      <c r="AU32" s="128">
        <v>1.35</v>
      </c>
      <c r="AV32" s="128">
        <v>1.35</v>
      </c>
      <c r="AW32" s="128">
        <v>1.35</v>
      </c>
      <c r="AX32" s="128">
        <v>1.36</v>
      </c>
      <c r="AY32" s="128">
        <v>1.36</v>
      </c>
      <c r="AZ32" s="128">
        <v>1.37</v>
      </c>
      <c r="BA32" s="128">
        <v>1.36</v>
      </c>
      <c r="BB32" s="128">
        <v>1.36</v>
      </c>
      <c r="BC32" s="128">
        <v>1.35</v>
      </c>
      <c r="BD32" s="128">
        <v>1.35</v>
      </c>
      <c r="BE32" s="128">
        <v>1.35</v>
      </c>
      <c r="BF32" s="128">
        <v>1.34</v>
      </c>
      <c r="BG32" s="128">
        <v>1.34</v>
      </c>
      <c r="BH32" s="128">
        <v>1.33</v>
      </c>
      <c r="BI32" s="128">
        <v>1.33</v>
      </c>
      <c r="BJ32" s="128">
        <v>1.33</v>
      </c>
      <c r="BK32" s="128">
        <v>1.32</v>
      </c>
      <c r="BL32" s="128">
        <v>1.32</v>
      </c>
      <c r="BM32" s="128">
        <v>1.32</v>
      </c>
      <c r="BN32" s="128">
        <v>1.31</v>
      </c>
      <c r="BO32" s="128">
        <v>1.31</v>
      </c>
      <c r="BP32" s="128">
        <v>1.31</v>
      </c>
      <c r="BQ32" s="128">
        <v>1.3</v>
      </c>
      <c r="BR32" s="128">
        <v>1.3</v>
      </c>
      <c r="BS32" s="128">
        <v>1.3</v>
      </c>
      <c r="BT32" s="128">
        <v>1.29</v>
      </c>
      <c r="BU32" s="128">
        <v>1.29</v>
      </c>
      <c r="BV32" s="128">
        <v>1.29</v>
      </c>
      <c r="BW32" s="128">
        <v>1.29</v>
      </c>
      <c r="BX32" s="128">
        <v>1.29</v>
      </c>
      <c r="BY32" s="128">
        <v>1.29</v>
      </c>
      <c r="BZ32" s="128">
        <v>1.29</v>
      </c>
      <c r="CA32" s="128">
        <v>1.29</v>
      </c>
      <c r="CB32" s="128">
        <v>1.29</v>
      </c>
      <c r="CC32" s="128">
        <v>1.29</v>
      </c>
      <c r="CD32" s="128">
        <v>1.29</v>
      </c>
      <c r="CE32" s="128">
        <v>1.29</v>
      </c>
      <c r="CF32" s="128">
        <v>1.29</v>
      </c>
      <c r="CG32" s="128">
        <v>1.29</v>
      </c>
      <c r="CH32" s="128">
        <v>1.29</v>
      </c>
      <c r="CI32" s="128">
        <v>1.29</v>
      </c>
      <c r="CJ32" s="128">
        <v>1.29</v>
      </c>
      <c r="CK32" s="128">
        <v>1.29</v>
      </c>
      <c r="CL32" s="128">
        <v>1.29</v>
      </c>
      <c r="CM32" s="128">
        <v>1.29</v>
      </c>
      <c r="CN32" s="128">
        <v>1.29</v>
      </c>
      <c r="CO32" s="128">
        <v>1.29</v>
      </c>
      <c r="CP32" s="128">
        <v>1.29</v>
      </c>
      <c r="CQ32" s="128">
        <v>1.29</v>
      </c>
      <c r="CR32" s="128">
        <v>1.29</v>
      </c>
      <c r="CS32" s="128">
        <v>1.29</v>
      </c>
      <c r="CT32" s="128">
        <v>1.29</v>
      </c>
      <c r="CU32" s="128">
        <v>1.29</v>
      </c>
      <c r="CV32" s="128">
        <v>1.29</v>
      </c>
      <c r="CW32" s="128">
        <v>1.29</v>
      </c>
      <c r="CX32" s="128">
        <v>1.29</v>
      </c>
      <c r="CZ32" s="126">
        <f>SUMIF(MatrixF3[[1]:[2]],MatrixF3[[#This Row],[Столбец1]])/MatrixF3[[#This Row],[Столбец1]]</f>
        <v>111.00000000000016</v>
      </c>
    </row>
    <row r="33" spans="1:104" ht="21" customHeight="1" x14ac:dyDescent="0.25">
      <c r="A33" s="127">
        <v>1.3</v>
      </c>
      <c r="B33" s="128">
        <v>1.3</v>
      </c>
      <c r="C33" s="128">
        <v>1.3</v>
      </c>
      <c r="D33" s="128">
        <v>1.3</v>
      </c>
      <c r="E33" s="128">
        <v>1.3</v>
      </c>
      <c r="F33" s="128">
        <v>1.3</v>
      </c>
      <c r="G33" s="128">
        <v>1.3</v>
      </c>
      <c r="H33" s="128">
        <v>1.3</v>
      </c>
      <c r="I33" s="128">
        <v>1.3</v>
      </c>
      <c r="J33" s="128">
        <v>1.3</v>
      </c>
      <c r="K33" s="128">
        <v>1.3</v>
      </c>
      <c r="L33" s="128">
        <v>1.3</v>
      </c>
      <c r="M33" s="128">
        <v>1.3</v>
      </c>
      <c r="N33" s="128">
        <v>1.3</v>
      </c>
      <c r="O33" s="128">
        <v>1.3</v>
      </c>
      <c r="P33" s="128">
        <v>1.3</v>
      </c>
      <c r="Q33" s="128">
        <v>1.3</v>
      </c>
      <c r="R33" s="128">
        <v>1.3</v>
      </c>
      <c r="S33" s="128">
        <v>1.3</v>
      </c>
      <c r="T33" s="128">
        <v>1.3</v>
      </c>
      <c r="U33" s="128">
        <v>1.3</v>
      </c>
      <c r="V33" s="128">
        <v>1.3</v>
      </c>
      <c r="W33" s="128">
        <v>1.3</v>
      </c>
      <c r="X33" s="128">
        <v>1.3</v>
      </c>
      <c r="Y33" s="128">
        <v>1.3</v>
      </c>
      <c r="Z33" s="128">
        <v>1.3</v>
      </c>
      <c r="AA33" s="128">
        <v>1.3</v>
      </c>
      <c r="AB33" s="128">
        <v>1.3</v>
      </c>
      <c r="AC33" s="128">
        <v>1.3</v>
      </c>
      <c r="AD33" s="128">
        <v>1.3</v>
      </c>
      <c r="AE33" s="128">
        <v>1.3</v>
      </c>
      <c r="AF33" s="128">
        <v>1.3</v>
      </c>
      <c r="AG33" s="128">
        <v>1.3</v>
      </c>
      <c r="AH33" s="128">
        <v>1.31</v>
      </c>
      <c r="AI33" s="128">
        <v>1.31</v>
      </c>
      <c r="AJ33" s="128">
        <v>1.31</v>
      </c>
      <c r="AK33" s="128">
        <v>1.32</v>
      </c>
      <c r="AL33" s="128">
        <v>1.32</v>
      </c>
      <c r="AM33" s="128">
        <v>1.32</v>
      </c>
      <c r="AN33" s="128">
        <v>1.33</v>
      </c>
      <c r="AO33" s="128">
        <v>1.33</v>
      </c>
      <c r="AP33" s="128">
        <v>1.33</v>
      </c>
      <c r="AQ33" s="128">
        <v>1.34</v>
      </c>
      <c r="AR33" s="128">
        <v>1.34</v>
      </c>
      <c r="AS33" s="128">
        <v>1.34</v>
      </c>
      <c r="AT33" s="128">
        <v>1.35</v>
      </c>
      <c r="AU33" s="128">
        <v>1.35</v>
      </c>
      <c r="AV33" s="128">
        <v>1.36</v>
      </c>
      <c r="AW33" s="128">
        <v>1.36</v>
      </c>
      <c r="AX33" s="128">
        <v>1.37</v>
      </c>
      <c r="AY33" s="128">
        <v>1.37</v>
      </c>
      <c r="AZ33" s="128">
        <v>1.38</v>
      </c>
      <c r="BA33" s="128">
        <v>1.37</v>
      </c>
      <c r="BB33" s="128">
        <v>1.37</v>
      </c>
      <c r="BC33" s="128">
        <v>1.36</v>
      </c>
      <c r="BD33" s="128">
        <v>1.36</v>
      </c>
      <c r="BE33" s="128">
        <v>1.35</v>
      </c>
      <c r="BF33" s="128">
        <v>1.35</v>
      </c>
      <c r="BG33" s="128">
        <v>1.34</v>
      </c>
      <c r="BH33" s="128">
        <v>1.34</v>
      </c>
      <c r="BI33" s="128">
        <v>1.34</v>
      </c>
      <c r="BJ33" s="128">
        <v>1.33</v>
      </c>
      <c r="BK33" s="128">
        <v>1.33</v>
      </c>
      <c r="BL33" s="128">
        <v>1.33</v>
      </c>
      <c r="BM33" s="128">
        <v>1.32</v>
      </c>
      <c r="BN33" s="128">
        <v>1.32</v>
      </c>
      <c r="BO33" s="128">
        <v>1.32</v>
      </c>
      <c r="BP33" s="128">
        <v>1.31</v>
      </c>
      <c r="BQ33" s="128">
        <v>1.31</v>
      </c>
      <c r="BR33" s="128">
        <v>1.31</v>
      </c>
      <c r="BS33" s="128">
        <v>1.3</v>
      </c>
      <c r="BT33" s="128">
        <v>1.3</v>
      </c>
      <c r="BU33" s="128">
        <v>1.3</v>
      </c>
      <c r="BV33" s="128">
        <v>1.3</v>
      </c>
      <c r="BW33" s="128">
        <v>1.3</v>
      </c>
      <c r="BX33" s="128">
        <v>1.3</v>
      </c>
      <c r="BY33" s="128">
        <v>1.3</v>
      </c>
      <c r="BZ33" s="128">
        <v>1.3</v>
      </c>
      <c r="CA33" s="128">
        <v>1.3</v>
      </c>
      <c r="CB33" s="128">
        <v>1.3</v>
      </c>
      <c r="CC33" s="128">
        <v>1.3</v>
      </c>
      <c r="CD33" s="128">
        <v>1.3</v>
      </c>
      <c r="CE33" s="128">
        <v>1.3</v>
      </c>
      <c r="CF33" s="128">
        <v>1.3</v>
      </c>
      <c r="CG33" s="128">
        <v>1.3</v>
      </c>
      <c r="CH33" s="128">
        <v>1.3</v>
      </c>
      <c r="CI33" s="128">
        <v>1.3</v>
      </c>
      <c r="CJ33" s="128">
        <v>1.3</v>
      </c>
      <c r="CK33" s="128">
        <v>1.3</v>
      </c>
      <c r="CL33" s="128">
        <v>1.3</v>
      </c>
      <c r="CM33" s="128">
        <v>1.3</v>
      </c>
      <c r="CN33" s="128">
        <v>1.3</v>
      </c>
      <c r="CO33" s="128">
        <v>1.3</v>
      </c>
      <c r="CP33" s="128">
        <v>1.3</v>
      </c>
      <c r="CQ33" s="128">
        <v>1.3</v>
      </c>
      <c r="CR33" s="128">
        <v>1.3</v>
      </c>
      <c r="CS33" s="128">
        <v>1.3</v>
      </c>
      <c r="CT33" s="128">
        <v>1.3</v>
      </c>
      <c r="CU33" s="128">
        <v>1.3</v>
      </c>
      <c r="CV33" s="128">
        <v>1.3</v>
      </c>
      <c r="CW33" s="128">
        <v>1.3</v>
      </c>
      <c r="CX33" s="128">
        <v>1.3</v>
      </c>
      <c r="CZ33" s="126">
        <f>SUMIF(MatrixF3[[1]:[2]],MatrixF3[[#This Row],[Столбец1]])/MatrixF3[[#This Row],[Столбец1]]</f>
        <v>108.99999999999994</v>
      </c>
    </row>
    <row r="34" spans="1:104" ht="21" customHeight="1" x14ac:dyDescent="0.25">
      <c r="A34" s="127">
        <v>1.31</v>
      </c>
      <c r="B34" s="128">
        <v>1.31</v>
      </c>
      <c r="C34" s="128">
        <v>1.31</v>
      </c>
      <c r="D34" s="128">
        <v>1.31</v>
      </c>
      <c r="E34" s="128">
        <v>1.31</v>
      </c>
      <c r="F34" s="128">
        <v>1.31</v>
      </c>
      <c r="G34" s="128">
        <v>1.31</v>
      </c>
      <c r="H34" s="128">
        <v>1.31</v>
      </c>
      <c r="I34" s="128">
        <v>1.31</v>
      </c>
      <c r="J34" s="128">
        <v>1.31</v>
      </c>
      <c r="K34" s="128">
        <v>1.31</v>
      </c>
      <c r="L34" s="128">
        <v>1.31</v>
      </c>
      <c r="M34" s="128">
        <v>1.31</v>
      </c>
      <c r="N34" s="128">
        <v>1.31</v>
      </c>
      <c r="O34" s="128">
        <v>1.31</v>
      </c>
      <c r="P34" s="128">
        <v>1.31</v>
      </c>
      <c r="Q34" s="128">
        <v>1.31</v>
      </c>
      <c r="R34" s="128">
        <v>1.31</v>
      </c>
      <c r="S34" s="128">
        <v>1.31</v>
      </c>
      <c r="T34" s="128">
        <v>1.31</v>
      </c>
      <c r="U34" s="128">
        <v>1.31</v>
      </c>
      <c r="V34" s="128">
        <v>1.31</v>
      </c>
      <c r="W34" s="128">
        <v>1.31</v>
      </c>
      <c r="X34" s="128">
        <v>1.31</v>
      </c>
      <c r="Y34" s="128">
        <v>1.31</v>
      </c>
      <c r="Z34" s="128">
        <v>1.31</v>
      </c>
      <c r="AA34" s="128">
        <v>1.31</v>
      </c>
      <c r="AB34" s="128">
        <v>1.31</v>
      </c>
      <c r="AC34" s="128">
        <v>1.31</v>
      </c>
      <c r="AD34" s="128">
        <v>1.31</v>
      </c>
      <c r="AE34" s="128">
        <v>1.31</v>
      </c>
      <c r="AF34" s="128">
        <v>1.31</v>
      </c>
      <c r="AG34" s="128">
        <v>1.31</v>
      </c>
      <c r="AH34" s="128">
        <v>1.31</v>
      </c>
      <c r="AI34" s="128">
        <v>1.32</v>
      </c>
      <c r="AJ34" s="128">
        <v>1.32</v>
      </c>
      <c r="AK34" s="128">
        <v>1.32</v>
      </c>
      <c r="AL34" s="128">
        <v>1.33</v>
      </c>
      <c r="AM34" s="128">
        <v>1.33</v>
      </c>
      <c r="AN34" s="128">
        <v>1.33</v>
      </c>
      <c r="AO34" s="128">
        <v>1.34</v>
      </c>
      <c r="AP34" s="128">
        <v>1.34</v>
      </c>
      <c r="AQ34" s="128">
        <v>1.34</v>
      </c>
      <c r="AR34" s="128">
        <v>1.35</v>
      </c>
      <c r="AS34" s="128">
        <v>1.35</v>
      </c>
      <c r="AT34" s="128">
        <v>1.36</v>
      </c>
      <c r="AU34" s="128">
        <v>1.36</v>
      </c>
      <c r="AV34" s="128">
        <v>1.36</v>
      </c>
      <c r="AW34" s="128">
        <v>1.37</v>
      </c>
      <c r="AX34" s="128">
        <v>1.37</v>
      </c>
      <c r="AY34" s="128">
        <v>1.38</v>
      </c>
      <c r="AZ34" s="128">
        <v>1.38</v>
      </c>
      <c r="BA34" s="128">
        <v>1.38</v>
      </c>
      <c r="BB34" s="128">
        <v>1.37</v>
      </c>
      <c r="BC34" s="128">
        <v>1.37</v>
      </c>
      <c r="BD34" s="128">
        <v>1.36</v>
      </c>
      <c r="BE34" s="128">
        <v>1.36</v>
      </c>
      <c r="BF34" s="128">
        <v>1.36</v>
      </c>
      <c r="BG34" s="128">
        <v>1.35</v>
      </c>
      <c r="BH34" s="128">
        <v>1.35</v>
      </c>
      <c r="BI34" s="128">
        <v>1.34</v>
      </c>
      <c r="BJ34" s="128">
        <v>1.34</v>
      </c>
      <c r="BK34" s="128">
        <v>1.34</v>
      </c>
      <c r="BL34" s="128">
        <v>1.33</v>
      </c>
      <c r="BM34" s="128">
        <v>1.33</v>
      </c>
      <c r="BN34" s="128">
        <v>1.33</v>
      </c>
      <c r="BO34" s="128">
        <v>1.32</v>
      </c>
      <c r="BP34" s="128">
        <v>1.32</v>
      </c>
      <c r="BQ34" s="128">
        <v>1.32</v>
      </c>
      <c r="BR34" s="128">
        <v>1.31</v>
      </c>
      <c r="BS34" s="128">
        <v>1.31</v>
      </c>
      <c r="BT34" s="128">
        <v>1.31</v>
      </c>
      <c r="BU34" s="128">
        <v>1.31</v>
      </c>
      <c r="BV34" s="128">
        <v>1.31</v>
      </c>
      <c r="BW34" s="128">
        <v>1.31</v>
      </c>
      <c r="BX34" s="128">
        <v>1.31</v>
      </c>
      <c r="BY34" s="128">
        <v>1.31</v>
      </c>
      <c r="BZ34" s="128">
        <v>1.31</v>
      </c>
      <c r="CA34" s="128">
        <v>1.31</v>
      </c>
      <c r="CB34" s="128">
        <v>1.31</v>
      </c>
      <c r="CC34" s="128">
        <v>1.31</v>
      </c>
      <c r="CD34" s="128">
        <v>1.31</v>
      </c>
      <c r="CE34" s="128">
        <v>1.31</v>
      </c>
      <c r="CF34" s="128">
        <v>1.31</v>
      </c>
      <c r="CG34" s="128">
        <v>1.31</v>
      </c>
      <c r="CH34" s="128">
        <v>1.31</v>
      </c>
      <c r="CI34" s="128">
        <v>1.31</v>
      </c>
      <c r="CJ34" s="128">
        <v>1.31</v>
      </c>
      <c r="CK34" s="128">
        <v>1.31</v>
      </c>
      <c r="CL34" s="128">
        <v>1.31</v>
      </c>
      <c r="CM34" s="128">
        <v>1.31</v>
      </c>
      <c r="CN34" s="128">
        <v>1.31</v>
      </c>
      <c r="CO34" s="128">
        <v>1.31</v>
      </c>
      <c r="CP34" s="128">
        <v>1.31</v>
      </c>
      <c r="CQ34" s="128">
        <v>1.31</v>
      </c>
      <c r="CR34" s="128">
        <v>1.31</v>
      </c>
      <c r="CS34" s="128">
        <v>1.31</v>
      </c>
      <c r="CT34" s="128">
        <v>1.31</v>
      </c>
      <c r="CU34" s="128">
        <v>1.31</v>
      </c>
      <c r="CV34" s="128">
        <v>1.31</v>
      </c>
      <c r="CW34" s="128">
        <v>1.31</v>
      </c>
      <c r="CX34" s="128">
        <v>1.31</v>
      </c>
      <c r="CZ34" s="126">
        <f>SUMIF(MatrixF3[[1]:[2]],MatrixF3[[#This Row],[Столбец1]])/MatrixF3[[#This Row],[Столбец1]]</f>
        <v>109.00000000000011</v>
      </c>
    </row>
    <row r="35" spans="1:104" ht="21" customHeight="1" x14ac:dyDescent="0.25">
      <c r="A35" s="127">
        <v>1.32</v>
      </c>
      <c r="B35" s="128">
        <v>1.32</v>
      </c>
      <c r="C35" s="128">
        <v>1.32</v>
      </c>
      <c r="D35" s="128">
        <v>1.32</v>
      </c>
      <c r="E35" s="128">
        <v>1.32</v>
      </c>
      <c r="F35" s="128">
        <v>1.32</v>
      </c>
      <c r="G35" s="128">
        <v>1.32</v>
      </c>
      <c r="H35" s="128">
        <v>1.32</v>
      </c>
      <c r="I35" s="128">
        <v>1.32</v>
      </c>
      <c r="J35" s="128">
        <v>1.32</v>
      </c>
      <c r="K35" s="128">
        <v>1.32</v>
      </c>
      <c r="L35" s="128">
        <v>1.32</v>
      </c>
      <c r="M35" s="128">
        <v>1.32</v>
      </c>
      <c r="N35" s="128">
        <v>1.32</v>
      </c>
      <c r="O35" s="128">
        <v>1.32</v>
      </c>
      <c r="P35" s="128">
        <v>1.32</v>
      </c>
      <c r="Q35" s="128">
        <v>1.32</v>
      </c>
      <c r="R35" s="128">
        <v>1.32</v>
      </c>
      <c r="S35" s="128">
        <v>1.32</v>
      </c>
      <c r="T35" s="128">
        <v>1.32</v>
      </c>
      <c r="U35" s="128">
        <v>1.32</v>
      </c>
      <c r="V35" s="128">
        <v>1.32</v>
      </c>
      <c r="W35" s="128">
        <v>1.32</v>
      </c>
      <c r="X35" s="128">
        <v>1.32</v>
      </c>
      <c r="Y35" s="128">
        <v>1.32</v>
      </c>
      <c r="Z35" s="128">
        <v>1.32</v>
      </c>
      <c r="AA35" s="128">
        <v>1.32</v>
      </c>
      <c r="AB35" s="128">
        <v>1.32</v>
      </c>
      <c r="AC35" s="128">
        <v>1.32</v>
      </c>
      <c r="AD35" s="128">
        <v>1.32</v>
      </c>
      <c r="AE35" s="128">
        <v>1.32</v>
      </c>
      <c r="AF35" s="128">
        <v>1.32</v>
      </c>
      <c r="AG35" s="128">
        <v>1.32</v>
      </c>
      <c r="AH35" s="128">
        <v>1.32</v>
      </c>
      <c r="AI35" s="128">
        <v>1.32</v>
      </c>
      <c r="AJ35" s="128">
        <v>1.33</v>
      </c>
      <c r="AK35" s="128">
        <v>1.33</v>
      </c>
      <c r="AL35" s="128">
        <v>1.33</v>
      </c>
      <c r="AM35" s="128">
        <v>1.34</v>
      </c>
      <c r="AN35" s="128">
        <v>1.34</v>
      </c>
      <c r="AO35" s="128">
        <v>1.34</v>
      </c>
      <c r="AP35" s="128">
        <v>1.35</v>
      </c>
      <c r="AQ35" s="128">
        <v>1.35</v>
      </c>
      <c r="AR35" s="128">
        <v>1.36</v>
      </c>
      <c r="AS35" s="128">
        <v>1.36</v>
      </c>
      <c r="AT35" s="128">
        <v>1.36</v>
      </c>
      <c r="AU35" s="128">
        <v>1.37</v>
      </c>
      <c r="AV35" s="128">
        <v>1.37</v>
      </c>
      <c r="AW35" s="128">
        <v>1.38</v>
      </c>
      <c r="AX35" s="128">
        <v>1.38</v>
      </c>
      <c r="AY35" s="128">
        <v>1.39</v>
      </c>
      <c r="AZ35" s="128">
        <v>1.39</v>
      </c>
      <c r="BA35" s="128">
        <v>1.39</v>
      </c>
      <c r="BB35" s="128">
        <v>1.38</v>
      </c>
      <c r="BC35" s="128">
        <v>1.38</v>
      </c>
      <c r="BD35" s="128">
        <v>1.37</v>
      </c>
      <c r="BE35" s="128">
        <v>1.37</v>
      </c>
      <c r="BF35" s="128">
        <v>1.36</v>
      </c>
      <c r="BG35" s="128">
        <v>1.36</v>
      </c>
      <c r="BH35" s="128">
        <v>1.36</v>
      </c>
      <c r="BI35" s="128">
        <v>1.35</v>
      </c>
      <c r="BJ35" s="128">
        <v>1.35</v>
      </c>
      <c r="BK35" s="128">
        <v>1.34</v>
      </c>
      <c r="BL35" s="128">
        <v>1.34</v>
      </c>
      <c r="BM35" s="128">
        <v>1.34</v>
      </c>
      <c r="BN35" s="128">
        <v>1.33</v>
      </c>
      <c r="BO35" s="128">
        <v>1.33</v>
      </c>
      <c r="BP35" s="128">
        <v>1.33</v>
      </c>
      <c r="BQ35" s="128">
        <v>1.32</v>
      </c>
      <c r="BR35" s="128">
        <v>1.32</v>
      </c>
      <c r="BS35" s="128">
        <v>1.32</v>
      </c>
      <c r="BT35" s="128">
        <v>1.32</v>
      </c>
      <c r="BU35" s="128">
        <v>1.32</v>
      </c>
      <c r="BV35" s="128">
        <v>1.32</v>
      </c>
      <c r="BW35" s="128">
        <v>1.32</v>
      </c>
      <c r="BX35" s="128">
        <v>1.32</v>
      </c>
      <c r="BY35" s="128">
        <v>1.32</v>
      </c>
      <c r="BZ35" s="128">
        <v>1.32</v>
      </c>
      <c r="CA35" s="128">
        <v>1.32</v>
      </c>
      <c r="CB35" s="128">
        <v>1.32</v>
      </c>
      <c r="CC35" s="128">
        <v>1.32</v>
      </c>
      <c r="CD35" s="128">
        <v>1.32</v>
      </c>
      <c r="CE35" s="128">
        <v>1.32</v>
      </c>
      <c r="CF35" s="128">
        <v>1.32</v>
      </c>
      <c r="CG35" s="128">
        <v>1.32</v>
      </c>
      <c r="CH35" s="128">
        <v>1.32</v>
      </c>
      <c r="CI35" s="128">
        <v>1.32</v>
      </c>
      <c r="CJ35" s="128">
        <v>1.32</v>
      </c>
      <c r="CK35" s="128">
        <v>1.32</v>
      </c>
      <c r="CL35" s="128">
        <v>1.32</v>
      </c>
      <c r="CM35" s="128">
        <v>1.32</v>
      </c>
      <c r="CN35" s="128">
        <v>1.32</v>
      </c>
      <c r="CO35" s="128">
        <v>1.32</v>
      </c>
      <c r="CP35" s="128">
        <v>1.32</v>
      </c>
      <c r="CQ35" s="128">
        <v>1.32</v>
      </c>
      <c r="CR35" s="128">
        <v>1.32</v>
      </c>
      <c r="CS35" s="128">
        <v>1.32</v>
      </c>
      <c r="CT35" s="128">
        <v>1.32</v>
      </c>
      <c r="CU35" s="128">
        <v>1.32</v>
      </c>
      <c r="CV35" s="128">
        <v>1.32</v>
      </c>
      <c r="CW35" s="128">
        <v>1.32</v>
      </c>
      <c r="CX35" s="128">
        <v>1.32</v>
      </c>
      <c r="CZ35" s="126">
        <f>SUMIF(MatrixF3[[1]:[2]],MatrixF3[[#This Row],[Столбец1]])/MatrixF3[[#This Row],[Столбец1]]</f>
        <v>111.99999999999967</v>
      </c>
    </row>
    <row r="36" spans="1:104" ht="21" customHeight="1" x14ac:dyDescent="0.25">
      <c r="A36" s="127">
        <v>1.33</v>
      </c>
      <c r="B36" s="128">
        <v>1.33</v>
      </c>
      <c r="C36" s="128">
        <v>1.33</v>
      </c>
      <c r="D36" s="128">
        <v>1.33</v>
      </c>
      <c r="E36" s="128">
        <v>1.33</v>
      </c>
      <c r="F36" s="128">
        <v>1.33</v>
      </c>
      <c r="G36" s="128">
        <v>1.33</v>
      </c>
      <c r="H36" s="128">
        <v>1.33</v>
      </c>
      <c r="I36" s="128">
        <v>1.33</v>
      </c>
      <c r="J36" s="128">
        <v>1.33</v>
      </c>
      <c r="K36" s="128">
        <v>1.33</v>
      </c>
      <c r="L36" s="128">
        <v>1.33</v>
      </c>
      <c r="M36" s="128">
        <v>1.33</v>
      </c>
      <c r="N36" s="128">
        <v>1.33</v>
      </c>
      <c r="O36" s="128">
        <v>1.33</v>
      </c>
      <c r="P36" s="128">
        <v>1.33</v>
      </c>
      <c r="Q36" s="128">
        <v>1.33</v>
      </c>
      <c r="R36" s="128">
        <v>1.33</v>
      </c>
      <c r="S36" s="128">
        <v>1.33</v>
      </c>
      <c r="T36" s="128">
        <v>1.33</v>
      </c>
      <c r="U36" s="128">
        <v>1.33</v>
      </c>
      <c r="V36" s="128">
        <v>1.33</v>
      </c>
      <c r="W36" s="128">
        <v>1.33</v>
      </c>
      <c r="X36" s="128">
        <v>1.33</v>
      </c>
      <c r="Y36" s="128">
        <v>1.33</v>
      </c>
      <c r="Z36" s="128">
        <v>1.33</v>
      </c>
      <c r="AA36" s="128">
        <v>1.33</v>
      </c>
      <c r="AB36" s="128">
        <v>1.33</v>
      </c>
      <c r="AC36" s="128">
        <v>1.33</v>
      </c>
      <c r="AD36" s="128">
        <v>1.33</v>
      </c>
      <c r="AE36" s="128">
        <v>1.33</v>
      </c>
      <c r="AF36" s="128">
        <v>1.33</v>
      </c>
      <c r="AG36" s="128">
        <v>1.33</v>
      </c>
      <c r="AH36" s="128">
        <v>1.33</v>
      </c>
      <c r="AI36" s="128">
        <v>1.33</v>
      </c>
      <c r="AJ36" s="128">
        <v>1.33</v>
      </c>
      <c r="AK36" s="128">
        <v>1.34</v>
      </c>
      <c r="AL36" s="128">
        <v>1.34</v>
      </c>
      <c r="AM36" s="128">
        <v>1.34</v>
      </c>
      <c r="AN36" s="128">
        <v>1.35</v>
      </c>
      <c r="AO36" s="128">
        <v>1.35</v>
      </c>
      <c r="AP36" s="128">
        <v>1.35</v>
      </c>
      <c r="AQ36" s="128">
        <v>1.36</v>
      </c>
      <c r="AR36" s="128">
        <v>1.36</v>
      </c>
      <c r="AS36" s="128">
        <v>1.37</v>
      </c>
      <c r="AT36" s="128">
        <v>1.37</v>
      </c>
      <c r="AU36" s="128">
        <v>1.38</v>
      </c>
      <c r="AV36" s="128">
        <v>1.38</v>
      </c>
      <c r="AW36" s="128">
        <v>1.38</v>
      </c>
      <c r="AX36" s="128">
        <v>1.39</v>
      </c>
      <c r="AY36" s="128">
        <v>1.39</v>
      </c>
      <c r="AZ36" s="128">
        <v>1.4</v>
      </c>
      <c r="BA36" s="128">
        <v>1.39</v>
      </c>
      <c r="BB36" s="128">
        <v>1.39</v>
      </c>
      <c r="BC36" s="128">
        <v>1.38</v>
      </c>
      <c r="BD36" s="128">
        <v>1.38</v>
      </c>
      <c r="BE36" s="128">
        <v>1.38</v>
      </c>
      <c r="BF36" s="128">
        <v>1.37</v>
      </c>
      <c r="BG36" s="128">
        <v>1.37</v>
      </c>
      <c r="BH36" s="128">
        <v>1.36</v>
      </c>
      <c r="BI36" s="128">
        <v>1.36</v>
      </c>
      <c r="BJ36" s="128">
        <v>1.35</v>
      </c>
      <c r="BK36" s="128">
        <v>1.35</v>
      </c>
      <c r="BL36" s="128">
        <v>1.35</v>
      </c>
      <c r="BM36" s="128">
        <v>1.34</v>
      </c>
      <c r="BN36" s="128">
        <v>1.34</v>
      </c>
      <c r="BO36" s="128">
        <v>1.34</v>
      </c>
      <c r="BP36" s="128">
        <v>1.33</v>
      </c>
      <c r="BQ36" s="128">
        <v>1.33</v>
      </c>
      <c r="BR36" s="128">
        <v>1.33</v>
      </c>
      <c r="BS36" s="128">
        <v>1.33</v>
      </c>
      <c r="BT36" s="128">
        <v>1.33</v>
      </c>
      <c r="BU36" s="128">
        <v>1.33</v>
      </c>
      <c r="BV36" s="128">
        <v>1.33</v>
      </c>
      <c r="BW36" s="128">
        <v>1.33</v>
      </c>
      <c r="BX36" s="128">
        <v>1.33</v>
      </c>
      <c r="BY36" s="128">
        <v>1.33</v>
      </c>
      <c r="BZ36" s="128">
        <v>1.33</v>
      </c>
      <c r="CA36" s="128">
        <v>1.33</v>
      </c>
      <c r="CB36" s="128">
        <v>1.33</v>
      </c>
      <c r="CC36" s="128">
        <v>1.33</v>
      </c>
      <c r="CD36" s="128">
        <v>1.33</v>
      </c>
      <c r="CE36" s="128">
        <v>1.33</v>
      </c>
      <c r="CF36" s="128">
        <v>1.33</v>
      </c>
      <c r="CG36" s="128">
        <v>1.33</v>
      </c>
      <c r="CH36" s="128">
        <v>1.33</v>
      </c>
      <c r="CI36" s="128">
        <v>1.33</v>
      </c>
      <c r="CJ36" s="128">
        <v>1.33</v>
      </c>
      <c r="CK36" s="128">
        <v>1.33</v>
      </c>
      <c r="CL36" s="128">
        <v>1.33</v>
      </c>
      <c r="CM36" s="128">
        <v>1.33</v>
      </c>
      <c r="CN36" s="128">
        <v>1.33</v>
      </c>
      <c r="CO36" s="128">
        <v>1.33</v>
      </c>
      <c r="CP36" s="128">
        <v>1.33</v>
      </c>
      <c r="CQ36" s="128">
        <v>1.33</v>
      </c>
      <c r="CR36" s="128">
        <v>1.33</v>
      </c>
      <c r="CS36" s="128">
        <v>1.33</v>
      </c>
      <c r="CT36" s="128">
        <v>1.33</v>
      </c>
      <c r="CU36" s="128">
        <v>1.33</v>
      </c>
      <c r="CV36" s="128">
        <v>1.33</v>
      </c>
      <c r="CW36" s="128">
        <v>1.33</v>
      </c>
      <c r="CX36" s="128">
        <v>1.33</v>
      </c>
      <c r="CZ36" s="126">
        <f>SUMIF(MatrixF3[[1]:[2]],MatrixF3[[#This Row],[Столбец1]])/MatrixF3[[#This Row],[Столбец1]]</f>
        <v>113.00000000000006</v>
      </c>
    </row>
    <row r="37" spans="1:104" ht="21" customHeight="1" x14ac:dyDescent="0.25">
      <c r="A37" s="127">
        <v>1.34</v>
      </c>
      <c r="B37" s="128">
        <v>1.34</v>
      </c>
      <c r="C37" s="128">
        <v>1.34</v>
      </c>
      <c r="D37" s="128">
        <v>1.34</v>
      </c>
      <c r="E37" s="128">
        <v>1.34</v>
      </c>
      <c r="F37" s="128">
        <v>1.34</v>
      </c>
      <c r="G37" s="128">
        <v>1.34</v>
      </c>
      <c r="H37" s="128">
        <v>1.34</v>
      </c>
      <c r="I37" s="128">
        <v>1.34</v>
      </c>
      <c r="J37" s="128">
        <v>1.34</v>
      </c>
      <c r="K37" s="128">
        <v>1.34</v>
      </c>
      <c r="L37" s="128">
        <v>1.34</v>
      </c>
      <c r="M37" s="128">
        <v>1.34</v>
      </c>
      <c r="N37" s="128">
        <v>1.34</v>
      </c>
      <c r="O37" s="128">
        <v>1.34</v>
      </c>
      <c r="P37" s="128">
        <v>1.34</v>
      </c>
      <c r="Q37" s="128">
        <v>1.34</v>
      </c>
      <c r="R37" s="128">
        <v>1.34</v>
      </c>
      <c r="S37" s="128">
        <v>1.34</v>
      </c>
      <c r="T37" s="128">
        <v>1.34</v>
      </c>
      <c r="U37" s="128">
        <v>1.34</v>
      </c>
      <c r="V37" s="128">
        <v>1.34</v>
      </c>
      <c r="W37" s="128">
        <v>1.34</v>
      </c>
      <c r="X37" s="128">
        <v>1.34</v>
      </c>
      <c r="Y37" s="128">
        <v>1.34</v>
      </c>
      <c r="Z37" s="128">
        <v>1.34</v>
      </c>
      <c r="AA37" s="128">
        <v>1.34</v>
      </c>
      <c r="AB37" s="128">
        <v>1.34</v>
      </c>
      <c r="AC37" s="128">
        <v>1.34</v>
      </c>
      <c r="AD37" s="128">
        <v>1.34</v>
      </c>
      <c r="AE37" s="128">
        <v>1.34</v>
      </c>
      <c r="AF37" s="128">
        <v>1.34</v>
      </c>
      <c r="AG37" s="128">
        <v>1.34</v>
      </c>
      <c r="AH37" s="128">
        <v>1.34</v>
      </c>
      <c r="AI37" s="128">
        <v>1.34</v>
      </c>
      <c r="AJ37" s="128">
        <v>1.34</v>
      </c>
      <c r="AK37" s="128">
        <v>1.34</v>
      </c>
      <c r="AL37" s="128">
        <v>1.35</v>
      </c>
      <c r="AM37" s="128">
        <v>1.35</v>
      </c>
      <c r="AN37" s="128">
        <v>1.35</v>
      </c>
      <c r="AO37" s="128">
        <v>1.36</v>
      </c>
      <c r="AP37" s="128">
        <v>1.36</v>
      </c>
      <c r="AQ37" s="128">
        <v>1.37</v>
      </c>
      <c r="AR37" s="128">
        <v>1.37</v>
      </c>
      <c r="AS37" s="128">
        <v>1.37</v>
      </c>
      <c r="AT37" s="128">
        <v>1.38</v>
      </c>
      <c r="AU37" s="128">
        <v>1.38</v>
      </c>
      <c r="AV37" s="128">
        <v>1.39</v>
      </c>
      <c r="AW37" s="128">
        <v>1.39</v>
      </c>
      <c r="AX37" s="128">
        <v>1.4</v>
      </c>
      <c r="AY37" s="128">
        <v>1.4</v>
      </c>
      <c r="AZ37" s="128">
        <v>1.4</v>
      </c>
      <c r="BA37" s="128">
        <v>1.4</v>
      </c>
      <c r="BB37" s="128">
        <v>1.4</v>
      </c>
      <c r="BC37" s="128">
        <v>1.39</v>
      </c>
      <c r="BD37" s="128">
        <v>1.39</v>
      </c>
      <c r="BE37" s="128">
        <v>1.38</v>
      </c>
      <c r="BF37" s="128">
        <v>1.38</v>
      </c>
      <c r="BG37" s="128">
        <v>1.37</v>
      </c>
      <c r="BH37" s="128">
        <v>1.37</v>
      </c>
      <c r="BI37" s="128">
        <v>1.37</v>
      </c>
      <c r="BJ37" s="128">
        <v>1.36</v>
      </c>
      <c r="BK37" s="128">
        <v>1.36</v>
      </c>
      <c r="BL37" s="128">
        <v>1.35</v>
      </c>
      <c r="BM37" s="128">
        <v>1.35</v>
      </c>
      <c r="BN37" s="128">
        <v>1.35</v>
      </c>
      <c r="BO37" s="128">
        <v>1.34</v>
      </c>
      <c r="BP37" s="128">
        <v>1.34</v>
      </c>
      <c r="BQ37" s="128">
        <v>1.34</v>
      </c>
      <c r="BR37" s="128">
        <v>1.34</v>
      </c>
      <c r="BS37" s="128">
        <v>1.34</v>
      </c>
      <c r="BT37" s="128">
        <v>1.34</v>
      </c>
      <c r="BU37" s="128">
        <v>1.34</v>
      </c>
      <c r="BV37" s="128">
        <v>1.34</v>
      </c>
      <c r="BW37" s="128">
        <v>1.34</v>
      </c>
      <c r="BX37" s="128">
        <v>1.34</v>
      </c>
      <c r="BY37" s="128">
        <v>1.34</v>
      </c>
      <c r="BZ37" s="128">
        <v>1.34</v>
      </c>
      <c r="CA37" s="128">
        <v>1.34</v>
      </c>
      <c r="CB37" s="128">
        <v>1.34</v>
      </c>
      <c r="CC37" s="128">
        <v>1.34</v>
      </c>
      <c r="CD37" s="128">
        <v>1.34</v>
      </c>
      <c r="CE37" s="128">
        <v>1.34</v>
      </c>
      <c r="CF37" s="128">
        <v>1.34</v>
      </c>
      <c r="CG37" s="128">
        <v>1.34</v>
      </c>
      <c r="CH37" s="128">
        <v>1.34</v>
      </c>
      <c r="CI37" s="128">
        <v>1.34</v>
      </c>
      <c r="CJ37" s="128">
        <v>1.34</v>
      </c>
      <c r="CK37" s="128">
        <v>1.34</v>
      </c>
      <c r="CL37" s="128">
        <v>1.34</v>
      </c>
      <c r="CM37" s="128">
        <v>1.34</v>
      </c>
      <c r="CN37" s="128">
        <v>1.34</v>
      </c>
      <c r="CO37" s="128">
        <v>1.34</v>
      </c>
      <c r="CP37" s="128">
        <v>1.34</v>
      </c>
      <c r="CQ37" s="128">
        <v>1.34</v>
      </c>
      <c r="CR37" s="128">
        <v>1.34</v>
      </c>
      <c r="CS37" s="128">
        <v>1.34</v>
      </c>
      <c r="CT37" s="128">
        <v>1.34</v>
      </c>
      <c r="CU37" s="128">
        <v>1.34</v>
      </c>
      <c r="CV37" s="128">
        <v>1.34</v>
      </c>
      <c r="CW37" s="128">
        <v>1.34</v>
      </c>
      <c r="CX37" s="128">
        <v>1.34</v>
      </c>
      <c r="CZ37" s="126">
        <f>SUMIF(MatrixF3[[1]:[2]],MatrixF3[[#This Row],[Столбец1]])/MatrixF3[[#This Row],[Столбец1]]</f>
        <v>111.00000000000021</v>
      </c>
    </row>
    <row r="38" spans="1:104" ht="21" customHeight="1" x14ac:dyDescent="0.25">
      <c r="A38" s="127">
        <v>1.35</v>
      </c>
      <c r="B38" s="128">
        <v>1.35</v>
      </c>
      <c r="C38" s="128">
        <v>1.35</v>
      </c>
      <c r="D38" s="128">
        <v>1.35</v>
      </c>
      <c r="E38" s="128">
        <v>1.35</v>
      </c>
      <c r="F38" s="128">
        <v>1.35</v>
      </c>
      <c r="G38" s="128">
        <v>1.35</v>
      </c>
      <c r="H38" s="128">
        <v>1.35</v>
      </c>
      <c r="I38" s="128">
        <v>1.35</v>
      </c>
      <c r="J38" s="128">
        <v>1.35</v>
      </c>
      <c r="K38" s="128">
        <v>1.35</v>
      </c>
      <c r="L38" s="128">
        <v>1.35</v>
      </c>
      <c r="M38" s="128">
        <v>1.35</v>
      </c>
      <c r="N38" s="128">
        <v>1.35</v>
      </c>
      <c r="O38" s="128">
        <v>1.35</v>
      </c>
      <c r="P38" s="128">
        <v>1.35</v>
      </c>
      <c r="Q38" s="128">
        <v>1.35</v>
      </c>
      <c r="R38" s="128">
        <v>1.35</v>
      </c>
      <c r="S38" s="128">
        <v>1.35</v>
      </c>
      <c r="T38" s="128">
        <v>1.35</v>
      </c>
      <c r="U38" s="128">
        <v>1.35</v>
      </c>
      <c r="V38" s="128">
        <v>1.35</v>
      </c>
      <c r="W38" s="128">
        <v>1.35</v>
      </c>
      <c r="X38" s="128">
        <v>1.35</v>
      </c>
      <c r="Y38" s="128">
        <v>1.35</v>
      </c>
      <c r="Z38" s="128">
        <v>1.35</v>
      </c>
      <c r="AA38" s="128">
        <v>1.35</v>
      </c>
      <c r="AB38" s="128">
        <v>1.35</v>
      </c>
      <c r="AC38" s="128">
        <v>1.35</v>
      </c>
      <c r="AD38" s="128">
        <v>1.35</v>
      </c>
      <c r="AE38" s="128">
        <v>1.35</v>
      </c>
      <c r="AF38" s="128">
        <v>1.35</v>
      </c>
      <c r="AG38" s="128">
        <v>1.35</v>
      </c>
      <c r="AH38" s="128">
        <v>1.35</v>
      </c>
      <c r="AI38" s="128">
        <v>1.35</v>
      </c>
      <c r="AJ38" s="128">
        <v>1.35</v>
      </c>
      <c r="AK38" s="128">
        <v>1.35</v>
      </c>
      <c r="AL38" s="128">
        <v>1.35</v>
      </c>
      <c r="AM38" s="128">
        <v>1.36</v>
      </c>
      <c r="AN38" s="128">
        <v>1.36</v>
      </c>
      <c r="AO38" s="128">
        <v>1.36</v>
      </c>
      <c r="AP38" s="128">
        <v>1.37</v>
      </c>
      <c r="AQ38" s="128">
        <v>1.37</v>
      </c>
      <c r="AR38" s="128">
        <v>1.38</v>
      </c>
      <c r="AS38" s="128">
        <v>1.38</v>
      </c>
      <c r="AT38" s="128">
        <v>1.38</v>
      </c>
      <c r="AU38" s="128">
        <v>1.39</v>
      </c>
      <c r="AV38" s="128">
        <v>1.39</v>
      </c>
      <c r="AW38" s="128">
        <v>1.4</v>
      </c>
      <c r="AX38" s="128">
        <v>1.4</v>
      </c>
      <c r="AY38" s="128">
        <v>1.41</v>
      </c>
      <c r="AZ38" s="128">
        <v>1.41</v>
      </c>
      <c r="BA38" s="128">
        <v>1.41</v>
      </c>
      <c r="BB38" s="128">
        <v>1.4</v>
      </c>
      <c r="BC38" s="128">
        <v>1.4</v>
      </c>
      <c r="BD38" s="128">
        <v>1.39</v>
      </c>
      <c r="BE38" s="128">
        <v>1.39</v>
      </c>
      <c r="BF38" s="128">
        <v>1.38</v>
      </c>
      <c r="BG38" s="128">
        <v>1.38</v>
      </c>
      <c r="BH38" s="128">
        <v>1.38</v>
      </c>
      <c r="BI38" s="128">
        <v>1.37</v>
      </c>
      <c r="BJ38" s="128">
        <v>1.37</v>
      </c>
      <c r="BK38" s="128">
        <v>1.36</v>
      </c>
      <c r="BL38" s="128">
        <v>1.36</v>
      </c>
      <c r="BM38" s="128">
        <v>1.36</v>
      </c>
      <c r="BN38" s="128">
        <v>1.35</v>
      </c>
      <c r="BO38" s="128">
        <v>1.35</v>
      </c>
      <c r="BP38" s="128">
        <v>1.35</v>
      </c>
      <c r="BQ38" s="128">
        <v>1.35</v>
      </c>
      <c r="BR38" s="128">
        <v>1.35</v>
      </c>
      <c r="BS38" s="128">
        <v>1.35</v>
      </c>
      <c r="BT38" s="128">
        <v>1.35</v>
      </c>
      <c r="BU38" s="128">
        <v>1.35</v>
      </c>
      <c r="BV38" s="128">
        <v>1.35</v>
      </c>
      <c r="BW38" s="128">
        <v>1.35</v>
      </c>
      <c r="BX38" s="128">
        <v>1.35</v>
      </c>
      <c r="BY38" s="128">
        <v>1.35</v>
      </c>
      <c r="BZ38" s="128">
        <v>1.35</v>
      </c>
      <c r="CA38" s="128">
        <v>1.35</v>
      </c>
      <c r="CB38" s="128">
        <v>1.35</v>
      </c>
      <c r="CC38" s="128">
        <v>1.35</v>
      </c>
      <c r="CD38" s="128">
        <v>1.35</v>
      </c>
      <c r="CE38" s="128">
        <v>1.35</v>
      </c>
      <c r="CF38" s="128">
        <v>1.35</v>
      </c>
      <c r="CG38" s="128">
        <v>1.35</v>
      </c>
      <c r="CH38" s="128">
        <v>1.35</v>
      </c>
      <c r="CI38" s="128">
        <v>1.35</v>
      </c>
      <c r="CJ38" s="128">
        <v>1.35</v>
      </c>
      <c r="CK38" s="128">
        <v>1.35</v>
      </c>
      <c r="CL38" s="128">
        <v>1.35</v>
      </c>
      <c r="CM38" s="128">
        <v>1.35</v>
      </c>
      <c r="CN38" s="128">
        <v>1.35</v>
      </c>
      <c r="CO38" s="128">
        <v>1.35</v>
      </c>
      <c r="CP38" s="128">
        <v>1.35</v>
      </c>
      <c r="CQ38" s="128">
        <v>1.35</v>
      </c>
      <c r="CR38" s="128">
        <v>1.35</v>
      </c>
      <c r="CS38" s="128">
        <v>1.35</v>
      </c>
      <c r="CT38" s="128">
        <v>1.35</v>
      </c>
      <c r="CU38" s="128">
        <v>1.35</v>
      </c>
      <c r="CV38" s="128">
        <v>1.35</v>
      </c>
      <c r="CW38" s="128">
        <v>1.35</v>
      </c>
      <c r="CX38" s="128">
        <v>1.35</v>
      </c>
      <c r="CZ38" s="126">
        <f>SUMIF(MatrixF3[[1]:[2]],MatrixF3[[#This Row],[Столбец1]])/MatrixF3[[#This Row],[Столбец1]]</f>
        <v>112.99999999999974</v>
      </c>
    </row>
    <row r="39" spans="1:104" ht="21" customHeight="1" x14ac:dyDescent="0.25">
      <c r="A39" s="127">
        <v>1.36</v>
      </c>
      <c r="B39" s="128">
        <v>1.36</v>
      </c>
      <c r="C39" s="128">
        <v>1.36</v>
      </c>
      <c r="D39" s="128">
        <v>1.36</v>
      </c>
      <c r="E39" s="128">
        <v>1.36</v>
      </c>
      <c r="F39" s="128">
        <v>1.36</v>
      </c>
      <c r="G39" s="128">
        <v>1.36</v>
      </c>
      <c r="H39" s="128">
        <v>1.36</v>
      </c>
      <c r="I39" s="128">
        <v>1.36</v>
      </c>
      <c r="J39" s="128">
        <v>1.36</v>
      </c>
      <c r="K39" s="128">
        <v>1.36</v>
      </c>
      <c r="L39" s="128">
        <v>1.36</v>
      </c>
      <c r="M39" s="128">
        <v>1.36</v>
      </c>
      <c r="N39" s="128">
        <v>1.36</v>
      </c>
      <c r="O39" s="128">
        <v>1.36</v>
      </c>
      <c r="P39" s="128">
        <v>1.36</v>
      </c>
      <c r="Q39" s="128">
        <v>1.36</v>
      </c>
      <c r="R39" s="128">
        <v>1.36</v>
      </c>
      <c r="S39" s="128">
        <v>1.36</v>
      </c>
      <c r="T39" s="128">
        <v>1.36</v>
      </c>
      <c r="U39" s="128">
        <v>1.36</v>
      </c>
      <c r="V39" s="128">
        <v>1.36</v>
      </c>
      <c r="W39" s="128">
        <v>1.36</v>
      </c>
      <c r="X39" s="128">
        <v>1.36</v>
      </c>
      <c r="Y39" s="128">
        <v>1.36</v>
      </c>
      <c r="Z39" s="128">
        <v>1.36</v>
      </c>
      <c r="AA39" s="128">
        <v>1.36</v>
      </c>
      <c r="AB39" s="128">
        <v>1.36</v>
      </c>
      <c r="AC39" s="128">
        <v>1.36</v>
      </c>
      <c r="AD39" s="128">
        <v>1.36</v>
      </c>
      <c r="AE39" s="128">
        <v>1.36</v>
      </c>
      <c r="AF39" s="128">
        <v>1.36</v>
      </c>
      <c r="AG39" s="128">
        <v>1.36</v>
      </c>
      <c r="AH39" s="128">
        <v>1.36</v>
      </c>
      <c r="AI39" s="128">
        <v>1.36</v>
      </c>
      <c r="AJ39" s="128">
        <v>1.36</v>
      </c>
      <c r="AK39" s="128">
        <v>1.36</v>
      </c>
      <c r="AL39" s="128">
        <v>1.36</v>
      </c>
      <c r="AM39" s="128">
        <v>1.36</v>
      </c>
      <c r="AN39" s="128">
        <v>1.37</v>
      </c>
      <c r="AO39" s="128">
        <v>1.37</v>
      </c>
      <c r="AP39" s="128">
        <v>1.38</v>
      </c>
      <c r="AQ39" s="128">
        <v>1.38</v>
      </c>
      <c r="AR39" s="128">
        <v>1.38</v>
      </c>
      <c r="AS39" s="128">
        <v>1.39</v>
      </c>
      <c r="AT39" s="128">
        <v>1.39</v>
      </c>
      <c r="AU39" s="128">
        <v>1.4</v>
      </c>
      <c r="AV39" s="128">
        <v>1.4</v>
      </c>
      <c r="AW39" s="128">
        <v>1.4</v>
      </c>
      <c r="AX39" s="128">
        <v>1.41</v>
      </c>
      <c r="AY39" s="128">
        <v>1.41</v>
      </c>
      <c r="AZ39" s="128">
        <v>1.42</v>
      </c>
      <c r="BA39" s="128">
        <v>1.41</v>
      </c>
      <c r="BB39" s="128">
        <v>1.41</v>
      </c>
      <c r="BC39" s="128">
        <v>1.4</v>
      </c>
      <c r="BD39" s="128">
        <v>1.4</v>
      </c>
      <c r="BE39" s="128">
        <v>1.4</v>
      </c>
      <c r="BF39" s="128">
        <v>1.39</v>
      </c>
      <c r="BG39" s="128">
        <v>1.39</v>
      </c>
      <c r="BH39" s="128">
        <v>1.38</v>
      </c>
      <c r="BI39" s="128">
        <v>1.38</v>
      </c>
      <c r="BJ39" s="128">
        <v>1.38</v>
      </c>
      <c r="BK39" s="128">
        <v>1.37</v>
      </c>
      <c r="BL39" s="128">
        <v>1.37</v>
      </c>
      <c r="BM39" s="128">
        <v>1.36</v>
      </c>
      <c r="BN39" s="128">
        <v>1.36</v>
      </c>
      <c r="BO39" s="128">
        <v>1.36</v>
      </c>
      <c r="BP39" s="128">
        <v>1.36</v>
      </c>
      <c r="BQ39" s="128">
        <v>1.36</v>
      </c>
      <c r="BR39" s="128">
        <v>1.36</v>
      </c>
      <c r="BS39" s="128">
        <v>1.36</v>
      </c>
      <c r="BT39" s="128">
        <v>1.36</v>
      </c>
      <c r="BU39" s="128">
        <v>1.36</v>
      </c>
      <c r="BV39" s="128">
        <v>1.36</v>
      </c>
      <c r="BW39" s="128">
        <v>1.36</v>
      </c>
      <c r="BX39" s="128">
        <v>1.36</v>
      </c>
      <c r="BY39" s="128">
        <v>1.36</v>
      </c>
      <c r="BZ39" s="128">
        <v>1.36</v>
      </c>
      <c r="CA39" s="128">
        <v>1.36</v>
      </c>
      <c r="CB39" s="128">
        <v>1.36</v>
      </c>
      <c r="CC39" s="128">
        <v>1.36</v>
      </c>
      <c r="CD39" s="128">
        <v>1.36</v>
      </c>
      <c r="CE39" s="128">
        <v>1.36</v>
      </c>
      <c r="CF39" s="128">
        <v>1.36</v>
      </c>
      <c r="CG39" s="128">
        <v>1.36</v>
      </c>
      <c r="CH39" s="128">
        <v>1.36</v>
      </c>
      <c r="CI39" s="128">
        <v>1.36</v>
      </c>
      <c r="CJ39" s="128">
        <v>1.36</v>
      </c>
      <c r="CK39" s="128">
        <v>1.36</v>
      </c>
      <c r="CL39" s="128">
        <v>1.36</v>
      </c>
      <c r="CM39" s="128">
        <v>1.36</v>
      </c>
      <c r="CN39" s="128">
        <v>1.36</v>
      </c>
      <c r="CO39" s="128">
        <v>1.36</v>
      </c>
      <c r="CP39" s="128">
        <v>1.36</v>
      </c>
      <c r="CQ39" s="128">
        <v>1.36</v>
      </c>
      <c r="CR39" s="128">
        <v>1.36</v>
      </c>
      <c r="CS39" s="128">
        <v>1.36</v>
      </c>
      <c r="CT39" s="128">
        <v>1.36</v>
      </c>
      <c r="CU39" s="128">
        <v>1.36</v>
      </c>
      <c r="CV39" s="128">
        <v>1.36</v>
      </c>
      <c r="CW39" s="128">
        <v>1.36</v>
      </c>
      <c r="CX39" s="128">
        <v>1.36</v>
      </c>
      <c r="CZ39" s="126">
        <f>SUMIF(MatrixF3[[1]:[2]],MatrixF3[[#This Row],[Столбец1]])/MatrixF3[[#This Row],[Столбец1]]</f>
        <v>111.00000000000013</v>
      </c>
    </row>
    <row r="40" spans="1:104" ht="21" customHeight="1" x14ac:dyDescent="0.25">
      <c r="A40" s="127">
        <v>1.37</v>
      </c>
      <c r="B40" s="128">
        <v>1.37</v>
      </c>
      <c r="C40" s="128">
        <v>1.37</v>
      </c>
      <c r="D40" s="128">
        <v>1.37</v>
      </c>
      <c r="E40" s="128">
        <v>1.37</v>
      </c>
      <c r="F40" s="128">
        <v>1.37</v>
      </c>
      <c r="G40" s="128">
        <v>1.37</v>
      </c>
      <c r="H40" s="128">
        <v>1.37</v>
      </c>
      <c r="I40" s="128">
        <v>1.37</v>
      </c>
      <c r="J40" s="128">
        <v>1.37</v>
      </c>
      <c r="K40" s="128">
        <v>1.37</v>
      </c>
      <c r="L40" s="128">
        <v>1.37</v>
      </c>
      <c r="M40" s="128">
        <v>1.37</v>
      </c>
      <c r="N40" s="128">
        <v>1.37</v>
      </c>
      <c r="O40" s="128">
        <v>1.37</v>
      </c>
      <c r="P40" s="128">
        <v>1.37</v>
      </c>
      <c r="Q40" s="128">
        <v>1.37</v>
      </c>
      <c r="R40" s="128">
        <v>1.37</v>
      </c>
      <c r="S40" s="128">
        <v>1.37</v>
      </c>
      <c r="T40" s="128">
        <v>1.37</v>
      </c>
      <c r="U40" s="128">
        <v>1.37</v>
      </c>
      <c r="V40" s="128">
        <v>1.37</v>
      </c>
      <c r="W40" s="128">
        <v>1.37</v>
      </c>
      <c r="X40" s="128">
        <v>1.37</v>
      </c>
      <c r="Y40" s="128">
        <v>1.37</v>
      </c>
      <c r="Z40" s="128">
        <v>1.37</v>
      </c>
      <c r="AA40" s="128">
        <v>1.37</v>
      </c>
      <c r="AB40" s="128">
        <v>1.37</v>
      </c>
      <c r="AC40" s="128">
        <v>1.37</v>
      </c>
      <c r="AD40" s="128">
        <v>1.37</v>
      </c>
      <c r="AE40" s="128">
        <v>1.37</v>
      </c>
      <c r="AF40" s="128">
        <v>1.37</v>
      </c>
      <c r="AG40" s="128">
        <v>1.37</v>
      </c>
      <c r="AH40" s="128">
        <v>1.37</v>
      </c>
      <c r="AI40" s="128">
        <v>1.37</v>
      </c>
      <c r="AJ40" s="128">
        <v>1.37</v>
      </c>
      <c r="AK40" s="128">
        <v>1.37</v>
      </c>
      <c r="AL40" s="128">
        <v>1.37</v>
      </c>
      <c r="AM40" s="128">
        <v>1.37</v>
      </c>
      <c r="AN40" s="128">
        <v>1.37</v>
      </c>
      <c r="AO40" s="128">
        <v>1.38</v>
      </c>
      <c r="AP40" s="128">
        <v>1.38</v>
      </c>
      <c r="AQ40" s="128">
        <v>1.39</v>
      </c>
      <c r="AR40" s="128">
        <v>1.39</v>
      </c>
      <c r="AS40" s="128">
        <v>1.39</v>
      </c>
      <c r="AT40" s="128">
        <v>1.4</v>
      </c>
      <c r="AU40" s="128">
        <v>1.4</v>
      </c>
      <c r="AV40" s="128">
        <v>1.41</v>
      </c>
      <c r="AW40" s="128">
        <v>1.41</v>
      </c>
      <c r="AX40" s="128">
        <v>1.42</v>
      </c>
      <c r="AY40" s="128">
        <v>1.42</v>
      </c>
      <c r="AZ40" s="128">
        <v>1.43</v>
      </c>
      <c r="BA40" s="128">
        <v>1.42</v>
      </c>
      <c r="BB40" s="128">
        <v>1.42</v>
      </c>
      <c r="BC40" s="128">
        <v>1.41</v>
      </c>
      <c r="BD40" s="128">
        <v>1.41</v>
      </c>
      <c r="BE40" s="128">
        <v>1.4</v>
      </c>
      <c r="BF40" s="128">
        <v>1.4</v>
      </c>
      <c r="BG40" s="128">
        <v>1.39</v>
      </c>
      <c r="BH40" s="128">
        <v>1.39</v>
      </c>
      <c r="BI40" s="128">
        <v>1.39</v>
      </c>
      <c r="BJ40" s="128">
        <v>1.38</v>
      </c>
      <c r="BK40" s="128">
        <v>1.38</v>
      </c>
      <c r="BL40" s="128">
        <v>1.37</v>
      </c>
      <c r="BM40" s="128">
        <v>1.37</v>
      </c>
      <c r="BN40" s="128">
        <v>1.37</v>
      </c>
      <c r="BO40" s="128">
        <v>1.37</v>
      </c>
      <c r="BP40" s="128">
        <v>1.37</v>
      </c>
      <c r="BQ40" s="128">
        <v>1.37</v>
      </c>
      <c r="BR40" s="128">
        <v>1.37</v>
      </c>
      <c r="BS40" s="128">
        <v>1.37</v>
      </c>
      <c r="BT40" s="128">
        <v>1.37</v>
      </c>
      <c r="BU40" s="128">
        <v>1.37</v>
      </c>
      <c r="BV40" s="128">
        <v>1.37</v>
      </c>
      <c r="BW40" s="128">
        <v>1.37</v>
      </c>
      <c r="BX40" s="128">
        <v>1.37</v>
      </c>
      <c r="BY40" s="128">
        <v>1.37</v>
      </c>
      <c r="BZ40" s="128">
        <v>1.37</v>
      </c>
      <c r="CA40" s="128">
        <v>1.37</v>
      </c>
      <c r="CB40" s="128">
        <v>1.37</v>
      </c>
      <c r="CC40" s="128">
        <v>1.37</v>
      </c>
      <c r="CD40" s="128">
        <v>1.37</v>
      </c>
      <c r="CE40" s="128">
        <v>1.37</v>
      </c>
      <c r="CF40" s="128">
        <v>1.37</v>
      </c>
      <c r="CG40" s="128">
        <v>1.37</v>
      </c>
      <c r="CH40" s="128">
        <v>1.37</v>
      </c>
      <c r="CI40" s="128">
        <v>1.37</v>
      </c>
      <c r="CJ40" s="128">
        <v>1.37</v>
      </c>
      <c r="CK40" s="128">
        <v>1.37</v>
      </c>
      <c r="CL40" s="128">
        <v>1.37</v>
      </c>
      <c r="CM40" s="128">
        <v>1.37</v>
      </c>
      <c r="CN40" s="128">
        <v>1.37</v>
      </c>
      <c r="CO40" s="128">
        <v>1.37</v>
      </c>
      <c r="CP40" s="128">
        <v>1.37</v>
      </c>
      <c r="CQ40" s="128">
        <v>1.37</v>
      </c>
      <c r="CR40" s="128">
        <v>1.37</v>
      </c>
      <c r="CS40" s="128">
        <v>1.37</v>
      </c>
      <c r="CT40" s="128">
        <v>1.37</v>
      </c>
      <c r="CU40" s="128">
        <v>1.37</v>
      </c>
      <c r="CV40" s="128">
        <v>1.37</v>
      </c>
      <c r="CW40" s="128">
        <v>1.37</v>
      </c>
      <c r="CX40" s="128">
        <v>1.37</v>
      </c>
      <c r="CZ40" s="126">
        <f>SUMIF(MatrixF3[[1]:[2]],MatrixF3[[#This Row],[Столбец1]])/MatrixF3[[#This Row],[Столбец1]]</f>
        <v>109.00000000000017</v>
      </c>
    </row>
    <row r="41" spans="1:104" ht="21" customHeight="1" x14ac:dyDescent="0.25">
      <c r="A41" s="127">
        <v>1.38</v>
      </c>
      <c r="B41" s="128">
        <v>1.38</v>
      </c>
      <c r="C41" s="128">
        <v>1.38</v>
      </c>
      <c r="D41" s="128">
        <v>1.38</v>
      </c>
      <c r="E41" s="128">
        <v>1.38</v>
      </c>
      <c r="F41" s="128">
        <v>1.38</v>
      </c>
      <c r="G41" s="128">
        <v>1.38</v>
      </c>
      <c r="H41" s="128">
        <v>1.38</v>
      </c>
      <c r="I41" s="128">
        <v>1.38</v>
      </c>
      <c r="J41" s="128">
        <v>1.38</v>
      </c>
      <c r="K41" s="128">
        <v>1.38</v>
      </c>
      <c r="L41" s="128">
        <v>1.38</v>
      </c>
      <c r="M41" s="128">
        <v>1.38</v>
      </c>
      <c r="N41" s="128">
        <v>1.38</v>
      </c>
      <c r="O41" s="128">
        <v>1.38</v>
      </c>
      <c r="P41" s="128">
        <v>1.38</v>
      </c>
      <c r="Q41" s="128">
        <v>1.38</v>
      </c>
      <c r="R41" s="128">
        <v>1.38</v>
      </c>
      <c r="S41" s="128">
        <v>1.38</v>
      </c>
      <c r="T41" s="128">
        <v>1.38</v>
      </c>
      <c r="U41" s="128">
        <v>1.38</v>
      </c>
      <c r="V41" s="128">
        <v>1.38</v>
      </c>
      <c r="W41" s="128">
        <v>1.38</v>
      </c>
      <c r="X41" s="128">
        <v>1.38</v>
      </c>
      <c r="Y41" s="128">
        <v>1.38</v>
      </c>
      <c r="Z41" s="128">
        <v>1.38</v>
      </c>
      <c r="AA41" s="128">
        <v>1.38</v>
      </c>
      <c r="AB41" s="128">
        <v>1.38</v>
      </c>
      <c r="AC41" s="128">
        <v>1.38</v>
      </c>
      <c r="AD41" s="128">
        <v>1.38</v>
      </c>
      <c r="AE41" s="128">
        <v>1.38</v>
      </c>
      <c r="AF41" s="128">
        <v>1.38</v>
      </c>
      <c r="AG41" s="128">
        <v>1.38</v>
      </c>
      <c r="AH41" s="128">
        <v>1.38</v>
      </c>
      <c r="AI41" s="128">
        <v>1.38</v>
      </c>
      <c r="AJ41" s="128">
        <v>1.38</v>
      </c>
      <c r="AK41" s="128">
        <v>1.38</v>
      </c>
      <c r="AL41" s="128">
        <v>1.38</v>
      </c>
      <c r="AM41" s="128">
        <v>1.38</v>
      </c>
      <c r="AN41" s="128">
        <v>1.38</v>
      </c>
      <c r="AO41" s="128">
        <v>1.38</v>
      </c>
      <c r="AP41" s="128">
        <v>1.39</v>
      </c>
      <c r="AQ41" s="128">
        <v>1.39</v>
      </c>
      <c r="AR41" s="128">
        <v>1.4</v>
      </c>
      <c r="AS41" s="128">
        <v>1.4</v>
      </c>
      <c r="AT41" s="128">
        <v>1.4</v>
      </c>
      <c r="AU41" s="128">
        <v>1.41</v>
      </c>
      <c r="AV41" s="128">
        <v>1.41</v>
      </c>
      <c r="AW41" s="128">
        <v>1.42</v>
      </c>
      <c r="AX41" s="128">
        <v>1.42</v>
      </c>
      <c r="AY41" s="128">
        <v>1.43</v>
      </c>
      <c r="AZ41" s="128">
        <v>1.43</v>
      </c>
      <c r="BA41" s="128">
        <v>1.43</v>
      </c>
      <c r="BB41" s="128">
        <v>1.42</v>
      </c>
      <c r="BC41" s="128">
        <v>1.42</v>
      </c>
      <c r="BD41" s="128">
        <v>1.41</v>
      </c>
      <c r="BE41" s="128">
        <v>1.41</v>
      </c>
      <c r="BF41" s="128">
        <v>1.4</v>
      </c>
      <c r="BG41" s="128">
        <v>1.4</v>
      </c>
      <c r="BH41" s="128">
        <v>1.4</v>
      </c>
      <c r="BI41" s="128">
        <v>1.39</v>
      </c>
      <c r="BJ41" s="128">
        <v>1.39</v>
      </c>
      <c r="BK41" s="128">
        <v>1.38</v>
      </c>
      <c r="BL41" s="128">
        <v>1.38</v>
      </c>
      <c r="BM41" s="128">
        <v>1.38</v>
      </c>
      <c r="BN41" s="128">
        <v>1.38</v>
      </c>
      <c r="BO41" s="128">
        <v>1.38</v>
      </c>
      <c r="BP41" s="128">
        <v>1.38</v>
      </c>
      <c r="BQ41" s="128">
        <v>1.38</v>
      </c>
      <c r="BR41" s="128">
        <v>1.38</v>
      </c>
      <c r="BS41" s="128">
        <v>1.38</v>
      </c>
      <c r="BT41" s="128">
        <v>1.38</v>
      </c>
      <c r="BU41" s="128">
        <v>1.38</v>
      </c>
      <c r="BV41" s="128">
        <v>1.38</v>
      </c>
      <c r="BW41" s="128">
        <v>1.38</v>
      </c>
      <c r="BX41" s="128">
        <v>1.38</v>
      </c>
      <c r="BY41" s="128">
        <v>1.38</v>
      </c>
      <c r="BZ41" s="128">
        <v>1.38</v>
      </c>
      <c r="CA41" s="128">
        <v>1.38</v>
      </c>
      <c r="CB41" s="128">
        <v>1.38</v>
      </c>
      <c r="CC41" s="128">
        <v>1.38</v>
      </c>
      <c r="CD41" s="128">
        <v>1.38</v>
      </c>
      <c r="CE41" s="128">
        <v>1.38</v>
      </c>
      <c r="CF41" s="128">
        <v>1.38</v>
      </c>
      <c r="CG41" s="128">
        <v>1.38</v>
      </c>
      <c r="CH41" s="128">
        <v>1.38</v>
      </c>
      <c r="CI41" s="128">
        <v>1.38</v>
      </c>
      <c r="CJ41" s="128">
        <v>1.38</v>
      </c>
      <c r="CK41" s="128">
        <v>1.38</v>
      </c>
      <c r="CL41" s="128">
        <v>1.38</v>
      </c>
      <c r="CM41" s="128">
        <v>1.38</v>
      </c>
      <c r="CN41" s="128">
        <v>1.38</v>
      </c>
      <c r="CO41" s="128">
        <v>1.38</v>
      </c>
      <c r="CP41" s="128">
        <v>1.38</v>
      </c>
      <c r="CQ41" s="128">
        <v>1.38</v>
      </c>
      <c r="CR41" s="128">
        <v>1.38</v>
      </c>
      <c r="CS41" s="128">
        <v>1.38</v>
      </c>
      <c r="CT41" s="128">
        <v>1.38</v>
      </c>
      <c r="CU41" s="128">
        <v>1.38</v>
      </c>
      <c r="CV41" s="128">
        <v>1.38</v>
      </c>
      <c r="CW41" s="128">
        <v>1.38</v>
      </c>
      <c r="CX41" s="128">
        <v>1.38</v>
      </c>
      <c r="CZ41" s="126">
        <f>SUMIF(MatrixF3[[1]:[2]],MatrixF3[[#This Row],[Столбец1]])/MatrixF3[[#This Row],[Столбец1]]</f>
        <v>113.99999999999982</v>
      </c>
    </row>
    <row r="42" spans="1:104" ht="21" customHeight="1" x14ac:dyDescent="0.25">
      <c r="A42" s="127">
        <v>1.39</v>
      </c>
      <c r="B42" s="128">
        <v>1.39</v>
      </c>
      <c r="C42" s="128">
        <v>1.39</v>
      </c>
      <c r="D42" s="128">
        <v>1.39</v>
      </c>
      <c r="E42" s="128">
        <v>1.39</v>
      </c>
      <c r="F42" s="128">
        <v>1.39</v>
      </c>
      <c r="G42" s="128">
        <v>1.39</v>
      </c>
      <c r="H42" s="128">
        <v>1.39</v>
      </c>
      <c r="I42" s="128">
        <v>1.39</v>
      </c>
      <c r="J42" s="128">
        <v>1.39</v>
      </c>
      <c r="K42" s="128">
        <v>1.39</v>
      </c>
      <c r="L42" s="128">
        <v>1.39</v>
      </c>
      <c r="M42" s="128">
        <v>1.39</v>
      </c>
      <c r="N42" s="128">
        <v>1.39</v>
      </c>
      <c r="O42" s="128">
        <v>1.39</v>
      </c>
      <c r="P42" s="128">
        <v>1.39</v>
      </c>
      <c r="Q42" s="128">
        <v>1.39</v>
      </c>
      <c r="R42" s="128">
        <v>1.39</v>
      </c>
      <c r="S42" s="128">
        <v>1.39</v>
      </c>
      <c r="T42" s="128">
        <v>1.39</v>
      </c>
      <c r="U42" s="128">
        <v>1.39</v>
      </c>
      <c r="V42" s="128">
        <v>1.39</v>
      </c>
      <c r="W42" s="128">
        <v>1.39</v>
      </c>
      <c r="X42" s="128">
        <v>1.39</v>
      </c>
      <c r="Y42" s="128">
        <v>1.39</v>
      </c>
      <c r="Z42" s="128">
        <v>1.39</v>
      </c>
      <c r="AA42" s="128">
        <v>1.39</v>
      </c>
      <c r="AB42" s="128">
        <v>1.39</v>
      </c>
      <c r="AC42" s="128">
        <v>1.39</v>
      </c>
      <c r="AD42" s="128">
        <v>1.39</v>
      </c>
      <c r="AE42" s="128">
        <v>1.39</v>
      </c>
      <c r="AF42" s="128">
        <v>1.39</v>
      </c>
      <c r="AG42" s="128">
        <v>1.39</v>
      </c>
      <c r="AH42" s="128">
        <v>1.39</v>
      </c>
      <c r="AI42" s="128">
        <v>1.39</v>
      </c>
      <c r="AJ42" s="128">
        <v>1.39</v>
      </c>
      <c r="AK42" s="128">
        <v>1.39</v>
      </c>
      <c r="AL42" s="128">
        <v>1.39</v>
      </c>
      <c r="AM42" s="128">
        <v>1.39</v>
      </c>
      <c r="AN42" s="128">
        <v>1.39</v>
      </c>
      <c r="AO42" s="128">
        <v>1.39</v>
      </c>
      <c r="AP42" s="128">
        <v>1.39</v>
      </c>
      <c r="AQ42" s="128">
        <v>1.4</v>
      </c>
      <c r="AR42" s="128">
        <v>1.4</v>
      </c>
      <c r="AS42" s="128">
        <v>1.41</v>
      </c>
      <c r="AT42" s="128">
        <v>1.41</v>
      </c>
      <c r="AU42" s="128">
        <v>1.41</v>
      </c>
      <c r="AV42" s="128">
        <v>1.42</v>
      </c>
      <c r="AW42" s="128">
        <v>1.42</v>
      </c>
      <c r="AX42" s="128">
        <v>1.43</v>
      </c>
      <c r="AY42" s="128">
        <v>1.43</v>
      </c>
      <c r="AZ42" s="128">
        <v>1.44</v>
      </c>
      <c r="BA42" s="128">
        <v>1.43</v>
      </c>
      <c r="BB42" s="128">
        <v>1.43</v>
      </c>
      <c r="BC42" s="128">
        <v>1.42</v>
      </c>
      <c r="BD42" s="128">
        <v>1.42</v>
      </c>
      <c r="BE42" s="128">
        <v>1.41</v>
      </c>
      <c r="BF42" s="128">
        <v>1.41</v>
      </c>
      <c r="BG42" s="128">
        <v>1.41</v>
      </c>
      <c r="BH42" s="128">
        <v>1.4</v>
      </c>
      <c r="BI42" s="128">
        <v>1.4</v>
      </c>
      <c r="BJ42" s="128">
        <v>1.39</v>
      </c>
      <c r="BK42" s="128">
        <v>1.39</v>
      </c>
      <c r="BL42" s="128">
        <v>1.39</v>
      </c>
      <c r="BM42" s="128">
        <v>1.39</v>
      </c>
      <c r="BN42" s="128">
        <v>1.39</v>
      </c>
      <c r="BO42" s="128">
        <v>1.39</v>
      </c>
      <c r="BP42" s="128">
        <v>1.39</v>
      </c>
      <c r="BQ42" s="128">
        <v>1.39</v>
      </c>
      <c r="BR42" s="128">
        <v>1.39</v>
      </c>
      <c r="BS42" s="128">
        <v>1.39</v>
      </c>
      <c r="BT42" s="128">
        <v>1.39</v>
      </c>
      <c r="BU42" s="128">
        <v>1.39</v>
      </c>
      <c r="BV42" s="128">
        <v>1.39</v>
      </c>
      <c r="BW42" s="128">
        <v>1.39</v>
      </c>
      <c r="BX42" s="128">
        <v>1.39</v>
      </c>
      <c r="BY42" s="128">
        <v>1.39</v>
      </c>
      <c r="BZ42" s="128">
        <v>1.39</v>
      </c>
      <c r="CA42" s="128">
        <v>1.39</v>
      </c>
      <c r="CB42" s="128">
        <v>1.39</v>
      </c>
      <c r="CC42" s="128">
        <v>1.39</v>
      </c>
      <c r="CD42" s="128">
        <v>1.39</v>
      </c>
      <c r="CE42" s="128">
        <v>1.39</v>
      </c>
      <c r="CF42" s="128">
        <v>1.39</v>
      </c>
      <c r="CG42" s="128">
        <v>1.39</v>
      </c>
      <c r="CH42" s="128">
        <v>1.39</v>
      </c>
      <c r="CI42" s="128">
        <v>1.39</v>
      </c>
      <c r="CJ42" s="128">
        <v>1.39</v>
      </c>
      <c r="CK42" s="128">
        <v>1.39</v>
      </c>
      <c r="CL42" s="128">
        <v>1.39</v>
      </c>
      <c r="CM42" s="128">
        <v>1.39</v>
      </c>
      <c r="CN42" s="128">
        <v>1.39</v>
      </c>
      <c r="CO42" s="128">
        <v>1.39</v>
      </c>
      <c r="CP42" s="128">
        <v>1.39</v>
      </c>
      <c r="CQ42" s="128">
        <v>1.39</v>
      </c>
      <c r="CR42" s="128">
        <v>1.39</v>
      </c>
      <c r="CS42" s="128">
        <v>1.39</v>
      </c>
      <c r="CT42" s="128">
        <v>1.39</v>
      </c>
      <c r="CU42" s="128">
        <v>1.39</v>
      </c>
      <c r="CV42" s="128">
        <v>1.39</v>
      </c>
      <c r="CW42" s="128">
        <v>1.39</v>
      </c>
      <c r="CX42" s="128">
        <v>1.39</v>
      </c>
      <c r="CZ42" s="126">
        <f>SUMIF(MatrixF3[[1]:[2]],MatrixF3[[#This Row],[Столбец1]])/MatrixF3[[#This Row],[Столбец1]]</f>
        <v>110.99999999999986</v>
      </c>
    </row>
    <row r="43" spans="1:104" ht="21" customHeight="1" x14ac:dyDescent="0.25">
      <c r="A43" s="127">
        <v>1.4</v>
      </c>
      <c r="B43" s="128">
        <v>1.4</v>
      </c>
      <c r="C43" s="128">
        <v>1.4</v>
      </c>
      <c r="D43" s="128">
        <v>1.4</v>
      </c>
      <c r="E43" s="128">
        <v>1.4</v>
      </c>
      <c r="F43" s="128">
        <v>1.4</v>
      </c>
      <c r="G43" s="128">
        <v>1.4</v>
      </c>
      <c r="H43" s="128">
        <v>1.4</v>
      </c>
      <c r="I43" s="128">
        <v>1.4</v>
      </c>
      <c r="J43" s="128">
        <v>1.4</v>
      </c>
      <c r="K43" s="128">
        <v>1.4</v>
      </c>
      <c r="L43" s="128">
        <v>1.4</v>
      </c>
      <c r="M43" s="128">
        <v>1.4</v>
      </c>
      <c r="N43" s="128">
        <v>1.4</v>
      </c>
      <c r="O43" s="128">
        <v>1.4</v>
      </c>
      <c r="P43" s="128">
        <v>1.4</v>
      </c>
      <c r="Q43" s="128">
        <v>1.4</v>
      </c>
      <c r="R43" s="128">
        <v>1.4</v>
      </c>
      <c r="S43" s="128">
        <v>1.4</v>
      </c>
      <c r="T43" s="128">
        <v>1.4</v>
      </c>
      <c r="U43" s="128">
        <v>1.4</v>
      </c>
      <c r="V43" s="128">
        <v>1.4</v>
      </c>
      <c r="W43" s="128">
        <v>1.4</v>
      </c>
      <c r="X43" s="128">
        <v>1.4</v>
      </c>
      <c r="Y43" s="128">
        <v>1.4</v>
      </c>
      <c r="Z43" s="128">
        <v>1.4</v>
      </c>
      <c r="AA43" s="128">
        <v>1.4</v>
      </c>
      <c r="AB43" s="128">
        <v>1.4</v>
      </c>
      <c r="AC43" s="128">
        <v>1.4</v>
      </c>
      <c r="AD43" s="128">
        <v>1.4</v>
      </c>
      <c r="AE43" s="128">
        <v>1.4</v>
      </c>
      <c r="AF43" s="128">
        <v>1.4</v>
      </c>
      <c r="AG43" s="128">
        <v>1.4</v>
      </c>
      <c r="AH43" s="128">
        <v>1.4</v>
      </c>
      <c r="AI43" s="128">
        <v>1.4</v>
      </c>
      <c r="AJ43" s="128">
        <v>1.4</v>
      </c>
      <c r="AK43" s="128">
        <v>1.4</v>
      </c>
      <c r="AL43" s="128">
        <v>1.4</v>
      </c>
      <c r="AM43" s="128">
        <v>1.4</v>
      </c>
      <c r="AN43" s="128">
        <v>1.4</v>
      </c>
      <c r="AO43" s="128">
        <v>1.4</v>
      </c>
      <c r="AP43" s="128">
        <v>1.4</v>
      </c>
      <c r="AQ43" s="128">
        <v>1.4</v>
      </c>
      <c r="AR43" s="128">
        <v>1.41</v>
      </c>
      <c r="AS43" s="128">
        <v>1.41</v>
      </c>
      <c r="AT43" s="128">
        <v>1.42</v>
      </c>
      <c r="AU43" s="128">
        <v>1.42</v>
      </c>
      <c r="AV43" s="128">
        <v>1.43</v>
      </c>
      <c r="AW43" s="128">
        <v>1.43</v>
      </c>
      <c r="AX43" s="128">
        <v>1.43</v>
      </c>
      <c r="AY43" s="128">
        <v>1.44</v>
      </c>
      <c r="AZ43" s="128">
        <v>1.44</v>
      </c>
      <c r="BA43" s="128">
        <v>1.44</v>
      </c>
      <c r="BB43" s="128">
        <v>1.43</v>
      </c>
      <c r="BC43" s="128">
        <v>1.43</v>
      </c>
      <c r="BD43" s="128">
        <v>1.43</v>
      </c>
      <c r="BE43" s="128">
        <v>1.42</v>
      </c>
      <c r="BF43" s="128">
        <v>1.42</v>
      </c>
      <c r="BG43" s="128">
        <v>1.41</v>
      </c>
      <c r="BH43" s="128">
        <v>1.41</v>
      </c>
      <c r="BI43" s="128">
        <v>1.4</v>
      </c>
      <c r="BJ43" s="128">
        <v>1.4</v>
      </c>
      <c r="BK43" s="128">
        <v>1.4</v>
      </c>
      <c r="BL43" s="128">
        <v>1.4</v>
      </c>
      <c r="BM43" s="128">
        <v>1.4</v>
      </c>
      <c r="BN43" s="128">
        <v>1.4</v>
      </c>
      <c r="BO43" s="128">
        <v>1.4</v>
      </c>
      <c r="BP43" s="128">
        <v>1.4</v>
      </c>
      <c r="BQ43" s="128">
        <v>1.4</v>
      </c>
      <c r="BR43" s="128">
        <v>1.4</v>
      </c>
      <c r="BS43" s="128">
        <v>1.4</v>
      </c>
      <c r="BT43" s="128">
        <v>1.4</v>
      </c>
      <c r="BU43" s="128">
        <v>1.4</v>
      </c>
      <c r="BV43" s="128">
        <v>1.4</v>
      </c>
      <c r="BW43" s="128">
        <v>1.4</v>
      </c>
      <c r="BX43" s="128">
        <v>1.4</v>
      </c>
      <c r="BY43" s="128">
        <v>1.4</v>
      </c>
      <c r="BZ43" s="128">
        <v>1.4</v>
      </c>
      <c r="CA43" s="128">
        <v>1.4</v>
      </c>
      <c r="CB43" s="128">
        <v>1.4</v>
      </c>
      <c r="CC43" s="128">
        <v>1.4</v>
      </c>
      <c r="CD43" s="128">
        <v>1.4</v>
      </c>
      <c r="CE43" s="128">
        <v>1.4</v>
      </c>
      <c r="CF43" s="128">
        <v>1.4</v>
      </c>
      <c r="CG43" s="128">
        <v>1.4</v>
      </c>
      <c r="CH43" s="128">
        <v>1.4</v>
      </c>
      <c r="CI43" s="128">
        <v>1.4</v>
      </c>
      <c r="CJ43" s="128">
        <v>1.4</v>
      </c>
      <c r="CK43" s="128">
        <v>1.4</v>
      </c>
      <c r="CL43" s="128">
        <v>1.4</v>
      </c>
      <c r="CM43" s="128">
        <v>1.4</v>
      </c>
      <c r="CN43" s="128">
        <v>1.4</v>
      </c>
      <c r="CO43" s="128">
        <v>1.4</v>
      </c>
      <c r="CP43" s="128">
        <v>1.4</v>
      </c>
      <c r="CQ43" s="128">
        <v>1.4</v>
      </c>
      <c r="CR43" s="128">
        <v>1.4</v>
      </c>
      <c r="CS43" s="128">
        <v>1.4</v>
      </c>
      <c r="CT43" s="128">
        <v>1.4</v>
      </c>
      <c r="CU43" s="128">
        <v>1.4</v>
      </c>
      <c r="CV43" s="128">
        <v>1.4</v>
      </c>
      <c r="CW43" s="128">
        <v>1.4</v>
      </c>
      <c r="CX43" s="128">
        <v>1.4</v>
      </c>
      <c r="CZ43" s="126">
        <f>SUMIF(MatrixF3[[1]:[2]],MatrixF3[[#This Row],[Столбец1]])/MatrixF3[[#This Row],[Столбец1]]</f>
        <v>114.00000000000024</v>
      </c>
    </row>
    <row r="44" spans="1:104" ht="21" customHeight="1" x14ac:dyDescent="0.25">
      <c r="A44" s="127">
        <v>1.41</v>
      </c>
      <c r="B44" s="128">
        <v>1.41</v>
      </c>
      <c r="C44" s="128">
        <v>1.41</v>
      </c>
      <c r="D44" s="128">
        <v>1.41</v>
      </c>
      <c r="E44" s="128">
        <v>1.41</v>
      </c>
      <c r="F44" s="128">
        <v>1.41</v>
      </c>
      <c r="G44" s="128">
        <v>1.41</v>
      </c>
      <c r="H44" s="128">
        <v>1.41</v>
      </c>
      <c r="I44" s="128">
        <v>1.41</v>
      </c>
      <c r="J44" s="128">
        <v>1.41</v>
      </c>
      <c r="K44" s="128">
        <v>1.41</v>
      </c>
      <c r="L44" s="128">
        <v>1.41</v>
      </c>
      <c r="M44" s="128">
        <v>1.41</v>
      </c>
      <c r="N44" s="128">
        <v>1.41</v>
      </c>
      <c r="O44" s="128">
        <v>1.41</v>
      </c>
      <c r="P44" s="128">
        <v>1.41</v>
      </c>
      <c r="Q44" s="128">
        <v>1.41</v>
      </c>
      <c r="R44" s="128">
        <v>1.41</v>
      </c>
      <c r="S44" s="128">
        <v>1.41</v>
      </c>
      <c r="T44" s="128">
        <v>1.41</v>
      </c>
      <c r="U44" s="128">
        <v>1.41</v>
      </c>
      <c r="V44" s="128">
        <v>1.41</v>
      </c>
      <c r="W44" s="128">
        <v>1.41</v>
      </c>
      <c r="X44" s="128">
        <v>1.41</v>
      </c>
      <c r="Y44" s="128">
        <v>1.41</v>
      </c>
      <c r="Z44" s="128">
        <v>1.41</v>
      </c>
      <c r="AA44" s="128">
        <v>1.41</v>
      </c>
      <c r="AB44" s="128">
        <v>1.41</v>
      </c>
      <c r="AC44" s="128">
        <v>1.41</v>
      </c>
      <c r="AD44" s="128">
        <v>1.41</v>
      </c>
      <c r="AE44" s="128">
        <v>1.41</v>
      </c>
      <c r="AF44" s="128">
        <v>1.41</v>
      </c>
      <c r="AG44" s="128">
        <v>1.41</v>
      </c>
      <c r="AH44" s="128">
        <v>1.41</v>
      </c>
      <c r="AI44" s="128">
        <v>1.41</v>
      </c>
      <c r="AJ44" s="128">
        <v>1.41</v>
      </c>
      <c r="AK44" s="128">
        <v>1.41</v>
      </c>
      <c r="AL44" s="128">
        <v>1.41</v>
      </c>
      <c r="AM44" s="128">
        <v>1.41</v>
      </c>
      <c r="AN44" s="128">
        <v>1.41</v>
      </c>
      <c r="AO44" s="128">
        <v>1.41</v>
      </c>
      <c r="AP44" s="128">
        <v>1.41</v>
      </c>
      <c r="AQ44" s="128">
        <v>1.41</v>
      </c>
      <c r="AR44" s="128">
        <v>1.41</v>
      </c>
      <c r="AS44" s="128">
        <v>1.42</v>
      </c>
      <c r="AT44" s="128">
        <v>1.42</v>
      </c>
      <c r="AU44" s="128">
        <v>1.43</v>
      </c>
      <c r="AV44" s="128">
        <v>1.43</v>
      </c>
      <c r="AW44" s="128">
        <v>1.44</v>
      </c>
      <c r="AX44" s="128">
        <v>1.44</v>
      </c>
      <c r="AY44" s="128">
        <v>1.45</v>
      </c>
      <c r="AZ44" s="128">
        <v>1.45</v>
      </c>
      <c r="BA44" s="128">
        <v>1.45</v>
      </c>
      <c r="BB44" s="128">
        <v>1.44</v>
      </c>
      <c r="BC44" s="128">
        <v>1.44</v>
      </c>
      <c r="BD44" s="128">
        <v>1.43</v>
      </c>
      <c r="BE44" s="128">
        <v>1.43</v>
      </c>
      <c r="BF44" s="128">
        <v>1.42</v>
      </c>
      <c r="BG44" s="128">
        <v>1.42</v>
      </c>
      <c r="BH44" s="128">
        <v>1.41</v>
      </c>
      <c r="BI44" s="128">
        <v>1.41</v>
      </c>
      <c r="BJ44" s="128">
        <v>1.41</v>
      </c>
      <c r="BK44" s="128">
        <v>1.41</v>
      </c>
      <c r="BL44" s="128">
        <v>1.41</v>
      </c>
      <c r="BM44" s="128">
        <v>1.41</v>
      </c>
      <c r="BN44" s="128">
        <v>1.41</v>
      </c>
      <c r="BO44" s="128">
        <v>1.41</v>
      </c>
      <c r="BP44" s="128">
        <v>1.41</v>
      </c>
      <c r="BQ44" s="128">
        <v>1.41</v>
      </c>
      <c r="BR44" s="128">
        <v>1.41</v>
      </c>
      <c r="BS44" s="128">
        <v>1.41</v>
      </c>
      <c r="BT44" s="128">
        <v>1.41</v>
      </c>
      <c r="BU44" s="128">
        <v>1.41</v>
      </c>
      <c r="BV44" s="128">
        <v>1.41</v>
      </c>
      <c r="BW44" s="128">
        <v>1.41</v>
      </c>
      <c r="BX44" s="128">
        <v>1.41</v>
      </c>
      <c r="BY44" s="128">
        <v>1.41</v>
      </c>
      <c r="BZ44" s="128">
        <v>1.41</v>
      </c>
      <c r="CA44" s="128">
        <v>1.41</v>
      </c>
      <c r="CB44" s="128">
        <v>1.41</v>
      </c>
      <c r="CC44" s="128">
        <v>1.41</v>
      </c>
      <c r="CD44" s="128">
        <v>1.41</v>
      </c>
      <c r="CE44" s="128">
        <v>1.41</v>
      </c>
      <c r="CF44" s="128">
        <v>1.41</v>
      </c>
      <c r="CG44" s="128">
        <v>1.41</v>
      </c>
      <c r="CH44" s="128">
        <v>1.41</v>
      </c>
      <c r="CI44" s="128">
        <v>1.41</v>
      </c>
      <c r="CJ44" s="128">
        <v>1.41</v>
      </c>
      <c r="CK44" s="128">
        <v>1.41</v>
      </c>
      <c r="CL44" s="128">
        <v>1.41</v>
      </c>
      <c r="CM44" s="128">
        <v>1.41</v>
      </c>
      <c r="CN44" s="128">
        <v>1.41</v>
      </c>
      <c r="CO44" s="128">
        <v>1.41</v>
      </c>
      <c r="CP44" s="128">
        <v>1.41</v>
      </c>
      <c r="CQ44" s="128">
        <v>1.41</v>
      </c>
      <c r="CR44" s="128">
        <v>1.41</v>
      </c>
      <c r="CS44" s="128">
        <v>1.41</v>
      </c>
      <c r="CT44" s="128">
        <v>1.41</v>
      </c>
      <c r="CU44" s="128">
        <v>1.41</v>
      </c>
      <c r="CV44" s="128">
        <v>1.41</v>
      </c>
      <c r="CW44" s="128">
        <v>1.41</v>
      </c>
      <c r="CX44" s="128">
        <v>1.41</v>
      </c>
      <c r="CZ44" s="126">
        <f>SUMIF(MatrixF3[[1]:[2]],MatrixF3[[#This Row],[Столбец1]])/MatrixF3[[#This Row],[Столбец1]]</f>
        <v>110.9999999999998</v>
      </c>
    </row>
    <row r="45" spans="1:104" ht="21" customHeight="1" x14ac:dyDescent="0.25">
      <c r="A45" s="127">
        <v>1.42</v>
      </c>
      <c r="B45" s="128">
        <v>1.42</v>
      </c>
      <c r="C45" s="128">
        <v>1.42</v>
      </c>
      <c r="D45" s="128">
        <v>1.42</v>
      </c>
      <c r="E45" s="128">
        <v>1.42</v>
      </c>
      <c r="F45" s="128">
        <v>1.42</v>
      </c>
      <c r="G45" s="128">
        <v>1.42</v>
      </c>
      <c r="H45" s="128">
        <v>1.42</v>
      </c>
      <c r="I45" s="128">
        <v>1.42</v>
      </c>
      <c r="J45" s="128">
        <v>1.42</v>
      </c>
      <c r="K45" s="128">
        <v>1.42</v>
      </c>
      <c r="L45" s="128">
        <v>1.42</v>
      </c>
      <c r="M45" s="128">
        <v>1.42</v>
      </c>
      <c r="N45" s="128">
        <v>1.42</v>
      </c>
      <c r="O45" s="128">
        <v>1.42</v>
      </c>
      <c r="P45" s="128">
        <v>1.42</v>
      </c>
      <c r="Q45" s="128">
        <v>1.42</v>
      </c>
      <c r="R45" s="128">
        <v>1.42</v>
      </c>
      <c r="S45" s="128">
        <v>1.42</v>
      </c>
      <c r="T45" s="128">
        <v>1.42</v>
      </c>
      <c r="U45" s="128">
        <v>1.42</v>
      </c>
      <c r="V45" s="128">
        <v>1.42</v>
      </c>
      <c r="W45" s="128">
        <v>1.42</v>
      </c>
      <c r="X45" s="128">
        <v>1.42</v>
      </c>
      <c r="Y45" s="128">
        <v>1.42</v>
      </c>
      <c r="Z45" s="128">
        <v>1.42</v>
      </c>
      <c r="AA45" s="128">
        <v>1.42</v>
      </c>
      <c r="AB45" s="128">
        <v>1.42</v>
      </c>
      <c r="AC45" s="128">
        <v>1.42</v>
      </c>
      <c r="AD45" s="128">
        <v>1.42</v>
      </c>
      <c r="AE45" s="128">
        <v>1.42</v>
      </c>
      <c r="AF45" s="128">
        <v>1.42</v>
      </c>
      <c r="AG45" s="128">
        <v>1.42</v>
      </c>
      <c r="AH45" s="128">
        <v>1.42</v>
      </c>
      <c r="AI45" s="128">
        <v>1.42</v>
      </c>
      <c r="AJ45" s="128">
        <v>1.42</v>
      </c>
      <c r="AK45" s="128">
        <v>1.42</v>
      </c>
      <c r="AL45" s="128">
        <v>1.42</v>
      </c>
      <c r="AM45" s="128">
        <v>1.42</v>
      </c>
      <c r="AN45" s="128">
        <v>1.42</v>
      </c>
      <c r="AO45" s="128">
        <v>1.42</v>
      </c>
      <c r="AP45" s="128">
        <v>1.42</v>
      </c>
      <c r="AQ45" s="128">
        <v>1.42</v>
      </c>
      <c r="AR45" s="128">
        <v>1.42</v>
      </c>
      <c r="AS45" s="128">
        <v>1.42</v>
      </c>
      <c r="AT45" s="128">
        <v>1.43</v>
      </c>
      <c r="AU45" s="128">
        <v>1.43</v>
      </c>
      <c r="AV45" s="128">
        <v>1.44</v>
      </c>
      <c r="AW45" s="128">
        <v>1.44</v>
      </c>
      <c r="AX45" s="128">
        <v>1.45</v>
      </c>
      <c r="AY45" s="128">
        <v>1.45</v>
      </c>
      <c r="AZ45" s="128">
        <v>1.46</v>
      </c>
      <c r="BA45" s="128">
        <v>1.45</v>
      </c>
      <c r="BB45" s="128">
        <v>1.45</v>
      </c>
      <c r="BC45" s="128">
        <v>1.44</v>
      </c>
      <c r="BD45" s="128">
        <v>1.44</v>
      </c>
      <c r="BE45" s="128">
        <v>1.43</v>
      </c>
      <c r="BF45" s="128">
        <v>1.43</v>
      </c>
      <c r="BG45" s="128">
        <v>1.42</v>
      </c>
      <c r="BH45" s="128">
        <v>1.42</v>
      </c>
      <c r="BI45" s="128">
        <v>1.42</v>
      </c>
      <c r="BJ45" s="128">
        <v>1.42</v>
      </c>
      <c r="BK45" s="128">
        <v>1.42</v>
      </c>
      <c r="BL45" s="128">
        <v>1.42</v>
      </c>
      <c r="BM45" s="128">
        <v>1.42</v>
      </c>
      <c r="BN45" s="128">
        <v>1.42</v>
      </c>
      <c r="BO45" s="128">
        <v>1.42</v>
      </c>
      <c r="BP45" s="128">
        <v>1.42</v>
      </c>
      <c r="BQ45" s="128">
        <v>1.42</v>
      </c>
      <c r="BR45" s="128">
        <v>1.42</v>
      </c>
      <c r="BS45" s="128">
        <v>1.42</v>
      </c>
      <c r="BT45" s="128">
        <v>1.42</v>
      </c>
      <c r="BU45" s="128">
        <v>1.42</v>
      </c>
      <c r="BV45" s="128">
        <v>1.42</v>
      </c>
      <c r="BW45" s="128">
        <v>1.42</v>
      </c>
      <c r="BX45" s="128">
        <v>1.42</v>
      </c>
      <c r="BY45" s="128">
        <v>1.42</v>
      </c>
      <c r="BZ45" s="128">
        <v>1.42</v>
      </c>
      <c r="CA45" s="128">
        <v>1.42</v>
      </c>
      <c r="CB45" s="128">
        <v>1.42</v>
      </c>
      <c r="CC45" s="128">
        <v>1.42</v>
      </c>
      <c r="CD45" s="128">
        <v>1.42</v>
      </c>
      <c r="CE45" s="128">
        <v>1.42</v>
      </c>
      <c r="CF45" s="128">
        <v>1.42</v>
      </c>
      <c r="CG45" s="128">
        <v>1.42</v>
      </c>
      <c r="CH45" s="128">
        <v>1.42</v>
      </c>
      <c r="CI45" s="128">
        <v>1.42</v>
      </c>
      <c r="CJ45" s="128">
        <v>1.42</v>
      </c>
      <c r="CK45" s="128">
        <v>1.42</v>
      </c>
      <c r="CL45" s="128">
        <v>1.42</v>
      </c>
      <c r="CM45" s="128">
        <v>1.42</v>
      </c>
      <c r="CN45" s="128">
        <v>1.42</v>
      </c>
      <c r="CO45" s="128">
        <v>1.42</v>
      </c>
      <c r="CP45" s="128">
        <v>1.42</v>
      </c>
      <c r="CQ45" s="128">
        <v>1.42</v>
      </c>
      <c r="CR45" s="128">
        <v>1.42</v>
      </c>
      <c r="CS45" s="128">
        <v>1.42</v>
      </c>
      <c r="CT45" s="128">
        <v>1.42</v>
      </c>
      <c r="CU45" s="128">
        <v>1.42</v>
      </c>
      <c r="CV45" s="128">
        <v>1.42</v>
      </c>
      <c r="CW45" s="128">
        <v>1.42</v>
      </c>
      <c r="CX45" s="128">
        <v>1.42</v>
      </c>
      <c r="CZ45" s="126">
        <f>SUMIF(MatrixF3[[1]:[2]],MatrixF3[[#This Row],[Столбец1]])/MatrixF3[[#This Row],[Столбец1]]</f>
        <v>108.99999999999993</v>
      </c>
    </row>
    <row r="46" spans="1:104" ht="21" customHeight="1" x14ac:dyDescent="0.25">
      <c r="A46" s="127">
        <v>1.43</v>
      </c>
      <c r="B46" s="128">
        <v>1.43</v>
      </c>
      <c r="C46" s="128">
        <v>1.43</v>
      </c>
      <c r="D46" s="128">
        <v>1.43</v>
      </c>
      <c r="E46" s="128">
        <v>1.43</v>
      </c>
      <c r="F46" s="128">
        <v>1.43</v>
      </c>
      <c r="G46" s="128">
        <v>1.43</v>
      </c>
      <c r="H46" s="128">
        <v>1.43</v>
      </c>
      <c r="I46" s="128">
        <v>1.43</v>
      </c>
      <c r="J46" s="128">
        <v>1.43</v>
      </c>
      <c r="K46" s="128">
        <v>1.43</v>
      </c>
      <c r="L46" s="128">
        <v>1.43</v>
      </c>
      <c r="M46" s="128">
        <v>1.43</v>
      </c>
      <c r="N46" s="128">
        <v>1.43</v>
      </c>
      <c r="O46" s="128">
        <v>1.43</v>
      </c>
      <c r="P46" s="128">
        <v>1.43</v>
      </c>
      <c r="Q46" s="128">
        <v>1.43</v>
      </c>
      <c r="R46" s="128">
        <v>1.43</v>
      </c>
      <c r="S46" s="128">
        <v>1.43</v>
      </c>
      <c r="T46" s="128">
        <v>1.43</v>
      </c>
      <c r="U46" s="128">
        <v>1.43</v>
      </c>
      <c r="V46" s="128">
        <v>1.43</v>
      </c>
      <c r="W46" s="128">
        <v>1.43</v>
      </c>
      <c r="X46" s="128">
        <v>1.43</v>
      </c>
      <c r="Y46" s="128">
        <v>1.43</v>
      </c>
      <c r="Z46" s="128">
        <v>1.43</v>
      </c>
      <c r="AA46" s="128">
        <v>1.43</v>
      </c>
      <c r="AB46" s="128">
        <v>1.43</v>
      </c>
      <c r="AC46" s="128">
        <v>1.43</v>
      </c>
      <c r="AD46" s="128">
        <v>1.43</v>
      </c>
      <c r="AE46" s="128">
        <v>1.43</v>
      </c>
      <c r="AF46" s="128">
        <v>1.43</v>
      </c>
      <c r="AG46" s="128">
        <v>1.43</v>
      </c>
      <c r="AH46" s="128">
        <v>1.43</v>
      </c>
      <c r="AI46" s="128">
        <v>1.43</v>
      </c>
      <c r="AJ46" s="128">
        <v>1.43</v>
      </c>
      <c r="AK46" s="128">
        <v>1.43</v>
      </c>
      <c r="AL46" s="128">
        <v>1.43</v>
      </c>
      <c r="AM46" s="128">
        <v>1.43</v>
      </c>
      <c r="AN46" s="128">
        <v>1.43</v>
      </c>
      <c r="AO46" s="128">
        <v>1.43</v>
      </c>
      <c r="AP46" s="128">
        <v>1.43</v>
      </c>
      <c r="AQ46" s="128">
        <v>1.43</v>
      </c>
      <c r="AR46" s="128">
        <v>1.43</v>
      </c>
      <c r="AS46" s="128">
        <v>1.43</v>
      </c>
      <c r="AT46" s="128">
        <v>1.43</v>
      </c>
      <c r="AU46" s="128">
        <v>1.44</v>
      </c>
      <c r="AV46" s="128">
        <v>1.44</v>
      </c>
      <c r="AW46" s="128">
        <v>1.45</v>
      </c>
      <c r="AX46" s="128">
        <v>1.45</v>
      </c>
      <c r="AY46" s="128">
        <v>1.46</v>
      </c>
      <c r="AZ46" s="128">
        <v>1.46</v>
      </c>
      <c r="BA46" s="128">
        <v>1.46</v>
      </c>
      <c r="BB46" s="128">
        <v>1.45</v>
      </c>
      <c r="BC46" s="128">
        <v>1.45</v>
      </c>
      <c r="BD46" s="128">
        <v>1.44</v>
      </c>
      <c r="BE46" s="128">
        <v>1.44</v>
      </c>
      <c r="BF46" s="128">
        <v>1.43</v>
      </c>
      <c r="BG46" s="128">
        <v>1.43</v>
      </c>
      <c r="BH46" s="128">
        <v>1.43</v>
      </c>
      <c r="BI46" s="128">
        <v>1.43</v>
      </c>
      <c r="BJ46" s="128">
        <v>1.43</v>
      </c>
      <c r="BK46" s="128">
        <v>1.43</v>
      </c>
      <c r="BL46" s="128">
        <v>1.43</v>
      </c>
      <c r="BM46" s="128">
        <v>1.43</v>
      </c>
      <c r="BN46" s="128">
        <v>1.43</v>
      </c>
      <c r="BO46" s="128">
        <v>1.43</v>
      </c>
      <c r="BP46" s="128">
        <v>1.43</v>
      </c>
      <c r="BQ46" s="128">
        <v>1.43</v>
      </c>
      <c r="BR46" s="128">
        <v>1.43</v>
      </c>
      <c r="BS46" s="128">
        <v>1.43</v>
      </c>
      <c r="BT46" s="128">
        <v>1.43</v>
      </c>
      <c r="BU46" s="128">
        <v>1.43</v>
      </c>
      <c r="BV46" s="128">
        <v>1.43</v>
      </c>
      <c r="BW46" s="128">
        <v>1.43</v>
      </c>
      <c r="BX46" s="128">
        <v>1.43</v>
      </c>
      <c r="BY46" s="128">
        <v>1.43</v>
      </c>
      <c r="BZ46" s="128">
        <v>1.43</v>
      </c>
      <c r="CA46" s="128">
        <v>1.43</v>
      </c>
      <c r="CB46" s="128">
        <v>1.43</v>
      </c>
      <c r="CC46" s="128">
        <v>1.43</v>
      </c>
      <c r="CD46" s="128">
        <v>1.43</v>
      </c>
      <c r="CE46" s="128">
        <v>1.43</v>
      </c>
      <c r="CF46" s="128">
        <v>1.43</v>
      </c>
      <c r="CG46" s="128">
        <v>1.43</v>
      </c>
      <c r="CH46" s="128">
        <v>1.43</v>
      </c>
      <c r="CI46" s="128">
        <v>1.43</v>
      </c>
      <c r="CJ46" s="128">
        <v>1.43</v>
      </c>
      <c r="CK46" s="128">
        <v>1.43</v>
      </c>
      <c r="CL46" s="128">
        <v>1.43</v>
      </c>
      <c r="CM46" s="128">
        <v>1.43</v>
      </c>
      <c r="CN46" s="128">
        <v>1.43</v>
      </c>
      <c r="CO46" s="128">
        <v>1.43</v>
      </c>
      <c r="CP46" s="128">
        <v>1.43</v>
      </c>
      <c r="CQ46" s="128">
        <v>1.43</v>
      </c>
      <c r="CR46" s="128">
        <v>1.43</v>
      </c>
      <c r="CS46" s="128">
        <v>1.43</v>
      </c>
      <c r="CT46" s="128">
        <v>1.43</v>
      </c>
      <c r="CU46" s="128">
        <v>1.43</v>
      </c>
      <c r="CV46" s="128">
        <v>1.43</v>
      </c>
      <c r="CW46" s="128">
        <v>1.43</v>
      </c>
      <c r="CX46" s="128">
        <v>1.43</v>
      </c>
      <c r="CZ46" s="126">
        <f>SUMIF(MatrixF3[[1]:[2]],MatrixF3[[#This Row],[Столбец1]])/MatrixF3[[#This Row],[Столбец1]]</f>
        <v>112.00000000000033</v>
      </c>
    </row>
    <row r="47" spans="1:104" ht="21" customHeight="1" x14ac:dyDescent="0.25">
      <c r="A47" s="127">
        <v>1.44</v>
      </c>
      <c r="B47" s="128">
        <v>1.44</v>
      </c>
      <c r="C47" s="128">
        <v>1.44</v>
      </c>
      <c r="D47" s="128">
        <v>1.44</v>
      </c>
      <c r="E47" s="128">
        <v>1.44</v>
      </c>
      <c r="F47" s="128">
        <v>1.44</v>
      </c>
      <c r="G47" s="128">
        <v>1.44</v>
      </c>
      <c r="H47" s="128">
        <v>1.44</v>
      </c>
      <c r="I47" s="128">
        <v>1.44</v>
      </c>
      <c r="J47" s="128">
        <v>1.44</v>
      </c>
      <c r="K47" s="128">
        <v>1.44</v>
      </c>
      <c r="L47" s="128">
        <v>1.44</v>
      </c>
      <c r="M47" s="128">
        <v>1.44</v>
      </c>
      <c r="N47" s="128">
        <v>1.44</v>
      </c>
      <c r="O47" s="128">
        <v>1.44</v>
      </c>
      <c r="P47" s="128">
        <v>1.44</v>
      </c>
      <c r="Q47" s="128">
        <v>1.44</v>
      </c>
      <c r="R47" s="128">
        <v>1.44</v>
      </c>
      <c r="S47" s="128">
        <v>1.44</v>
      </c>
      <c r="T47" s="128">
        <v>1.44</v>
      </c>
      <c r="U47" s="128">
        <v>1.44</v>
      </c>
      <c r="V47" s="128">
        <v>1.44</v>
      </c>
      <c r="W47" s="128">
        <v>1.44</v>
      </c>
      <c r="X47" s="128">
        <v>1.44</v>
      </c>
      <c r="Y47" s="128">
        <v>1.44</v>
      </c>
      <c r="Z47" s="128">
        <v>1.44</v>
      </c>
      <c r="AA47" s="128">
        <v>1.44</v>
      </c>
      <c r="AB47" s="128">
        <v>1.44</v>
      </c>
      <c r="AC47" s="128">
        <v>1.44</v>
      </c>
      <c r="AD47" s="128">
        <v>1.44</v>
      </c>
      <c r="AE47" s="128">
        <v>1.44</v>
      </c>
      <c r="AF47" s="128">
        <v>1.44</v>
      </c>
      <c r="AG47" s="128">
        <v>1.44</v>
      </c>
      <c r="AH47" s="128">
        <v>1.44</v>
      </c>
      <c r="AI47" s="128">
        <v>1.44</v>
      </c>
      <c r="AJ47" s="128">
        <v>1.44</v>
      </c>
      <c r="AK47" s="128">
        <v>1.44</v>
      </c>
      <c r="AL47" s="128">
        <v>1.44</v>
      </c>
      <c r="AM47" s="128">
        <v>1.44</v>
      </c>
      <c r="AN47" s="128">
        <v>1.44</v>
      </c>
      <c r="AO47" s="128">
        <v>1.44</v>
      </c>
      <c r="AP47" s="128">
        <v>1.44</v>
      </c>
      <c r="AQ47" s="128">
        <v>1.44</v>
      </c>
      <c r="AR47" s="128">
        <v>1.44</v>
      </c>
      <c r="AS47" s="128">
        <v>1.44</v>
      </c>
      <c r="AT47" s="128">
        <v>1.44</v>
      </c>
      <c r="AU47" s="128">
        <v>1.44</v>
      </c>
      <c r="AV47" s="128">
        <v>1.45</v>
      </c>
      <c r="AW47" s="128">
        <v>1.45</v>
      </c>
      <c r="AX47" s="128">
        <v>1.46</v>
      </c>
      <c r="AY47" s="128">
        <v>1.46</v>
      </c>
      <c r="AZ47" s="128">
        <v>1.47</v>
      </c>
      <c r="BA47" s="128">
        <v>1.46</v>
      </c>
      <c r="BB47" s="128">
        <v>1.46</v>
      </c>
      <c r="BC47" s="128">
        <v>1.45</v>
      </c>
      <c r="BD47" s="128">
        <v>1.45</v>
      </c>
      <c r="BE47" s="128">
        <v>1.44</v>
      </c>
      <c r="BF47" s="128">
        <v>1.44</v>
      </c>
      <c r="BG47" s="128">
        <v>1.44</v>
      </c>
      <c r="BH47" s="128">
        <v>1.44</v>
      </c>
      <c r="BI47" s="128">
        <v>1.44</v>
      </c>
      <c r="BJ47" s="128">
        <v>1.44</v>
      </c>
      <c r="BK47" s="128">
        <v>1.44</v>
      </c>
      <c r="BL47" s="128">
        <v>1.44</v>
      </c>
      <c r="BM47" s="128">
        <v>1.44</v>
      </c>
      <c r="BN47" s="128">
        <v>1.44</v>
      </c>
      <c r="BO47" s="128">
        <v>1.44</v>
      </c>
      <c r="BP47" s="128">
        <v>1.44</v>
      </c>
      <c r="BQ47" s="128">
        <v>1.44</v>
      </c>
      <c r="BR47" s="128">
        <v>1.44</v>
      </c>
      <c r="BS47" s="128">
        <v>1.44</v>
      </c>
      <c r="BT47" s="128">
        <v>1.44</v>
      </c>
      <c r="BU47" s="128">
        <v>1.44</v>
      </c>
      <c r="BV47" s="128">
        <v>1.44</v>
      </c>
      <c r="BW47" s="128">
        <v>1.44</v>
      </c>
      <c r="BX47" s="128">
        <v>1.44</v>
      </c>
      <c r="BY47" s="128">
        <v>1.44</v>
      </c>
      <c r="BZ47" s="128">
        <v>1.44</v>
      </c>
      <c r="CA47" s="128">
        <v>1.44</v>
      </c>
      <c r="CB47" s="128">
        <v>1.44</v>
      </c>
      <c r="CC47" s="128">
        <v>1.44</v>
      </c>
      <c r="CD47" s="128">
        <v>1.44</v>
      </c>
      <c r="CE47" s="128">
        <v>1.44</v>
      </c>
      <c r="CF47" s="128">
        <v>1.44</v>
      </c>
      <c r="CG47" s="128">
        <v>1.44</v>
      </c>
      <c r="CH47" s="128">
        <v>1.44</v>
      </c>
      <c r="CI47" s="128">
        <v>1.44</v>
      </c>
      <c r="CJ47" s="128">
        <v>1.44</v>
      </c>
      <c r="CK47" s="128">
        <v>1.44</v>
      </c>
      <c r="CL47" s="128">
        <v>1.44</v>
      </c>
      <c r="CM47" s="128">
        <v>1.44</v>
      </c>
      <c r="CN47" s="128">
        <v>1.44</v>
      </c>
      <c r="CO47" s="128">
        <v>1.44</v>
      </c>
      <c r="CP47" s="128">
        <v>1.44</v>
      </c>
      <c r="CQ47" s="128">
        <v>1.44</v>
      </c>
      <c r="CR47" s="128">
        <v>1.44</v>
      </c>
      <c r="CS47" s="128">
        <v>1.44</v>
      </c>
      <c r="CT47" s="128">
        <v>1.44</v>
      </c>
      <c r="CU47" s="128">
        <v>1.44</v>
      </c>
      <c r="CV47" s="128">
        <v>1.44</v>
      </c>
      <c r="CW47" s="128">
        <v>1.44</v>
      </c>
      <c r="CX47" s="128">
        <v>1.44</v>
      </c>
      <c r="CZ47" s="126">
        <f>SUMIF(MatrixF3[[1]:[2]],MatrixF3[[#This Row],[Столбец1]])/MatrixF3[[#This Row],[Столбец1]]</f>
        <v>107.99999999999989</v>
      </c>
    </row>
    <row r="48" spans="1:104" ht="21" customHeight="1" x14ac:dyDescent="0.25">
      <c r="A48" s="127">
        <v>1.45</v>
      </c>
      <c r="B48" s="128">
        <v>1.45</v>
      </c>
      <c r="C48" s="128">
        <v>1.45</v>
      </c>
      <c r="D48" s="128">
        <v>1.45</v>
      </c>
      <c r="E48" s="128">
        <v>1.45</v>
      </c>
      <c r="F48" s="128">
        <v>1.45</v>
      </c>
      <c r="G48" s="128">
        <v>1.45</v>
      </c>
      <c r="H48" s="128">
        <v>1.45</v>
      </c>
      <c r="I48" s="128">
        <v>1.45</v>
      </c>
      <c r="J48" s="128">
        <v>1.45</v>
      </c>
      <c r="K48" s="128">
        <v>1.45</v>
      </c>
      <c r="L48" s="128">
        <v>1.45</v>
      </c>
      <c r="M48" s="128">
        <v>1.45</v>
      </c>
      <c r="N48" s="128">
        <v>1.45</v>
      </c>
      <c r="O48" s="128">
        <v>1.45</v>
      </c>
      <c r="P48" s="128">
        <v>1.45</v>
      </c>
      <c r="Q48" s="128">
        <v>1.45</v>
      </c>
      <c r="R48" s="128">
        <v>1.45</v>
      </c>
      <c r="S48" s="128">
        <v>1.45</v>
      </c>
      <c r="T48" s="128">
        <v>1.45</v>
      </c>
      <c r="U48" s="128">
        <v>1.45</v>
      </c>
      <c r="V48" s="128">
        <v>1.45</v>
      </c>
      <c r="W48" s="128">
        <v>1.45</v>
      </c>
      <c r="X48" s="128">
        <v>1.45</v>
      </c>
      <c r="Y48" s="128">
        <v>1.45</v>
      </c>
      <c r="Z48" s="128">
        <v>1.45</v>
      </c>
      <c r="AA48" s="128">
        <v>1.45</v>
      </c>
      <c r="AB48" s="128">
        <v>1.45</v>
      </c>
      <c r="AC48" s="128">
        <v>1.45</v>
      </c>
      <c r="AD48" s="128">
        <v>1.45</v>
      </c>
      <c r="AE48" s="128">
        <v>1.45</v>
      </c>
      <c r="AF48" s="128">
        <v>1.45</v>
      </c>
      <c r="AG48" s="128">
        <v>1.45</v>
      </c>
      <c r="AH48" s="128">
        <v>1.45</v>
      </c>
      <c r="AI48" s="128">
        <v>1.45</v>
      </c>
      <c r="AJ48" s="128">
        <v>1.45</v>
      </c>
      <c r="AK48" s="128">
        <v>1.45</v>
      </c>
      <c r="AL48" s="128">
        <v>1.45</v>
      </c>
      <c r="AM48" s="128">
        <v>1.45</v>
      </c>
      <c r="AN48" s="128">
        <v>1.45</v>
      </c>
      <c r="AO48" s="128">
        <v>1.45</v>
      </c>
      <c r="AP48" s="128">
        <v>1.45</v>
      </c>
      <c r="AQ48" s="128">
        <v>1.45</v>
      </c>
      <c r="AR48" s="128">
        <v>1.45</v>
      </c>
      <c r="AS48" s="128">
        <v>1.45</v>
      </c>
      <c r="AT48" s="128">
        <v>1.45</v>
      </c>
      <c r="AU48" s="128">
        <v>1.45</v>
      </c>
      <c r="AV48" s="128">
        <v>1.45</v>
      </c>
      <c r="AW48" s="128">
        <v>1.46</v>
      </c>
      <c r="AX48" s="128">
        <v>1.46</v>
      </c>
      <c r="AY48" s="128">
        <v>1.47</v>
      </c>
      <c r="AZ48" s="128">
        <v>1.47</v>
      </c>
      <c r="BA48" s="128">
        <v>1.47</v>
      </c>
      <c r="BB48" s="128">
        <v>1.46</v>
      </c>
      <c r="BC48" s="128">
        <v>1.46</v>
      </c>
      <c r="BD48" s="128">
        <v>1.45</v>
      </c>
      <c r="BE48" s="128">
        <v>1.45</v>
      </c>
      <c r="BF48" s="128">
        <v>1.45</v>
      </c>
      <c r="BG48" s="128">
        <v>1.45</v>
      </c>
      <c r="BH48" s="128">
        <v>1.45</v>
      </c>
      <c r="BI48" s="128">
        <v>1.45</v>
      </c>
      <c r="BJ48" s="128">
        <v>1.45</v>
      </c>
      <c r="BK48" s="128">
        <v>1.45</v>
      </c>
      <c r="BL48" s="128">
        <v>1.45</v>
      </c>
      <c r="BM48" s="128">
        <v>1.45</v>
      </c>
      <c r="BN48" s="128">
        <v>1.45</v>
      </c>
      <c r="BO48" s="128">
        <v>1.45</v>
      </c>
      <c r="BP48" s="128">
        <v>1.45</v>
      </c>
      <c r="BQ48" s="128">
        <v>1.45</v>
      </c>
      <c r="BR48" s="128">
        <v>1.45</v>
      </c>
      <c r="BS48" s="128">
        <v>1.45</v>
      </c>
      <c r="BT48" s="128">
        <v>1.45</v>
      </c>
      <c r="BU48" s="128">
        <v>1.45</v>
      </c>
      <c r="BV48" s="128">
        <v>1.45</v>
      </c>
      <c r="BW48" s="128">
        <v>1.45</v>
      </c>
      <c r="BX48" s="128">
        <v>1.45</v>
      </c>
      <c r="BY48" s="128">
        <v>1.45</v>
      </c>
      <c r="BZ48" s="128">
        <v>1.45</v>
      </c>
      <c r="CA48" s="128">
        <v>1.45</v>
      </c>
      <c r="CB48" s="128">
        <v>1.45</v>
      </c>
      <c r="CC48" s="128">
        <v>1.45</v>
      </c>
      <c r="CD48" s="128">
        <v>1.45</v>
      </c>
      <c r="CE48" s="128">
        <v>1.45</v>
      </c>
      <c r="CF48" s="128">
        <v>1.45</v>
      </c>
      <c r="CG48" s="128">
        <v>1.45</v>
      </c>
      <c r="CH48" s="128">
        <v>1.45</v>
      </c>
      <c r="CI48" s="128">
        <v>1.45</v>
      </c>
      <c r="CJ48" s="128">
        <v>1.45</v>
      </c>
      <c r="CK48" s="128">
        <v>1.45</v>
      </c>
      <c r="CL48" s="128">
        <v>1.45</v>
      </c>
      <c r="CM48" s="128">
        <v>1.45</v>
      </c>
      <c r="CN48" s="128">
        <v>1.45</v>
      </c>
      <c r="CO48" s="128">
        <v>1.45</v>
      </c>
      <c r="CP48" s="128">
        <v>1.45</v>
      </c>
      <c r="CQ48" s="128">
        <v>1.45</v>
      </c>
      <c r="CR48" s="128">
        <v>1.45</v>
      </c>
      <c r="CS48" s="128">
        <v>1.45</v>
      </c>
      <c r="CT48" s="128">
        <v>1.45</v>
      </c>
      <c r="CU48" s="128">
        <v>1.45</v>
      </c>
      <c r="CV48" s="128">
        <v>1.45</v>
      </c>
      <c r="CW48" s="128">
        <v>1.45</v>
      </c>
      <c r="CX48" s="128">
        <v>1.45</v>
      </c>
      <c r="CZ48" s="126">
        <f>SUMIF(MatrixF3[[1]:[2]],MatrixF3[[#This Row],[Столбец1]])/MatrixF3[[#This Row],[Столбец1]]</f>
        <v>108.99999999999996</v>
      </c>
    </row>
    <row r="49" spans="1:104" ht="21" customHeight="1" x14ac:dyDescent="0.25">
      <c r="A49" s="127">
        <v>1.46</v>
      </c>
      <c r="B49" s="128">
        <v>1.46</v>
      </c>
      <c r="C49" s="128">
        <v>1.46</v>
      </c>
      <c r="D49" s="128">
        <v>1.46</v>
      </c>
      <c r="E49" s="128">
        <v>1.46</v>
      </c>
      <c r="F49" s="128">
        <v>1.46</v>
      </c>
      <c r="G49" s="128">
        <v>1.46</v>
      </c>
      <c r="H49" s="128">
        <v>1.46</v>
      </c>
      <c r="I49" s="128">
        <v>1.46</v>
      </c>
      <c r="J49" s="128">
        <v>1.46</v>
      </c>
      <c r="K49" s="128">
        <v>1.46</v>
      </c>
      <c r="L49" s="128">
        <v>1.46</v>
      </c>
      <c r="M49" s="128">
        <v>1.46</v>
      </c>
      <c r="N49" s="128">
        <v>1.46</v>
      </c>
      <c r="O49" s="128">
        <v>1.46</v>
      </c>
      <c r="P49" s="128">
        <v>1.46</v>
      </c>
      <c r="Q49" s="128">
        <v>1.46</v>
      </c>
      <c r="R49" s="128">
        <v>1.46</v>
      </c>
      <c r="S49" s="128">
        <v>1.46</v>
      </c>
      <c r="T49" s="128">
        <v>1.46</v>
      </c>
      <c r="U49" s="128">
        <v>1.46</v>
      </c>
      <c r="V49" s="128">
        <v>1.46</v>
      </c>
      <c r="W49" s="128">
        <v>1.46</v>
      </c>
      <c r="X49" s="128">
        <v>1.46</v>
      </c>
      <c r="Y49" s="128">
        <v>1.46</v>
      </c>
      <c r="Z49" s="128">
        <v>1.46</v>
      </c>
      <c r="AA49" s="128">
        <v>1.46</v>
      </c>
      <c r="AB49" s="128">
        <v>1.46</v>
      </c>
      <c r="AC49" s="128">
        <v>1.46</v>
      </c>
      <c r="AD49" s="128">
        <v>1.46</v>
      </c>
      <c r="AE49" s="128">
        <v>1.46</v>
      </c>
      <c r="AF49" s="128">
        <v>1.46</v>
      </c>
      <c r="AG49" s="128">
        <v>1.46</v>
      </c>
      <c r="AH49" s="128">
        <v>1.46</v>
      </c>
      <c r="AI49" s="128">
        <v>1.46</v>
      </c>
      <c r="AJ49" s="128">
        <v>1.46</v>
      </c>
      <c r="AK49" s="128">
        <v>1.46</v>
      </c>
      <c r="AL49" s="128">
        <v>1.46</v>
      </c>
      <c r="AM49" s="128">
        <v>1.46</v>
      </c>
      <c r="AN49" s="128">
        <v>1.46</v>
      </c>
      <c r="AO49" s="128">
        <v>1.46</v>
      </c>
      <c r="AP49" s="128">
        <v>1.46</v>
      </c>
      <c r="AQ49" s="128">
        <v>1.46</v>
      </c>
      <c r="AR49" s="128">
        <v>1.46</v>
      </c>
      <c r="AS49" s="128">
        <v>1.46</v>
      </c>
      <c r="AT49" s="128">
        <v>1.46</v>
      </c>
      <c r="AU49" s="128">
        <v>1.46</v>
      </c>
      <c r="AV49" s="128">
        <v>1.46</v>
      </c>
      <c r="AW49" s="128">
        <v>1.46</v>
      </c>
      <c r="AX49" s="128">
        <v>1.47</v>
      </c>
      <c r="AY49" s="128">
        <v>1.47</v>
      </c>
      <c r="AZ49" s="128">
        <v>1.48</v>
      </c>
      <c r="BA49" s="128">
        <v>1.47</v>
      </c>
      <c r="BB49" s="128">
        <v>1.47</v>
      </c>
      <c r="BC49" s="128">
        <v>1.46</v>
      </c>
      <c r="BD49" s="128">
        <v>1.46</v>
      </c>
      <c r="BE49" s="128">
        <v>1.46</v>
      </c>
      <c r="BF49" s="128">
        <v>1.46</v>
      </c>
      <c r="BG49" s="128">
        <v>1.46</v>
      </c>
      <c r="BH49" s="128">
        <v>1.46</v>
      </c>
      <c r="BI49" s="128">
        <v>1.46</v>
      </c>
      <c r="BJ49" s="128">
        <v>1.46</v>
      </c>
      <c r="BK49" s="128">
        <v>1.46</v>
      </c>
      <c r="BL49" s="128">
        <v>1.46</v>
      </c>
      <c r="BM49" s="128">
        <v>1.46</v>
      </c>
      <c r="BN49" s="128">
        <v>1.46</v>
      </c>
      <c r="BO49" s="128">
        <v>1.46</v>
      </c>
      <c r="BP49" s="128">
        <v>1.46</v>
      </c>
      <c r="BQ49" s="128">
        <v>1.46</v>
      </c>
      <c r="BR49" s="128">
        <v>1.46</v>
      </c>
      <c r="BS49" s="128">
        <v>1.46</v>
      </c>
      <c r="BT49" s="128">
        <v>1.46</v>
      </c>
      <c r="BU49" s="128">
        <v>1.46</v>
      </c>
      <c r="BV49" s="128">
        <v>1.46</v>
      </c>
      <c r="BW49" s="128">
        <v>1.46</v>
      </c>
      <c r="BX49" s="128">
        <v>1.46</v>
      </c>
      <c r="BY49" s="128">
        <v>1.46</v>
      </c>
      <c r="BZ49" s="128">
        <v>1.46</v>
      </c>
      <c r="CA49" s="128">
        <v>1.46</v>
      </c>
      <c r="CB49" s="128">
        <v>1.46</v>
      </c>
      <c r="CC49" s="128">
        <v>1.46</v>
      </c>
      <c r="CD49" s="128">
        <v>1.46</v>
      </c>
      <c r="CE49" s="128">
        <v>1.46</v>
      </c>
      <c r="CF49" s="128">
        <v>1.46</v>
      </c>
      <c r="CG49" s="128">
        <v>1.46</v>
      </c>
      <c r="CH49" s="128">
        <v>1.46</v>
      </c>
      <c r="CI49" s="128">
        <v>1.46</v>
      </c>
      <c r="CJ49" s="128">
        <v>1.46</v>
      </c>
      <c r="CK49" s="128">
        <v>1.46</v>
      </c>
      <c r="CL49" s="128">
        <v>1.46</v>
      </c>
      <c r="CM49" s="128">
        <v>1.46</v>
      </c>
      <c r="CN49" s="128">
        <v>1.46</v>
      </c>
      <c r="CO49" s="128">
        <v>1.46</v>
      </c>
      <c r="CP49" s="128">
        <v>1.46</v>
      </c>
      <c r="CQ49" s="128">
        <v>1.46</v>
      </c>
      <c r="CR49" s="128">
        <v>1.46</v>
      </c>
      <c r="CS49" s="128">
        <v>1.46</v>
      </c>
      <c r="CT49" s="128">
        <v>1.46</v>
      </c>
      <c r="CU49" s="128">
        <v>1.46</v>
      </c>
      <c r="CV49" s="128">
        <v>1.46</v>
      </c>
      <c r="CW49" s="128">
        <v>1.46</v>
      </c>
      <c r="CX49" s="128">
        <v>1.46</v>
      </c>
      <c r="CZ49" s="126">
        <f>SUMIF(MatrixF3[[1]:[2]],MatrixF3[[#This Row],[Столбец1]])/MatrixF3[[#This Row],[Столбец1]]</f>
        <v>107.99999999999994</v>
      </c>
    </row>
    <row r="50" spans="1:104" ht="21" customHeight="1" x14ac:dyDescent="0.25">
      <c r="A50" s="127">
        <v>1.47</v>
      </c>
      <c r="B50" s="128">
        <v>1.47</v>
      </c>
      <c r="C50" s="128">
        <v>1.47</v>
      </c>
      <c r="D50" s="128">
        <v>1.47</v>
      </c>
      <c r="E50" s="128">
        <v>1.47</v>
      </c>
      <c r="F50" s="128">
        <v>1.47</v>
      </c>
      <c r="G50" s="128">
        <v>1.47</v>
      </c>
      <c r="H50" s="128">
        <v>1.47</v>
      </c>
      <c r="I50" s="128">
        <v>1.47</v>
      </c>
      <c r="J50" s="128">
        <v>1.47</v>
      </c>
      <c r="K50" s="128">
        <v>1.47</v>
      </c>
      <c r="L50" s="128">
        <v>1.47</v>
      </c>
      <c r="M50" s="128">
        <v>1.47</v>
      </c>
      <c r="N50" s="128">
        <v>1.47</v>
      </c>
      <c r="O50" s="128">
        <v>1.47</v>
      </c>
      <c r="P50" s="128">
        <v>1.47</v>
      </c>
      <c r="Q50" s="128">
        <v>1.47</v>
      </c>
      <c r="R50" s="128">
        <v>1.47</v>
      </c>
      <c r="S50" s="128">
        <v>1.47</v>
      </c>
      <c r="T50" s="128">
        <v>1.47</v>
      </c>
      <c r="U50" s="128">
        <v>1.47</v>
      </c>
      <c r="V50" s="128">
        <v>1.47</v>
      </c>
      <c r="W50" s="128">
        <v>1.47</v>
      </c>
      <c r="X50" s="128">
        <v>1.47</v>
      </c>
      <c r="Y50" s="128">
        <v>1.47</v>
      </c>
      <c r="Z50" s="128">
        <v>1.47</v>
      </c>
      <c r="AA50" s="128">
        <v>1.47</v>
      </c>
      <c r="AB50" s="128">
        <v>1.47</v>
      </c>
      <c r="AC50" s="128">
        <v>1.47</v>
      </c>
      <c r="AD50" s="128">
        <v>1.47</v>
      </c>
      <c r="AE50" s="128">
        <v>1.47</v>
      </c>
      <c r="AF50" s="128">
        <v>1.47</v>
      </c>
      <c r="AG50" s="128">
        <v>1.47</v>
      </c>
      <c r="AH50" s="128">
        <v>1.47</v>
      </c>
      <c r="AI50" s="128">
        <v>1.47</v>
      </c>
      <c r="AJ50" s="128">
        <v>1.47</v>
      </c>
      <c r="AK50" s="128">
        <v>1.47</v>
      </c>
      <c r="AL50" s="128">
        <v>1.47</v>
      </c>
      <c r="AM50" s="128">
        <v>1.47</v>
      </c>
      <c r="AN50" s="128">
        <v>1.47</v>
      </c>
      <c r="AO50" s="128">
        <v>1.47</v>
      </c>
      <c r="AP50" s="128">
        <v>1.47</v>
      </c>
      <c r="AQ50" s="128">
        <v>1.47</v>
      </c>
      <c r="AR50" s="128">
        <v>1.47</v>
      </c>
      <c r="AS50" s="128">
        <v>1.47</v>
      </c>
      <c r="AT50" s="128">
        <v>1.47</v>
      </c>
      <c r="AU50" s="128">
        <v>1.47</v>
      </c>
      <c r="AV50" s="128">
        <v>1.47</v>
      </c>
      <c r="AW50" s="128">
        <v>1.47</v>
      </c>
      <c r="AX50" s="128">
        <v>1.47</v>
      </c>
      <c r="AY50" s="128">
        <v>1.48</v>
      </c>
      <c r="AZ50" s="128">
        <v>1.48</v>
      </c>
      <c r="BA50" s="128">
        <v>1.48</v>
      </c>
      <c r="BB50" s="128">
        <v>1.47</v>
      </c>
      <c r="BC50" s="128">
        <v>1.47</v>
      </c>
      <c r="BD50" s="128">
        <v>1.47</v>
      </c>
      <c r="BE50" s="128">
        <v>1.47</v>
      </c>
      <c r="BF50" s="128">
        <v>1.47</v>
      </c>
      <c r="BG50" s="128">
        <v>1.47</v>
      </c>
      <c r="BH50" s="128">
        <v>1.47</v>
      </c>
      <c r="BI50" s="128">
        <v>1.47</v>
      </c>
      <c r="BJ50" s="128">
        <v>1.47</v>
      </c>
      <c r="BK50" s="128">
        <v>1.47</v>
      </c>
      <c r="BL50" s="128">
        <v>1.47</v>
      </c>
      <c r="BM50" s="128">
        <v>1.47</v>
      </c>
      <c r="BN50" s="128">
        <v>1.47</v>
      </c>
      <c r="BO50" s="128">
        <v>1.47</v>
      </c>
      <c r="BP50" s="128">
        <v>1.47</v>
      </c>
      <c r="BQ50" s="128">
        <v>1.47</v>
      </c>
      <c r="BR50" s="128">
        <v>1.47</v>
      </c>
      <c r="BS50" s="128">
        <v>1.47</v>
      </c>
      <c r="BT50" s="128">
        <v>1.47</v>
      </c>
      <c r="BU50" s="128">
        <v>1.47</v>
      </c>
      <c r="BV50" s="128">
        <v>1.47</v>
      </c>
      <c r="BW50" s="128">
        <v>1.47</v>
      </c>
      <c r="BX50" s="128">
        <v>1.47</v>
      </c>
      <c r="BY50" s="128">
        <v>1.47</v>
      </c>
      <c r="BZ50" s="128">
        <v>1.47</v>
      </c>
      <c r="CA50" s="128">
        <v>1.47</v>
      </c>
      <c r="CB50" s="128">
        <v>1.47</v>
      </c>
      <c r="CC50" s="128">
        <v>1.47</v>
      </c>
      <c r="CD50" s="128">
        <v>1.47</v>
      </c>
      <c r="CE50" s="128">
        <v>1.47</v>
      </c>
      <c r="CF50" s="128">
        <v>1.47</v>
      </c>
      <c r="CG50" s="128">
        <v>1.47</v>
      </c>
      <c r="CH50" s="128">
        <v>1.47</v>
      </c>
      <c r="CI50" s="128">
        <v>1.47</v>
      </c>
      <c r="CJ50" s="128">
        <v>1.47</v>
      </c>
      <c r="CK50" s="128">
        <v>1.47</v>
      </c>
      <c r="CL50" s="128">
        <v>1.47</v>
      </c>
      <c r="CM50" s="128">
        <v>1.47</v>
      </c>
      <c r="CN50" s="128">
        <v>1.47</v>
      </c>
      <c r="CO50" s="128">
        <v>1.47</v>
      </c>
      <c r="CP50" s="128">
        <v>1.47</v>
      </c>
      <c r="CQ50" s="128">
        <v>1.47</v>
      </c>
      <c r="CR50" s="128">
        <v>1.47</v>
      </c>
      <c r="CS50" s="128">
        <v>1.47</v>
      </c>
      <c r="CT50" s="128">
        <v>1.47</v>
      </c>
      <c r="CU50" s="128">
        <v>1.47</v>
      </c>
      <c r="CV50" s="128">
        <v>1.47</v>
      </c>
      <c r="CW50" s="128">
        <v>1.47</v>
      </c>
      <c r="CX50" s="128">
        <v>1.47</v>
      </c>
      <c r="CZ50" s="126">
        <f>SUMIF(MatrixF3[[1]:[2]],MatrixF3[[#This Row],[Столбец1]])/MatrixF3[[#This Row],[Столбец1]]</f>
        <v>105.99999999999994</v>
      </c>
    </row>
    <row r="51" spans="1:104" ht="21" customHeight="1" x14ac:dyDescent="0.25">
      <c r="A51" s="127">
        <v>1.48</v>
      </c>
      <c r="B51" s="128">
        <v>1.48</v>
      </c>
      <c r="C51" s="128">
        <v>1.48</v>
      </c>
      <c r="D51" s="128">
        <v>1.48</v>
      </c>
      <c r="E51" s="128">
        <v>1.48</v>
      </c>
      <c r="F51" s="128">
        <v>1.48</v>
      </c>
      <c r="G51" s="128">
        <v>1.48</v>
      </c>
      <c r="H51" s="128">
        <v>1.48</v>
      </c>
      <c r="I51" s="128">
        <v>1.48</v>
      </c>
      <c r="J51" s="128">
        <v>1.48</v>
      </c>
      <c r="K51" s="128">
        <v>1.48</v>
      </c>
      <c r="L51" s="128">
        <v>1.48</v>
      </c>
      <c r="M51" s="128">
        <v>1.48</v>
      </c>
      <c r="N51" s="128">
        <v>1.48</v>
      </c>
      <c r="O51" s="128">
        <v>1.48</v>
      </c>
      <c r="P51" s="128">
        <v>1.48</v>
      </c>
      <c r="Q51" s="128">
        <v>1.48</v>
      </c>
      <c r="R51" s="128">
        <v>1.48</v>
      </c>
      <c r="S51" s="128">
        <v>1.48</v>
      </c>
      <c r="T51" s="128">
        <v>1.48</v>
      </c>
      <c r="U51" s="128">
        <v>1.48</v>
      </c>
      <c r="V51" s="128">
        <v>1.48</v>
      </c>
      <c r="W51" s="128">
        <v>1.48</v>
      </c>
      <c r="X51" s="128">
        <v>1.48</v>
      </c>
      <c r="Y51" s="128">
        <v>1.48</v>
      </c>
      <c r="Z51" s="128">
        <v>1.48</v>
      </c>
      <c r="AA51" s="128">
        <v>1.48</v>
      </c>
      <c r="AB51" s="128">
        <v>1.48</v>
      </c>
      <c r="AC51" s="128">
        <v>1.48</v>
      </c>
      <c r="AD51" s="128">
        <v>1.48</v>
      </c>
      <c r="AE51" s="128">
        <v>1.48</v>
      </c>
      <c r="AF51" s="128">
        <v>1.48</v>
      </c>
      <c r="AG51" s="128">
        <v>1.48</v>
      </c>
      <c r="AH51" s="128">
        <v>1.48</v>
      </c>
      <c r="AI51" s="128">
        <v>1.48</v>
      </c>
      <c r="AJ51" s="128">
        <v>1.48</v>
      </c>
      <c r="AK51" s="128">
        <v>1.48</v>
      </c>
      <c r="AL51" s="128">
        <v>1.48</v>
      </c>
      <c r="AM51" s="128">
        <v>1.48</v>
      </c>
      <c r="AN51" s="128">
        <v>1.48</v>
      </c>
      <c r="AO51" s="128">
        <v>1.48</v>
      </c>
      <c r="AP51" s="128">
        <v>1.48</v>
      </c>
      <c r="AQ51" s="128">
        <v>1.48</v>
      </c>
      <c r="AR51" s="128">
        <v>1.48</v>
      </c>
      <c r="AS51" s="128">
        <v>1.48</v>
      </c>
      <c r="AT51" s="128">
        <v>1.48</v>
      </c>
      <c r="AU51" s="128">
        <v>1.48</v>
      </c>
      <c r="AV51" s="128">
        <v>1.48</v>
      </c>
      <c r="AW51" s="128">
        <v>1.48</v>
      </c>
      <c r="AX51" s="128">
        <v>1.48</v>
      </c>
      <c r="AY51" s="128">
        <v>1.48</v>
      </c>
      <c r="AZ51" s="128">
        <v>1.49</v>
      </c>
      <c r="BA51" s="128">
        <v>1.48</v>
      </c>
      <c r="BB51" s="128">
        <v>1.48</v>
      </c>
      <c r="BC51" s="128">
        <v>1.48</v>
      </c>
      <c r="BD51" s="128">
        <v>1.48</v>
      </c>
      <c r="BE51" s="128">
        <v>1.48</v>
      </c>
      <c r="BF51" s="128">
        <v>1.48</v>
      </c>
      <c r="BG51" s="128">
        <v>1.48</v>
      </c>
      <c r="BH51" s="128">
        <v>1.48</v>
      </c>
      <c r="BI51" s="128">
        <v>1.48</v>
      </c>
      <c r="BJ51" s="128">
        <v>1.48</v>
      </c>
      <c r="BK51" s="128">
        <v>1.48</v>
      </c>
      <c r="BL51" s="128">
        <v>1.48</v>
      </c>
      <c r="BM51" s="128">
        <v>1.48</v>
      </c>
      <c r="BN51" s="128">
        <v>1.48</v>
      </c>
      <c r="BO51" s="128">
        <v>1.48</v>
      </c>
      <c r="BP51" s="128">
        <v>1.48</v>
      </c>
      <c r="BQ51" s="128">
        <v>1.48</v>
      </c>
      <c r="BR51" s="128">
        <v>1.48</v>
      </c>
      <c r="BS51" s="128">
        <v>1.48</v>
      </c>
      <c r="BT51" s="128">
        <v>1.48</v>
      </c>
      <c r="BU51" s="128">
        <v>1.48</v>
      </c>
      <c r="BV51" s="128">
        <v>1.48</v>
      </c>
      <c r="BW51" s="128">
        <v>1.48</v>
      </c>
      <c r="BX51" s="128">
        <v>1.48</v>
      </c>
      <c r="BY51" s="128">
        <v>1.48</v>
      </c>
      <c r="BZ51" s="128">
        <v>1.48</v>
      </c>
      <c r="CA51" s="128">
        <v>1.48</v>
      </c>
      <c r="CB51" s="128">
        <v>1.48</v>
      </c>
      <c r="CC51" s="128">
        <v>1.48</v>
      </c>
      <c r="CD51" s="128">
        <v>1.48</v>
      </c>
      <c r="CE51" s="128">
        <v>1.48</v>
      </c>
      <c r="CF51" s="128">
        <v>1.48</v>
      </c>
      <c r="CG51" s="128">
        <v>1.48</v>
      </c>
      <c r="CH51" s="128">
        <v>1.48</v>
      </c>
      <c r="CI51" s="128">
        <v>1.48</v>
      </c>
      <c r="CJ51" s="128">
        <v>1.48</v>
      </c>
      <c r="CK51" s="128">
        <v>1.48</v>
      </c>
      <c r="CL51" s="128">
        <v>1.48</v>
      </c>
      <c r="CM51" s="128">
        <v>1.48</v>
      </c>
      <c r="CN51" s="128">
        <v>1.48</v>
      </c>
      <c r="CO51" s="128">
        <v>1.48</v>
      </c>
      <c r="CP51" s="128">
        <v>1.48</v>
      </c>
      <c r="CQ51" s="128">
        <v>1.48</v>
      </c>
      <c r="CR51" s="128">
        <v>1.48</v>
      </c>
      <c r="CS51" s="128">
        <v>1.48</v>
      </c>
      <c r="CT51" s="128">
        <v>1.48</v>
      </c>
      <c r="CU51" s="128">
        <v>1.48</v>
      </c>
      <c r="CV51" s="128">
        <v>1.48</v>
      </c>
      <c r="CW51" s="128">
        <v>1.48</v>
      </c>
      <c r="CX51" s="128">
        <v>1.48</v>
      </c>
      <c r="CZ51" s="126">
        <f>SUMIF(MatrixF3[[1]:[2]],MatrixF3[[#This Row],[Столбец1]])/MatrixF3[[#This Row],[Столбец1]]</f>
        <v>103.99999999999996</v>
      </c>
    </row>
    <row r="52" spans="1:104" ht="21" customHeight="1" x14ac:dyDescent="0.25">
      <c r="A52" s="127">
        <v>1.49</v>
      </c>
      <c r="B52" s="128">
        <v>1.49</v>
      </c>
      <c r="C52" s="128">
        <v>1.49</v>
      </c>
      <c r="D52" s="128">
        <v>1.49</v>
      </c>
      <c r="E52" s="128">
        <v>1.49</v>
      </c>
      <c r="F52" s="128">
        <v>1.49</v>
      </c>
      <c r="G52" s="128">
        <v>1.49</v>
      </c>
      <c r="H52" s="128">
        <v>1.49</v>
      </c>
      <c r="I52" s="128">
        <v>1.49</v>
      </c>
      <c r="J52" s="128">
        <v>1.49</v>
      </c>
      <c r="K52" s="128">
        <v>1.49</v>
      </c>
      <c r="L52" s="128">
        <v>1.49</v>
      </c>
      <c r="M52" s="128">
        <v>1.49</v>
      </c>
      <c r="N52" s="128">
        <v>1.49</v>
      </c>
      <c r="O52" s="128">
        <v>1.49</v>
      </c>
      <c r="P52" s="128">
        <v>1.49</v>
      </c>
      <c r="Q52" s="128">
        <v>1.49</v>
      </c>
      <c r="R52" s="128">
        <v>1.49</v>
      </c>
      <c r="S52" s="128">
        <v>1.49</v>
      </c>
      <c r="T52" s="128">
        <v>1.49</v>
      </c>
      <c r="U52" s="128">
        <v>1.49</v>
      </c>
      <c r="V52" s="128">
        <v>1.49</v>
      </c>
      <c r="W52" s="128">
        <v>1.49</v>
      </c>
      <c r="X52" s="128">
        <v>1.49</v>
      </c>
      <c r="Y52" s="128">
        <v>1.49</v>
      </c>
      <c r="Z52" s="128">
        <v>1.49</v>
      </c>
      <c r="AA52" s="128">
        <v>1.49</v>
      </c>
      <c r="AB52" s="128">
        <v>1.49</v>
      </c>
      <c r="AC52" s="128">
        <v>1.49</v>
      </c>
      <c r="AD52" s="128">
        <v>1.49</v>
      </c>
      <c r="AE52" s="128">
        <v>1.49</v>
      </c>
      <c r="AF52" s="128">
        <v>1.49</v>
      </c>
      <c r="AG52" s="128">
        <v>1.49</v>
      </c>
      <c r="AH52" s="128">
        <v>1.49</v>
      </c>
      <c r="AI52" s="128">
        <v>1.49</v>
      </c>
      <c r="AJ52" s="128">
        <v>1.49</v>
      </c>
      <c r="AK52" s="128">
        <v>1.49</v>
      </c>
      <c r="AL52" s="128">
        <v>1.49</v>
      </c>
      <c r="AM52" s="128">
        <v>1.49</v>
      </c>
      <c r="AN52" s="128">
        <v>1.49</v>
      </c>
      <c r="AO52" s="128">
        <v>1.49</v>
      </c>
      <c r="AP52" s="128">
        <v>1.49</v>
      </c>
      <c r="AQ52" s="128">
        <v>1.49</v>
      </c>
      <c r="AR52" s="128">
        <v>1.49</v>
      </c>
      <c r="AS52" s="128">
        <v>1.49</v>
      </c>
      <c r="AT52" s="128">
        <v>1.49</v>
      </c>
      <c r="AU52" s="128">
        <v>1.49</v>
      </c>
      <c r="AV52" s="128">
        <v>1.49</v>
      </c>
      <c r="AW52" s="128">
        <v>1.49</v>
      </c>
      <c r="AX52" s="128">
        <v>1.49</v>
      </c>
      <c r="AY52" s="128">
        <v>1.49</v>
      </c>
      <c r="AZ52" s="128">
        <v>1.49</v>
      </c>
      <c r="BA52" s="128">
        <v>1.49</v>
      </c>
      <c r="BB52" s="128">
        <v>1.49</v>
      </c>
      <c r="BC52" s="128">
        <v>1.49</v>
      </c>
      <c r="BD52" s="128">
        <v>1.49</v>
      </c>
      <c r="BE52" s="128">
        <v>1.49</v>
      </c>
      <c r="BF52" s="128">
        <v>1.49</v>
      </c>
      <c r="BG52" s="128">
        <v>1.49</v>
      </c>
      <c r="BH52" s="128">
        <v>1.49</v>
      </c>
      <c r="BI52" s="128">
        <v>1.49</v>
      </c>
      <c r="BJ52" s="128">
        <v>1.49</v>
      </c>
      <c r="BK52" s="128">
        <v>1.49</v>
      </c>
      <c r="BL52" s="128">
        <v>1.49</v>
      </c>
      <c r="BM52" s="128">
        <v>1.49</v>
      </c>
      <c r="BN52" s="128">
        <v>1.49</v>
      </c>
      <c r="BO52" s="128">
        <v>1.49</v>
      </c>
      <c r="BP52" s="128">
        <v>1.49</v>
      </c>
      <c r="BQ52" s="128">
        <v>1.49</v>
      </c>
      <c r="BR52" s="128">
        <v>1.49</v>
      </c>
      <c r="BS52" s="128">
        <v>1.49</v>
      </c>
      <c r="BT52" s="128">
        <v>1.49</v>
      </c>
      <c r="BU52" s="128">
        <v>1.49</v>
      </c>
      <c r="BV52" s="128">
        <v>1.49</v>
      </c>
      <c r="BW52" s="128">
        <v>1.49</v>
      </c>
      <c r="BX52" s="128">
        <v>1.49</v>
      </c>
      <c r="BY52" s="128">
        <v>1.49</v>
      </c>
      <c r="BZ52" s="128">
        <v>1.49</v>
      </c>
      <c r="CA52" s="128">
        <v>1.49</v>
      </c>
      <c r="CB52" s="128">
        <v>1.49</v>
      </c>
      <c r="CC52" s="128">
        <v>1.49</v>
      </c>
      <c r="CD52" s="128">
        <v>1.49</v>
      </c>
      <c r="CE52" s="128">
        <v>1.49</v>
      </c>
      <c r="CF52" s="128">
        <v>1.49</v>
      </c>
      <c r="CG52" s="128">
        <v>1.49</v>
      </c>
      <c r="CH52" s="128">
        <v>1.49</v>
      </c>
      <c r="CI52" s="128">
        <v>1.49</v>
      </c>
      <c r="CJ52" s="128">
        <v>1.49</v>
      </c>
      <c r="CK52" s="128">
        <v>1.49</v>
      </c>
      <c r="CL52" s="128">
        <v>1.49</v>
      </c>
      <c r="CM52" s="128">
        <v>1.49</v>
      </c>
      <c r="CN52" s="128">
        <v>1.49</v>
      </c>
      <c r="CO52" s="128">
        <v>1.49</v>
      </c>
      <c r="CP52" s="128">
        <v>1.49</v>
      </c>
      <c r="CQ52" s="128">
        <v>1.49</v>
      </c>
      <c r="CR52" s="128">
        <v>1.49</v>
      </c>
      <c r="CS52" s="128">
        <v>1.49</v>
      </c>
      <c r="CT52" s="128">
        <v>1.49</v>
      </c>
      <c r="CU52" s="128">
        <v>1.49</v>
      </c>
      <c r="CV52" s="128">
        <v>1.49</v>
      </c>
      <c r="CW52" s="128">
        <v>1.49</v>
      </c>
      <c r="CX52" s="128">
        <v>1.49</v>
      </c>
      <c r="CZ52" s="126">
        <f>SUMIF(MatrixF3[[1]:[2]],MatrixF3[[#This Row],[Столбец1]])/MatrixF3[[#This Row],[Столбец1]]</f>
        <v>101.99999999999997</v>
      </c>
    </row>
    <row r="53" spans="1:104" ht="21" customHeight="1" x14ac:dyDescent="0.25">
      <c r="A53" s="127">
        <v>1.5</v>
      </c>
      <c r="B53" s="128">
        <v>1.5</v>
      </c>
      <c r="C53" s="128">
        <v>1.5</v>
      </c>
      <c r="D53" s="128">
        <v>1.5</v>
      </c>
      <c r="E53" s="128">
        <v>1.5</v>
      </c>
      <c r="F53" s="128">
        <v>1.5</v>
      </c>
      <c r="G53" s="128">
        <v>1.5</v>
      </c>
      <c r="H53" s="128">
        <v>1.5</v>
      </c>
      <c r="I53" s="128">
        <v>1.5</v>
      </c>
      <c r="J53" s="128">
        <v>1.5</v>
      </c>
      <c r="K53" s="128">
        <v>1.5</v>
      </c>
      <c r="L53" s="128">
        <v>1.5</v>
      </c>
      <c r="M53" s="128">
        <v>1.5</v>
      </c>
      <c r="N53" s="128">
        <v>1.5</v>
      </c>
      <c r="O53" s="128">
        <v>1.5</v>
      </c>
      <c r="P53" s="128">
        <v>1.5</v>
      </c>
      <c r="Q53" s="128">
        <v>1.5</v>
      </c>
      <c r="R53" s="128">
        <v>1.5</v>
      </c>
      <c r="S53" s="128">
        <v>1.5</v>
      </c>
      <c r="T53" s="128">
        <v>1.5</v>
      </c>
      <c r="U53" s="128">
        <v>1.5</v>
      </c>
      <c r="V53" s="128">
        <v>1.5</v>
      </c>
      <c r="W53" s="128">
        <v>1.5</v>
      </c>
      <c r="X53" s="128">
        <v>1.5</v>
      </c>
      <c r="Y53" s="128">
        <v>1.5</v>
      </c>
      <c r="Z53" s="128">
        <v>1.5</v>
      </c>
      <c r="AA53" s="128">
        <v>1.5</v>
      </c>
      <c r="AB53" s="128">
        <v>1.5</v>
      </c>
      <c r="AC53" s="128">
        <v>1.5</v>
      </c>
      <c r="AD53" s="128">
        <v>1.5</v>
      </c>
      <c r="AE53" s="128">
        <v>1.5</v>
      </c>
      <c r="AF53" s="128">
        <v>1.5</v>
      </c>
      <c r="AG53" s="128">
        <v>1.5</v>
      </c>
      <c r="AH53" s="128">
        <v>1.5</v>
      </c>
      <c r="AI53" s="128">
        <v>1.5</v>
      </c>
      <c r="AJ53" s="128">
        <v>1.5</v>
      </c>
      <c r="AK53" s="128">
        <v>1.5</v>
      </c>
      <c r="AL53" s="128">
        <v>1.5</v>
      </c>
      <c r="AM53" s="128">
        <v>1.5</v>
      </c>
      <c r="AN53" s="128">
        <v>1.5</v>
      </c>
      <c r="AO53" s="128">
        <v>1.5</v>
      </c>
      <c r="AP53" s="128">
        <v>1.5</v>
      </c>
      <c r="AQ53" s="128">
        <v>1.5</v>
      </c>
      <c r="AR53" s="128">
        <v>1.5</v>
      </c>
      <c r="AS53" s="128">
        <v>1.5</v>
      </c>
      <c r="AT53" s="128">
        <v>1.5</v>
      </c>
      <c r="AU53" s="128">
        <v>1.5</v>
      </c>
      <c r="AV53" s="128">
        <v>1.5</v>
      </c>
      <c r="AW53" s="128">
        <v>1.5</v>
      </c>
      <c r="AX53" s="128">
        <v>1.5</v>
      </c>
      <c r="AY53" s="128">
        <v>1.5</v>
      </c>
      <c r="AZ53" s="128">
        <v>1.5</v>
      </c>
      <c r="BA53" s="128">
        <v>1.5</v>
      </c>
      <c r="BB53" s="128">
        <v>1.5</v>
      </c>
      <c r="BC53" s="128">
        <v>1.5</v>
      </c>
      <c r="BD53" s="128">
        <v>1.5</v>
      </c>
      <c r="BE53" s="128">
        <v>1.5</v>
      </c>
      <c r="BF53" s="128">
        <v>1.5</v>
      </c>
      <c r="BG53" s="128">
        <v>1.5</v>
      </c>
      <c r="BH53" s="128">
        <v>1.5</v>
      </c>
      <c r="BI53" s="128">
        <v>1.5</v>
      </c>
      <c r="BJ53" s="128">
        <v>1.5</v>
      </c>
      <c r="BK53" s="128">
        <v>1.5</v>
      </c>
      <c r="BL53" s="128">
        <v>1.5</v>
      </c>
      <c r="BM53" s="128">
        <v>1.5</v>
      </c>
      <c r="BN53" s="128">
        <v>1.5</v>
      </c>
      <c r="BO53" s="128">
        <v>1.5</v>
      </c>
      <c r="BP53" s="128">
        <v>1.5</v>
      </c>
      <c r="BQ53" s="128">
        <v>1.5</v>
      </c>
      <c r="BR53" s="128">
        <v>1.5</v>
      </c>
      <c r="BS53" s="128">
        <v>1.5</v>
      </c>
      <c r="BT53" s="128">
        <v>1.5</v>
      </c>
      <c r="BU53" s="128">
        <v>1.5</v>
      </c>
      <c r="BV53" s="128">
        <v>1.5</v>
      </c>
      <c r="BW53" s="128">
        <v>1.5</v>
      </c>
      <c r="BX53" s="128">
        <v>1.5</v>
      </c>
      <c r="BY53" s="128">
        <v>1.5</v>
      </c>
      <c r="BZ53" s="128">
        <v>1.5</v>
      </c>
      <c r="CA53" s="128">
        <v>1.5</v>
      </c>
      <c r="CB53" s="128">
        <v>1.5</v>
      </c>
      <c r="CC53" s="128">
        <v>1.5</v>
      </c>
      <c r="CD53" s="128">
        <v>1.5</v>
      </c>
      <c r="CE53" s="128">
        <v>1.5</v>
      </c>
      <c r="CF53" s="128">
        <v>1.5</v>
      </c>
      <c r="CG53" s="128">
        <v>1.5</v>
      </c>
      <c r="CH53" s="128">
        <v>1.5</v>
      </c>
      <c r="CI53" s="128">
        <v>1.5</v>
      </c>
      <c r="CJ53" s="128">
        <v>1.5</v>
      </c>
      <c r="CK53" s="128">
        <v>1.5</v>
      </c>
      <c r="CL53" s="128">
        <v>1.5</v>
      </c>
      <c r="CM53" s="128">
        <v>1.5</v>
      </c>
      <c r="CN53" s="128">
        <v>1.5</v>
      </c>
      <c r="CO53" s="128">
        <v>1.5</v>
      </c>
      <c r="CP53" s="128">
        <v>1.5</v>
      </c>
      <c r="CQ53" s="128">
        <v>1.5</v>
      </c>
      <c r="CR53" s="128">
        <v>1.5</v>
      </c>
      <c r="CS53" s="128">
        <v>1.5</v>
      </c>
      <c r="CT53" s="128">
        <v>1.5</v>
      </c>
      <c r="CU53" s="128">
        <v>1.5</v>
      </c>
      <c r="CV53" s="128">
        <v>1.5</v>
      </c>
      <c r="CW53" s="128">
        <v>1.5</v>
      </c>
      <c r="CX53" s="128">
        <v>1.5</v>
      </c>
      <c r="CZ53" s="126">
        <f>SUMIF(MatrixF3[[1]:[2]],MatrixF3[[#This Row],[Столбец1]])/MatrixF3[[#This Row],[Столбец1]]</f>
        <v>101</v>
      </c>
    </row>
    <row r="54" spans="1:104" ht="21" customHeight="1" x14ac:dyDescent="0.25">
      <c r="A54" s="127">
        <v>1.51</v>
      </c>
      <c r="B54" s="128">
        <v>1.51</v>
      </c>
      <c r="C54" s="128">
        <v>1.51</v>
      </c>
      <c r="D54" s="128">
        <v>1.51</v>
      </c>
      <c r="E54" s="128">
        <v>1.51</v>
      </c>
      <c r="F54" s="128">
        <v>1.51</v>
      </c>
      <c r="G54" s="128">
        <v>1.51</v>
      </c>
      <c r="H54" s="128">
        <v>1.51</v>
      </c>
      <c r="I54" s="128">
        <v>1.51</v>
      </c>
      <c r="J54" s="128">
        <v>1.51</v>
      </c>
      <c r="K54" s="128">
        <v>1.51</v>
      </c>
      <c r="L54" s="128">
        <v>1.51</v>
      </c>
      <c r="M54" s="128">
        <v>1.51</v>
      </c>
      <c r="N54" s="128">
        <v>1.51</v>
      </c>
      <c r="O54" s="128">
        <v>1.51</v>
      </c>
      <c r="P54" s="128">
        <v>1.51</v>
      </c>
      <c r="Q54" s="128">
        <v>1.51</v>
      </c>
      <c r="R54" s="128">
        <v>1.51</v>
      </c>
      <c r="S54" s="128">
        <v>1.51</v>
      </c>
      <c r="T54" s="128">
        <v>1.51</v>
      </c>
      <c r="U54" s="128">
        <v>1.51</v>
      </c>
      <c r="V54" s="128">
        <v>1.51</v>
      </c>
      <c r="W54" s="128">
        <v>1.51</v>
      </c>
      <c r="X54" s="128">
        <v>1.51</v>
      </c>
      <c r="Y54" s="128">
        <v>1.51</v>
      </c>
      <c r="Z54" s="128">
        <v>1.51</v>
      </c>
      <c r="AA54" s="128">
        <v>1.51</v>
      </c>
      <c r="AB54" s="128">
        <v>1.51</v>
      </c>
      <c r="AC54" s="128">
        <v>1.51</v>
      </c>
      <c r="AD54" s="128">
        <v>1.51</v>
      </c>
      <c r="AE54" s="128">
        <v>1.51</v>
      </c>
      <c r="AF54" s="128">
        <v>1.51</v>
      </c>
      <c r="AG54" s="128">
        <v>1.51</v>
      </c>
      <c r="AH54" s="128">
        <v>1.51</v>
      </c>
      <c r="AI54" s="128">
        <v>1.51</v>
      </c>
      <c r="AJ54" s="128">
        <v>1.51</v>
      </c>
      <c r="AK54" s="128">
        <v>1.51</v>
      </c>
      <c r="AL54" s="128">
        <v>1.51</v>
      </c>
      <c r="AM54" s="128">
        <v>1.51</v>
      </c>
      <c r="AN54" s="128">
        <v>1.51</v>
      </c>
      <c r="AO54" s="128">
        <v>1.51</v>
      </c>
      <c r="AP54" s="128">
        <v>1.51</v>
      </c>
      <c r="AQ54" s="128">
        <v>1.51</v>
      </c>
      <c r="AR54" s="128">
        <v>1.51</v>
      </c>
      <c r="AS54" s="128">
        <v>1.51</v>
      </c>
      <c r="AT54" s="128">
        <v>1.51</v>
      </c>
      <c r="AU54" s="128">
        <v>1.51</v>
      </c>
      <c r="AV54" s="128">
        <v>1.51</v>
      </c>
      <c r="AW54" s="128">
        <v>1.51</v>
      </c>
      <c r="AX54" s="128">
        <v>1.51</v>
      </c>
      <c r="AY54" s="128">
        <v>1.51</v>
      </c>
      <c r="AZ54" s="128">
        <v>1.51</v>
      </c>
      <c r="BA54" s="128">
        <v>1.51</v>
      </c>
      <c r="BB54" s="128">
        <v>1.51</v>
      </c>
      <c r="BC54" s="128">
        <v>1.51</v>
      </c>
      <c r="BD54" s="128">
        <v>1.51</v>
      </c>
      <c r="BE54" s="128">
        <v>1.51</v>
      </c>
      <c r="BF54" s="128">
        <v>1.51</v>
      </c>
      <c r="BG54" s="128">
        <v>1.51</v>
      </c>
      <c r="BH54" s="128">
        <v>1.51</v>
      </c>
      <c r="BI54" s="128">
        <v>1.51</v>
      </c>
      <c r="BJ54" s="128">
        <v>1.51</v>
      </c>
      <c r="BK54" s="128">
        <v>1.51</v>
      </c>
      <c r="BL54" s="128">
        <v>1.51</v>
      </c>
      <c r="BM54" s="128">
        <v>1.51</v>
      </c>
      <c r="BN54" s="128">
        <v>1.51</v>
      </c>
      <c r="BO54" s="128">
        <v>1.51</v>
      </c>
      <c r="BP54" s="128">
        <v>1.51</v>
      </c>
      <c r="BQ54" s="128">
        <v>1.51</v>
      </c>
      <c r="BR54" s="128">
        <v>1.51</v>
      </c>
      <c r="BS54" s="128">
        <v>1.51</v>
      </c>
      <c r="BT54" s="128">
        <v>1.51</v>
      </c>
      <c r="BU54" s="128">
        <v>1.51</v>
      </c>
      <c r="BV54" s="128">
        <v>1.51</v>
      </c>
      <c r="BW54" s="128">
        <v>1.51</v>
      </c>
      <c r="BX54" s="128">
        <v>1.51</v>
      </c>
      <c r="BY54" s="128">
        <v>1.51</v>
      </c>
      <c r="BZ54" s="128">
        <v>1.51</v>
      </c>
      <c r="CA54" s="128">
        <v>1.51</v>
      </c>
      <c r="CB54" s="128">
        <v>1.51</v>
      </c>
      <c r="CC54" s="128">
        <v>1.51</v>
      </c>
      <c r="CD54" s="128">
        <v>1.51</v>
      </c>
      <c r="CE54" s="128">
        <v>1.51</v>
      </c>
      <c r="CF54" s="128">
        <v>1.51</v>
      </c>
      <c r="CG54" s="128">
        <v>1.51</v>
      </c>
      <c r="CH54" s="128">
        <v>1.51</v>
      </c>
      <c r="CI54" s="128">
        <v>1.51</v>
      </c>
      <c r="CJ54" s="128">
        <v>1.51</v>
      </c>
      <c r="CK54" s="128">
        <v>1.51</v>
      </c>
      <c r="CL54" s="128">
        <v>1.51</v>
      </c>
      <c r="CM54" s="128">
        <v>1.51</v>
      </c>
      <c r="CN54" s="128">
        <v>1.51</v>
      </c>
      <c r="CO54" s="128">
        <v>1.51</v>
      </c>
      <c r="CP54" s="128">
        <v>1.51</v>
      </c>
      <c r="CQ54" s="128">
        <v>1.51</v>
      </c>
      <c r="CR54" s="128">
        <v>1.51</v>
      </c>
      <c r="CS54" s="128">
        <v>1.51</v>
      </c>
      <c r="CT54" s="128">
        <v>1.51</v>
      </c>
      <c r="CU54" s="128">
        <v>1.51</v>
      </c>
      <c r="CV54" s="128">
        <v>1.51</v>
      </c>
      <c r="CW54" s="128">
        <v>1.51</v>
      </c>
      <c r="CX54" s="128">
        <v>1.51</v>
      </c>
      <c r="CZ54" s="126">
        <f>SUMIF(MatrixF3[[1]:[2]],MatrixF3[[#This Row],[Столбец1]])/MatrixF3[[#This Row],[Столбец1]]</f>
        <v>102.00000000000003</v>
      </c>
    </row>
    <row r="55" spans="1:104" ht="21" customHeight="1" x14ac:dyDescent="0.25">
      <c r="A55" s="127">
        <v>1.52</v>
      </c>
      <c r="B55" s="128">
        <v>1.52</v>
      </c>
      <c r="C55" s="128">
        <v>1.52</v>
      </c>
      <c r="D55" s="128">
        <v>1.52</v>
      </c>
      <c r="E55" s="128">
        <v>1.52</v>
      </c>
      <c r="F55" s="128">
        <v>1.52</v>
      </c>
      <c r="G55" s="128">
        <v>1.52</v>
      </c>
      <c r="H55" s="128">
        <v>1.52</v>
      </c>
      <c r="I55" s="128">
        <v>1.52</v>
      </c>
      <c r="J55" s="128">
        <v>1.52</v>
      </c>
      <c r="K55" s="128">
        <v>1.52</v>
      </c>
      <c r="L55" s="128">
        <v>1.52</v>
      </c>
      <c r="M55" s="128">
        <v>1.52</v>
      </c>
      <c r="N55" s="128">
        <v>1.52</v>
      </c>
      <c r="O55" s="128">
        <v>1.52</v>
      </c>
      <c r="P55" s="128">
        <v>1.52</v>
      </c>
      <c r="Q55" s="128">
        <v>1.52</v>
      </c>
      <c r="R55" s="128">
        <v>1.52</v>
      </c>
      <c r="S55" s="128">
        <v>1.52</v>
      </c>
      <c r="T55" s="128">
        <v>1.52</v>
      </c>
      <c r="U55" s="128">
        <v>1.52</v>
      </c>
      <c r="V55" s="128">
        <v>1.52</v>
      </c>
      <c r="W55" s="128">
        <v>1.52</v>
      </c>
      <c r="X55" s="128">
        <v>1.52</v>
      </c>
      <c r="Y55" s="128">
        <v>1.52</v>
      </c>
      <c r="Z55" s="128">
        <v>1.52</v>
      </c>
      <c r="AA55" s="128">
        <v>1.52</v>
      </c>
      <c r="AB55" s="128">
        <v>1.52</v>
      </c>
      <c r="AC55" s="128">
        <v>1.52</v>
      </c>
      <c r="AD55" s="128">
        <v>1.52</v>
      </c>
      <c r="AE55" s="128">
        <v>1.52</v>
      </c>
      <c r="AF55" s="128">
        <v>1.52</v>
      </c>
      <c r="AG55" s="128">
        <v>1.52</v>
      </c>
      <c r="AH55" s="128">
        <v>1.52</v>
      </c>
      <c r="AI55" s="128">
        <v>1.52</v>
      </c>
      <c r="AJ55" s="128">
        <v>1.52</v>
      </c>
      <c r="AK55" s="128">
        <v>1.52</v>
      </c>
      <c r="AL55" s="128">
        <v>1.52</v>
      </c>
      <c r="AM55" s="128">
        <v>1.52</v>
      </c>
      <c r="AN55" s="128">
        <v>1.52</v>
      </c>
      <c r="AO55" s="128">
        <v>1.52</v>
      </c>
      <c r="AP55" s="128">
        <v>1.52</v>
      </c>
      <c r="AQ55" s="128">
        <v>1.52</v>
      </c>
      <c r="AR55" s="128">
        <v>1.52</v>
      </c>
      <c r="AS55" s="128">
        <v>1.52</v>
      </c>
      <c r="AT55" s="128">
        <v>1.52</v>
      </c>
      <c r="AU55" s="128">
        <v>1.52</v>
      </c>
      <c r="AV55" s="128">
        <v>1.52</v>
      </c>
      <c r="AW55" s="128">
        <v>1.52</v>
      </c>
      <c r="AX55" s="128">
        <v>1.52</v>
      </c>
      <c r="AY55" s="128">
        <v>1.52</v>
      </c>
      <c r="AZ55" s="128">
        <v>1.51</v>
      </c>
      <c r="BA55" s="128">
        <v>1.52</v>
      </c>
      <c r="BB55" s="128">
        <v>1.52</v>
      </c>
      <c r="BC55" s="128">
        <v>1.52</v>
      </c>
      <c r="BD55" s="128">
        <v>1.52</v>
      </c>
      <c r="BE55" s="128">
        <v>1.52</v>
      </c>
      <c r="BF55" s="128">
        <v>1.52</v>
      </c>
      <c r="BG55" s="128">
        <v>1.52</v>
      </c>
      <c r="BH55" s="128">
        <v>1.52</v>
      </c>
      <c r="BI55" s="128">
        <v>1.52</v>
      </c>
      <c r="BJ55" s="128">
        <v>1.52</v>
      </c>
      <c r="BK55" s="128">
        <v>1.52</v>
      </c>
      <c r="BL55" s="128">
        <v>1.52</v>
      </c>
      <c r="BM55" s="128">
        <v>1.52</v>
      </c>
      <c r="BN55" s="128">
        <v>1.52</v>
      </c>
      <c r="BO55" s="128">
        <v>1.52</v>
      </c>
      <c r="BP55" s="128">
        <v>1.52</v>
      </c>
      <c r="BQ55" s="128">
        <v>1.52</v>
      </c>
      <c r="BR55" s="128">
        <v>1.52</v>
      </c>
      <c r="BS55" s="128">
        <v>1.52</v>
      </c>
      <c r="BT55" s="128">
        <v>1.52</v>
      </c>
      <c r="BU55" s="128">
        <v>1.52</v>
      </c>
      <c r="BV55" s="128">
        <v>1.52</v>
      </c>
      <c r="BW55" s="128">
        <v>1.52</v>
      </c>
      <c r="BX55" s="128">
        <v>1.52</v>
      </c>
      <c r="BY55" s="128">
        <v>1.52</v>
      </c>
      <c r="BZ55" s="128">
        <v>1.52</v>
      </c>
      <c r="CA55" s="128">
        <v>1.52</v>
      </c>
      <c r="CB55" s="128">
        <v>1.52</v>
      </c>
      <c r="CC55" s="128">
        <v>1.52</v>
      </c>
      <c r="CD55" s="128">
        <v>1.52</v>
      </c>
      <c r="CE55" s="128">
        <v>1.52</v>
      </c>
      <c r="CF55" s="128">
        <v>1.52</v>
      </c>
      <c r="CG55" s="128">
        <v>1.52</v>
      </c>
      <c r="CH55" s="128">
        <v>1.52</v>
      </c>
      <c r="CI55" s="128">
        <v>1.52</v>
      </c>
      <c r="CJ55" s="128">
        <v>1.52</v>
      </c>
      <c r="CK55" s="128">
        <v>1.52</v>
      </c>
      <c r="CL55" s="128">
        <v>1.52</v>
      </c>
      <c r="CM55" s="128">
        <v>1.52</v>
      </c>
      <c r="CN55" s="128">
        <v>1.52</v>
      </c>
      <c r="CO55" s="128">
        <v>1.52</v>
      </c>
      <c r="CP55" s="128">
        <v>1.52</v>
      </c>
      <c r="CQ55" s="128">
        <v>1.52</v>
      </c>
      <c r="CR55" s="128">
        <v>1.52</v>
      </c>
      <c r="CS55" s="128">
        <v>1.52</v>
      </c>
      <c r="CT55" s="128">
        <v>1.52</v>
      </c>
      <c r="CU55" s="128">
        <v>1.52</v>
      </c>
      <c r="CV55" s="128">
        <v>1.52</v>
      </c>
      <c r="CW55" s="128">
        <v>1.52</v>
      </c>
      <c r="CX55" s="128">
        <v>1.52</v>
      </c>
      <c r="CZ55" s="126">
        <f>SUMIF(MatrixF3[[1]:[2]],MatrixF3[[#This Row],[Столбец1]])/MatrixF3[[#This Row],[Столбец1]]</f>
        <v>104.00000000000006</v>
      </c>
    </row>
    <row r="56" spans="1:104" ht="21" customHeight="1" x14ac:dyDescent="0.25">
      <c r="A56" s="127">
        <v>1.53</v>
      </c>
      <c r="B56" s="128">
        <v>1.53</v>
      </c>
      <c r="C56" s="128">
        <v>1.53</v>
      </c>
      <c r="D56" s="128">
        <v>1.53</v>
      </c>
      <c r="E56" s="128">
        <v>1.53</v>
      </c>
      <c r="F56" s="128">
        <v>1.53</v>
      </c>
      <c r="G56" s="128">
        <v>1.53</v>
      </c>
      <c r="H56" s="128">
        <v>1.53</v>
      </c>
      <c r="I56" s="128">
        <v>1.53</v>
      </c>
      <c r="J56" s="128">
        <v>1.53</v>
      </c>
      <c r="K56" s="128">
        <v>1.53</v>
      </c>
      <c r="L56" s="128">
        <v>1.53</v>
      </c>
      <c r="M56" s="128">
        <v>1.53</v>
      </c>
      <c r="N56" s="128">
        <v>1.53</v>
      </c>
      <c r="O56" s="128">
        <v>1.53</v>
      </c>
      <c r="P56" s="128">
        <v>1.53</v>
      </c>
      <c r="Q56" s="128">
        <v>1.53</v>
      </c>
      <c r="R56" s="128">
        <v>1.53</v>
      </c>
      <c r="S56" s="128">
        <v>1.53</v>
      </c>
      <c r="T56" s="128">
        <v>1.53</v>
      </c>
      <c r="U56" s="128">
        <v>1.53</v>
      </c>
      <c r="V56" s="128">
        <v>1.53</v>
      </c>
      <c r="W56" s="128">
        <v>1.53</v>
      </c>
      <c r="X56" s="128">
        <v>1.53</v>
      </c>
      <c r="Y56" s="128">
        <v>1.53</v>
      </c>
      <c r="Z56" s="128">
        <v>1.53</v>
      </c>
      <c r="AA56" s="128">
        <v>1.53</v>
      </c>
      <c r="AB56" s="128">
        <v>1.53</v>
      </c>
      <c r="AC56" s="128">
        <v>1.53</v>
      </c>
      <c r="AD56" s="128">
        <v>1.53</v>
      </c>
      <c r="AE56" s="128">
        <v>1.53</v>
      </c>
      <c r="AF56" s="128">
        <v>1.53</v>
      </c>
      <c r="AG56" s="128">
        <v>1.53</v>
      </c>
      <c r="AH56" s="128">
        <v>1.53</v>
      </c>
      <c r="AI56" s="128">
        <v>1.53</v>
      </c>
      <c r="AJ56" s="128">
        <v>1.53</v>
      </c>
      <c r="AK56" s="128">
        <v>1.53</v>
      </c>
      <c r="AL56" s="128">
        <v>1.53</v>
      </c>
      <c r="AM56" s="128">
        <v>1.53</v>
      </c>
      <c r="AN56" s="128">
        <v>1.53</v>
      </c>
      <c r="AO56" s="128">
        <v>1.53</v>
      </c>
      <c r="AP56" s="128">
        <v>1.53</v>
      </c>
      <c r="AQ56" s="128">
        <v>1.53</v>
      </c>
      <c r="AR56" s="128">
        <v>1.53</v>
      </c>
      <c r="AS56" s="128">
        <v>1.53</v>
      </c>
      <c r="AT56" s="128">
        <v>1.53</v>
      </c>
      <c r="AU56" s="128">
        <v>1.53</v>
      </c>
      <c r="AV56" s="128">
        <v>1.53</v>
      </c>
      <c r="AW56" s="128">
        <v>1.53</v>
      </c>
      <c r="AX56" s="128">
        <v>1.53</v>
      </c>
      <c r="AY56" s="128">
        <v>1.52</v>
      </c>
      <c r="AZ56" s="128">
        <v>1.52</v>
      </c>
      <c r="BA56" s="128">
        <v>1.52</v>
      </c>
      <c r="BB56" s="128">
        <v>1.53</v>
      </c>
      <c r="BC56" s="128">
        <v>1.53</v>
      </c>
      <c r="BD56" s="128">
        <v>1.53</v>
      </c>
      <c r="BE56" s="128">
        <v>1.53</v>
      </c>
      <c r="BF56" s="128">
        <v>1.53</v>
      </c>
      <c r="BG56" s="128">
        <v>1.53</v>
      </c>
      <c r="BH56" s="128">
        <v>1.53</v>
      </c>
      <c r="BI56" s="128">
        <v>1.53</v>
      </c>
      <c r="BJ56" s="128">
        <v>1.53</v>
      </c>
      <c r="BK56" s="128">
        <v>1.53</v>
      </c>
      <c r="BL56" s="128">
        <v>1.53</v>
      </c>
      <c r="BM56" s="128">
        <v>1.53</v>
      </c>
      <c r="BN56" s="128">
        <v>1.53</v>
      </c>
      <c r="BO56" s="128">
        <v>1.53</v>
      </c>
      <c r="BP56" s="128">
        <v>1.53</v>
      </c>
      <c r="BQ56" s="128">
        <v>1.53</v>
      </c>
      <c r="BR56" s="128">
        <v>1.53</v>
      </c>
      <c r="BS56" s="128">
        <v>1.53</v>
      </c>
      <c r="BT56" s="128">
        <v>1.53</v>
      </c>
      <c r="BU56" s="128">
        <v>1.53</v>
      </c>
      <c r="BV56" s="128">
        <v>1.53</v>
      </c>
      <c r="BW56" s="128">
        <v>1.53</v>
      </c>
      <c r="BX56" s="128">
        <v>1.53</v>
      </c>
      <c r="BY56" s="128">
        <v>1.53</v>
      </c>
      <c r="BZ56" s="128">
        <v>1.53</v>
      </c>
      <c r="CA56" s="128">
        <v>1.53</v>
      </c>
      <c r="CB56" s="128">
        <v>1.53</v>
      </c>
      <c r="CC56" s="128">
        <v>1.53</v>
      </c>
      <c r="CD56" s="128">
        <v>1.53</v>
      </c>
      <c r="CE56" s="128">
        <v>1.53</v>
      </c>
      <c r="CF56" s="128">
        <v>1.53</v>
      </c>
      <c r="CG56" s="128">
        <v>1.53</v>
      </c>
      <c r="CH56" s="128">
        <v>1.53</v>
      </c>
      <c r="CI56" s="128">
        <v>1.53</v>
      </c>
      <c r="CJ56" s="128">
        <v>1.53</v>
      </c>
      <c r="CK56" s="128">
        <v>1.53</v>
      </c>
      <c r="CL56" s="128">
        <v>1.53</v>
      </c>
      <c r="CM56" s="128">
        <v>1.53</v>
      </c>
      <c r="CN56" s="128">
        <v>1.53</v>
      </c>
      <c r="CO56" s="128">
        <v>1.53</v>
      </c>
      <c r="CP56" s="128">
        <v>1.53</v>
      </c>
      <c r="CQ56" s="128">
        <v>1.53</v>
      </c>
      <c r="CR56" s="128">
        <v>1.53</v>
      </c>
      <c r="CS56" s="128">
        <v>1.53</v>
      </c>
      <c r="CT56" s="128">
        <v>1.53</v>
      </c>
      <c r="CU56" s="128">
        <v>1.53</v>
      </c>
      <c r="CV56" s="128">
        <v>1.53</v>
      </c>
      <c r="CW56" s="128">
        <v>1.53</v>
      </c>
      <c r="CX56" s="128">
        <v>1.53</v>
      </c>
      <c r="CZ56" s="126">
        <f>SUMIF(MatrixF3[[1]:[2]],MatrixF3[[#This Row],[Столбец1]])/MatrixF3[[#This Row],[Столбец1]]</f>
        <v>106.00000000000006</v>
      </c>
    </row>
    <row r="57" spans="1:104" ht="21" customHeight="1" x14ac:dyDescent="0.25">
      <c r="A57" s="127">
        <v>1.54</v>
      </c>
      <c r="B57" s="128">
        <v>1.54</v>
      </c>
      <c r="C57" s="128">
        <v>1.54</v>
      </c>
      <c r="D57" s="128">
        <v>1.54</v>
      </c>
      <c r="E57" s="128">
        <v>1.54</v>
      </c>
      <c r="F57" s="128">
        <v>1.54</v>
      </c>
      <c r="G57" s="128">
        <v>1.54</v>
      </c>
      <c r="H57" s="128">
        <v>1.54</v>
      </c>
      <c r="I57" s="128">
        <v>1.54</v>
      </c>
      <c r="J57" s="128">
        <v>1.54</v>
      </c>
      <c r="K57" s="128">
        <v>1.54</v>
      </c>
      <c r="L57" s="128">
        <v>1.54</v>
      </c>
      <c r="M57" s="128">
        <v>1.54</v>
      </c>
      <c r="N57" s="128">
        <v>1.54</v>
      </c>
      <c r="O57" s="128">
        <v>1.54</v>
      </c>
      <c r="P57" s="128">
        <v>1.54</v>
      </c>
      <c r="Q57" s="128">
        <v>1.54</v>
      </c>
      <c r="R57" s="128">
        <v>1.54</v>
      </c>
      <c r="S57" s="128">
        <v>1.54</v>
      </c>
      <c r="T57" s="128">
        <v>1.54</v>
      </c>
      <c r="U57" s="128">
        <v>1.54</v>
      </c>
      <c r="V57" s="128">
        <v>1.54</v>
      </c>
      <c r="W57" s="128">
        <v>1.54</v>
      </c>
      <c r="X57" s="128">
        <v>1.54</v>
      </c>
      <c r="Y57" s="128">
        <v>1.54</v>
      </c>
      <c r="Z57" s="128">
        <v>1.54</v>
      </c>
      <c r="AA57" s="128">
        <v>1.54</v>
      </c>
      <c r="AB57" s="128">
        <v>1.54</v>
      </c>
      <c r="AC57" s="128">
        <v>1.54</v>
      </c>
      <c r="AD57" s="128">
        <v>1.54</v>
      </c>
      <c r="AE57" s="128">
        <v>1.54</v>
      </c>
      <c r="AF57" s="128">
        <v>1.54</v>
      </c>
      <c r="AG57" s="128">
        <v>1.54</v>
      </c>
      <c r="AH57" s="128">
        <v>1.54</v>
      </c>
      <c r="AI57" s="128">
        <v>1.54</v>
      </c>
      <c r="AJ57" s="128">
        <v>1.54</v>
      </c>
      <c r="AK57" s="128">
        <v>1.54</v>
      </c>
      <c r="AL57" s="128">
        <v>1.54</v>
      </c>
      <c r="AM57" s="128">
        <v>1.54</v>
      </c>
      <c r="AN57" s="128">
        <v>1.54</v>
      </c>
      <c r="AO57" s="128">
        <v>1.54</v>
      </c>
      <c r="AP57" s="128">
        <v>1.54</v>
      </c>
      <c r="AQ57" s="128">
        <v>1.54</v>
      </c>
      <c r="AR57" s="128">
        <v>1.54</v>
      </c>
      <c r="AS57" s="128">
        <v>1.54</v>
      </c>
      <c r="AT57" s="128">
        <v>1.54</v>
      </c>
      <c r="AU57" s="128">
        <v>1.54</v>
      </c>
      <c r="AV57" s="128">
        <v>1.54</v>
      </c>
      <c r="AW57" s="128">
        <v>1.54</v>
      </c>
      <c r="AX57" s="128">
        <v>1.53</v>
      </c>
      <c r="AY57" s="128">
        <v>1.53</v>
      </c>
      <c r="AZ57" s="128">
        <v>1.52</v>
      </c>
      <c r="BA57" s="128">
        <v>1.53</v>
      </c>
      <c r="BB57" s="128">
        <v>1.53</v>
      </c>
      <c r="BC57" s="128">
        <v>1.54</v>
      </c>
      <c r="BD57" s="128">
        <v>1.54</v>
      </c>
      <c r="BE57" s="128">
        <v>1.54</v>
      </c>
      <c r="BF57" s="128">
        <v>1.54</v>
      </c>
      <c r="BG57" s="128">
        <v>1.54</v>
      </c>
      <c r="BH57" s="128">
        <v>1.54</v>
      </c>
      <c r="BI57" s="128">
        <v>1.54</v>
      </c>
      <c r="BJ57" s="128">
        <v>1.54</v>
      </c>
      <c r="BK57" s="128">
        <v>1.54</v>
      </c>
      <c r="BL57" s="128">
        <v>1.54</v>
      </c>
      <c r="BM57" s="128">
        <v>1.54</v>
      </c>
      <c r="BN57" s="128">
        <v>1.54</v>
      </c>
      <c r="BO57" s="128">
        <v>1.54</v>
      </c>
      <c r="BP57" s="128">
        <v>1.54</v>
      </c>
      <c r="BQ57" s="128">
        <v>1.54</v>
      </c>
      <c r="BR57" s="128">
        <v>1.54</v>
      </c>
      <c r="BS57" s="128">
        <v>1.54</v>
      </c>
      <c r="BT57" s="128">
        <v>1.54</v>
      </c>
      <c r="BU57" s="128">
        <v>1.54</v>
      </c>
      <c r="BV57" s="128">
        <v>1.54</v>
      </c>
      <c r="BW57" s="128">
        <v>1.54</v>
      </c>
      <c r="BX57" s="128">
        <v>1.54</v>
      </c>
      <c r="BY57" s="128">
        <v>1.54</v>
      </c>
      <c r="BZ57" s="128">
        <v>1.54</v>
      </c>
      <c r="CA57" s="128">
        <v>1.54</v>
      </c>
      <c r="CB57" s="128">
        <v>1.54</v>
      </c>
      <c r="CC57" s="128">
        <v>1.54</v>
      </c>
      <c r="CD57" s="128">
        <v>1.54</v>
      </c>
      <c r="CE57" s="128">
        <v>1.54</v>
      </c>
      <c r="CF57" s="128">
        <v>1.54</v>
      </c>
      <c r="CG57" s="128">
        <v>1.54</v>
      </c>
      <c r="CH57" s="128">
        <v>1.54</v>
      </c>
      <c r="CI57" s="128">
        <v>1.54</v>
      </c>
      <c r="CJ57" s="128">
        <v>1.54</v>
      </c>
      <c r="CK57" s="128">
        <v>1.54</v>
      </c>
      <c r="CL57" s="128">
        <v>1.54</v>
      </c>
      <c r="CM57" s="128">
        <v>1.54</v>
      </c>
      <c r="CN57" s="128">
        <v>1.54</v>
      </c>
      <c r="CO57" s="128">
        <v>1.54</v>
      </c>
      <c r="CP57" s="128">
        <v>1.54</v>
      </c>
      <c r="CQ57" s="128">
        <v>1.54</v>
      </c>
      <c r="CR57" s="128">
        <v>1.54</v>
      </c>
      <c r="CS57" s="128">
        <v>1.54</v>
      </c>
      <c r="CT57" s="128">
        <v>1.54</v>
      </c>
      <c r="CU57" s="128">
        <v>1.54</v>
      </c>
      <c r="CV57" s="128">
        <v>1.54</v>
      </c>
      <c r="CW57" s="128">
        <v>1.54</v>
      </c>
      <c r="CX57" s="128">
        <v>1.54</v>
      </c>
      <c r="CZ57" s="126">
        <f>SUMIF(MatrixF3[[1]:[2]],MatrixF3[[#This Row],[Столбец1]])/MatrixF3[[#This Row],[Столбец1]]</f>
        <v>108.00000000000003</v>
      </c>
    </row>
    <row r="58" spans="1:104" ht="21" customHeight="1" x14ac:dyDescent="0.25">
      <c r="A58" s="127">
        <v>1.55</v>
      </c>
      <c r="B58" s="128">
        <v>1.55</v>
      </c>
      <c r="C58" s="128">
        <v>1.55</v>
      </c>
      <c r="D58" s="128">
        <v>1.55</v>
      </c>
      <c r="E58" s="128">
        <v>1.55</v>
      </c>
      <c r="F58" s="128">
        <v>1.55</v>
      </c>
      <c r="G58" s="128">
        <v>1.55</v>
      </c>
      <c r="H58" s="128">
        <v>1.55</v>
      </c>
      <c r="I58" s="128">
        <v>1.55</v>
      </c>
      <c r="J58" s="128">
        <v>1.55</v>
      </c>
      <c r="K58" s="128">
        <v>1.55</v>
      </c>
      <c r="L58" s="128">
        <v>1.55</v>
      </c>
      <c r="M58" s="128">
        <v>1.55</v>
      </c>
      <c r="N58" s="128">
        <v>1.55</v>
      </c>
      <c r="O58" s="128">
        <v>1.55</v>
      </c>
      <c r="P58" s="128">
        <v>1.55</v>
      </c>
      <c r="Q58" s="128">
        <v>1.55</v>
      </c>
      <c r="R58" s="128">
        <v>1.55</v>
      </c>
      <c r="S58" s="128">
        <v>1.55</v>
      </c>
      <c r="T58" s="128">
        <v>1.55</v>
      </c>
      <c r="U58" s="128">
        <v>1.55</v>
      </c>
      <c r="V58" s="128">
        <v>1.55</v>
      </c>
      <c r="W58" s="128">
        <v>1.55</v>
      </c>
      <c r="X58" s="128">
        <v>1.55</v>
      </c>
      <c r="Y58" s="128">
        <v>1.55</v>
      </c>
      <c r="Z58" s="128">
        <v>1.55</v>
      </c>
      <c r="AA58" s="128">
        <v>1.55</v>
      </c>
      <c r="AB58" s="128">
        <v>1.55</v>
      </c>
      <c r="AC58" s="128">
        <v>1.55</v>
      </c>
      <c r="AD58" s="128">
        <v>1.55</v>
      </c>
      <c r="AE58" s="128">
        <v>1.55</v>
      </c>
      <c r="AF58" s="128">
        <v>1.55</v>
      </c>
      <c r="AG58" s="128">
        <v>1.55</v>
      </c>
      <c r="AH58" s="128">
        <v>1.55</v>
      </c>
      <c r="AI58" s="128">
        <v>1.55</v>
      </c>
      <c r="AJ58" s="128">
        <v>1.55</v>
      </c>
      <c r="AK58" s="128">
        <v>1.55</v>
      </c>
      <c r="AL58" s="128">
        <v>1.55</v>
      </c>
      <c r="AM58" s="128">
        <v>1.55</v>
      </c>
      <c r="AN58" s="128">
        <v>1.55</v>
      </c>
      <c r="AO58" s="128">
        <v>1.55</v>
      </c>
      <c r="AP58" s="128">
        <v>1.55</v>
      </c>
      <c r="AQ58" s="128">
        <v>1.55</v>
      </c>
      <c r="AR58" s="128">
        <v>1.55</v>
      </c>
      <c r="AS58" s="128">
        <v>1.55</v>
      </c>
      <c r="AT58" s="128">
        <v>1.55</v>
      </c>
      <c r="AU58" s="128">
        <v>1.55</v>
      </c>
      <c r="AV58" s="128">
        <v>1.55</v>
      </c>
      <c r="AW58" s="128">
        <v>1.54</v>
      </c>
      <c r="AX58" s="128">
        <v>1.54</v>
      </c>
      <c r="AY58" s="128">
        <v>1.53</v>
      </c>
      <c r="AZ58" s="128">
        <v>1.53</v>
      </c>
      <c r="BA58" s="128">
        <v>1.53</v>
      </c>
      <c r="BB58" s="128">
        <v>1.54</v>
      </c>
      <c r="BC58" s="128">
        <v>1.54</v>
      </c>
      <c r="BD58" s="128">
        <v>1.55</v>
      </c>
      <c r="BE58" s="128">
        <v>1.55</v>
      </c>
      <c r="BF58" s="128">
        <v>1.55</v>
      </c>
      <c r="BG58" s="128">
        <v>1.55</v>
      </c>
      <c r="BH58" s="128">
        <v>1.55</v>
      </c>
      <c r="BI58" s="128">
        <v>1.55</v>
      </c>
      <c r="BJ58" s="128">
        <v>1.55</v>
      </c>
      <c r="BK58" s="128">
        <v>1.55</v>
      </c>
      <c r="BL58" s="128">
        <v>1.55</v>
      </c>
      <c r="BM58" s="128">
        <v>1.55</v>
      </c>
      <c r="BN58" s="128">
        <v>1.55</v>
      </c>
      <c r="BO58" s="128">
        <v>1.55</v>
      </c>
      <c r="BP58" s="128">
        <v>1.55</v>
      </c>
      <c r="BQ58" s="128">
        <v>1.55</v>
      </c>
      <c r="BR58" s="128">
        <v>1.55</v>
      </c>
      <c r="BS58" s="128">
        <v>1.55</v>
      </c>
      <c r="BT58" s="128">
        <v>1.55</v>
      </c>
      <c r="BU58" s="128">
        <v>1.55</v>
      </c>
      <c r="BV58" s="128">
        <v>1.55</v>
      </c>
      <c r="BW58" s="128">
        <v>1.55</v>
      </c>
      <c r="BX58" s="128">
        <v>1.55</v>
      </c>
      <c r="BY58" s="128">
        <v>1.55</v>
      </c>
      <c r="BZ58" s="128">
        <v>1.55</v>
      </c>
      <c r="CA58" s="128">
        <v>1.55</v>
      </c>
      <c r="CB58" s="128">
        <v>1.55</v>
      </c>
      <c r="CC58" s="128">
        <v>1.55</v>
      </c>
      <c r="CD58" s="128">
        <v>1.55</v>
      </c>
      <c r="CE58" s="128">
        <v>1.55</v>
      </c>
      <c r="CF58" s="128">
        <v>1.55</v>
      </c>
      <c r="CG58" s="128">
        <v>1.55</v>
      </c>
      <c r="CH58" s="128">
        <v>1.55</v>
      </c>
      <c r="CI58" s="128">
        <v>1.55</v>
      </c>
      <c r="CJ58" s="128">
        <v>1.55</v>
      </c>
      <c r="CK58" s="128">
        <v>1.55</v>
      </c>
      <c r="CL58" s="128">
        <v>1.55</v>
      </c>
      <c r="CM58" s="128">
        <v>1.55</v>
      </c>
      <c r="CN58" s="128">
        <v>1.55</v>
      </c>
      <c r="CO58" s="128">
        <v>1.55</v>
      </c>
      <c r="CP58" s="128">
        <v>1.55</v>
      </c>
      <c r="CQ58" s="128">
        <v>1.55</v>
      </c>
      <c r="CR58" s="128">
        <v>1.55</v>
      </c>
      <c r="CS58" s="128">
        <v>1.55</v>
      </c>
      <c r="CT58" s="128">
        <v>1.55</v>
      </c>
      <c r="CU58" s="128">
        <v>1.55</v>
      </c>
      <c r="CV58" s="128">
        <v>1.55</v>
      </c>
      <c r="CW58" s="128">
        <v>1.55</v>
      </c>
      <c r="CX58" s="128">
        <v>1.55</v>
      </c>
      <c r="CZ58" s="126">
        <f>SUMIF(MatrixF3[[1]:[2]],MatrixF3[[#This Row],[Столбец1]])/MatrixF3[[#This Row],[Столбец1]]</f>
        <v>109.00000000000009</v>
      </c>
    </row>
    <row r="59" spans="1:104" ht="21" customHeight="1" x14ac:dyDescent="0.25">
      <c r="A59" s="127">
        <v>1.56</v>
      </c>
      <c r="B59" s="128">
        <v>1.56</v>
      </c>
      <c r="C59" s="128">
        <v>1.56</v>
      </c>
      <c r="D59" s="128">
        <v>1.56</v>
      </c>
      <c r="E59" s="128">
        <v>1.56</v>
      </c>
      <c r="F59" s="128">
        <v>1.56</v>
      </c>
      <c r="G59" s="128">
        <v>1.56</v>
      </c>
      <c r="H59" s="128">
        <v>1.56</v>
      </c>
      <c r="I59" s="128">
        <v>1.56</v>
      </c>
      <c r="J59" s="128">
        <v>1.56</v>
      </c>
      <c r="K59" s="128">
        <v>1.56</v>
      </c>
      <c r="L59" s="128">
        <v>1.56</v>
      </c>
      <c r="M59" s="128">
        <v>1.56</v>
      </c>
      <c r="N59" s="128">
        <v>1.56</v>
      </c>
      <c r="O59" s="128">
        <v>1.56</v>
      </c>
      <c r="P59" s="128">
        <v>1.56</v>
      </c>
      <c r="Q59" s="128">
        <v>1.56</v>
      </c>
      <c r="R59" s="128">
        <v>1.56</v>
      </c>
      <c r="S59" s="128">
        <v>1.56</v>
      </c>
      <c r="T59" s="128">
        <v>1.56</v>
      </c>
      <c r="U59" s="128">
        <v>1.56</v>
      </c>
      <c r="V59" s="128">
        <v>1.56</v>
      </c>
      <c r="W59" s="128">
        <v>1.56</v>
      </c>
      <c r="X59" s="128">
        <v>1.56</v>
      </c>
      <c r="Y59" s="128">
        <v>1.56</v>
      </c>
      <c r="Z59" s="128">
        <v>1.56</v>
      </c>
      <c r="AA59" s="128">
        <v>1.56</v>
      </c>
      <c r="AB59" s="128">
        <v>1.56</v>
      </c>
      <c r="AC59" s="128">
        <v>1.56</v>
      </c>
      <c r="AD59" s="128">
        <v>1.56</v>
      </c>
      <c r="AE59" s="128">
        <v>1.56</v>
      </c>
      <c r="AF59" s="128">
        <v>1.56</v>
      </c>
      <c r="AG59" s="128">
        <v>1.56</v>
      </c>
      <c r="AH59" s="128">
        <v>1.56</v>
      </c>
      <c r="AI59" s="128">
        <v>1.56</v>
      </c>
      <c r="AJ59" s="128">
        <v>1.56</v>
      </c>
      <c r="AK59" s="128">
        <v>1.56</v>
      </c>
      <c r="AL59" s="128">
        <v>1.56</v>
      </c>
      <c r="AM59" s="128">
        <v>1.56</v>
      </c>
      <c r="AN59" s="128">
        <v>1.56</v>
      </c>
      <c r="AO59" s="128">
        <v>1.56</v>
      </c>
      <c r="AP59" s="128">
        <v>1.56</v>
      </c>
      <c r="AQ59" s="128">
        <v>1.56</v>
      </c>
      <c r="AR59" s="128">
        <v>1.56</v>
      </c>
      <c r="AS59" s="128">
        <v>1.56</v>
      </c>
      <c r="AT59" s="128">
        <v>1.56</v>
      </c>
      <c r="AU59" s="128">
        <v>1.56</v>
      </c>
      <c r="AV59" s="128">
        <v>1.55</v>
      </c>
      <c r="AW59" s="128">
        <v>1.55</v>
      </c>
      <c r="AX59" s="128">
        <v>1.54</v>
      </c>
      <c r="AY59" s="128">
        <v>1.54</v>
      </c>
      <c r="AZ59" s="128">
        <v>1.53</v>
      </c>
      <c r="BA59" s="128">
        <v>1.54</v>
      </c>
      <c r="BB59" s="128">
        <v>1.54</v>
      </c>
      <c r="BC59" s="128">
        <v>1.55</v>
      </c>
      <c r="BD59" s="128">
        <v>1.55</v>
      </c>
      <c r="BE59" s="128">
        <v>1.56</v>
      </c>
      <c r="BF59" s="128">
        <v>1.56</v>
      </c>
      <c r="BG59" s="128">
        <v>1.56</v>
      </c>
      <c r="BH59" s="128">
        <v>1.56</v>
      </c>
      <c r="BI59" s="128">
        <v>1.56</v>
      </c>
      <c r="BJ59" s="128">
        <v>1.56</v>
      </c>
      <c r="BK59" s="128">
        <v>1.56</v>
      </c>
      <c r="BL59" s="128">
        <v>1.56</v>
      </c>
      <c r="BM59" s="128">
        <v>1.56</v>
      </c>
      <c r="BN59" s="128">
        <v>1.56</v>
      </c>
      <c r="BO59" s="128">
        <v>1.56</v>
      </c>
      <c r="BP59" s="128">
        <v>1.56</v>
      </c>
      <c r="BQ59" s="128">
        <v>1.56</v>
      </c>
      <c r="BR59" s="128">
        <v>1.56</v>
      </c>
      <c r="BS59" s="128">
        <v>1.56</v>
      </c>
      <c r="BT59" s="128">
        <v>1.56</v>
      </c>
      <c r="BU59" s="128">
        <v>1.56</v>
      </c>
      <c r="BV59" s="128">
        <v>1.56</v>
      </c>
      <c r="BW59" s="128">
        <v>1.56</v>
      </c>
      <c r="BX59" s="128">
        <v>1.56</v>
      </c>
      <c r="BY59" s="128">
        <v>1.56</v>
      </c>
      <c r="BZ59" s="128">
        <v>1.56</v>
      </c>
      <c r="CA59" s="128">
        <v>1.56</v>
      </c>
      <c r="CB59" s="128">
        <v>1.56</v>
      </c>
      <c r="CC59" s="128">
        <v>1.56</v>
      </c>
      <c r="CD59" s="128">
        <v>1.56</v>
      </c>
      <c r="CE59" s="128">
        <v>1.56</v>
      </c>
      <c r="CF59" s="128">
        <v>1.56</v>
      </c>
      <c r="CG59" s="128">
        <v>1.56</v>
      </c>
      <c r="CH59" s="128">
        <v>1.56</v>
      </c>
      <c r="CI59" s="128">
        <v>1.56</v>
      </c>
      <c r="CJ59" s="128">
        <v>1.56</v>
      </c>
      <c r="CK59" s="128">
        <v>1.56</v>
      </c>
      <c r="CL59" s="128">
        <v>1.56</v>
      </c>
      <c r="CM59" s="128">
        <v>1.56</v>
      </c>
      <c r="CN59" s="128">
        <v>1.56</v>
      </c>
      <c r="CO59" s="128">
        <v>1.56</v>
      </c>
      <c r="CP59" s="128">
        <v>1.56</v>
      </c>
      <c r="CQ59" s="128">
        <v>1.56</v>
      </c>
      <c r="CR59" s="128">
        <v>1.56</v>
      </c>
      <c r="CS59" s="128">
        <v>1.56</v>
      </c>
      <c r="CT59" s="128">
        <v>1.56</v>
      </c>
      <c r="CU59" s="128">
        <v>1.56</v>
      </c>
      <c r="CV59" s="128">
        <v>1.56</v>
      </c>
      <c r="CW59" s="128">
        <v>1.56</v>
      </c>
      <c r="CX59" s="128">
        <v>1.56</v>
      </c>
      <c r="CZ59" s="126">
        <f>SUMIF(MatrixF3[[1]:[2]],MatrixF3[[#This Row],[Столбец1]])/MatrixF3[[#This Row],[Столбец1]]</f>
        <v>108.00000000000011</v>
      </c>
    </row>
    <row r="60" spans="1:104" ht="21" customHeight="1" x14ac:dyDescent="0.25">
      <c r="A60" s="127">
        <v>1.57</v>
      </c>
      <c r="B60" s="128">
        <v>1.57</v>
      </c>
      <c r="C60" s="128">
        <v>1.57</v>
      </c>
      <c r="D60" s="128">
        <v>1.57</v>
      </c>
      <c r="E60" s="128">
        <v>1.57</v>
      </c>
      <c r="F60" s="128">
        <v>1.57</v>
      </c>
      <c r="G60" s="128">
        <v>1.57</v>
      </c>
      <c r="H60" s="128">
        <v>1.57</v>
      </c>
      <c r="I60" s="128">
        <v>1.57</v>
      </c>
      <c r="J60" s="128">
        <v>1.57</v>
      </c>
      <c r="K60" s="128">
        <v>1.57</v>
      </c>
      <c r="L60" s="128">
        <v>1.57</v>
      </c>
      <c r="M60" s="128">
        <v>1.57</v>
      </c>
      <c r="N60" s="128">
        <v>1.57</v>
      </c>
      <c r="O60" s="128">
        <v>1.57</v>
      </c>
      <c r="P60" s="128">
        <v>1.57</v>
      </c>
      <c r="Q60" s="128">
        <v>1.57</v>
      </c>
      <c r="R60" s="128">
        <v>1.57</v>
      </c>
      <c r="S60" s="128">
        <v>1.57</v>
      </c>
      <c r="T60" s="128">
        <v>1.57</v>
      </c>
      <c r="U60" s="128">
        <v>1.57</v>
      </c>
      <c r="V60" s="128">
        <v>1.57</v>
      </c>
      <c r="W60" s="128">
        <v>1.57</v>
      </c>
      <c r="X60" s="128">
        <v>1.57</v>
      </c>
      <c r="Y60" s="128">
        <v>1.57</v>
      </c>
      <c r="Z60" s="128">
        <v>1.57</v>
      </c>
      <c r="AA60" s="128">
        <v>1.57</v>
      </c>
      <c r="AB60" s="128">
        <v>1.57</v>
      </c>
      <c r="AC60" s="128">
        <v>1.57</v>
      </c>
      <c r="AD60" s="128">
        <v>1.57</v>
      </c>
      <c r="AE60" s="128">
        <v>1.57</v>
      </c>
      <c r="AF60" s="128">
        <v>1.57</v>
      </c>
      <c r="AG60" s="128">
        <v>1.57</v>
      </c>
      <c r="AH60" s="128">
        <v>1.57</v>
      </c>
      <c r="AI60" s="128">
        <v>1.57</v>
      </c>
      <c r="AJ60" s="128">
        <v>1.57</v>
      </c>
      <c r="AK60" s="128">
        <v>1.57</v>
      </c>
      <c r="AL60" s="128">
        <v>1.57</v>
      </c>
      <c r="AM60" s="128">
        <v>1.57</v>
      </c>
      <c r="AN60" s="128">
        <v>1.57</v>
      </c>
      <c r="AO60" s="128">
        <v>1.57</v>
      </c>
      <c r="AP60" s="128">
        <v>1.57</v>
      </c>
      <c r="AQ60" s="128">
        <v>1.57</v>
      </c>
      <c r="AR60" s="128">
        <v>1.57</v>
      </c>
      <c r="AS60" s="128">
        <v>1.57</v>
      </c>
      <c r="AT60" s="128">
        <v>1.57</v>
      </c>
      <c r="AU60" s="128">
        <v>1.56</v>
      </c>
      <c r="AV60" s="128">
        <v>1.56</v>
      </c>
      <c r="AW60" s="128">
        <v>1.55</v>
      </c>
      <c r="AX60" s="128">
        <v>1.55</v>
      </c>
      <c r="AY60" s="128">
        <v>1.54</v>
      </c>
      <c r="AZ60" s="128">
        <v>1.54</v>
      </c>
      <c r="BA60" s="128">
        <v>1.54</v>
      </c>
      <c r="BB60" s="128">
        <v>1.55</v>
      </c>
      <c r="BC60" s="128">
        <v>1.55</v>
      </c>
      <c r="BD60" s="128">
        <v>1.56</v>
      </c>
      <c r="BE60" s="128">
        <v>1.56</v>
      </c>
      <c r="BF60" s="128">
        <v>1.57</v>
      </c>
      <c r="BG60" s="128">
        <v>1.57</v>
      </c>
      <c r="BH60" s="128">
        <v>1.57</v>
      </c>
      <c r="BI60" s="128">
        <v>1.57</v>
      </c>
      <c r="BJ60" s="128">
        <v>1.57</v>
      </c>
      <c r="BK60" s="128">
        <v>1.57</v>
      </c>
      <c r="BL60" s="128">
        <v>1.57</v>
      </c>
      <c r="BM60" s="128">
        <v>1.57</v>
      </c>
      <c r="BN60" s="128">
        <v>1.57</v>
      </c>
      <c r="BO60" s="128">
        <v>1.57</v>
      </c>
      <c r="BP60" s="128">
        <v>1.57</v>
      </c>
      <c r="BQ60" s="128">
        <v>1.57</v>
      </c>
      <c r="BR60" s="128">
        <v>1.57</v>
      </c>
      <c r="BS60" s="128">
        <v>1.57</v>
      </c>
      <c r="BT60" s="128">
        <v>1.57</v>
      </c>
      <c r="BU60" s="128">
        <v>1.57</v>
      </c>
      <c r="BV60" s="128">
        <v>1.57</v>
      </c>
      <c r="BW60" s="128">
        <v>1.57</v>
      </c>
      <c r="BX60" s="128">
        <v>1.57</v>
      </c>
      <c r="BY60" s="128">
        <v>1.57</v>
      </c>
      <c r="BZ60" s="128">
        <v>1.57</v>
      </c>
      <c r="CA60" s="128">
        <v>1.57</v>
      </c>
      <c r="CB60" s="128">
        <v>1.57</v>
      </c>
      <c r="CC60" s="128">
        <v>1.57</v>
      </c>
      <c r="CD60" s="128">
        <v>1.57</v>
      </c>
      <c r="CE60" s="128">
        <v>1.57</v>
      </c>
      <c r="CF60" s="128">
        <v>1.57</v>
      </c>
      <c r="CG60" s="128">
        <v>1.57</v>
      </c>
      <c r="CH60" s="128">
        <v>1.57</v>
      </c>
      <c r="CI60" s="128">
        <v>1.57</v>
      </c>
      <c r="CJ60" s="128">
        <v>1.57</v>
      </c>
      <c r="CK60" s="128">
        <v>1.57</v>
      </c>
      <c r="CL60" s="128">
        <v>1.57</v>
      </c>
      <c r="CM60" s="128">
        <v>1.57</v>
      </c>
      <c r="CN60" s="128">
        <v>1.57</v>
      </c>
      <c r="CO60" s="128">
        <v>1.57</v>
      </c>
      <c r="CP60" s="128">
        <v>1.57</v>
      </c>
      <c r="CQ60" s="128">
        <v>1.57</v>
      </c>
      <c r="CR60" s="128">
        <v>1.57</v>
      </c>
      <c r="CS60" s="128">
        <v>1.57</v>
      </c>
      <c r="CT60" s="128">
        <v>1.57</v>
      </c>
      <c r="CU60" s="128">
        <v>1.57</v>
      </c>
      <c r="CV60" s="128">
        <v>1.57</v>
      </c>
      <c r="CW60" s="128">
        <v>1.57</v>
      </c>
      <c r="CX60" s="128">
        <v>1.57</v>
      </c>
      <c r="CZ60" s="126">
        <f>SUMIF(MatrixF3[[1]:[2]],MatrixF3[[#This Row],[Столбец1]])/MatrixF3[[#This Row],[Столбец1]]</f>
        <v>111.99999999999969</v>
      </c>
    </row>
    <row r="61" spans="1:104" ht="21" customHeight="1" x14ac:dyDescent="0.25">
      <c r="A61" s="127">
        <v>1.58</v>
      </c>
      <c r="B61" s="128">
        <v>1.58</v>
      </c>
      <c r="C61" s="128">
        <v>1.58</v>
      </c>
      <c r="D61" s="128">
        <v>1.58</v>
      </c>
      <c r="E61" s="128">
        <v>1.58</v>
      </c>
      <c r="F61" s="128">
        <v>1.58</v>
      </c>
      <c r="G61" s="128">
        <v>1.58</v>
      </c>
      <c r="H61" s="128">
        <v>1.58</v>
      </c>
      <c r="I61" s="128">
        <v>1.58</v>
      </c>
      <c r="J61" s="128">
        <v>1.58</v>
      </c>
      <c r="K61" s="128">
        <v>1.58</v>
      </c>
      <c r="L61" s="128">
        <v>1.58</v>
      </c>
      <c r="M61" s="128">
        <v>1.58</v>
      </c>
      <c r="N61" s="128">
        <v>1.58</v>
      </c>
      <c r="O61" s="128">
        <v>1.58</v>
      </c>
      <c r="P61" s="128">
        <v>1.58</v>
      </c>
      <c r="Q61" s="128">
        <v>1.58</v>
      </c>
      <c r="R61" s="128">
        <v>1.58</v>
      </c>
      <c r="S61" s="128">
        <v>1.58</v>
      </c>
      <c r="T61" s="128">
        <v>1.58</v>
      </c>
      <c r="U61" s="128">
        <v>1.58</v>
      </c>
      <c r="V61" s="128">
        <v>1.58</v>
      </c>
      <c r="W61" s="128">
        <v>1.58</v>
      </c>
      <c r="X61" s="128">
        <v>1.58</v>
      </c>
      <c r="Y61" s="128">
        <v>1.58</v>
      </c>
      <c r="Z61" s="128">
        <v>1.58</v>
      </c>
      <c r="AA61" s="128">
        <v>1.58</v>
      </c>
      <c r="AB61" s="128">
        <v>1.58</v>
      </c>
      <c r="AC61" s="128">
        <v>1.58</v>
      </c>
      <c r="AD61" s="128">
        <v>1.58</v>
      </c>
      <c r="AE61" s="128">
        <v>1.58</v>
      </c>
      <c r="AF61" s="128">
        <v>1.58</v>
      </c>
      <c r="AG61" s="128">
        <v>1.58</v>
      </c>
      <c r="AH61" s="128">
        <v>1.58</v>
      </c>
      <c r="AI61" s="128">
        <v>1.58</v>
      </c>
      <c r="AJ61" s="128">
        <v>1.58</v>
      </c>
      <c r="AK61" s="128">
        <v>1.58</v>
      </c>
      <c r="AL61" s="128">
        <v>1.58</v>
      </c>
      <c r="AM61" s="128">
        <v>1.58</v>
      </c>
      <c r="AN61" s="128">
        <v>1.58</v>
      </c>
      <c r="AO61" s="128">
        <v>1.58</v>
      </c>
      <c r="AP61" s="128">
        <v>1.58</v>
      </c>
      <c r="AQ61" s="128">
        <v>1.58</v>
      </c>
      <c r="AR61" s="128">
        <v>1.58</v>
      </c>
      <c r="AS61" s="128">
        <v>1.58</v>
      </c>
      <c r="AT61" s="128">
        <v>1.57</v>
      </c>
      <c r="AU61" s="128">
        <v>1.57</v>
      </c>
      <c r="AV61" s="128">
        <v>1.56</v>
      </c>
      <c r="AW61" s="128">
        <v>1.56</v>
      </c>
      <c r="AX61" s="128">
        <v>1.55</v>
      </c>
      <c r="AY61" s="128">
        <v>1.55</v>
      </c>
      <c r="AZ61" s="128">
        <v>1.54</v>
      </c>
      <c r="BA61" s="128">
        <v>1.55</v>
      </c>
      <c r="BB61" s="128">
        <v>1.55</v>
      </c>
      <c r="BC61" s="128">
        <v>1.56</v>
      </c>
      <c r="BD61" s="128">
        <v>1.56</v>
      </c>
      <c r="BE61" s="128">
        <v>1.57</v>
      </c>
      <c r="BF61" s="128">
        <v>1.57</v>
      </c>
      <c r="BG61" s="128">
        <v>1.58</v>
      </c>
      <c r="BH61" s="128">
        <v>1.58</v>
      </c>
      <c r="BI61" s="128">
        <v>1.58</v>
      </c>
      <c r="BJ61" s="128">
        <v>1.58</v>
      </c>
      <c r="BK61" s="128">
        <v>1.58</v>
      </c>
      <c r="BL61" s="128">
        <v>1.58</v>
      </c>
      <c r="BM61" s="128">
        <v>1.58</v>
      </c>
      <c r="BN61" s="128">
        <v>1.58</v>
      </c>
      <c r="BO61" s="128">
        <v>1.58</v>
      </c>
      <c r="BP61" s="128">
        <v>1.58</v>
      </c>
      <c r="BQ61" s="128">
        <v>1.58</v>
      </c>
      <c r="BR61" s="128">
        <v>1.58</v>
      </c>
      <c r="BS61" s="128">
        <v>1.58</v>
      </c>
      <c r="BT61" s="128">
        <v>1.58</v>
      </c>
      <c r="BU61" s="128">
        <v>1.58</v>
      </c>
      <c r="BV61" s="128">
        <v>1.58</v>
      </c>
      <c r="BW61" s="128">
        <v>1.58</v>
      </c>
      <c r="BX61" s="128">
        <v>1.58</v>
      </c>
      <c r="BY61" s="128">
        <v>1.58</v>
      </c>
      <c r="BZ61" s="128">
        <v>1.58</v>
      </c>
      <c r="CA61" s="128">
        <v>1.58</v>
      </c>
      <c r="CB61" s="128">
        <v>1.58</v>
      </c>
      <c r="CC61" s="128">
        <v>1.58</v>
      </c>
      <c r="CD61" s="128">
        <v>1.58</v>
      </c>
      <c r="CE61" s="128">
        <v>1.58</v>
      </c>
      <c r="CF61" s="128">
        <v>1.58</v>
      </c>
      <c r="CG61" s="128">
        <v>1.58</v>
      </c>
      <c r="CH61" s="128">
        <v>1.58</v>
      </c>
      <c r="CI61" s="128">
        <v>1.58</v>
      </c>
      <c r="CJ61" s="128">
        <v>1.58</v>
      </c>
      <c r="CK61" s="128">
        <v>1.58</v>
      </c>
      <c r="CL61" s="128">
        <v>1.58</v>
      </c>
      <c r="CM61" s="128">
        <v>1.58</v>
      </c>
      <c r="CN61" s="128">
        <v>1.58</v>
      </c>
      <c r="CO61" s="128">
        <v>1.58</v>
      </c>
      <c r="CP61" s="128">
        <v>1.58</v>
      </c>
      <c r="CQ61" s="128">
        <v>1.58</v>
      </c>
      <c r="CR61" s="128">
        <v>1.58</v>
      </c>
      <c r="CS61" s="128">
        <v>1.58</v>
      </c>
      <c r="CT61" s="128">
        <v>1.58</v>
      </c>
      <c r="CU61" s="128">
        <v>1.58</v>
      </c>
      <c r="CV61" s="128">
        <v>1.58</v>
      </c>
      <c r="CW61" s="128">
        <v>1.58</v>
      </c>
      <c r="CX61" s="128">
        <v>1.58</v>
      </c>
      <c r="CZ61" s="126">
        <f>SUMIF(MatrixF3[[1]:[2]],MatrixF3[[#This Row],[Столбец1]])/MatrixF3[[#This Row],[Столбец1]]</f>
        <v>109.00000000000014</v>
      </c>
    </row>
    <row r="62" spans="1:104" ht="21" customHeight="1" x14ac:dyDescent="0.25">
      <c r="A62" s="127">
        <v>1.59</v>
      </c>
      <c r="B62" s="128">
        <v>1.59</v>
      </c>
      <c r="C62" s="128">
        <v>1.59</v>
      </c>
      <c r="D62" s="128">
        <v>1.59</v>
      </c>
      <c r="E62" s="128">
        <v>1.59</v>
      </c>
      <c r="F62" s="128">
        <v>1.59</v>
      </c>
      <c r="G62" s="128">
        <v>1.59</v>
      </c>
      <c r="H62" s="128">
        <v>1.59</v>
      </c>
      <c r="I62" s="128">
        <v>1.59</v>
      </c>
      <c r="J62" s="128">
        <v>1.59</v>
      </c>
      <c r="K62" s="128">
        <v>1.59</v>
      </c>
      <c r="L62" s="128">
        <v>1.59</v>
      </c>
      <c r="M62" s="128">
        <v>1.59</v>
      </c>
      <c r="N62" s="128">
        <v>1.59</v>
      </c>
      <c r="O62" s="128">
        <v>1.59</v>
      </c>
      <c r="P62" s="128">
        <v>1.59</v>
      </c>
      <c r="Q62" s="128">
        <v>1.59</v>
      </c>
      <c r="R62" s="128">
        <v>1.59</v>
      </c>
      <c r="S62" s="128">
        <v>1.59</v>
      </c>
      <c r="T62" s="128">
        <v>1.59</v>
      </c>
      <c r="U62" s="128">
        <v>1.59</v>
      </c>
      <c r="V62" s="128">
        <v>1.59</v>
      </c>
      <c r="W62" s="128">
        <v>1.59</v>
      </c>
      <c r="X62" s="128">
        <v>1.59</v>
      </c>
      <c r="Y62" s="128">
        <v>1.59</v>
      </c>
      <c r="Z62" s="128">
        <v>1.59</v>
      </c>
      <c r="AA62" s="128">
        <v>1.59</v>
      </c>
      <c r="AB62" s="128">
        <v>1.59</v>
      </c>
      <c r="AC62" s="128">
        <v>1.59</v>
      </c>
      <c r="AD62" s="128">
        <v>1.59</v>
      </c>
      <c r="AE62" s="128">
        <v>1.59</v>
      </c>
      <c r="AF62" s="128">
        <v>1.59</v>
      </c>
      <c r="AG62" s="128">
        <v>1.59</v>
      </c>
      <c r="AH62" s="128">
        <v>1.59</v>
      </c>
      <c r="AI62" s="128">
        <v>1.59</v>
      </c>
      <c r="AJ62" s="128">
        <v>1.59</v>
      </c>
      <c r="AK62" s="128">
        <v>1.59</v>
      </c>
      <c r="AL62" s="128">
        <v>1.59</v>
      </c>
      <c r="AM62" s="128">
        <v>1.59</v>
      </c>
      <c r="AN62" s="128">
        <v>1.59</v>
      </c>
      <c r="AO62" s="128">
        <v>1.59</v>
      </c>
      <c r="AP62" s="128">
        <v>1.59</v>
      </c>
      <c r="AQ62" s="128">
        <v>1.59</v>
      </c>
      <c r="AR62" s="128">
        <v>1.59</v>
      </c>
      <c r="AS62" s="128">
        <v>1.58</v>
      </c>
      <c r="AT62" s="128">
        <v>1.58</v>
      </c>
      <c r="AU62" s="128">
        <v>1.57</v>
      </c>
      <c r="AV62" s="128">
        <v>1.57</v>
      </c>
      <c r="AW62" s="128">
        <v>1.56</v>
      </c>
      <c r="AX62" s="128">
        <v>1.56</v>
      </c>
      <c r="AY62" s="128">
        <v>1.55</v>
      </c>
      <c r="AZ62" s="128">
        <v>1.55</v>
      </c>
      <c r="BA62" s="128">
        <v>1.55</v>
      </c>
      <c r="BB62" s="128">
        <v>1.56</v>
      </c>
      <c r="BC62" s="128">
        <v>1.56</v>
      </c>
      <c r="BD62" s="128">
        <v>1.57</v>
      </c>
      <c r="BE62" s="128">
        <v>1.57</v>
      </c>
      <c r="BF62" s="128">
        <v>1.58</v>
      </c>
      <c r="BG62" s="128">
        <v>1.58</v>
      </c>
      <c r="BH62" s="128">
        <v>1.59</v>
      </c>
      <c r="BI62" s="128">
        <v>1.59</v>
      </c>
      <c r="BJ62" s="128">
        <v>1.59</v>
      </c>
      <c r="BK62" s="128">
        <v>1.59</v>
      </c>
      <c r="BL62" s="128">
        <v>1.59</v>
      </c>
      <c r="BM62" s="128">
        <v>1.59</v>
      </c>
      <c r="BN62" s="128">
        <v>1.59</v>
      </c>
      <c r="BO62" s="128">
        <v>1.59</v>
      </c>
      <c r="BP62" s="128">
        <v>1.59</v>
      </c>
      <c r="BQ62" s="128">
        <v>1.59</v>
      </c>
      <c r="BR62" s="128">
        <v>1.59</v>
      </c>
      <c r="BS62" s="128">
        <v>1.59</v>
      </c>
      <c r="BT62" s="128">
        <v>1.59</v>
      </c>
      <c r="BU62" s="128">
        <v>1.59</v>
      </c>
      <c r="BV62" s="128">
        <v>1.59</v>
      </c>
      <c r="BW62" s="128">
        <v>1.59</v>
      </c>
      <c r="BX62" s="128">
        <v>1.59</v>
      </c>
      <c r="BY62" s="128">
        <v>1.59</v>
      </c>
      <c r="BZ62" s="128">
        <v>1.59</v>
      </c>
      <c r="CA62" s="128">
        <v>1.59</v>
      </c>
      <c r="CB62" s="128">
        <v>1.59</v>
      </c>
      <c r="CC62" s="128">
        <v>1.59</v>
      </c>
      <c r="CD62" s="128">
        <v>1.59</v>
      </c>
      <c r="CE62" s="128">
        <v>1.59</v>
      </c>
      <c r="CF62" s="128">
        <v>1.59</v>
      </c>
      <c r="CG62" s="128">
        <v>1.59</v>
      </c>
      <c r="CH62" s="128">
        <v>1.59</v>
      </c>
      <c r="CI62" s="128">
        <v>1.59</v>
      </c>
      <c r="CJ62" s="128">
        <v>1.59</v>
      </c>
      <c r="CK62" s="128">
        <v>1.59</v>
      </c>
      <c r="CL62" s="128">
        <v>1.59</v>
      </c>
      <c r="CM62" s="128">
        <v>1.59</v>
      </c>
      <c r="CN62" s="128">
        <v>1.59</v>
      </c>
      <c r="CO62" s="128">
        <v>1.59</v>
      </c>
      <c r="CP62" s="128">
        <v>1.59</v>
      </c>
      <c r="CQ62" s="128">
        <v>1.59</v>
      </c>
      <c r="CR62" s="128">
        <v>1.59</v>
      </c>
      <c r="CS62" s="128">
        <v>1.59</v>
      </c>
      <c r="CT62" s="128">
        <v>1.59</v>
      </c>
      <c r="CU62" s="128">
        <v>1.59</v>
      </c>
      <c r="CV62" s="128">
        <v>1.59</v>
      </c>
      <c r="CW62" s="128">
        <v>1.59</v>
      </c>
      <c r="CX62" s="128">
        <v>1.59</v>
      </c>
      <c r="CZ62" s="126">
        <f>SUMIF(MatrixF3[[1]:[2]],MatrixF3[[#This Row],[Столбец1]])/MatrixF3[[#This Row],[Столбец1]]</f>
        <v>111.00000000000018</v>
      </c>
    </row>
    <row r="63" spans="1:104" ht="21" customHeight="1" x14ac:dyDescent="0.25">
      <c r="A63" s="127">
        <v>1.6</v>
      </c>
      <c r="B63" s="128">
        <v>1.6</v>
      </c>
      <c r="C63" s="128">
        <v>1.6</v>
      </c>
      <c r="D63" s="128">
        <v>1.6</v>
      </c>
      <c r="E63" s="128">
        <v>1.6</v>
      </c>
      <c r="F63" s="128">
        <v>1.6</v>
      </c>
      <c r="G63" s="128">
        <v>1.6</v>
      </c>
      <c r="H63" s="128">
        <v>1.6</v>
      </c>
      <c r="I63" s="128">
        <v>1.6</v>
      </c>
      <c r="J63" s="128">
        <v>1.6</v>
      </c>
      <c r="K63" s="128">
        <v>1.6</v>
      </c>
      <c r="L63" s="128">
        <v>1.6</v>
      </c>
      <c r="M63" s="128">
        <v>1.6</v>
      </c>
      <c r="N63" s="128">
        <v>1.6</v>
      </c>
      <c r="O63" s="128">
        <v>1.6</v>
      </c>
      <c r="P63" s="128">
        <v>1.6</v>
      </c>
      <c r="Q63" s="128">
        <v>1.6</v>
      </c>
      <c r="R63" s="128">
        <v>1.6</v>
      </c>
      <c r="S63" s="128">
        <v>1.6</v>
      </c>
      <c r="T63" s="128">
        <v>1.6</v>
      </c>
      <c r="U63" s="128">
        <v>1.6</v>
      </c>
      <c r="V63" s="128">
        <v>1.6</v>
      </c>
      <c r="W63" s="128">
        <v>1.6</v>
      </c>
      <c r="X63" s="128">
        <v>1.6</v>
      </c>
      <c r="Y63" s="128">
        <v>1.6</v>
      </c>
      <c r="Z63" s="128">
        <v>1.6</v>
      </c>
      <c r="AA63" s="128">
        <v>1.6</v>
      </c>
      <c r="AB63" s="128">
        <v>1.6</v>
      </c>
      <c r="AC63" s="128">
        <v>1.6</v>
      </c>
      <c r="AD63" s="128">
        <v>1.6</v>
      </c>
      <c r="AE63" s="128">
        <v>1.6</v>
      </c>
      <c r="AF63" s="128">
        <v>1.6</v>
      </c>
      <c r="AG63" s="128">
        <v>1.6</v>
      </c>
      <c r="AH63" s="128">
        <v>1.6</v>
      </c>
      <c r="AI63" s="128">
        <v>1.6</v>
      </c>
      <c r="AJ63" s="128">
        <v>1.6</v>
      </c>
      <c r="AK63" s="128">
        <v>1.6</v>
      </c>
      <c r="AL63" s="128">
        <v>1.6</v>
      </c>
      <c r="AM63" s="128">
        <v>1.6</v>
      </c>
      <c r="AN63" s="128">
        <v>1.6</v>
      </c>
      <c r="AO63" s="128">
        <v>1.6</v>
      </c>
      <c r="AP63" s="128">
        <v>1.6</v>
      </c>
      <c r="AQ63" s="128">
        <v>1.6</v>
      </c>
      <c r="AR63" s="128">
        <v>1.59</v>
      </c>
      <c r="AS63" s="128">
        <v>1.59</v>
      </c>
      <c r="AT63" s="128">
        <v>1.58</v>
      </c>
      <c r="AU63" s="128">
        <v>1.58</v>
      </c>
      <c r="AV63" s="128">
        <v>1.57</v>
      </c>
      <c r="AW63" s="128">
        <v>1.57</v>
      </c>
      <c r="AX63" s="128">
        <v>1.57</v>
      </c>
      <c r="AY63" s="128">
        <v>1.56</v>
      </c>
      <c r="AZ63" s="128">
        <v>1.56</v>
      </c>
      <c r="BA63" s="128">
        <v>1.56</v>
      </c>
      <c r="BB63" s="128">
        <v>1.57</v>
      </c>
      <c r="BC63" s="128">
        <v>1.57</v>
      </c>
      <c r="BD63" s="128">
        <v>1.57</v>
      </c>
      <c r="BE63" s="128">
        <v>1.58</v>
      </c>
      <c r="BF63" s="128">
        <v>1.58</v>
      </c>
      <c r="BG63" s="128">
        <v>1.59</v>
      </c>
      <c r="BH63" s="128">
        <v>1.59</v>
      </c>
      <c r="BI63" s="128">
        <v>1.6</v>
      </c>
      <c r="BJ63" s="128">
        <v>1.6</v>
      </c>
      <c r="BK63" s="128">
        <v>1.6</v>
      </c>
      <c r="BL63" s="128">
        <v>1.6</v>
      </c>
      <c r="BM63" s="128">
        <v>1.6</v>
      </c>
      <c r="BN63" s="128">
        <v>1.6</v>
      </c>
      <c r="BO63" s="128">
        <v>1.6</v>
      </c>
      <c r="BP63" s="128">
        <v>1.6</v>
      </c>
      <c r="BQ63" s="128">
        <v>1.6</v>
      </c>
      <c r="BR63" s="128">
        <v>1.6</v>
      </c>
      <c r="BS63" s="128">
        <v>1.6</v>
      </c>
      <c r="BT63" s="128">
        <v>1.6</v>
      </c>
      <c r="BU63" s="128">
        <v>1.6</v>
      </c>
      <c r="BV63" s="128">
        <v>1.6</v>
      </c>
      <c r="BW63" s="128">
        <v>1.6</v>
      </c>
      <c r="BX63" s="128">
        <v>1.6</v>
      </c>
      <c r="BY63" s="128">
        <v>1.6</v>
      </c>
      <c r="BZ63" s="128">
        <v>1.6</v>
      </c>
      <c r="CA63" s="128">
        <v>1.6</v>
      </c>
      <c r="CB63" s="128">
        <v>1.6</v>
      </c>
      <c r="CC63" s="128">
        <v>1.6</v>
      </c>
      <c r="CD63" s="128">
        <v>1.6</v>
      </c>
      <c r="CE63" s="128">
        <v>1.6</v>
      </c>
      <c r="CF63" s="128">
        <v>1.6</v>
      </c>
      <c r="CG63" s="128">
        <v>1.6</v>
      </c>
      <c r="CH63" s="128">
        <v>1.6</v>
      </c>
      <c r="CI63" s="128">
        <v>1.6</v>
      </c>
      <c r="CJ63" s="128">
        <v>1.6</v>
      </c>
      <c r="CK63" s="128">
        <v>1.6</v>
      </c>
      <c r="CL63" s="128">
        <v>1.6</v>
      </c>
      <c r="CM63" s="128">
        <v>1.6</v>
      </c>
      <c r="CN63" s="128">
        <v>1.6</v>
      </c>
      <c r="CO63" s="128">
        <v>1.6</v>
      </c>
      <c r="CP63" s="128">
        <v>1.6</v>
      </c>
      <c r="CQ63" s="128">
        <v>1.6</v>
      </c>
      <c r="CR63" s="128">
        <v>1.6</v>
      </c>
      <c r="CS63" s="128">
        <v>1.6</v>
      </c>
      <c r="CT63" s="128">
        <v>1.6</v>
      </c>
      <c r="CU63" s="128">
        <v>1.6</v>
      </c>
      <c r="CV63" s="128">
        <v>1.6</v>
      </c>
      <c r="CW63" s="128">
        <v>1.6</v>
      </c>
      <c r="CX63" s="128">
        <v>1.6</v>
      </c>
      <c r="CZ63" s="126">
        <f>SUMIF(MatrixF3[[1]:[2]],MatrixF3[[#This Row],[Столбец1]])/MatrixF3[[#This Row],[Столбец1]]</f>
        <v>113.99999999999974</v>
      </c>
    </row>
    <row r="64" spans="1:104" ht="21" customHeight="1" x14ac:dyDescent="0.25">
      <c r="A64" s="127">
        <v>1.61</v>
      </c>
      <c r="B64" s="128">
        <v>1.61</v>
      </c>
      <c r="C64" s="128">
        <v>1.61</v>
      </c>
      <c r="D64" s="128">
        <v>1.61</v>
      </c>
      <c r="E64" s="128">
        <v>1.61</v>
      </c>
      <c r="F64" s="128">
        <v>1.61</v>
      </c>
      <c r="G64" s="128">
        <v>1.61</v>
      </c>
      <c r="H64" s="128">
        <v>1.61</v>
      </c>
      <c r="I64" s="128">
        <v>1.61</v>
      </c>
      <c r="J64" s="128">
        <v>1.61</v>
      </c>
      <c r="K64" s="128">
        <v>1.61</v>
      </c>
      <c r="L64" s="128">
        <v>1.61</v>
      </c>
      <c r="M64" s="128">
        <v>1.61</v>
      </c>
      <c r="N64" s="128">
        <v>1.61</v>
      </c>
      <c r="O64" s="128">
        <v>1.61</v>
      </c>
      <c r="P64" s="128">
        <v>1.61</v>
      </c>
      <c r="Q64" s="128">
        <v>1.61</v>
      </c>
      <c r="R64" s="128">
        <v>1.61</v>
      </c>
      <c r="S64" s="128">
        <v>1.61</v>
      </c>
      <c r="T64" s="128">
        <v>1.61</v>
      </c>
      <c r="U64" s="128">
        <v>1.61</v>
      </c>
      <c r="V64" s="128">
        <v>1.61</v>
      </c>
      <c r="W64" s="128">
        <v>1.61</v>
      </c>
      <c r="X64" s="128">
        <v>1.61</v>
      </c>
      <c r="Y64" s="128">
        <v>1.61</v>
      </c>
      <c r="Z64" s="128">
        <v>1.61</v>
      </c>
      <c r="AA64" s="128">
        <v>1.61</v>
      </c>
      <c r="AB64" s="128">
        <v>1.61</v>
      </c>
      <c r="AC64" s="128">
        <v>1.61</v>
      </c>
      <c r="AD64" s="128">
        <v>1.61</v>
      </c>
      <c r="AE64" s="128">
        <v>1.61</v>
      </c>
      <c r="AF64" s="128">
        <v>1.61</v>
      </c>
      <c r="AG64" s="128">
        <v>1.61</v>
      </c>
      <c r="AH64" s="128">
        <v>1.61</v>
      </c>
      <c r="AI64" s="128">
        <v>1.61</v>
      </c>
      <c r="AJ64" s="128">
        <v>1.61</v>
      </c>
      <c r="AK64" s="128">
        <v>1.61</v>
      </c>
      <c r="AL64" s="128">
        <v>1.61</v>
      </c>
      <c r="AM64" s="128">
        <v>1.61</v>
      </c>
      <c r="AN64" s="128">
        <v>1.61</v>
      </c>
      <c r="AO64" s="128">
        <v>1.61</v>
      </c>
      <c r="AP64" s="128">
        <v>1.61</v>
      </c>
      <c r="AQ64" s="128">
        <v>1.6</v>
      </c>
      <c r="AR64" s="128">
        <v>1.6</v>
      </c>
      <c r="AS64" s="128">
        <v>1.59</v>
      </c>
      <c r="AT64" s="128">
        <v>1.59</v>
      </c>
      <c r="AU64" s="128">
        <v>1.59</v>
      </c>
      <c r="AV64" s="128">
        <v>1.58</v>
      </c>
      <c r="AW64" s="128">
        <v>1.58</v>
      </c>
      <c r="AX64" s="128">
        <v>1.57</v>
      </c>
      <c r="AY64" s="128">
        <v>1.57</v>
      </c>
      <c r="AZ64" s="128">
        <v>1.56</v>
      </c>
      <c r="BA64" s="128">
        <v>1.57</v>
      </c>
      <c r="BB64" s="128">
        <v>1.57</v>
      </c>
      <c r="BC64" s="128">
        <v>1.58</v>
      </c>
      <c r="BD64" s="128">
        <v>1.58</v>
      </c>
      <c r="BE64" s="128">
        <v>1.59</v>
      </c>
      <c r="BF64" s="128">
        <v>1.59</v>
      </c>
      <c r="BG64" s="128">
        <v>1.59</v>
      </c>
      <c r="BH64" s="128">
        <v>1.6</v>
      </c>
      <c r="BI64" s="128">
        <v>1.6</v>
      </c>
      <c r="BJ64" s="128">
        <v>1.61</v>
      </c>
      <c r="BK64" s="128">
        <v>1.61</v>
      </c>
      <c r="BL64" s="128">
        <v>1.61</v>
      </c>
      <c r="BM64" s="128">
        <v>1.61</v>
      </c>
      <c r="BN64" s="128">
        <v>1.61</v>
      </c>
      <c r="BO64" s="128">
        <v>1.61</v>
      </c>
      <c r="BP64" s="128">
        <v>1.61</v>
      </c>
      <c r="BQ64" s="128">
        <v>1.61</v>
      </c>
      <c r="BR64" s="128">
        <v>1.61</v>
      </c>
      <c r="BS64" s="128">
        <v>1.61</v>
      </c>
      <c r="BT64" s="128">
        <v>1.61</v>
      </c>
      <c r="BU64" s="128">
        <v>1.61</v>
      </c>
      <c r="BV64" s="128">
        <v>1.61</v>
      </c>
      <c r="BW64" s="128">
        <v>1.61</v>
      </c>
      <c r="BX64" s="128">
        <v>1.61</v>
      </c>
      <c r="BY64" s="128">
        <v>1.61</v>
      </c>
      <c r="BZ64" s="128">
        <v>1.61</v>
      </c>
      <c r="CA64" s="128">
        <v>1.61</v>
      </c>
      <c r="CB64" s="128">
        <v>1.61</v>
      </c>
      <c r="CC64" s="128">
        <v>1.61</v>
      </c>
      <c r="CD64" s="128">
        <v>1.61</v>
      </c>
      <c r="CE64" s="128">
        <v>1.61</v>
      </c>
      <c r="CF64" s="128">
        <v>1.61</v>
      </c>
      <c r="CG64" s="128">
        <v>1.61</v>
      </c>
      <c r="CH64" s="128">
        <v>1.61</v>
      </c>
      <c r="CI64" s="128">
        <v>1.61</v>
      </c>
      <c r="CJ64" s="128">
        <v>1.61</v>
      </c>
      <c r="CK64" s="128">
        <v>1.61</v>
      </c>
      <c r="CL64" s="128">
        <v>1.61</v>
      </c>
      <c r="CM64" s="128">
        <v>1.61</v>
      </c>
      <c r="CN64" s="128">
        <v>1.61</v>
      </c>
      <c r="CO64" s="128">
        <v>1.61</v>
      </c>
      <c r="CP64" s="128">
        <v>1.61</v>
      </c>
      <c r="CQ64" s="128">
        <v>1.61</v>
      </c>
      <c r="CR64" s="128">
        <v>1.61</v>
      </c>
      <c r="CS64" s="128">
        <v>1.61</v>
      </c>
      <c r="CT64" s="128">
        <v>1.61</v>
      </c>
      <c r="CU64" s="128">
        <v>1.61</v>
      </c>
      <c r="CV64" s="128">
        <v>1.61</v>
      </c>
      <c r="CW64" s="128">
        <v>1.61</v>
      </c>
      <c r="CX64" s="128">
        <v>1.61</v>
      </c>
      <c r="CZ64" s="126">
        <f>SUMIF(MatrixF3[[1]:[2]],MatrixF3[[#This Row],[Столбец1]])/MatrixF3[[#This Row],[Столбец1]]</f>
        <v>111.00000000000024</v>
      </c>
    </row>
    <row r="65" spans="1:104" ht="21" customHeight="1" x14ac:dyDescent="0.25">
      <c r="A65" s="127">
        <v>1.62</v>
      </c>
      <c r="B65" s="128">
        <v>1.62</v>
      </c>
      <c r="C65" s="128">
        <v>1.62</v>
      </c>
      <c r="D65" s="128">
        <v>1.62</v>
      </c>
      <c r="E65" s="128">
        <v>1.62</v>
      </c>
      <c r="F65" s="128">
        <v>1.62</v>
      </c>
      <c r="G65" s="128">
        <v>1.62</v>
      </c>
      <c r="H65" s="128">
        <v>1.62</v>
      </c>
      <c r="I65" s="128">
        <v>1.62</v>
      </c>
      <c r="J65" s="128">
        <v>1.62</v>
      </c>
      <c r="K65" s="128">
        <v>1.62</v>
      </c>
      <c r="L65" s="128">
        <v>1.62</v>
      </c>
      <c r="M65" s="128">
        <v>1.62</v>
      </c>
      <c r="N65" s="128">
        <v>1.62</v>
      </c>
      <c r="O65" s="128">
        <v>1.62</v>
      </c>
      <c r="P65" s="128">
        <v>1.62</v>
      </c>
      <c r="Q65" s="128">
        <v>1.62</v>
      </c>
      <c r="R65" s="128">
        <v>1.62</v>
      </c>
      <c r="S65" s="128">
        <v>1.62</v>
      </c>
      <c r="T65" s="128">
        <v>1.62</v>
      </c>
      <c r="U65" s="128">
        <v>1.62</v>
      </c>
      <c r="V65" s="128">
        <v>1.62</v>
      </c>
      <c r="W65" s="128">
        <v>1.62</v>
      </c>
      <c r="X65" s="128">
        <v>1.62</v>
      </c>
      <c r="Y65" s="128">
        <v>1.62</v>
      </c>
      <c r="Z65" s="128">
        <v>1.62</v>
      </c>
      <c r="AA65" s="128">
        <v>1.62</v>
      </c>
      <c r="AB65" s="128">
        <v>1.62</v>
      </c>
      <c r="AC65" s="128">
        <v>1.62</v>
      </c>
      <c r="AD65" s="128">
        <v>1.62</v>
      </c>
      <c r="AE65" s="128">
        <v>1.62</v>
      </c>
      <c r="AF65" s="128">
        <v>1.62</v>
      </c>
      <c r="AG65" s="128">
        <v>1.62</v>
      </c>
      <c r="AH65" s="128">
        <v>1.62</v>
      </c>
      <c r="AI65" s="128">
        <v>1.62</v>
      </c>
      <c r="AJ65" s="128">
        <v>1.62</v>
      </c>
      <c r="AK65" s="128">
        <v>1.62</v>
      </c>
      <c r="AL65" s="128">
        <v>1.62</v>
      </c>
      <c r="AM65" s="128">
        <v>1.62</v>
      </c>
      <c r="AN65" s="128">
        <v>1.62</v>
      </c>
      <c r="AO65" s="128">
        <v>1.62</v>
      </c>
      <c r="AP65" s="128">
        <v>1.61</v>
      </c>
      <c r="AQ65" s="128">
        <v>1.61</v>
      </c>
      <c r="AR65" s="128">
        <v>1.6</v>
      </c>
      <c r="AS65" s="128">
        <v>1.6</v>
      </c>
      <c r="AT65" s="128">
        <v>1.6</v>
      </c>
      <c r="AU65" s="128">
        <v>1.59</v>
      </c>
      <c r="AV65" s="128">
        <v>1.59</v>
      </c>
      <c r="AW65" s="128">
        <v>1.58</v>
      </c>
      <c r="AX65" s="128">
        <v>1.58</v>
      </c>
      <c r="AY65" s="128">
        <v>1.57</v>
      </c>
      <c r="AZ65" s="128">
        <v>1.57</v>
      </c>
      <c r="BA65" s="128">
        <v>1.57</v>
      </c>
      <c r="BB65" s="128">
        <v>1.58</v>
      </c>
      <c r="BC65" s="128">
        <v>1.58</v>
      </c>
      <c r="BD65" s="128">
        <v>1.59</v>
      </c>
      <c r="BE65" s="128">
        <v>1.59</v>
      </c>
      <c r="BF65" s="128">
        <v>1.6</v>
      </c>
      <c r="BG65" s="128">
        <v>1.6</v>
      </c>
      <c r="BH65" s="128">
        <v>1.6</v>
      </c>
      <c r="BI65" s="128">
        <v>1.61</v>
      </c>
      <c r="BJ65" s="128">
        <v>1.61</v>
      </c>
      <c r="BK65" s="128">
        <v>1.62</v>
      </c>
      <c r="BL65" s="128">
        <v>1.62</v>
      </c>
      <c r="BM65" s="128">
        <v>1.62</v>
      </c>
      <c r="BN65" s="128">
        <v>1.62</v>
      </c>
      <c r="BO65" s="128">
        <v>1.62</v>
      </c>
      <c r="BP65" s="128">
        <v>1.62</v>
      </c>
      <c r="BQ65" s="128">
        <v>1.62</v>
      </c>
      <c r="BR65" s="128">
        <v>1.62</v>
      </c>
      <c r="BS65" s="128">
        <v>1.62</v>
      </c>
      <c r="BT65" s="128">
        <v>1.62</v>
      </c>
      <c r="BU65" s="128">
        <v>1.62</v>
      </c>
      <c r="BV65" s="128">
        <v>1.62</v>
      </c>
      <c r="BW65" s="128">
        <v>1.62</v>
      </c>
      <c r="BX65" s="128">
        <v>1.62</v>
      </c>
      <c r="BY65" s="128">
        <v>1.62</v>
      </c>
      <c r="BZ65" s="128">
        <v>1.62</v>
      </c>
      <c r="CA65" s="128">
        <v>1.62</v>
      </c>
      <c r="CB65" s="128">
        <v>1.62</v>
      </c>
      <c r="CC65" s="128">
        <v>1.62</v>
      </c>
      <c r="CD65" s="128">
        <v>1.62</v>
      </c>
      <c r="CE65" s="128">
        <v>1.62</v>
      </c>
      <c r="CF65" s="128">
        <v>1.62</v>
      </c>
      <c r="CG65" s="128">
        <v>1.62</v>
      </c>
      <c r="CH65" s="128">
        <v>1.62</v>
      </c>
      <c r="CI65" s="128">
        <v>1.62</v>
      </c>
      <c r="CJ65" s="128">
        <v>1.62</v>
      </c>
      <c r="CK65" s="128">
        <v>1.62</v>
      </c>
      <c r="CL65" s="128">
        <v>1.62</v>
      </c>
      <c r="CM65" s="128">
        <v>1.62</v>
      </c>
      <c r="CN65" s="128">
        <v>1.62</v>
      </c>
      <c r="CO65" s="128">
        <v>1.62</v>
      </c>
      <c r="CP65" s="128">
        <v>1.62</v>
      </c>
      <c r="CQ65" s="128">
        <v>1.62</v>
      </c>
      <c r="CR65" s="128">
        <v>1.62</v>
      </c>
      <c r="CS65" s="128">
        <v>1.62</v>
      </c>
      <c r="CT65" s="128">
        <v>1.62</v>
      </c>
      <c r="CU65" s="128">
        <v>1.62</v>
      </c>
      <c r="CV65" s="128">
        <v>1.62</v>
      </c>
      <c r="CW65" s="128">
        <v>1.62</v>
      </c>
      <c r="CX65" s="128">
        <v>1.62</v>
      </c>
      <c r="CZ65" s="126">
        <f>SUMIF(MatrixF3[[1]:[2]],MatrixF3[[#This Row],[Столбец1]])/MatrixF3[[#This Row],[Столбец1]]</f>
        <v>112.00000000000017</v>
      </c>
    </row>
    <row r="66" spans="1:104" ht="21" customHeight="1" x14ac:dyDescent="0.25">
      <c r="A66" s="127">
        <v>1.63</v>
      </c>
      <c r="B66" s="128">
        <v>1.63</v>
      </c>
      <c r="C66" s="128">
        <v>1.63</v>
      </c>
      <c r="D66" s="128">
        <v>1.63</v>
      </c>
      <c r="E66" s="128">
        <v>1.63</v>
      </c>
      <c r="F66" s="128">
        <v>1.63</v>
      </c>
      <c r="G66" s="128">
        <v>1.63</v>
      </c>
      <c r="H66" s="128">
        <v>1.63</v>
      </c>
      <c r="I66" s="128">
        <v>1.63</v>
      </c>
      <c r="J66" s="128">
        <v>1.63</v>
      </c>
      <c r="K66" s="128">
        <v>1.63</v>
      </c>
      <c r="L66" s="128">
        <v>1.63</v>
      </c>
      <c r="M66" s="128">
        <v>1.63</v>
      </c>
      <c r="N66" s="128">
        <v>1.63</v>
      </c>
      <c r="O66" s="128">
        <v>1.63</v>
      </c>
      <c r="P66" s="128">
        <v>1.63</v>
      </c>
      <c r="Q66" s="128">
        <v>1.63</v>
      </c>
      <c r="R66" s="128">
        <v>1.63</v>
      </c>
      <c r="S66" s="128">
        <v>1.63</v>
      </c>
      <c r="T66" s="128">
        <v>1.63</v>
      </c>
      <c r="U66" s="128">
        <v>1.63</v>
      </c>
      <c r="V66" s="128">
        <v>1.63</v>
      </c>
      <c r="W66" s="128">
        <v>1.63</v>
      </c>
      <c r="X66" s="128">
        <v>1.63</v>
      </c>
      <c r="Y66" s="128">
        <v>1.63</v>
      </c>
      <c r="Z66" s="128">
        <v>1.63</v>
      </c>
      <c r="AA66" s="128">
        <v>1.63</v>
      </c>
      <c r="AB66" s="128">
        <v>1.63</v>
      </c>
      <c r="AC66" s="128">
        <v>1.63</v>
      </c>
      <c r="AD66" s="128">
        <v>1.63</v>
      </c>
      <c r="AE66" s="128">
        <v>1.63</v>
      </c>
      <c r="AF66" s="128">
        <v>1.63</v>
      </c>
      <c r="AG66" s="128">
        <v>1.63</v>
      </c>
      <c r="AH66" s="128">
        <v>1.63</v>
      </c>
      <c r="AI66" s="128">
        <v>1.63</v>
      </c>
      <c r="AJ66" s="128">
        <v>1.63</v>
      </c>
      <c r="AK66" s="128">
        <v>1.63</v>
      </c>
      <c r="AL66" s="128">
        <v>1.63</v>
      </c>
      <c r="AM66" s="128">
        <v>1.63</v>
      </c>
      <c r="AN66" s="128">
        <v>1.63</v>
      </c>
      <c r="AO66" s="128">
        <v>1.62</v>
      </c>
      <c r="AP66" s="128">
        <v>1.62</v>
      </c>
      <c r="AQ66" s="128">
        <v>1.61</v>
      </c>
      <c r="AR66" s="128">
        <v>1.61</v>
      </c>
      <c r="AS66" s="128">
        <v>1.61</v>
      </c>
      <c r="AT66" s="128">
        <v>1.6</v>
      </c>
      <c r="AU66" s="128">
        <v>1.6</v>
      </c>
      <c r="AV66" s="128">
        <v>1.59</v>
      </c>
      <c r="AW66" s="128">
        <v>1.59</v>
      </c>
      <c r="AX66" s="128">
        <v>1.58</v>
      </c>
      <c r="AY66" s="128">
        <v>1.58</v>
      </c>
      <c r="AZ66" s="128">
        <v>1.57</v>
      </c>
      <c r="BA66" s="128">
        <v>1.58</v>
      </c>
      <c r="BB66" s="128">
        <v>1.58</v>
      </c>
      <c r="BC66" s="128">
        <v>1.59</v>
      </c>
      <c r="BD66" s="128">
        <v>1.59</v>
      </c>
      <c r="BE66" s="128">
        <v>1.6</v>
      </c>
      <c r="BF66" s="128">
        <v>1.6</v>
      </c>
      <c r="BG66" s="128">
        <v>1.61</v>
      </c>
      <c r="BH66" s="128">
        <v>1.61</v>
      </c>
      <c r="BI66" s="128">
        <v>1.61</v>
      </c>
      <c r="BJ66" s="128">
        <v>1.62</v>
      </c>
      <c r="BK66" s="128">
        <v>1.62</v>
      </c>
      <c r="BL66" s="128">
        <v>1.63</v>
      </c>
      <c r="BM66" s="128">
        <v>1.63</v>
      </c>
      <c r="BN66" s="128">
        <v>1.63</v>
      </c>
      <c r="BO66" s="128">
        <v>1.63</v>
      </c>
      <c r="BP66" s="128">
        <v>1.63</v>
      </c>
      <c r="BQ66" s="128">
        <v>1.63</v>
      </c>
      <c r="BR66" s="128">
        <v>1.63</v>
      </c>
      <c r="BS66" s="128">
        <v>1.63</v>
      </c>
      <c r="BT66" s="128">
        <v>1.63</v>
      </c>
      <c r="BU66" s="128">
        <v>1.63</v>
      </c>
      <c r="BV66" s="128">
        <v>1.63</v>
      </c>
      <c r="BW66" s="128">
        <v>1.63</v>
      </c>
      <c r="BX66" s="128">
        <v>1.63</v>
      </c>
      <c r="BY66" s="128">
        <v>1.63</v>
      </c>
      <c r="BZ66" s="128">
        <v>1.63</v>
      </c>
      <c r="CA66" s="128">
        <v>1.63</v>
      </c>
      <c r="CB66" s="128">
        <v>1.63</v>
      </c>
      <c r="CC66" s="128">
        <v>1.63</v>
      </c>
      <c r="CD66" s="128">
        <v>1.63</v>
      </c>
      <c r="CE66" s="128">
        <v>1.63</v>
      </c>
      <c r="CF66" s="128">
        <v>1.63</v>
      </c>
      <c r="CG66" s="128">
        <v>1.63</v>
      </c>
      <c r="CH66" s="128">
        <v>1.63</v>
      </c>
      <c r="CI66" s="128">
        <v>1.63</v>
      </c>
      <c r="CJ66" s="128">
        <v>1.63</v>
      </c>
      <c r="CK66" s="128">
        <v>1.63</v>
      </c>
      <c r="CL66" s="128">
        <v>1.63</v>
      </c>
      <c r="CM66" s="128">
        <v>1.63</v>
      </c>
      <c r="CN66" s="128">
        <v>1.63</v>
      </c>
      <c r="CO66" s="128">
        <v>1.63</v>
      </c>
      <c r="CP66" s="128">
        <v>1.63</v>
      </c>
      <c r="CQ66" s="128">
        <v>1.63</v>
      </c>
      <c r="CR66" s="128">
        <v>1.63</v>
      </c>
      <c r="CS66" s="128">
        <v>1.63</v>
      </c>
      <c r="CT66" s="128">
        <v>1.63</v>
      </c>
      <c r="CU66" s="128">
        <v>1.63</v>
      </c>
      <c r="CV66" s="128">
        <v>1.63</v>
      </c>
      <c r="CW66" s="128">
        <v>1.63</v>
      </c>
      <c r="CX66" s="128">
        <v>1.63</v>
      </c>
      <c r="CZ66" s="126">
        <f>SUMIF(MatrixF3[[1]:[2]],MatrixF3[[#This Row],[Столбец1]])/MatrixF3[[#This Row],[Столбец1]]</f>
        <v>110.99999999999984</v>
      </c>
    </row>
    <row r="67" spans="1:104" ht="21" customHeight="1" x14ac:dyDescent="0.25">
      <c r="A67" s="127">
        <v>1.64</v>
      </c>
      <c r="B67" s="128">
        <v>1.64</v>
      </c>
      <c r="C67" s="128">
        <v>1.64</v>
      </c>
      <c r="D67" s="128">
        <v>1.64</v>
      </c>
      <c r="E67" s="128">
        <v>1.64</v>
      </c>
      <c r="F67" s="128">
        <v>1.64</v>
      </c>
      <c r="G67" s="128">
        <v>1.64</v>
      </c>
      <c r="H67" s="128">
        <v>1.64</v>
      </c>
      <c r="I67" s="128">
        <v>1.64</v>
      </c>
      <c r="J67" s="128">
        <v>1.64</v>
      </c>
      <c r="K67" s="128">
        <v>1.64</v>
      </c>
      <c r="L67" s="128">
        <v>1.64</v>
      </c>
      <c r="M67" s="128">
        <v>1.64</v>
      </c>
      <c r="N67" s="128">
        <v>1.64</v>
      </c>
      <c r="O67" s="128">
        <v>1.64</v>
      </c>
      <c r="P67" s="128">
        <v>1.64</v>
      </c>
      <c r="Q67" s="128">
        <v>1.64</v>
      </c>
      <c r="R67" s="128">
        <v>1.64</v>
      </c>
      <c r="S67" s="128">
        <v>1.64</v>
      </c>
      <c r="T67" s="128">
        <v>1.64</v>
      </c>
      <c r="U67" s="128">
        <v>1.64</v>
      </c>
      <c r="V67" s="128">
        <v>1.64</v>
      </c>
      <c r="W67" s="128">
        <v>1.64</v>
      </c>
      <c r="X67" s="128">
        <v>1.64</v>
      </c>
      <c r="Y67" s="128">
        <v>1.64</v>
      </c>
      <c r="Z67" s="128">
        <v>1.64</v>
      </c>
      <c r="AA67" s="128">
        <v>1.64</v>
      </c>
      <c r="AB67" s="128">
        <v>1.64</v>
      </c>
      <c r="AC67" s="128">
        <v>1.64</v>
      </c>
      <c r="AD67" s="128">
        <v>1.64</v>
      </c>
      <c r="AE67" s="128">
        <v>1.64</v>
      </c>
      <c r="AF67" s="128">
        <v>1.64</v>
      </c>
      <c r="AG67" s="128">
        <v>1.64</v>
      </c>
      <c r="AH67" s="128">
        <v>1.64</v>
      </c>
      <c r="AI67" s="128">
        <v>1.64</v>
      </c>
      <c r="AJ67" s="128">
        <v>1.64</v>
      </c>
      <c r="AK67" s="128">
        <v>1.64</v>
      </c>
      <c r="AL67" s="128">
        <v>1.64</v>
      </c>
      <c r="AM67" s="128">
        <v>1.64</v>
      </c>
      <c r="AN67" s="128">
        <v>1.63</v>
      </c>
      <c r="AO67" s="128">
        <v>1.63</v>
      </c>
      <c r="AP67" s="128">
        <v>1.62</v>
      </c>
      <c r="AQ67" s="128">
        <v>1.62</v>
      </c>
      <c r="AR67" s="128">
        <v>1.62</v>
      </c>
      <c r="AS67" s="128">
        <v>1.61</v>
      </c>
      <c r="AT67" s="128">
        <v>1.61</v>
      </c>
      <c r="AU67" s="128">
        <v>1.6</v>
      </c>
      <c r="AV67" s="128">
        <v>1.6</v>
      </c>
      <c r="AW67" s="128">
        <v>1.6</v>
      </c>
      <c r="AX67" s="128">
        <v>1.59</v>
      </c>
      <c r="AY67" s="128">
        <v>1.59</v>
      </c>
      <c r="AZ67" s="128">
        <v>1.58</v>
      </c>
      <c r="BA67" s="128">
        <v>1.59</v>
      </c>
      <c r="BB67" s="128">
        <v>1.59</v>
      </c>
      <c r="BC67" s="128">
        <v>1.6</v>
      </c>
      <c r="BD67" s="128">
        <v>1.6</v>
      </c>
      <c r="BE67" s="128">
        <v>1.6</v>
      </c>
      <c r="BF67" s="128">
        <v>1.61</v>
      </c>
      <c r="BG67" s="128">
        <v>1.61</v>
      </c>
      <c r="BH67" s="128">
        <v>1.62</v>
      </c>
      <c r="BI67" s="128">
        <v>1.62</v>
      </c>
      <c r="BJ67" s="128">
        <v>1.62</v>
      </c>
      <c r="BK67" s="128">
        <v>1.63</v>
      </c>
      <c r="BL67" s="128">
        <v>1.63</v>
      </c>
      <c r="BM67" s="128">
        <v>1.64</v>
      </c>
      <c r="BN67" s="128">
        <v>1.64</v>
      </c>
      <c r="BO67" s="128">
        <v>1.64</v>
      </c>
      <c r="BP67" s="128">
        <v>1.64</v>
      </c>
      <c r="BQ67" s="128">
        <v>1.64</v>
      </c>
      <c r="BR67" s="128">
        <v>1.64</v>
      </c>
      <c r="BS67" s="128">
        <v>1.64</v>
      </c>
      <c r="BT67" s="128">
        <v>1.64</v>
      </c>
      <c r="BU67" s="128">
        <v>1.64</v>
      </c>
      <c r="BV67" s="128">
        <v>1.64</v>
      </c>
      <c r="BW67" s="128">
        <v>1.64</v>
      </c>
      <c r="BX67" s="128">
        <v>1.64</v>
      </c>
      <c r="BY67" s="128">
        <v>1.64</v>
      </c>
      <c r="BZ67" s="128">
        <v>1.64</v>
      </c>
      <c r="CA67" s="128">
        <v>1.64</v>
      </c>
      <c r="CB67" s="128">
        <v>1.64</v>
      </c>
      <c r="CC67" s="128">
        <v>1.64</v>
      </c>
      <c r="CD67" s="128">
        <v>1.64</v>
      </c>
      <c r="CE67" s="128">
        <v>1.64</v>
      </c>
      <c r="CF67" s="128">
        <v>1.64</v>
      </c>
      <c r="CG67" s="128">
        <v>1.64</v>
      </c>
      <c r="CH67" s="128">
        <v>1.64</v>
      </c>
      <c r="CI67" s="128">
        <v>1.64</v>
      </c>
      <c r="CJ67" s="128">
        <v>1.64</v>
      </c>
      <c r="CK67" s="128">
        <v>1.64</v>
      </c>
      <c r="CL67" s="128">
        <v>1.64</v>
      </c>
      <c r="CM67" s="128">
        <v>1.64</v>
      </c>
      <c r="CN67" s="128">
        <v>1.64</v>
      </c>
      <c r="CO67" s="128">
        <v>1.64</v>
      </c>
      <c r="CP67" s="128">
        <v>1.64</v>
      </c>
      <c r="CQ67" s="128">
        <v>1.64</v>
      </c>
      <c r="CR67" s="128">
        <v>1.64</v>
      </c>
      <c r="CS67" s="128">
        <v>1.64</v>
      </c>
      <c r="CT67" s="128">
        <v>1.64</v>
      </c>
      <c r="CU67" s="128">
        <v>1.64</v>
      </c>
      <c r="CV67" s="128">
        <v>1.64</v>
      </c>
      <c r="CW67" s="128">
        <v>1.64</v>
      </c>
      <c r="CX67" s="128">
        <v>1.64</v>
      </c>
      <c r="CZ67" s="126">
        <f>SUMIF(MatrixF3[[1]:[2]],MatrixF3[[#This Row],[Столбец1]])/MatrixF3[[#This Row],[Столбец1]]</f>
        <v>110.99999999999976</v>
      </c>
    </row>
    <row r="68" spans="1:104" ht="21" customHeight="1" x14ac:dyDescent="0.25">
      <c r="A68" s="127">
        <v>1.65</v>
      </c>
      <c r="B68" s="128">
        <v>1.65</v>
      </c>
      <c r="C68" s="128">
        <v>1.65</v>
      </c>
      <c r="D68" s="128">
        <v>1.65</v>
      </c>
      <c r="E68" s="128">
        <v>1.65</v>
      </c>
      <c r="F68" s="128">
        <v>1.65</v>
      </c>
      <c r="G68" s="128">
        <v>1.65</v>
      </c>
      <c r="H68" s="128">
        <v>1.65</v>
      </c>
      <c r="I68" s="128">
        <v>1.65</v>
      </c>
      <c r="J68" s="128">
        <v>1.65</v>
      </c>
      <c r="K68" s="128">
        <v>1.65</v>
      </c>
      <c r="L68" s="128">
        <v>1.65</v>
      </c>
      <c r="M68" s="128">
        <v>1.65</v>
      </c>
      <c r="N68" s="128">
        <v>1.65</v>
      </c>
      <c r="O68" s="128">
        <v>1.65</v>
      </c>
      <c r="P68" s="128">
        <v>1.65</v>
      </c>
      <c r="Q68" s="128">
        <v>1.65</v>
      </c>
      <c r="R68" s="128">
        <v>1.65</v>
      </c>
      <c r="S68" s="128">
        <v>1.65</v>
      </c>
      <c r="T68" s="128">
        <v>1.65</v>
      </c>
      <c r="U68" s="128">
        <v>1.65</v>
      </c>
      <c r="V68" s="128">
        <v>1.65</v>
      </c>
      <c r="W68" s="128">
        <v>1.65</v>
      </c>
      <c r="X68" s="128">
        <v>1.65</v>
      </c>
      <c r="Y68" s="128">
        <v>1.65</v>
      </c>
      <c r="Z68" s="128">
        <v>1.65</v>
      </c>
      <c r="AA68" s="128">
        <v>1.65</v>
      </c>
      <c r="AB68" s="128">
        <v>1.65</v>
      </c>
      <c r="AC68" s="128">
        <v>1.65</v>
      </c>
      <c r="AD68" s="128">
        <v>1.65</v>
      </c>
      <c r="AE68" s="128">
        <v>1.65</v>
      </c>
      <c r="AF68" s="128">
        <v>1.65</v>
      </c>
      <c r="AG68" s="128">
        <v>1.65</v>
      </c>
      <c r="AH68" s="128">
        <v>1.65</v>
      </c>
      <c r="AI68" s="128">
        <v>1.65</v>
      </c>
      <c r="AJ68" s="128">
        <v>1.65</v>
      </c>
      <c r="AK68" s="128">
        <v>1.65</v>
      </c>
      <c r="AL68" s="128">
        <v>1.65</v>
      </c>
      <c r="AM68" s="128">
        <v>1.64</v>
      </c>
      <c r="AN68" s="128">
        <v>1.64</v>
      </c>
      <c r="AO68" s="128">
        <v>1.64</v>
      </c>
      <c r="AP68" s="128">
        <v>1.63</v>
      </c>
      <c r="AQ68" s="128">
        <v>1.63</v>
      </c>
      <c r="AR68" s="128">
        <v>1.62</v>
      </c>
      <c r="AS68" s="128">
        <v>1.62</v>
      </c>
      <c r="AT68" s="128">
        <v>1.62</v>
      </c>
      <c r="AU68" s="128">
        <v>1.61</v>
      </c>
      <c r="AV68" s="128">
        <v>1.61</v>
      </c>
      <c r="AW68" s="128">
        <v>1.6</v>
      </c>
      <c r="AX68" s="128">
        <v>1.6</v>
      </c>
      <c r="AY68" s="128">
        <v>1.59</v>
      </c>
      <c r="AZ68" s="128">
        <v>1.59</v>
      </c>
      <c r="BA68" s="128">
        <v>1.59</v>
      </c>
      <c r="BB68" s="128">
        <v>1.6</v>
      </c>
      <c r="BC68" s="128">
        <v>1.6</v>
      </c>
      <c r="BD68" s="128">
        <v>1.61</v>
      </c>
      <c r="BE68" s="128">
        <v>1.61</v>
      </c>
      <c r="BF68" s="128">
        <v>1.62</v>
      </c>
      <c r="BG68" s="128">
        <v>1.62</v>
      </c>
      <c r="BH68" s="128">
        <v>1.62</v>
      </c>
      <c r="BI68" s="128">
        <v>1.63</v>
      </c>
      <c r="BJ68" s="128">
        <v>1.63</v>
      </c>
      <c r="BK68" s="128">
        <v>1.64</v>
      </c>
      <c r="BL68" s="128">
        <v>1.64</v>
      </c>
      <c r="BM68" s="128">
        <v>1.64</v>
      </c>
      <c r="BN68" s="128">
        <v>1.65</v>
      </c>
      <c r="BO68" s="128">
        <v>1.65</v>
      </c>
      <c r="BP68" s="128">
        <v>1.65</v>
      </c>
      <c r="BQ68" s="128">
        <v>1.65</v>
      </c>
      <c r="BR68" s="128">
        <v>1.65</v>
      </c>
      <c r="BS68" s="128">
        <v>1.65</v>
      </c>
      <c r="BT68" s="128">
        <v>1.65</v>
      </c>
      <c r="BU68" s="128">
        <v>1.65</v>
      </c>
      <c r="BV68" s="128">
        <v>1.65</v>
      </c>
      <c r="BW68" s="128">
        <v>1.65</v>
      </c>
      <c r="BX68" s="128">
        <v>1.65</v>
      </c>
      <c r="BY68" s="128">
        <v>1.65</v>
      </c>
      <c r="BZ68" s="128">
        <v>1.65</v>
      </c>
      <c r="CA68" s="128">
        <v>1.65</v>
      </c>
      <c r="CB68" s="128">
        <v>1.65</v>
      </c>
      <c r="CC68" s="128">
        <v>1.65</v>
      </c>
      <c r="CD68" s="128">
        <v>1.65</v>
      </c>
      <c r="CE68" s="128">
        <v>1.65</v>
      </c>
      <c r="CF68" s="128">
        <v>1.65</v>
      </c>
      <c r="CG68" s="128">
        <v>1.65</v>
      </c>
      <c r="CH68" s="128">
        <v>1.65</v>
      </c>
      <c r="CI68" s="128">
        <v>1.65</v>
      </c>
      <c r="CJ68" s="128">
        <v>1.65</v>
      </c>
      <c r="CK68" s="128">
        <v>1.65</v>
      </c>
      <c r="CL68" s="128">
        <v>1.65</v>
      </c>
      <c r="CM68" s="128">
        <v>1.65</v>
      </c>
      <c r="CN68" s="128">
        <v>1.65</v>
      </c>
      <c r="CO68" s="128">
        <v>1.65</v>
      </c>
      <c r="CP68" s="128">
        <v>1.65</v>
      </c>
      <c r="CQ68" s="128">
        <v>1.65</v>
      </c>
      <c r="CR68" s="128">
        <v>1.65</v>
      </c>
      <c r="CS68" s="128">
        <v>1.65</v>
      </c>
      <c r="CT68" s="128">
        <v>1.65</v>
      </c>
      <c r="CU68" s="128">
        <v>1.65</v>
      </c>
      <c r="CV68" s="128">
        <v>1.65</v>
      </c>
      <c r="CW68" s="128">
        <v>1.65</v>
      </c>
      <c r="CX68" s="128">
        <v>1.65</v>
      </c>
      <c r="CZ68" s="126">
        <f>SUMIF(MatrixF3[[1]:[2]],MatrixF3[[#This Row],[Столбец1]])/MatrixF3[[#This Row],[Столбец1]]</f>
        <v>113.00000000000024</v>
      </c>
    </row>
    <row r="69" spans="1:104" ht="21" customHeight="1" x14ac:dyDescent="0.25">
      <c r="A69" s="127">
        <v>1.66</v>
      </c>
      <c r="B69" s="128">
        <v>1.66</v>
      </c>
      <c r="C69" s="128">
        <v>1.66</v>
      </c>
      <c r="D69" s="128">
        <v>1.66</v>
      </c>
      <c r="E69" s="128">
        <v>1.66</v>
      </c>
      <c r="F69" s="128">
        <v>1.66</v>
      </c>
      <c r="G69" s="128">
        <v>1.66</v>
      </c>
      <c r="H69" s="128">
        <v>1.66</v>
      </c>
      <c r="I69" s="128">
        <v>1.66</v>
      </c>
      <c r="J69" s="128">
        <v>1.66</v>
      </c>
      <c r="K69" s="128">
        <v>1.66</v>
      </c>
      <c r="L69" s="128">
        <v>1.66</v>
      </c>
      <c r="M69" s="128">
        <v>1.66</v>
      </c>
      <c r="N69" s="128">
        <v>1.66</v>
      </c>
      <c r="O69" s="128">
        <v>1.66</v>
      </c>
      <c r="P69" s="128">
        <v>1.66</v>
      </c>
      <c r="Q69" s="128">
        <v>1.66</v>
      </c>
      <c r="R69" s="128">
        <v>1.66</v>
      </c>
      <c r="S69" s="128">
        <v>1.66</v>
      </c>
      <c r="T69" s="128">
        <v>1.66</v>
      </c>
      <c r="U69" s="128">
        <v>1.66</v>
      </c>
      <c r="V69" s="128">
        <v>1.66</v>
      </c>
      <c r="W69" s="128">
        <v>1.66</v>
      </c>
      <c r="X69" s="128">
        <v>1.66</v>
      </c>
      <c r="Y69" s="128">
        <v>1.66</v>
      </c>
      <c r="Z69" s="128">
        <v>1.66</v>
      </c>
      <c r="AA69" s="128">
        <v>1.66</v>
      </c>
      <c r="AB69" s="128">
        <v>1.66</v>
      </c>
      <c r="AC69" s="128">
        <v>1.66</v>
      </c>
      <c r="AD69" s="128">
        <v>1.66</v>
      </c>
      <c r="AE69" s="128">
        <v>1.66</v>
      </c>
      <c r="AF69" s="128">
        <v>1.66</v>
      </c>
      <c r="AG69" s="128">
        <v>1.66</v>
      </c>
      <c r="AH69" s="128">
        <v>1.66</v>
      </c>
      <c r="AI69" s="128">
        <v>1.66</v>
      </c>
      <c r="AJ69" s="128">
        <v>1.66</v>
      </c>
      <c r="AK69" s="128">
        <v>1.66</v>
      </c>
      <c r="AL69" s="128">
        <v>1.65</v>
      </c>
      <c r="AM69" s="128">
        <v>1.65</v>
      </c>
      <c r="AN69" s="128">
        <v>1.65</v>
      </c>
      <c r="AO69" s="128">
        <v>1.64</v>
      </c>
      <c r="AP69" s="128">
        <v>1.64</v>
      </c>
      <c r="AQ69" s="128">
        <v>1.63</v>
      </c>
      <c r="AR69" s="128">
        <v>1.63</v>
      </c>
      <c r="AS69" s="128">
        <v>1.63</v>
      </c>
      <c r="AT69" s="128">
        <v>1.62</v>
      </c>
      <c r="AU69" s="128">
        <v>1.62</v>
      </c>
      <c r="AV69" s="128">
        <v>1.61</v>
      </c>
      <c r="AW69" s="128">
        <v>1.61</v>
      </c>
      <c r="AX69" s="128">
        <v>1.6</v>
      </c>
      <c r="AY69" s="128">
        <v>1.6</v>
      </c>
      <c r="AZ69" s="128">
        <v>1.6</v>
      </c>
      <c r="BA69" s="128">
        <v>1.6</v>
      </c>
      <c r="BB69" s="128">
        <v>1.6</v>
      </c>
      <c r="BC69" s="128">
        <v>1.61</v>
      </c>
      <c r="BD69" s="128">
        <v>1.61</v>
      </c>
      <c r="BE69" s="128">
        <v>1.62</v>
      </c>
      <c r="BF69" s="128">
        <v>1.62</v>
      </c>
      <c r="BG69" s="128">
        <v>1.63</v>
      </c>
      <c r="BH69" s="128">
        <v>1.63</v>
      </c>
      <c r="BI69" s="128">
        <v>1.63</v>
      </c>
      <c r="BJ69" s="128">
        <v>1.64</v>
      </c>
      <c r="BK69" s="128">
        <v>1.64</v>
      </c>
      <c r="BL69" s="128">
        <v>1.65</v>
      </c>
      <c r="BM69" s="128">
        <v>1.65</v>
      </c>
      <c r="BN69" s="128">
        <v>1.65</v>
      </c>
      <c r="BO69" s="128">
        <v>1.66</v>
      </c>
      <c r="BP69" s="128">
        <v>1.66</v>
      </c>
      <c r="BQ69" s="128">
        <v>1.66</v>
      </c>
      <c r="BR69" s="128">
        <v>1.66</v>
      </c>
      <c r="BS69" s="128">
        <v>1.66</v>
      </c>
      <c r="BT69" s="128">
        <v>1.66</v>
      </c>
      <c r="BU69" s="128">
        <v>1.66</v>
      </c>
      <c r="BV69" s="128">
        <v>1.66</v>
      </c>
      <c r="BW69" s="128">
        <v>1.66</v>
      </c>
      <c r="BX69" s="128">
        <v>1.66</v>
      </c>
      <c r="BY69" s="128">
        <v>1.66</v>
      </c>
      <c r="BZ69" s="128">
        <v>1.66</v>
      </c>
      <c r="CA69" s="128">
        <v>1.66</v>
      </c>
      <c r="CB69" s="128">
        <v>1.66</v>
      </c>
      <c r="CC69" s="128">
        <v>1.66</v>
      </c>
      <c r="CD69" s="128">
        <v>1.66</v>
      </c>
      <c r="CE69" s="128">
        <v>1.66</v>
      </c>
      <c r="CF69" s="128">
        <v>1.66</v>
      </c>
      <c r="CG69" s="128">
        <v>1.66</v>
      </c>
      <c r="CH69" s="128">
        <v>1.66</v>
      </c>
      <c r="CI69" s="128">
        <v>1.66</v>
      </c>
      <c r="CJ69" s="128">
        <v>1.66</v>
      </c>
      <c r="CK69" s="128">
        <v>1.66</v>
      </c>
      <c r="CL69" s="128">
        <v>1.66</v>
      </c>
      <c r="CM69" s="128">
        <v>1.66</v>
      </c>
      <c r="CN69" s="128">
        <v>1.66</v>
      </c>
      <c r="CO69" s="128">
        <v>1.66</v>
      </c>
      <c r="CP69" s="128">
        <v>1.66</v>
      </c>
      <c r="CQ69" s="128">
        <v>1.66</v>
      </c>
      <c r="CR69" s="128">
        <v>1.66</v>
      </c>
      <c r="CS69" s="128">
        <v>1.66</v>
      </c>
      <c r="CT69" s="128">
        <v>1.66</v>
      </c>
      <c r="CU69" s="128">
        <v>1.66</v>
      </c>
      <c r="CV69" s="128">
        <v>1.66</v>
      </c>
      <c r="CW69" s="128">
        <v>1.66</v>
      </c>
      <c r="CX69" s="128">
        <v>1.66</v>
      </c>
      <c r="CZ69" s="126">
        <f>SUMIF(MatrixF3[[1]:[2]],MatrixF3[[#This Row],[Столбец1]])/MatrixF3[[#This Row],[Столбец1]]</f>
        <v>110.99999999999983</v>
      </c>
    </row>
    <row r="70" spans="1:104" ht="21" customHeight="1" x14ac:dyDescent="0.25">
      <c r="A70" s="127">
        <v>1.67</v>
      </c>
      <c r="B70" s="128">
        <v>1.67</v>
      </c>
      <c r="C70" s="128">
        <v>1.67</v>
      </c>
      <c r="D70" s="128">
        <v>1.67</v>
      </c>
      <c r="E70" s="128">
        <v>1.67</v>
      </c>
      <c r="F70" s="128">
        <v>1.67</v>
      </c>
      <c r="G70" s="128">
        <v>1.67</v>
      </c>
      <c r="H70" s="128">
        <v>1.67</v>
      </c>
      <c r="I70" s="128">
        <v>1.67</v>
      </c>
      <c r="J70" s="128">
        <v>1.67</v>
      </c>
      <c r="K70" s="128">
        <v>1.67</v>
      </c>
      <c r="L70" s="128">
        <v>1.67</v>
      </c>
      <c r="M70" s="128">
        <v>1.67</v>
      </c>
      <c r="N70" s="128">
        <v>1.67</v>
      </c>
      <c r="O70" s="128">
        <v>1.67</v>
      </c>
      <c r="P70" s="128">
        <v>1.67</v>
      </c>
      <c r="Q70" s="128">
        <v>1.67</v>
      </c>
      <c r="R70" s="128">
        <v>1.67</v>
      </c>
      <c r="S70" s="128">
        <v>1.67</v>
      </c>
      <c r="T70" s="128">
        <v>1.67</v>
      </c>
      <c r="U70" s="128">
        <v>1.67</v>
      </c>
      <c r="V70" s="128">
        <v>1.67</v>
      </c>
      <c r="W70" s="128">
        <v>1.67</v>
      </c>
      <c r="X70" s="128">
        <v>1.67</v>
      </c>
      <c r="Y70" s="128">
        <v>1.67</v>
      </c>
      <c r="Z70" s="128">
        <v>1.67</v>
      </c>
      <c r="AA70" s="128">
        <v>1.67</v>
      </c>
      <c r="AB70" s="128">
        <v>1.67</v>
      </c>
      <c r="AC70" s="128">
        <v>1.67</v>
      </c>
      <c r="AD70" s="128">
        <v>1.67</v>
      </c>
      <c r="AE70" s="128">
        <v>1.67</v>
      </c>
      <c r="AF70" s="128">
        <v>1.67</v>
      </c>
      <c r="AG70" s="128">
        <v>1.67</v>
      </c>
      <c r="AH70" s="128">
        <v>1.67</v>
      </c>
      <c r="AI70" s="128">
        <v>1.67</v>
      </c>
      <c r="AJ70" s="128">
        <v>1.67</v>
      </c>
      <c r="AK70" s="128">
        <v>1.66</v>
      </c>
      <c r="AL70" s="128">
        <v>1.66</v>
      </c>
      <c r="AM70" s="128">
        <v>1.66</v>
      </c>
      <c r="AN70" s="128">
        <v>1.65</v>
      </c>
      <c r="AO70" s="128">
        <v>1.65</v>
      </c>
      <c r="AP70" s="128">
        <v>1.65</v>
      </c>
      <c r="AQ70" s="128">
        <v>1.64</v>
      </c>
      <c r="AR70" s="128">
        <v>1.64</v>
      </c>
      <c r="AS70" s="128">
        <v>1.63</v>
      </c>
      <c r="AT70" s="128">
        <v>1.63</v>
      </c>
      <c r="AU70" s="128">
        <v>1.63</v>
      </c>
      <c r="AV70" s="128">
        <v>1.62</v>
      </c>
      <c r="AW70" s="128">
        <v>1.62</v>
      </c>
      <c r="AX70" s="128">
        <v>1.61</v>
      </c>
      <c r="AY70" s="128">
        <v>1.61</v>
      </c>
      <c r="AZ70" s="128">
        <v>1.6</v>
      </c>
      <c r="BA70" s="128">
        <v>1.61</v>
      </c>
      <c r="BB70" s="128">
        <v>1.61</v>
      </c>
      <c r="BC70" s="128">
        <v>1.62</v>
      </c>
      <c r="BD70" s="128">
        <v>1.62</v>
      </c>
      <c r="BE70" s="128">
        <v>1.63</v>
      </c>
      <c r="BF70" s="128">
        <v>1.63</v>
      </c>
      <c r="BG70" s="128">
        <v>1.63</v>
      </c>
      <c r="BH70" s="128">
        <v>1.64</v>
      </c>
      <c r="BI70" s="128">
        <v>1.64</v>
      </c>
      <c r="BJ70" s="128">
        <v>1.65</v>
      </c>
      <c r="BK70" s="128">
        <v>1.65</v>
      </c>
      <c r="BL70" s="128">
        <v>1.65</v>
      </c>
      <c r="BM70" s="128">
        <v>1.66</v>
      </c>
      <c r="BN70" s="128">
        <v>1.66</v>
      </c>
      <c r="BO70" s="128">
        <v>1.66</v>
      </c>
      <c r="BP70" s="128">
        <v>1.67</v>
      </c>
      <c r="BQ70" s="128">
        <v>1.67</v>
      </c>
      <c r="BR70" s="128">
        <v>1.67</v>
      </c>
      <c r="BS70" s="128">
        <v>1.67</v>
      </c>
      <c r="BT70" s="128">
        <v>1.67</v>
      </c>
      <c r="BU70" s="128">
        <v>1.67</v>
      </c>
      <c r="BV70" s="128">
        <v>1.67</v>
      </c>
      <c r="BW70" s="128">
        <v>1.67</v>
      </c>
      <c r="BX70" s="128">
        <v>1.67</v>
      </c>
      <c r="BY70" s="128">
        <v>1.67</v>
      </c>
      <c r="BZ70" s="128">
        <v>1.67</v>
      </c>
      <c r="CA70" s="128">
        <v>1.67</v>
      </c>
      <c r="CB70" s="128">
        <v>1.67</v>
      </c>
      <c r="CC70" s="128">
        <v>1.67</v>
      </c>
      <c r="CD70" s="128">
        <v>1.67</v>
      </c>
      <c r="CE70" s="128">
        <v>1.67</v>
      </c>
      <c r="CF70" s="128">
        <v>1.67</v>
      </c>
      <c r="CG70" s="128">
        <v>1.67</v>
      </c>
      <c r="CH70" s="128">
        <v>1.67</v>
      </c>
      <c r="CI70" s="128">
        <v>1.67</v>
      </c>
      <c r="CJ70" s="128">
        <v>1.67</v>
      </c>
      <c r="CK70" s="128">
        <v>1.67</v>
      </c>
      <c r="CL70" s="128">
        <v>1.67</v>
      </c>
      <c r="CM70" s="128">
        <v>1.67</v>
      </c>
      <c r="CN70" s="128">
        <v>1.67</v>
      </c>
      <c r="CO70" s="128">
        <v>1.67</v>
      </c>
      <c r="CP70" s="128">
        <v>1.67</v>
      </c>
      <c r="CQ70" s="128">
        <v>1.67</v>
      </c>
      <c r="CR70" s="128">
        <v>1.67</v>
      </c>
      <c r="CS70" s="128">
        <v>1.67</v>
      </c>
      <c r="CT70" s="128">
        <v>1.67</v>
      </c>
      <c r="CU70" s="128">
        <v>1.67</v>
      </c>
      <c r="CV70" s="128">
        <v>1.67</v>
      </c>
      <c r="CW70" s="128">
        <v>1.67</v>
      </c>
      <c r="CX70" s="128">
        <v>1.67</v>
      </c>
      <c r="CZ70" s="126">
        <f>SUMIF(MatrixF3[[1]:[2]],MatrixF3[[#This Row],[Столбец1]])/MatrixF3[[#This Row],[Столбец1]]</f>
        <v>112.99999999999979</v>
      </c>
    </row>
    <row r="71" spans="1:104" ht="21" customHeight="1" x14ac:dyDescent="0.25">
      <c r="A71" s="127">
        <v>1.68</v>
      </c>
      <c r="B71" s="128">
        <v>1.68</v>
      </c>
      <c r="C71" s="128">
        <v>1.68</v>
      </c>
      <c r="D71" s="128">
        <v>1.68</v>
      </c>
      <c r="E71" s="128">
        <v>1.68</v>
      </c>
      <c r="F71" s="128">
        <v>1.68</v>
      </c>
      <c r="G71" s="128">
        <v>1.68</v>
      </c>
      <c r="H71" s="128">
        <v>1.68</v>
      </c>
      <c r="I71" s="128">
        <v>1.68</v>
      </c>
      <c r="J71" s="128">
        <v>1.68</v>
      </c>
      <c r="K71" s="128">
        <v>1.68</v>
      </c>
      <c r="L71" s="128">
        <v>1.68</v>
      </c>
      <c r="M71" s="128">
        <v>1.68</v>
      </c>
      <c r="N71" s="128">
        <v>1.68</v>
      </c>
      <c r="O71" s="128">
        <v>1.68</v>
      </c>
      <c r="P71" s="128">
        <v>1.68</v>
      </c>
      <c r="Q71" s="128">
        <v>1.68</v>
      </c>
      <c r="R71" s="128">
        <v>1.68</v>
      </c>
      <c r="S71" s="128">
        <v>1.68</v>
      </c>
      <c r="T71" s="128">
        <v>1.68</v>
      </c>
      <c r="U71" s="128">
        <v>1.68</v>
      </c>
      <c r="V71" s="128">
        <v>1.68</v>
      </c>
      <c r="W71" s="128">
        <v>1.68</v>
      </c>
      <c r="X71" s="128">
        <v>1.68</v>
      </c>
      <c r="Y71" s="128">
        <v>1.68</v>
      </c>
      <c r="Z71" s="128">
        <v>1.68</v>
      </c>
      <c r="AA71" s="128">
        <v>1.68</v>
      </c>
      <c r="AB71" s="128">
        <v>1.68</v>
      </c>
      <c r="AC71" s="128">
        <v>1.68</v>
      </c>
      <c r="AD71" s="128">
        <v>1.68</v>
      </c>
      <c r="AE71" s="128">
        <v>1.68</v>
      </c>
      <c r="AF71" s="128">
        <v>1.68</v>
      </c>
      <c r="AG71" s="128">
        <v>1.68</v>
      </c>
      <c r="AH71" s="128">
        <v>1.68</v>
      </c>
      <c r="AI71" s="128">
        <v>1.68</v>
      </c>
      <c r="AJ71" s="128">
        <v>1.67</v>
      </c>
      <c r="AK71" s="128">
        <v>1.67</v>
      </c>
      <c r="AL71" s="128">
        <v>1.67</v>
      </c>
      <c r="AM71" s="128">
        <v>1.66</v>
      </c>
      <c r="AN71" s="128">
        <v>1.66</v>
      </c>
      <c r="AO71" s="128">
        <v>1.66</v>
      </c>
      <c r="AP71" s="128">
        <v>1.65</v>
      </c>
      <c r="AQ71" s="128">
        <v>1.65</v>
      </c>
      <c r="AR71" s="128">
        <v>1.64</v>
      </c>
      <c r="AS71" s="128">
        <v>1.64</v>
      </c>
      <c r="AT71" s="128">
        <v>1.64</v>
      </c>
      <c r="AU71" s="128">
        <v>1.63</v>
      </c>
      <c r="AV71" s="128">
        <v>1.63</v>
      </c>
      <c r="AW71" s="128">
        <v>1.62</v>
      </c>
      <c r="AX71" s="128">
        <v>1.62</v>
      </c>
      <c r="AY71" s="128">
        <v>1.61</v>
      </c>
      <c r="AZ71" s="128">
        <v>1.61</v>
      </c>
      <c r="BA71" s="128">
        <v>1.61</v>
      </c>
      <c r="BB71" s="128">
        <v>1.62</v>
      </c>
      <c r="BC71" s="128">
        <v>1.62</v>
      </c>
      <c r="BD71" s="128">
        <v>1.63</v>
      </c>
      <c r="BE71" s="128">
        <v>1.63</v>
      </c>
      <c r="BF71" s="128">
        <v>1.64</v>
      </c>
      <c r="BG71" s="128">
        <v>1.64</v>
      </c>
      <c r="BH71" s="128">
        <v>1.64</v>
      </c>
      <c r="BI71" s="128">
        <v>1.65</v>
      </c>
      <c r="BJ71" s="128">
        <v>1.65</v>
      </c>
      <c r="BK71" s="128">
        <v>1.66</v>
      </c>
      <c r="BL71" s="128">
        <v>1.66</v>
      </c>
      <c r="BM71" s="128">
        <v>1.66</v>
      </c>
      <c r="BN71" s="128">
        <v>1.67</v>
      </c>
      <c r="BO71" s="128">
        <v>1.67</v>
      </c>
      <c r="BP71" s="128">
        <v>1.67</v>
      </c>
      <c r="BQ71" s="128">
        <v>1.68</v>
      </c>
      <c r="BR71" s="128">
        <v>1.68</v>
      </c>
      <c r="BS71" s="128">
        <v>1.68</v>
      </c>
      <c r="BT71" s="128">
        <v>1.68</v>
      </c>
      <c r="BU71" s="128">
        <v>1.68</v>
      </c>
      <c r="BV71" s="128">
        <v>1.68</v>
      </c>
      <c r="BW71" s="128">
        <v>1.68</v>
      </c>
      <c r="BX71" s="128">
        <v>1.68</v>
      </c>
      <c r="BY71" s="128">
        <v>1.68</v>
      </c>
      <c r="BZ71" s="128">
        <v>1.68</v>
      </c>
      <c r="CA71" s="128">
        <v>1.68</v>
      </c>
      <c r="CB71" s="128">
        <v>1.68</v>
      </c>
      <c r="CC71" s="128">
        <v>1.68</v>
      </c>
      <c r="CD71" s="128">
        <v>1.68</v>
      </c>
      <c r="CE71" s="128">
        <v>1.68</v>
      </c>
      <c r="CF71" s="128">
        <v>1.68</v>
      </c>
      <c r="CG71" s="128">
        <v>1.68</v>
      </c>
      <c r="CH71" s="128">
        <v>1.68</v>
      </c>
      <c r="CI71" s="128">
        <v>1.68</v>
      </c>
      <c r="CJ71" s="128">
        <v>1.68</v>
      </c>
      <c r="CK71" s="128">
        <v>1.68</v>
      </c>
      <c r="CL71" s="128">
        <v>1.68</v>
      </c>
      <c r="CM71" s="128">
        <v>1.68</v>
      </c>
      <c r="CN71" s="128">
        <v>1.68</v>
      </c>
      <c r="CO71" s="128">
        <v>1.68</v>
      </c>
      <c r="CP71" s="128">
        <v>1.68</v>
      </c>
      <c r="CQ71" s="128">
        <v>1.68</v>
      </c>
      <c r="CR71" s="128">
        <v>1.68</v>
      </c>
      <c r="CS71" s="128">
        <v>1.68</v>
      </c>
      <c r="CT71" s="128">
        <v>1.68</v>
      </c>
      <c r="CU71" s="128">
        <v>1.68</v>
      </c>
      <c r="CV71" s="128">
        <v>1.68</v>
      </c>
      <c r="CW71" s="128">
        <v>1.68</v>
      </c>
      <c r="CX71" s="128">
        <v>1.68</v>
      </c>
      <c r="CZ71" s="126">
        <f>SUMIF(MatrixF3[[1]:[2]],MatrixF3[[#This Row],[Столбец1]])/MatrixF3[[#This Row],[Столбец1]]</f>
        <v>112.00000000000028</v>
      </c>
    </row>
    <row r="72" spans="1:104" ht="21" customHeight="1" x14ac:dyDescent="0.25">
      <c r="A72" s="127">
        <v>1.69</v>
      </c>
      <c r="B72" s="128">
        <v>1.69</v>
      </c>
      <c r="C72" s="128">
        <v>1.69</v>
      </c>
      <c r="D72" s="128">
        <v>1.69</v>
      </c>
      <c r="E72" s="128">
        <v>1.69</v>
      </c>
      <c r="F72" s="128">
        <v>1.69</v>
      </c>
      <c r="G72" s="128">
        <v>1.69</v>
      </c>
      <c r="H72" s="128">
        <v>1.69</v>
      </c>
      <c r="I72" s="128">
        <v>1.69</v>
      </c>
      <c r="J72" s="128">
        <v>1.69</v>
      </c>
      <c r="K72" s="128">
        <v>1.69</v>
      </c>
      <c r="L72" s="128">
        <v>1.69</v>
      </c>
      <c r="M72" s="128">
        <v>1.69</v>
      </c>
      <c r="N72" s="128">
        <v>1.69</v>
      </c>
      <c r="O72" s="128">
        <v>1.69</v>
      </c>
      <c r="P72" s="128">
        <v>1.69</v>
      </c>
      <c r="Q72" s="128">
        <v>1.69</v>
      </c>
      <c r="R72" s="128">
        <v>1.69</v>
      </c>
      <c r="S72" s="128">
        <v>1.69</v>
      </c>
      <c r="T72" s="128">
        <v>1.69</v>
      </c>
      <c r="U72" s="128">
        <v>1.69</v>
      </c>
      <c r="V72" s="128">
        <v>1.69</v>
      </c>
      <c r="W72" s="128">
        <v>1.69</v>
      </c>
      <c r="X72" s="128">
        <v>1.69</v>
      </c>
      <c r="Y72" s="128">
        <v>1.69</v>
      </c>
      <c r="Z72" s="128">
        <v>1.69</v>
      </c>
      <c r="AA72" s="128">
        <v>1.69</v>
      </c>
      <c r="AB72" s="128">
        <v>1.69</v>
      </c>
      <c r="AC72" s="128">
        <v>1.69</v>
      </c>
      <c r="AD72" s="128">
        <v>1.69</v>
      </c>
      <c r="AE72" s="128">
        <v>1.69</v>
      </c>
      <c r="AF72" s="128">
        <v>1.69</v>
      </c>
      <c r="AG72" s="128">
        <v>1.69</v>
      </c>
      <c r="AH72" s="128">
        <v>1.69</v>
      </c>
      <c r="AI72" s="128">
        <v>1.68</v>
      </c>
      <c r="AJ72" s="128">
        <v>1.68</v>
      </c>
      <c r="AK72" s="128">
        <v>1.68</v>
      </c>
      <c r="AL72" s="128">
        <v>1.67</v>
      </c>
      <c r="AM72" s="128">
        <v>1.67</v>
      </c>
      <c r="AN72" s="128">
        <v>1.67</v>
      </c>
      <c r="AO72" s="128">
        <v>1.66</v>
      </c>
      <c r="AP72" s="128">
        <v>1.66</v>
      </c>
      <c r="AQ72" s="128">
        <v>1.66</v>
      </c>
      <c r="AR72" s="128">
        <v>1.65</v>
      </c>
      <c r="AS72" s="128">
        <v>1.65</v>
      </c>
      <c r="AT72" s="128">
        <v>1.64</v>
      </c>
      <c r="AU72" s="128">
        <v>1.64</v>
      </c>
      <c r="AV72" s="128">
        <v>1.64</v>
      </c>
      <c r="AW72" s="128">
        <v>1.63</v>
      </c>
      <c r="AX72" s="128">
        <v>1.63</v>
      </c>
      <c r="AY72" s="128">
        <v>1.62</v>
      </c>
      <c r="AZ72" s="128">
        <v>1.62</v>
      </c>
      <c r="BA72" s="128">
        <v>1.62</v>
      </c>
      <c r="BB72" s="128">
        <v>1.63</v>
      </c>
      <c r="BC72" s="128">
        <v>1.63</v>
      </c>
      <c r="BD72" s="128">
        <v>1.64</v>
      </c>
      <c r="BE72" s="128">
        <v>1.64</v>
      </c>
      <c r="BF72" s="128">
        <v>1.64</v>
      </c>
      <c r="BG72" s="128">
        <v>1.65</v>
      </c>
      <c r="BH72" s="128">
        <v>1.65</v>
      </c>
      <c r="BI72" s="128">
        <v>1.66</v>
      </c>
      <c r="BJ72" s="128">
        <v>1.66</v>
      </c>
      <c r="BK72" s="128">
        <v>1.66</v>
      </c>
      <c r="BL72" s="128">
        <v>1.67</v>
      </c>
      <c r="BM72" s="128">
        <v>1.67</v>
      </c>
      <c r="BN72" s="128">
        <v>1.67</v>
      </c>
      <c r="BO72" s="128">
        <v>1.68</v>
      </c>
      <c r="BP72" s="128">
        <v>1.68</v>
      </c>
      <c r="BQ72" s="128">
        <v>1.68</v>
      </c>
      <c r="BR72" s="128">
        <v>1.69</v>
      </c>
      <c r="BS72" s="128">
        <v>1.69</v>
      </c>
      <c r="BT72" s="128">
        <v>1.69</v>
      </c>
      <c r="BU72" s="128">
        <v>1.69</v>
      </c>
      <c r="BV72" s="128">
        <v>1.69</v>
      </c>
      <c r="BW72" s="128">
        <v>1.69</v>
      </c>
      <c r="BX72" s="128">
        <v>1.69</v>
      </c>
      <c r="BY72" s="128">
        <v>1.69</v>
      </c>
      <c r="BZ72" s="128">
        <v>1.69</v>
      </c>
      <c r="CA72" s="128">
        <v>1.69</v>
      </c>
      <c r="CB72" s="128">
        <v>1.69</v>
      </c>
      <c r="CC72" s="128">
        <v>1.69</v>
      </c>
      <c r="CD72" s="128">
        <v>1.69</v>
      </c>
      <c r="CE72" s="128">
        <v>1.69</v>
      </c>
      <c r="CF72" s="128">
        <v>1.69</v>
      </c>
      <c r="CG72" s="128">
        <v>1.69</v>
      </c>
      <c r="CH72" s="128">
        <v>1.69</v>
      </c>
      <c r="CI72" s="128">
        <v>1.69</v>
      </c>
      <c r="CJ72" s="128">
        <v>1.69</v>
      </c>
      <c r="CK72" s="128">
        <v>1.69</v>
      </c>
      <c r="CL72" s="128">
        <v>1.69</v>
      </c>
      <c r="CM72" s="128">
        <v>1.69</v>
      </c>
      <c r="CN72" s="128">
        <v>1.69</v>
      </c>
      <c r="CO72" s="128">
        <v>1.69</v>
      </c>
      <c r="CP72" s="128">
        <v>1.69</v>
      </c>
      <c r="CQ72" s="128">
        <v>1.69</v>
      </c>
      <c r="CR72" s="128">
        <v>1.69</v>
      </c>
      <c r="CS72" s="128">
        <v>1.69</v>
      </c>
      <c r="CT72" s="128">
        <v>1.69</v>
      </c>
      <c r="CU72" s="128">
        <v>1.69</v>
      </c>
      <c r="CV72" s="128">
        <v>1.69</v>
      </c>
      <c r="CW72" s="128">
        <v>1.69</v>
      </c>
      <c r="CX72" s="128">
        <v>1.69</v>
      </c>
      <c r="CZ72" s="126">
        <f>SUMIF(MatrixF3[[1]:[2]],MatrixF3[[#This Row],[Столбец1]])/MatrixF3[[#This Row],[Столбец1]]</f>
        <v>108.99999999999989</v>
      </c>
    </row>
    <row r="73" spans="1:104" ht="21" customHeight="1" x14ac:dyDescent="0.25">
      <c r="A73" s="127">
        <v>1.7</v>
      </c>
      <c r="B73" s="128">
        <v>1.7</v>
      </c>
      <c r="C73" s="128">
        <v>1.7</v>
      </c>
      <c r="D73" s="128">
        <v>1.7</v>
      </c>
      <c r="E73" s="128">
        <v>1.7</v>
      </c>
      <c r="F73" s="128">
        <v>1.7</v>
      </c>
      <c r="G73" s="128">
        <v>1.7</v>
      </c>
      <c r="H73" s="128">
        <v>1.7</v>
      </c>
      <c r="I73" s="128">
        <v>1.7</v>
      </c>
      <c r="J73" s="128">
        <v>1.7</v>
      </c>
      <c r="K73" s="128">
        <v>1.7</v>
      </c>
      <c r="L73" s="128">
        <v>1.7</v>
      </c>
      <c r="M73" s="128">
        <v>1.7</v>
      </c>
      <c r="N73" s="128">
        <v>1.7</v>
      </c>
      <c r="O73" s="128">
        <v>1.7</v>
      </c>
      <c r="P73" s="128">
        <v>1.7</v>
      </c>
      <c r="Q73" s="128">
        <v>1.7</v>
      </c>
      <c r="R73" s="128">
        <v>1.7</v>
      </c>
      <c r="S73" s="128">
        <v>1.7</v>
      </c>
      <c r="T73" s="128">
        <v>1.7</v>
      </c>
      <c r="U73" s="128">
        <v>1.7</v>
      </c>
      <c r="V73" s="128">
        <v>1.7</v>
      </c>
      <c r="W73" s="128">
        <v>1.7</v>
      </c>
      <c r="X73" s="128">
        <v>1.7</v>
      </c>
      <c r="Y73" s="128">
        <v>1.7</v>
      </c>
      <c r="Z73" s="128">
        <v>1.7</v>
      </c>
      <c r="AA73" s="128">
        <v>1.7</v>
      </c>
      <c r="AB73" s="128">
        <v>1.7</v>
      </c>
      <c r="AC73" s="128">
        <v>1.7</v>
      </c>
      <c r="AD73" s="128">
        <v>1.7</v>
      </c>
      <c r="AE73" s="128">
        <v>1.7</v>
      </c>
      <c r="AF73" s="128">
        <v>1.7</v>
      </c>
      <c r="AG73" s="128">
        <v>1.7</v>
      </c>
      <c r="AH73" s="128">
        <v>1.69</v>
      </c>
      <c r="AI73" s="128">
        <v>1.69</v>
      </c>
      <c r="AJ73" s="128">
        <v>1.69</v>
      </c>
      <c r="AK73" s="128">
        <v>1.68</v>
      </c>
      <c r="AL73" s="128">
        <v>1.68</v>
      </c>
      <c r="AM73" s="128">
        <v>1.68</v>
      </c>
      <c r="AN73" s="128">
        <v>1.67</v>
      </c>
      <c r="AO73" s="128">
        <v>1.67</v>
      </c>
      <c r="AP73" s="128">
        <v>1.67</v>
      </c>
      <c r="AQ73" s="128">
        <v>1.66</v>
      </c>
      <c r="AR73" s="128">
        <v>1.66</v>
      </c>
      <c r="AS73" s="128">
        <v>1.66</v>
      </c>
      <c r="AT73" s="128">
        <v>1.65</v>
      </c>
      <c r="AU73" s="128">
        <v>1.65</v>
      </c>
      <c r="AV73" s="128">
        <v>1.64</v>
      </c>
      <c r="AW73" s="128">
        <v>1.64</v>
      </c>
      <c r="AX73" s="128">
        <v>1.63</v>
      </c>
      <c r="AY73" s="128">
        <v>1.63</v>
      </c>
      <c r="AZ73" s="128">
        <v>1.62</v>
      </c>
      <c r="BA73" s="128">
        <v>1.63</v>
      </c>
      <c r="BB73" s="128">
        <v>1.63</v>
      </c>
      <c r="BC73" s="128">
        <v>1.64</v>
      </c>
      <c r="BD73" s="128">
        <v>1.64</v>
      </c>
      <c r="BE73" s="128">
        <v>1.65</v>
      </c>
      <c r="BF73" s="128">
        <v>1.65</v>
      </c>
      <c r="BG73" s="128">
        <v>1.66</v>
      </c>
      <c r="BH73" s="128">
        <v>1.66</v>
      </c>
      <c r="BI73" s="128">
        <v>1.66</v>
      </c>
      <c r="BJ73" s="128">
        <v>1.67</v>
      </c>
      <c r="BK73" s="128">
        <v>1.67</v>
      </c>
      <c r="BL73" s="128">
        <v>1.67</v>
      </c>
      <c r="BM73" s="128">
        <v>1.68</v>
      </c>
      <c r="BN73" s="128">
        <v>1.68</v>
      </c>
      <c r="BO73" s="128">
        <v>1.68</v>
      </c>
      <c r="BP73" s="128">
        <v>1.69</v>
      </c>
      <c r="BQ73" s="128">
        <v>1.69</v>
      </c>
      <c r="BR73" s="128">
        <v>1.69</v>
      </c>
      <c r="BS73" s="128">
        <v>1.7</v>
      </c>
      <c r="BT73" s="128">
        <v>1.7</v>
      </c>
      <c r="BU73" s="128">
        <v>1.7</v>
      </c>
      <c r="BV73" s="128">
        <v>1.7</v>
      </c>
      <c r="BW73" s="128">
        <v>1.7</v>
      </c>
      <c r="BX73" s="128">
        <v>1.7</v>
      </c>
      <c r="BY73" s="128">
        <v>1.7</v>
      </c>
      <c r="BZ73" s="128">
        <v>1.7</v>
      </c>
      <c r="CA73" s="128">
        <v>1.7</v>
      </c>
      <c r="CB73" s="128">
        <v>1.7</v>
      </c>
      <c r="CC73" s="128">
        <v>1.7</v>
      </c>
      <c r="CD73" s="128">
        <v>1.7</v>
      </c>
      <c r="CE73" s="128">
        <v>1.7</v>
      </c>
      <c r="CF73" s="128">
        <v>1.7</v>
      </c>
      <c r="CG73" s="128">
        <v>1.7</v>
      </c>
      <c r="CH73" s="128">
        <v>1.7</v>
      </c>
      <c r="CI73" s="128">
        <v>1.7</v>
      </c>
      <c r="CJ73" s="128">
        <v>1.7</v>
      </c>
      <c r="CK73" s="128">
        <v>1.7</v>
      </c>
      <c r="CL73" s="128">
        <v>1.7</v>
      </c>
      <c r="CM73" s="128">
        <v>1.7</v>
      </c>
      <c r="CN73" s="128">
        <v>1.7</v>
      </c>
      <c r="CO73" s="128">
        <v>1.7</v>
      </c>
      <c r="CP73" s="128">
        <v>1.7</v>
      </c>
      <c r="CQ73" s="128">
        <v>1.7</v>
      </c>
      <c r="CR73" s="128">
        <v>1.7</v>
      </c>
      <c r="CS73" s="128">
        <v>1.7</v>
      </c>
      <c r="CT73" s="128">
        <v>1.7</v>
      </c>
      <c r="CU73" s="128">
        <v>1.7</v>
      </c>
      <c r="CV73" s="128">
        <v>1.7</v>
      </c>
      <c r="CW73" s="128">
        <v>1.7</v>
      </c>
      <c r="CX73" s="128">
        <v>1.7</v>
      </c>
      <c r="CZ73" s="126">
        <f>SUMIF(MatrixF3[[1]:[2]],MatrixF3[[#This Row],[Столбец1]])/MatrixF3[[#This Row],[Столбец1]]</f>
        <v>108.99999999999986</v>
      </c>
    </row>
    <row r="74" spans="1:104" ht="21" customHeight="1" x14ac:dyDescent="0.25">
      <c r="A74" s="127">
        <v>1.71</v>
      </c>
      <c r="B74" s="128">
        <v>1.71</v>
      </c>
      <c r="C74" s="128">
        <v>1.71</v>
      </c>
      <c r="D74" s="128">
        <v>1.71</v>
      </c>
      <c r="E74" s="128">
        <v>1.71</v>
      </c>
      <c r="F74" s="128">
        <v>1.71</v>
      </c>
      <c r="G74" s="128">
        <v>1.71</v>
      </c>
      <c r="H74" s="128">
        <v>1.71</v>
      </c>
      <c r="I74" s="128">
        <v>1.71</v>
      </c>
      <c r="J74" s="128">
        <v>1.71</v>
      </c>
      <c r="K74" s="128">
        <v>1.71</v>
      </c>
      <c r="L74" s="128">
        <v>1.71</v>
      </c>
      <c r="M74" s="128">
        <v>1.71</v>
      </c>
      <c r="N74" s="128">
        <v>1.71</v>
      </c>
      <c r="O74" s="128">
        <v>1.71</v>
      </c>
      <c r="P74" s="128">
        <v>1.71</v>
      </c>
      <c r="Q74" s="128">
        <v>1.71</v>
      </c>
      <c r="R74" s="128">
        <v>1.71</v>
      </c>
      <c r="S74" s="128">
        <v>1.71</v>
      </c>
      <c r="T74" s="128">
        <v>1.71</v>
      </c>
      <c r="U74" s="128">
        <v>1.71</v>
      </c>
      <c r="V74" s="128">
        <v>1.71</v>
      </c>
      <c r="W74" s="128">
        <v>1.71</v>
      </c>
      <c r="X74" s="128">
        <v>1.71</v>
      </c>
      <c r="Y74" s="128">
        <v>1.71</v>
      </c>
      <c r="Z74" s="128">
        <v>1.71</v>
      </c>
      <c r="AA74" s="128">
        <v>1.71</v>
      </c>
      <c r="AB74" s="128">
        <v>1.71</v>
      </c>
      <c r="AC74" s="128">
        <v>1.71</v>
      </c>
      <c r="AD74" s="128">
        <v>1.71</v>
      </c>
      <c r="AE74" s="128">
        <v>1.71</v>
      </c>
      <c r="AF74" s="128">
        <v>1.71</v>
      </c>
      <c r="AG74" s="128">
        <v>1.7</v>
      </c>
      <c r="AH74" s="128">
        <v>1.7</v>
      </c>
      <c r="AI74" s="128">
        <v>1.7</v>
      </c>
      <c r="AJ74" s="128">
        <v>1.69</v>
      </c>
      <c r="AK74" s="128">
        <v>1.69</v>
      </c>
      <c r="AL74" s="128">
        <v>1.69</v>
      </c>
      <c r="AM74" s="128">
        <v>1.68</v>
      </c>
      <c r="AN74" s="128">
        <v>1.68</v>
      </c>
      <c r="AO74" s="128">
        <v>1.68</v>
      </c>
      <c r="AP74" s="128">
        <v>1.67</v>
      </c>
      <c r="AQ74" s="128">
        <v>1.67</v>
      </c>
      <c r="AR74" s="128">
        <v>1.67</v>
      </c>
      <c r="AS74" s="128">
        <v>1.66</v>
      </c>
      <c r="AT74" s="128">
        <v>1.66</v>
      </c>
      <c r="AU74" s="128">
        <v>1.65</v>
      </c>
      <c r="AV74" s="128">
        <v>1.65</v>
      </c>
      <c r="AW74" s="128">
        <v>1.65</v>
      </c>
      <c r="AX74" s="128">
        <v>1.64</v>
      </c>
      <c r="AY74" s="128">
        <v>1.64</v>
      </c>
      <c r="AZ74" s="128">
        <v>1.63</v>
      </c>
      <c r="BA74" s="128">
        <v>1.64</v>
      </c>
      <c r="BB74" s="128">
        <v>1.64</v>
      </c>
      <c r="BC74" s="128">
        <v>1.65</v>
      </c>
      <c r="BD74" s="128">
        <v>1.65</v>
      </c>
      <c r="BE74" s="128">
        <v>1.65</v>
      </c>
      <c r="BF74" s="128">
        <v>1.66</v>
      </c>
      <c r="BG74" s="128">
        <v>1.66</v>
      </c>
      <c r="BH74" s="128">
        <v>1.67</v>
      </c>
      <c r="BI74" s="128">
        <v>1.67</v>
      </c>
      <c r="BJ74" s="128">
        <v>1.67</v>
      </c>
      <c r="BK74" s="128">
        <v>1.68</v>
      </c>
      <c r="BL74" s="128">
        <v>1.68</v>
      </c>
      <c r="BM74" s="128">
        <v>1.68</v>
      </c>
      <c r="BN74" s="128">
        <v>1.69</v>
      </c>
      <c r="BO74" s="128">
        <v>1.69</v>
      </c>
      <c r="BP74" s="128">
        <v>1.69</v>
      </c>
      <c r="BQ74" s="128">
        <v>1.7</v>
      </c>
      <c r="BR74" s="128">
        <v>1.7</v>
      </c>
      <c r="BS74" s="128">
        <v>1.7</v>
      </c>
      <c r="BT74" s="128">
        <v>1.71</v>
      </c>
      <c r="BU74" s="128">
        <v>1.71</v>
      </c>
      <c r="BV74" s="128">
        <v>1.71</v>
      </c>
      <c r="BW74" s="128">
        <v>1.71</v>
      </c>
      <c r="BX74" s="128">
        <v>1.71</v>
      </c>
      <c r="BY74" s="128">
        <v>1.71</v>
      </c>
      <c r="BZ74" s="128">
        <v>1.71</v>
      </c>
      <c r="CA74" s="128">
        <v>1.71</v>
      </c>
      <c r="CB74" s="128">
        <v>1.71</v>
      </c>
      <c r="CC74" s="128">
        <v>1.71</v>
      </c>
      <c r="CD74" s="128">
        <v>1.71</v>
      </c>
      <c r="CE74" s="128">
        <v>1.71</v>
      </c>
      <c r="CF74" s="128">
        <v>1.71</v>
      </c>
      <c r="CG74" s="128">
        <v>1.71</v>
      </c>
      <c r="CH74" s="128">
        <v>1.71</v>
      </c>
      <c r="CI74" s="128">
        <v>1.71</v>
      </c>
      <c r="CJ74" s="128">
        <v>1.71</v>
      </c>
      <c r="CK74" s="128">
        <v>1.71</v>
      </c>
      <c r="CL74" s="128">
        <v>1.71</v>
      </c>
      <c r="CM74" s="128">
        <v>1.71</v>
      </c>
      <c r="CN74" s="128">
        <v>1.71</v>
      </c>
      <c r="CO74" s="128">
        <v>1.71</v>
      </c>
      <c r="CP74" s="128">
        <v>1.71</v>
      </c>
      <c r="CQ74" s="128">
        <v>1.71</v>
      </c>
      <c r="CR74" s="128">
        <v>1.71</v>
      </c>
      <c r="CS74" s="128">
        <v>1.71</v>
      </c>
      <c r="CT74" s="128">
        <v>1.71</v>
      </c>
      <c r="CU74" s="128">
        <v>1.71</v>
      </c>
      <c r="CV74" s="128">
        <v>1.71</v>
      </c>
      <c r="CW74" s="128">
        <v>1.71</v>
      </c>
      <c r="CX74" s="128">
        <v>1.71</v>
      </c>
      <c r="CZ74" s="126">
        <f>SUMIF(MatrixF3[[1]:[2]],MatrixF3[[#This Row],[Столбец1]])/MatrixF3[[#This Row],[Столбец1]]</f>
        <v>111.00000000000006</v>
      </c>
    </row>
    <row r="75" spans="1:104" ht="21" customHeight="1" x14ac:dyDescent="0.25">
      <c r="A75" s="127">
        <v>1.72</v>
      </c>
      <c r="B75" s="128">
        <v>1.72</v>
      </c>
      <c r="C75" s="128">
        <v>1.72</v>
      </c>
      <c r="D75" s="128">
        <v>1.72</v>
      </c>
      <c r="E75" s="128">
        <v>1.72</v>
      </c>
      <c r="F75" s="128">
        <v>1.72</v>
      </c>
      <c r="G75" s="128">
        <v>1.72</v>
      </c>
      <c r="H75" s="128">
        <v>1.72</v>
      </c>
      <c r="I75" s="128">
        <v>1.72</v>
      </c>
      <c r="J75" s="128">
        <v>1.72</v>
      </c>
      <c r="K75" s="128">
        <v>1.72</v>
      </c>
      <c r="L75" s="128">
        <v>1.72</v>
      </c>
      <c r="M75" s="128">
        <v>1.72</v>
      </c>
      <c r="N75" s="128">
        <v>1.72</v>
      </c>
      <c r="O75" s="128">
        <v>1.72</v>
      </c>
      <c r="P75" s="128">
        <v>1.72</v>
      </c>
      <c r="Q75" s="128">
        <v>1.72</v>
      </c>
      <c r="R75" s="128">
        <v>1.72</v>
      </c>
      <c r="S75" s="128">
        <v>1.72</v>
      </c>
      <c r="T75" s="128">
        <v>1.72</v>
      </c>
      <c r="U75" s="128">
        <v>1.72</v>
      </c>
      <c r="V75" s="128">
        <v>1.72</v>
      </c>
      <c r="W75" s="128">
        <v>1.72</v>
      </c>
      <c r="X75" s="128">
        <v>1.72</v>
      </c>
      <c r="Y75" s="128">
        <v>1.72</v>
      </c>
      <c r="Z75" s="128">
        <v>1.72</v>
      </c>
      <c r="AA75" s="128">
        <v>1.72</v>
      </c>
      <c r="AB75" s="128">
        <v>1.72</v>
      </c>
      <c r="AC75" s="128">
        <v>1.72</v>
      </c>
      <c r="AD75" s="128">
        <v>1.72</v>
      </c>
      <c r="AE75" s="128">
        <v>1.72</v>
      </c>
      <c r="AF75" s="128">
        <v>1.71</v>
      </c>
      <c r="AG75" s="128">
        <v>1.71</v>
      </c>
      <c r="AH75" s="128">
        <v>1.71</v>
      </c>
      <c r="AI75" s="128">
        <v>1.71</v>
      </c>
      <c r="AJ75" s="128">
        <v>1.7</v>
      </c>
      <c r="AK75" s="128">
        <v>1.7</v>
      </c>
      <c r="AL75" s="128">
        <v>1.7</v>
      </c>
      <c r="AM75" s="128">
        <v>1.69</v>
      </c>
      <c r="AN75" s="128">
        <v>1.69</v>
      </c>
      <c r="AO75" s="128">
        <v>1.69</v>
      </c>
      <c r="AP75" s="128">
        <v>1.68</v>
      </c>
      <c r="AQ75" s="128">
        <v>1.68</v>
      </c>
      <c r="AR75" s="128">
        <v>1.67</v>
      </c>
      <c r="AS75" s="128">
        <v>1.67</v>
      </c>
      <c r="AT75" s="128">
        <v>1.67</v>
      </c>
      <c r="AU75" s="128">
        <v>1.66</v>
      </c>
      <c r="AV75" s="128">
        <v>1.66</v>
      </c>
      <c r="AW75" s="128">
        <v>1.65</v>
      </c>
      <c r="AX75" s="128">
        <v>1.65</v>
      </c>
      <c r="AY75" s="128">
        <v>1.65</v>
      </c>
      <c r="AZ75" s="128">
        <v>1.64</v>
      </c>
      <c r="BA75" s="128">
        <v>1.65</v>
      </c>
      <c r="BB75" s="128">
        <v>1.65</v>
      </c>
      <c r="BC75" s="128">
        <v>1.65</v>
      </c>
      <c r="BD75" s="128">
        <v>1.66</v>
      </c>
      <c r="BE75" s="128">
        <v>1.66</v>
      </c>
      <c r="BF75" s="128">
        <v>1.67</v>
      </c>
      <c r="BG75" s="128">
        <v>1.67</v>
      </c>
      <c r="BH75" s="128">
        <v>1.67</v>
      </c>
      <c r="BI75" s="128">
        <v>1.68</v>
      </c>
      <c r="BJ75" s="128">
        <v>1.68</v>
      </c>
      <c r="BK75" s="128">
        <v>1.69</v>
      </c>
      <c r="BL75" s="128">
        <v>1.69</v>
      </c>
      <c r="BM75" s="128">
        <v>1.69</v>
      </c>
      <c r="BN75" s="128">
        <v>1.7</v>
      </c>
      <c r="BO75" s="128">
        <v>1.7</v>
      </c>
      <c r="BP75" s="128">
        <v>1.7</v>
      </c>
      <c r="BQ75" s="128">
        <v>1.71</v>
      </c>
      <c r="BR75" s="128">
        <v>1.71</v>
      </c>
      <c r="BS75" s="128">
        <v>1.71</v>
      </c>
      <c r="BT75" s="128">
        <v>1.71</v>
      </c>
      <c r="BU75" s="128">
        <v>1.72</v>
      </c>
      <c r="BV75" s="128">
        <v>1.72</v>
      </c>
      <c r="BW75" s="128">
        <v>1.72</v>
      </c>
      <c r="BX75" s="128">
        <v>1.72</v>
      </c>
      <c r="BY75" s="128">
        <v>1.72</v>
      </c>
      <c r="BZ75" s="128">
        <v>1.72</v>
      </c>
      <c r="CA75" s="128">
        <v>1.72</v>
      </c>
      <c r="CB75" s="128">
        <v>1.72</v>
      </c>
      <c r="CC75" s="128">
        <v>1.72</v>
      </c>
      <c r="CD75" s="128">
        <v>1.72</v>
      </c>
      <c r="CE75" s="128">
        <v>1.72</v>
      </c>
      <c r="CF75" s="128">
        <v>1.72</v>
      </c>
      <c r="CG75" s="128">
        <v>1.72</v>
      </c>
      <c r="CH75" s="128">
        <v>1.72</v>
      </c>
      <c r="CI75" s="128">
        <v>1.72</v>
      </c>
      <c r="CJ75" s="128">
        <v>1.72</v>
      </c>
      <c r="CK75" s="128">
        <v>1.72</v>
      </c>
      <c r="CL75" s="128">
        <v>1.72</v>
      </c>
      <c r="CM75" s="128">
        <v>1.72</v>
      </c>
      <c r="CN75" s="128">
        <v>1.72</v>
      </c>
      <c r="CO75" s="128">
        <v>1.72</v>
      </c>
      <c r="CP75" s="128">
        <v>1.72</v>
      </c>
      <c r="CQ75" s="128">
        <v>1.72</v>
      </c>
      <c r="CR75" s="128">
        <v>1.72</v>
      </c>
      <c r="CS75" s="128">
        <v>1.72</v>
      </c>
      <c r="CT75" s="128">
        <v>1.72</v>
      </c>
      <c r="CU75" s="128">
        <v>1.72</v>
      </c>
      <c r="CV75" s="128">
        <v>1.72</v>
      </c>
      <c r="CW75" s="128">
        <v>1.72</v>
      </c>
      <c r="CX75" s="128">
        <v>1.72</v>
      </c>
      <c r="CZ75" s="126">
        <f>SUMIF(MatrixF3[[1]:[2]],MatrixF3[[#This Row],[Столбец1]])/MatrixF3[[#This Row],[Столбец1]]</f>
        <v>106.99999999999994</v>
      </c>
    </row>
    <row r="76" spans="1:104" ht="21" customHeight="1" x14ac:dyDescent="0.25">
      <c r="A76" s="127">
        <v>1.73</v>
      </c>
      <c r="B76" s="128">
        <v>1.73</v>
      </c>
      <c r="C76" s="128">
        <v>1.73</v>
      </c>
      <c r="D76" s="128">
        <v>1.73</v>
      </c>
      <c r="E76" s="128">
        <v>1.73</v>
      </c>
      <c r="F76" s="128">
        <v>1.73</v>
      </c>
      <c r="G76" s="128">
        <v>1.73</v>
      </c>
      <c r="H76" s="128">
        <v>1.73</v>
      </c>
      <c r="I76" s="128">
        <v>1.73</v>
      </c>
      <c r="J76" s="128">
        <v>1.73</v>
      </c>
      <c r="K76" s="128">
        <v>1.73</v>
      </c>
      <c r="L76" s="128">
        <v>1.73</v>
      </c>
      <c r="M76" s="128">
        <v>1.73</v>
      </c>
      <c r="N76" s="128">
        <v>1.73</v>
      </c>
      <c r="O76" s="128">
        <v>1.73</v>
      </c>
      <c r="P76" s="128">
        <v>1.73</v>
      </c>
      <c r="Q76" s="128">
        <v>1.73</v>
      </c>
      <c r="R76" s="128">
        <v>1.73</v>
      </c>
      <c r="S76" s="128">
        <v>1.73</v>
      </c>
      <c r="T76" s="128">
        <v>1.73</v>
      </c>
      <c r="U76" s="128">
        <v>1.73</v>
      </c>
      <c r="V76" s="128">
        <v>1.73</v>
      </c>
      <c r="W76" s="128">
        <v>1.73</v>
      </c>
      <c r="X76" s="128">
        <v>1.73</v>
      </c>
      <c r="Y76" s="128">
        <v>1.73</v>
      </c>
      <c r="Z76" s="128">
        <v>1.73</v>
      </c>
      <c r="AA76" s="128">
        <v>1.73</v>
      </c>
      <c r="AB76" s="128">
        <v>1.73</v>
      </c>
      <c r="AC76" s="128">
        <v>1.73</v>
      </c>
      <c r="AD76" s="128">
        <v>1.73</v>
      </c>
      <c r="AE76" s="128">
        <v>1.72</v>
      </c>
      <c r="AF76" s="128">
        <v>1.72</v>
      </c>
      <c r="AG76" s="128">
        <v>1.72</v>
      </c>
      <c r="AH76" s="128">
        <v>1.72</v>
      </c>
      <c r="AI76" s="128">
        <v>1.71</v>
      </c>
      <c r="AJ76" s="128">
        <v>1.71</v>
      </c>
      <c r="AK76" s="128">
        <v>1.71</v>
      </c>
      <c r="AL76" s="128">
        <v>1.7</v>
      </c>
      <c r="AM76" s="128">
        <v>1.7</v>
      </c>
      <c r="AN76" s="128">
        <v>1.7</v>
      </c>
      <c r="AO76" s="128">
        <v>1.69</v>
      </c>
      <c r="AP76" s="128">
        <v>1.69</v>
      </c>
      <c r="AQ76" s="128">
        <v>1.69</v>
      </c>
      <c r="AR76" s="128">
        <v>1.68</v>
      </c>
      <c r="AS76" s="128">
        <v>1.68</v>
      </c>
      <c r="AT76" s="128">
        <v>1.67</v>
      </c>
      <c r="AU76" s="128">
        <v>1.67</v>
      </c>
      <c r="AV76" s="128">
        <v>1.67</v>
      </c>
      <c r="AW76" s="128">
        <v>1.66</v>
      </c>
      <c r="AX76" s="128">
        <v>1.66</v>
      </c>
      <c r="AY76" s="128">
        <v>1.65</v>
      </c>
      <c r="AZ76" s="128">
        <v>1.65</v>
      </c>
      <c r="BA76" s="128">
        <v>1.65</v>
      </c>
      <c r="BB76" s="128">
        <v>1.66</v>
      </c>
      <c r="BC76" s="128">
        <v>1.66</v>
      </c>
      <c r="BD76" s="128">
        <v>1.67</v>
      </c>
      <c r="BE76" s="128">
        <v>1.67</v>
      </c>
      <c r="BF76" s="128">
        <v>1.67</v>
      </c>
      <c r="BG76" s="128">
        <v>1.68</v>
      </c>
      <c r="BH76" s="128">
        <v>1.68</v>
      </c>
      <c r="BI76" s="128">
        <v>1.69</v>
      </c>
      <c r="BJ76" s="128">
        <v>1.69</v>
      </c>
      <c r="BK76" s="128">
        <v>1.69</v>
      </c>
      <c r="BL76" s="128">
        <v>1.7</v>
      </c>
      <c r="BM76" s="128">
        <v>1.7</v>
      </c>
      <c r="BN76" s="128">
        <v>1.7</v>
      </c>
      <c r="BO76" s="128">
        <v>1.71</v>
      </c>
      <c r="BP76" s="128">
        <v>1.71</v>
      </c>
      <c r="BQ76" s="128">
        <v>1.71</v>
      </c>
      <c r="BR76" s="128">
        <v>1.72</v>
      </c>
      <c r="BS76" s="128">
        <v>1.72</v>
      </c>
      <c r="BT76" s="128">
        <v>1.72</v>
      </c>
      <c r="BU76" s="128">
        <v>1.72</v>
      </c>
      <c r="BV76" s="128">
        <v>1.73</v>
      </c>
      <c r="BW76" s="128">
        <v>1.73</v>
      </c>
      <c r="BX76" s="128">
        <v>1.73</v>
      </c>
      <c r="BY76" s="128">
        <v>1.73</v>
      </c>
      <c r="BZ76" s="128">
        <v>1.73</v>
      </c>
      <c r="CA76" s="128">
        <v>1.73</v>
      </c>
      <c r="CB76" s="128">
        <v>1.73</v>
      </c>
      <c r="CC76" s="128">
        <v>1.73</v>
      </c>
      <c r="CD76" s="128">
        <v>1.73</v>
      </c>
      <c r="CE76" s="128">
        <v>1.73</v>
      </c>
      <c r="CF76" s="128">
        <v>1.73</v>
      </c>
      <c r="CG76" s="128">
        <v>1.73</v>
      </c>
      <c r="CH76" s="128">
        <v>1.73</v>
      </c>
      <c r="CI76" s="128">
        <v>1.73</v>
      </c>
      <c r="CJ76" s="128">
        <v>1.73</v>
      </c>
      <c r="CK76" s="128">
        <v>1.73</v>
      </c>
      <c r="CL76" s="128">
        <v>1.73</v>
      </c>
      <c r="CM76" s="128">
        <v>1.73</v>
      </c>
      <c r="CN76" s="128">
        <v>1.73</v>
      </c>
      <c r="CO76" s="128">
        <v>1.73</v>
      </c>
      <c r="CP76" s="128">
        <v>1.73</v>
      </c>
      <c r="CQ76" s="128">
        <v>1.73</v>
      </c>
      <c r="CR76" s="128">
        <v>1.73</v>
      </c>
      <c r="CS76" s="128">
        <v>1.73</v>
      </c>
      <c r="CT76" s="128">
        <v>1.73</v>
      </c>
      <c r="CU76" s="128">
        <v>1.73</v>
      </c>
      <c r="CV76" s="128">
        <v>1.73</v>
      </c>
      <c r="CW76" s="128">
        <v>1.73</v>
      </c>
      <c r="CX76" s="128">
        <v>1.73</v>
      </c>
      <c r="CZ76" s="126">
        <f>SUMIF(MatrixF3[[1]:[2]],MatrixF3[[#This Row],[Столбец1]])/MatrixF3[[#This Row],[Столбец1]]</f>
        <v>109.99999999999984</v>
      </c>
    </row>
    <row r="77" spans="1:104" ht="21" customHeight="1" x14ac:dyDescent="0.25">
      <c r="A77" s="127">
        <v>1.74</v>
      </c>
      <c r="B77" s="128">
        <v>1.74</v>
      </c>
      <c r="C77" s="128">
        <v>1.74</v>
      </c>
      <c r="D77" s="128">
        <v>1.74</v>
      </c>
      <c r="E77" s="128">
        <v>1.74</v>
      </c>
      <c r="F77" s="128">
        <v>1.74</v>
      </c>
      <c r="G77" s="128">
        <v>1.74</v>
      </c>
      <c r="H77" s="128">
        <v>1.74</v>
      </c>
      <c r="I77" s="128">
        <v>1.74</v>
      </c>
      <c r="J77" s="128">
        <v>1.74</v>
      </c>
      <c r="K77" s="128">
        <v>1.74</v>
      </c>
      <c r="L77" s="128">
        <v>1.74</v>
      </c>
      <c r="M77" s="128">
        <v>1.74</v>
      </c>
      <c r="N77" s="128">
        <v>1.74</v>
      </c>
      <c r="O77" s="128">
        <v>1.74</v>
      </c>
      <c r="P77" s="128">
        <v>1.74</v>
      </c>
      <c r="Q77" s="128">
        <v>1.74</v>
      </c>
      <c r="R77" s="128">
        <v>1.74</v>
      </c>
      <c r="S77" s="128">
        <v>1.74</v>
      </c>
      <c r="T77" s="128">
        <v>1.74</v>
      </c>
      <c r="U77" s="128">
        <v>1.74</v>
      </c>
      <c r="V77" s="128">
        <v>1.74</v>
      </c>
      <c r="W77" s="128">
        <v>1.74</v>
      </c>
      <c r="X77" s="128">
        <v>1.74</v>
      </c>
      <c r="Y77" s="128">
        <v>1.74</v>
      </c>
      <c r="Z77" s="128">
        <v>1.74</v>
      </c>
      <c r="AA77" s="128">
        <v>1.74</v>
      </c>
      <c r="AB77" s="128">
        <v>1.74</v>
      </c>
      <c r="AC77" s="128">
        <v>1.74</v>
      </c>
      <c r="AD77" s="128">
        <v>1.73</v>
      </c>
      <c r="AE77" s="128">
        <v>1.73</v>
      </c>
      <c r="AF77" s="128">
        <v>1.73</v>
      </c>
      <c r="AG77" s="128">
        <v>1.73</v>
      </c>
      <c r="AH77" s="128">
        <v>1.72</v>
      </c>
      <c r="AI77" s="128">
        <v>1.72</v>
      </c>
      <c r="AJ77" s="128">
        <v>1.72</v>
      </c>
      <c r="AK77" s="128">
        <v>1.71</v>
      </c>
      <c r="AL77" s="128">
        <v>1.71</v>
      </c>
      <c r="AM77" s="128">
        <v>1.71</v>
      </c>
      <c r="AN77" s="128">
        <v>1.7</v>
      </c>
      <c r="AO77" s="128">
        <v>1.7</v>
      </c>
      <c r="AP77" s="128">
        <v>1.7</v>
      </c>
      <c r="AQ77" s="128">
        <v>1.69</v>
      </c>
      <c r="AR77" s="128">
        <v>1.69</v>
      </c>
      <c r="AS77" s="128">
        <v>1.69</v>
      </c>
      <c r="AT77" s="128">
        <v>1.68</v>
      </c>
      <c r="AU77" s="128">
        <v>1.68</v>
      </c>
      <c r="AV77" s="128">
        <v>1.68</v>
      </c>
      <c r="AW77" s="128">
        <v>1.67</v>
      </c>
      <c r="AX77" s="128">
        <v>1.67</v>
      </c>
      <c r="AY77" s="128">
        <v>1.66</v>
      </c>
      <c r="AZ77" s="128">
        <v>1.66</v>
      </c>
      <c r="BA77" s="128">
        <v>1.66</v>
      </c>
      <c r="BB77" s="128">
        <v>1.67</v>
      </c>
      <c r="BC77" s="128">
        <v>1.67</v>
      </c>
      <c r="BD77" s="128">
        <v>1.68</v>
      </c>
      <c r="BE77" s="128">
        <v>1.68</v>
      </c>
      <c r="BF77" s="128">
        <v>1.68</v>
      </c>
      <c r="BG77" s="128">
        <v>1.69</v>
      </c>
      <c r="BH77" s="128">
        <v>1.69</v>
      </c>
      <c r="BI77" s="128">
        <v>1.69</v>
      </c>
      <c r="BJ77" s="128">
        <v>1.7</v>
      </c>
      <c r="BK77" s="128">
        <v>1.7</v>
      </c>
      <c r="BL77" s="128">
        <v>1.7</v>
      </c>
      <c r="BM77" s="128">
        <v>1.71</v>
      </c>
      <c r="BN77" s="128">
        <v>1.71</v>
      </c>
      <c r="BO77" s="128">
        <v>1.71</v>
      </c>
      <c r="BP77" s="128">
        <v>1.72</v>
      </c>
      <c r="BQ77" s="128">
        <v>1.72</v>
      </c>
      <c r="BR77" s="128">
        <v>1.72</v>
      </c>
      <c r="BS77" s="128">
        <v>1.73</v>
      </c>
      <c r="BT77" s="128">
        <v>1.73</v>
      </c>
      <c r="BU77" s="128">
        <v>1.73</v>
      </c>
      <c r="BV77" s="128">
        <v>1.73</v>
      </c>
      <c r="BW77" s="128">
        <v>1.74</v>
      </c>
      <c r="BX77" s="128">
        <v>1.74</v>
      </c>
      <c r="BY77" s="128">
        <v>1.74</v>
      </c>
      <c r="BZ77" s="128">
        <v>1.74</v>
      </c>
      <c r="CA77" s="128">
        <v>1.74</v>
      </c>
      <c r="CB77" s="128">
        <v>1.74</v>
      </c>
      <c r="CC77" s="128">
        <v>1.74</v>
      </c>
      <c r="CD77" s="128">
        <v>1.74</v>
      </c>
      <c r="CE77" s="128">
        <v>1.74</v>
      </c>
      <c r="CF77" s="128">
        <v>1.74</v>
      </c>
      <c r="CG77" s="128">
        <v>1.74</v>
      </c>
      <c r="CH77" s="128">
        <v>1.74</v>
      </c>
      <c r="CI77" s="128">
        <v>1.74</v>
      </c>
      <c r="CJ77" s="128">
        <v>1.74</v>
      </c>
      <c r="CK77" s="128">
        <v>1.74</v>
      </c>
      <c r="CL77" s="128">
        <v>1.74</v>
      </c>
      <c r="CM77" s="128">
        <v>1.74</v>
      </c>
      <c r="CN77" s="128">
        <v>1.74</v>
      </c>
      <c r="CO77" s="128">
        <v>1.74</v>
      </c>
      <c r="CP77" s="128">
        <v>1.74</v>
      </c>
      <c r="CQ77" s="128">
        <v>1.74</v>
      </c>
      <c r="CR77" s="128">
        <v>1.74</v>
      </c>
      <c r="CS77" s="128">
        <v>1.74</v>
      </c>
      <c r="CT77" s="128">
        <v>1.74</v>
      </c>
      <c r="CU77" s="128">
        <v>1.74</v>
      </c>
      <c r="CV77" s="128">
        <v>1.74</v>
      </c>
      <c r="CW77" s="128">
        <v>1.74</v>
      </c>
      <c r="CX77" s="128">
        <v>1.74</v>
      </c>
      <c r="CZ77" s="126">
        <f>SUMIF(MatrixF3[[1]:[2]],MatrixF3[[#This Row],[Столбец1]])/MatrixF3[[#This Row],[Столбец1]]</f>
        <v>109.0000000000001</v>
      </c>
    </row>
    <row r="78" spans="1:104" ht="21" customHeight="1" x14ac:dyDescent="0.25">
      <c r="A78" s="127">
        <v>1.75</v>
      </c>
      <c r="B78" s="128">
        <v>1.75</v>
      </c>
      <c r="C78" s="128">
        <v>1.75</v>
      </c>
      <c r="D78" s="128">
        <v>1.75</v>
      </c>
      <c r="E78" s="128">
        <v>1.75</v>
      </c>
      <c r="F78" s="128">
        <v>1.75</v>
      </c>
      <c r="G78" s="128">
        <v>1.75</v>
      </c>
      <c r="H78" s="128">
        <v>1.75</v>
      </c>
      <c r="I78" s="128">
        <v>1.75</v>
      </c>
      <c r="J78" s="128">
        <v>1.75</v>
      </c>
      <c r="K78" s="128">
        <v>1.75</v>
      </c>
      <c r="L78" s="128">
        <v>1.75</v>
      </c>
      <c r="M78" s="128">
        <v>1.75</v>
      </c>
      <c r="N78" s="128">
        <v>1.75</v>
      </c>
      <c r="O78" s="128">
        <v>1.75</v>
      </c>
      <c r="P78" s="128">
        <v>1.75</v>
      </c>
      <c r="Q78" s="128">
        <v>1.75</v>
      </c>
      <c r="R78" s="128">
        <v>1.75</v>
      </c>
      <c r="S78" s="128">
        <v>1.75</v>
      </c>
      <c r="T78" s="128">
        <v>1.75</v>
      </c>
      <c r="U78" s="128">
        <v>1.75</v>
      </c>
      <c r="V78" s="128">
        <v>1.75</v>
      </c>
      <c r="W78" s="128">
        <v>1.75</v>
      </c>
      <c r="X78" s="128">
        <v>1.75</v>
      </c>
      <c r="Y78" s="128">
        <v>1.75</v>
      </c>
      <c r="Z78" s="128">
        <v>1.75</v>
      </c>
      <c r="AA78" s="128">
        <v>1.75</v>
      </c>
      <c r="AB78" s="128">
        <v>1.75</v>
      </c>
      <c r="AC78" s="128">
        <v>1.74</v>
      </c>
      <c r="AD78" s="128">
        <v>1.74</v>
      </c>
      <c r="AE78" s="128">
        <v>1.74</v>
      </c>
      <c r="AF78" s="128">
        <v>1.74</v>
      </c>
      <c r="AG78" s="128">
        <v>1.73</v>
      </c>
      <c r="AH78" s="128">
        <v>1.73</v>
      </c>
      <c r="AI78" s="128">
        <v>1.73</v>
      </c>
      <c r="AJ78" s="128">
        <v>1.73</v>
      </c>
      <c r="AK78" s="128">
        <v>1.72</v>
      </c>
      <c r="AL78" s="128">
        <v>1.72</v>
      </c>
      <c r="AM78" s="128">
        <v>1.72</v>
      </c>
      <c r="AN78" s="128">
        <v>1.71</v>
      </c>
      <c r="AO78" s="128">
        <v>1.71</v>
      </c>
      <c r="AP78" s="128">
        <v>1.71</v>
      </c>
      <c r="AQ78" s="128">
        <v>1.7</v>
      </c>
      <c r="AR78" s="128">
        <v>1.7</v>
      </c>
      <c r="AS78" s="128">
        <v>1.7</v>
      </c>
      <c r="AT78" s="128">
        <v>1.69</v>
      </c>
      <c r="AU78" s="128">
        <v>1.69</v>
      </c>
      <c r="AV78" s="128">
        <v>1.68</v>
      </c>
      <c r="AW78" s="128">
        <v>1.68</v>
      </c>
      <c r="AX78" s="128">
        <v>1.68</v>
      </c>
      <c r="AY78" s="128">
        <v>1.67</v>
      </c>
      <c r="AZ78" s="128">
        <v>1.67</v>
      </c>
      <c r="BA78" s="128">
        <v>1.67</v>
      </c>
      <c r="BB78" s="128">
        <v>1.68</v>
      </c>
      <c r="BC78" s="128">
        <v>1.68</v>
      </c>
      <c r="BD78" s="128">
        <v>1.68</v>
      </c>
      <c r="BE78" s="128">
        <v>1.69</v>
      </c>
      <c r="BF78" s="128">
        <v>1.69</v>
      </c>
      <c r="BG78" s="128">
        <v>1.7</v>
      </c>
      <c r="BH78" s="128">
        <v>1.7</v>
      </c>
      <c r="BI78" s="128">
        <v>1.7</v>
      </c>
      <c r="BJ78" s="128">
        <v>1.71</v>
      </c>
      <c r="BK78" s="128">
        <v>1.71</v>
      </c>
      <c r="BL78" s="128">
        <v>1.71</v>
      </c>
      <c r="BM78" s="128">
        <v>1.72</v>
      </c>
      <c r="BN78" s="128">
        <v>1.72</v>
      </c>
      <c r="BO78" s="128">
        <v>1.72</v>
      </c>
      <c r="BP78" s="128">
        <v>1.73</v>
      </c>
      <c r="BQ78" s="128">
        <v>1.73</v>
      </c>
      <c r="BR78" s="128">
        <v>1.73</v>
      </c>
      <c r="BS78" s="128">
        <v>1.73</v>
      </c>
      <c r="BT78" s="128">
        <v>1.74</v>
      </c>
      <c r="BU78" s="128">
        <v>1.74</v>
      </c>
      <c r="BV78" s="128">
        <v>1.74</v>
      </c>
      <c r="BW78" s="128">
        <v>1.74</v>
      </c>
      <c r="BX78" s="128">
        <v>1.75</v>
      </c>
      <c r="BY78" s="128">
        <v>1.75</v>
      </c>
      <c r="BZ78" s="128">
        <v>1.75</v>
      </c>
      <c r="CA78" s="128">
        <v>1.75</v>
      </c>
      <c r="CB78" s="128">
        <v>1.75</v>
      </c>
      <c r="CC78" s="128">
        <v>1.75</v>
      </c>
      <c r="CD78" s="128">
        <v>1.75</v>
      </c>
      <c r="CE78" s="128">
        <v>1.75</v>
      </c>
      <c r="CF78" s="128">
        <v>1.75</v>
      </c>
      <c r="CG78" s="128">
        <v>1.75</v>
      </c>
      <c r="CH78" s="128">
        <v>1.75</v>
      </c>
      <c r="CI78" s="128">
        <v>1.75</v>
      </c>
      <c r="CJ78" s="128">
        <v>1.75</v>
      </c>
      <c r="CK78" s="128">
        <v>1.75</v>
      </c>
      <c r="CL78" s="128">
        <v>1.75</v>
      </c>
      <c r="CM78" s="128">
        <v>1.75</v>
      </c>
      <c r="CN78" s="128">
        <v>1.75</v>
      </c>
      <c r="CO78" s="128">
        <v>1.75</v>
      </c>
      <c r="CP78" s="128">
        <v>1.75</v>
      </c>
      <c r="CQ78" s="128">
        <v>1.75</v>
      </c>
      <c r="CR78" s="128">
        <v>1.75</v>
      </c>
      <c r="CS78" s="128">
        <v>1.75</v>
      </c>
      <c r="CT78" s="128">
        <v>1.75</v>
      </c>
      <c r="CU78" s="128">
        <v>1.75</v>
      </c>
      <c r="CV78" s="128">
        <v>1.75</v>
      </c>
      <c r="CW78" s="128">
        <v>1.75</v>
      </c>
      <c r="CX78" s="128">
        <v>1.75</v>
      </c>
      <c r="CZ78" s="126">
        <f>SUMIF(MatrixF3[[1]:[2]],MatrixF3[[#This Row],[Столбец1]])/MatrixF3[[#This Row],[Столбец1]]</f>
        <v>101</v>
      </c>
    </row>
    <row r="79" spans="1:104" ht="21" customHeight="1" x14ac:dyDescent="0.25">
      <c r="A79" s="127">
        <v>1.76</v>
      </c>
      <c r="B79" s="128">
        <v>1.76</v>
      </c>
      <c r="C79" s="128">
        <v>1.76</v>
      </c>
      <c r="D79" s="128">
        <v>1.76</v>
      </c>
      <c r="E79" s="128">
        <v>1.76</v>
      </c>
      <c r="F79" s="128">
        <v>1.76</v>
      </c>
      <c r="G79" s="128">
        <v>1.76</v>
      </c>
      <c r="H79" s="128">
        <v>1.76</v>
      </c>
      <c r="I79" s="128">
        <v>1.76</v>
      </c>
      <c r="J79" s="128">
        <v>1.76</v>
      </c>
      <c r="K79" s="128">
        <v>1.76</v>
      </c>
      <c r="L79" s="128">
        <v>1.76</v>
      </c>
      <c r="M79" s="128">
        <v>1.76</v>
      </c>
      <c r="N79" s="128">
        <v>1.76</v>
      </c>
      <c r="O79" s="128">
        <v>1.76</v>
      </c>
      <c r="P79" s="128">
        <v>1.76</v>
      </c>
      <c r="Q79" s="128">
        <v>1.76</v>
      </c>
      <c r="R79" s="128">
        <v>1.76</v>
      </c>
      <c r="S79" s="128">
        <v>1.76</v>
      </c>
      <c r="T79" s="128">
        <v>1.76</v>
      </c>
      <c r="U79" s="128">
        <v>1.76</v>
      </c>
      <c r="V79" s="128">
        <v>1.76</v>
      </c>
      <c r="W79" s="128">
        <v>1.76</v>
      </c>
      <c r="X79" s="128">
        <v>1.76</v>
      </c>
      <c r="Y79" s="128">
        <v>1.76</v>
      </c>
      <c r="Z79" s="128">
        <v>1.76</v>
      </c>
      <c r="AA79" s="128">
        <v>1.76</v>
      </c>
      <c r="AB79" s="128">
        <v>1.76</v>
      </c>
      <c r="AC79" s="128">
        <v>1.75</v>
      </c>
      <c r="AD79" s="128">
        <v>1.75</v>
      </c>
      <c r="AE79" s="128">
        <v>1.75</v>
      </c>
      <c r="AF79" s="128">
        <v>1.74</v>
      </c>
      <c r="AG79" s="128">
        <v>1.74</v>
      </c>
      <c r="AH79" s="128">
        <v>1.74</v>
      </c>
      <c r="AI79" s="128">
        <v>1.74</v>
      </c>
      <c r="AJ79" s="128">
        <v>1.73</v>
      </c>
      <c r="AK79" s="128">
        <v>1.73</v>
      </c>
      <c r="AL79" s="128">
        <v>1.73</v>
      </c>
      <c r="AM79" s="128">
        <v>1.72</v>
      </c>
      <c r="AN79" s="128">
        <v>1.72</v>
      </c>
      <c r="AO79" s="128">
        <v>1.72</v>
      </c>
      <c r="AP79" s="128">
        <v>1.71</v>
      </c>
      <c r="AQ79" s="128">
        <v>1.71</v>
      </c>
      <c r="AR79" s="128">
        <v>1.71</v>
      </c>
      <c r="AS79" s="128">
        <v>1.7</v>
      </c>
      <c r="AT79" s="128">
        <v>1.7</v>
      </c>
      <c r="AU79" s="128">
        <v>1.7</v>
      </c>
      <c r="AV79" s="128">
        <v>1.69</v>
      </c>
      <c r="AW79" s="128">
        <v>1.69</v>
      </c>
      <c r="AX79" s="128">
        <v>1.68</v>
      </c>
      <c r="AY79" s="128">
        <v>1.68</v>
      </c>
      <c r="AZ79" s="128">
        <v>1.68</v>
      </c>
      <c r="BA79" s="128">
        <v>1.68</v>
      </c>
      <c r="BB79" s="128">
        <v>1.68</v>
      </c>
      <c r="BC79" s="128">
        <v>1.69</v>
      </c>
      <c r="BD79" s="128">
        <v>1.69</v>
      </c>
      <c r="BE79" s="128">
        <v>1.7</v>
      </c>
      <c r="BF79" s="128">
        <v>1.7</v>
      </c>
      <c r="BG79" s="128">
        <v>1.7</v>
      </c>
      <c r="BH79" s="128">
        <v>1.71</v>
      </c>
      <c r="BI79" s="128">
        <v>1.71</v>
      </c>
      <c r="BJ79" s="128">
        <v>1.71</v>
      </c>
      <c r="BK79" s="128">
        <v>1.72</v>
      </c>
      <c r="BL79" s="128">
        <v>1.72</v>
      </c>
      <c r="BM79" s="128">
        <v>1.72</v>
      </c>
      <c r="BN79" s="128">
        <v>1.73</v>
      </c>
      <c r="BO79" s="128">
        <v>1.73</v>
      </c>
      <c r="BP79" s="128">
        <v>1.73</v>
      </c>
      <c r="BQ79" s="128">
        <v>1.74</v>
      </c>
      <c r="BR79" s="128">
        <v>1.74</v>
      </c>
      <c r="BS79" s="128">
        <v>1.74</v>
      </c>
      <c r="BT79" s="128">
        <v>1.74</v>
      </c>
      <c r="BU79" s="128">
        <v>1.75</v>
      </c>
      <c r="BV79" s="128">
        <v>1.75</v>
      </c>
      <c r="BW79" s="128">
        <v>1.75</v>
      </c>
      <c r="BX79" s="128">
        <v>1.76</v>
      </c>
      <c r="BY79" s="128">
        <v>1.76</v>
      </c>
      <c r="BZ79" s="128">
        <v>1.76</v>
      </c>
      <c r="CA79" s="128">
        <v>1.76</v>
      </c>
      <c r="CB79" s="128">
        <v>1.76</v>
      </c>
      <c r="CC79" s="128">
        <v>1.76</v>
      </c>
      <c r="CD79" s="128">
        <v>1.76</v>
      </c>
      <c r="CE79" s="128">
        <v>1.76</v>
      </c>
      <c r="CF79" s="128">
        <v>1.76</v>
      </c>
      <c r="CG79" s="128">
        <v>1.76</v>
      </c>
      <c r="CH79" s="128">
        <v>1.76</v>
      </c>
      <c r="CI79" s="128">
        <v>1.76</v>
      </c>
      <c r="CJ79" s="128">
        <v>1.76</v>
      </c>
      <c r="CK79" s="128">
        <v>1.76</v>
      </c>
      <c r="CL79" s="128">
        <v>1.76</v>
      </c>
      <c r="CM79" s="128">
        <v>1.76</v>
      </c>
      <c r="CN79" s="128">
        <v>1.76</v>
      </c>
      <c r="CO79" s="128">
        <v>1.76</v>
      </c>
      <c r="CP79" s="128">
        <v>1.76</v>
      </c>
      <c r="CQ79" s="128">
        <v>1.76</v>
      </c>
      <c r="CR79" s="128">
        <v>1.76</v>
      </c>
      <c r="CS79" s="128">
        <v>1.76</v>
      </c>
      <c r="CT79" s="128">
        <v>1.76</v>
      </c>
      <c r="CU79" s="128">
        <v>1.76</v>
      </c>
      <c r="CV79" s="128">
        <v>1.76</v>
      </c>
      <c r="CW79" s="128">
        <v>1.76</v>
      </c>
      <c r="CX79" s="128">
        <v>1.76</v>
      </c>
      <c r="CZ79" s="126">
        <f>SUMIF(MatrixF3[[1]:[2]],MatrixF3[[#This Row],[Столбец1]])/MatrixF3[[#This Row],[Столбец1]]</f>
        <v>108.9999999999999</v>
      </c>
    </row>
    <row r="80" spans="1:104" ht="21" customHeight="1" x14ac:dyDescent="0.25">
      <c r="A80" s="127">
        <v>1.77</v>
      </c>
      <c r="B80" s="128">
        <v>1.77</v>
      </c>
      <c r="C80" s="128">
        <v>1.77</v>
      </c>
      <c r="D80" s="128">
        <v>1.77</v>
      </c>
      <c r="E80" s="128">
        <v>1.77</v>
      </c>
      <c r="F80" s="128">
        <v>1.77</v>
      </c>
      <c r="G80" s="128">
        <v>1.77</v>
      </c>
      <c r="H80" s="128">
        <v>1.77</v>
      </c>
      <c r="I80" s="128">
        <v>1.77</v>
      </c>
      <c r="J80" s="128">
        <v>1.77</v>
      </c>
      <c r="K80" s="128">
        <v>1.77</v>
      </c>
      <c r="L80" s="128">
        <v>1.77</v>
      </c>
      <c r="M80" s="128">
        <v>1.77</v>
      </c>
      <c r="N80" s="128">
        <v>1.77</v>
      </c>
      <c r="O80" s="128">
        <v>1.77</v>
      </c>
      <c r="P80" s="128">
        <v>1.77</v>
      </c>
      <c r="Q80" s="128">
        <v>1.77</v>
      </c>
      <c r="R80" s="128">
        <v>1.77</v>
      </c>
      <c r="S80" s="128">
        <v>1.77</v>
      </c>
      <c r="T80" s="128">
        <v>1.77</v>
      </c>
      <c r="U80" s="128">
        <v>1.77</v>
      </c>
      <c r="V80" s="128">
        <v>1.77</v>
      </c>
      <c r="W80" s="128">
        <v>1.77</v>
      </c>
      <c r="X80" s="128">
        <v>1.77</v>
      </c>
      <c r="Y80" s="128">
        <v>1.77</v>
      </c>
      <c r="Z80" s="128">
        <v>1.77</v>
      </c>
      <c r="AA80" s="128">
        <v>1.77</v>
      </c>
      <c r="AB80" s="128">
        <v>1.76</v>
      </c>
      <c r="AC80" s="128">
        <v>1.76</v>
      </c>
      <c r="AD80" s="128">
        <v>1.76</v>
      </c>
      <c r="AE80" s="128">
        <v>1.76</v>
      </c>
      <c r="AF80" s="128">
        <v>1.75</v>
      </c>
      <c r="AG80" s="128">
        <v>1.75</v>
      </c>
      <c r="AH80" s="128">
        <v>1.75</v>
      </c>
      <c r="AI80" s="128">
        <v>1.74</v>
      </c>
      <c r="AJ80" s="128">
        <v>1.74</v>
      </c>
      <c r="AK80" s="128">
        <v>1.74</v>
      </c>
      <c r="AL80" s="128">
        <v>1.74</v>
      </c>
      <c r="AM80" s="128">
        <v>1.73</v>
      </c>
      <c r="AN80" s="128">
        <v>1.73</v>
      </c>
      <c r="AO80" s="128">
        <v>1.73</v>
      </c>
      <c r="AP80" s="128">
        <v>1.72</v>
      </c>
      <c r="AQ80" s="128">
        <v>1.72</v>
      </c>
      <c r="AR80" s="128">
        <v>1.72</v>
      </c>
      <c r="AS80" s="128">
        <v>1.71</v>
      </c>
      <c r="AT80" s="128">
        <v>1.71</v>
      </c>
      <c r="AU80" s="128">
        <v>1.71</v>
      </c>
      <c r="AV80" s="128">
        <v>1.7</v>
      </c>
      <c r="AW80" s="128">
        <v>1.7</v>
      </c>
      <c r="AX80" s="128">
        <v>1.69</v>
      </c>
      <c r="AY80" s="128">
        <v>1.69</v>
      </c>
      <c r="AZ80" s="128">
        <v>1.68</v>
      </c>
      <c r="BA80" s="128">
        <v>1.69</v>
      </c>
      <c r="BB80" s="128">
        <v>1.69</v>
      </c>
      <c r="BC80" s="128">
        <v>1.7</v>
      </c>
      <c r="BD80" s="128">
        <v>1.7</v>
      </c>
      <c r="BE80" s="128">
        <v>1.71</v>
      </c>
      <c r="BF80" s="128">
        <v>1.71</v>
      </c>
      <c r="BG80" s="128">
        <v>1.71</v>
      </c>
      <c r="BH80" s="128">
        <v>1.72</v>
      </c>
      <c r="BI80" s="128">
        <v>1.72</v>
      </c>
      <c r="BJ80" s="128">
        <v>1.72</v>
      </c>
      <c r="BK80" s="128">
        <v>1.73</v>
      </c>
      <c r="BL80" s="128">
        <v>1.73</v>
      </c>
      <c r="BM80" s="128">
        <v>1.73</v>
      </c>
      <c r="BN80" s="128">
        <v>1.74</v>
      </c>
      <c r="BO80" s="128">
        <v>1.74</v>
      </c>
      <c r="BP80" s="128">
        <v>1.74</v>
      </c>
      <c r="BQ80" s="128">
        <v>1.74</v>
      </c>
      <c r="BR80" s="128">
        <v>1.75</v>
      </c>
      <c r="BS80" s="128">
        <v>1.75</v>
      </c>
      <c r="BT80" s="128">
        <v>1.75</v>
      </c>
      <c r="BU80" s="128">
        <v>1.76</v>
      </c>
      <c r="BV80" s="128">
        <v>1.76</v>
      </c>
      <c r="BW80" s="128">
        <v>1.76</v>
      </c>
      <c r="BX80" s="128">
        <v>1.76</v>
      </c>
      <c r="BY80" s="128">
        <v>1.77</v>
      </c>
      <c r="BZ80" s="128">
        <v>1.77</v>
      </c>
      <c r="CA80" s="128">
        <v>1.77</v>
      </c>
      <c r="CB80" s="128">
        <v>1.77</v>
      </c>
      <c r="CC80" s="128">
        <v>1.77</v>
      </c>
      <c r="CD80" s="128">
        <v>1.77</v>
      </c>
      <c r="CE80" s="128">
        <v>1.77</v>
      </c>
      <c r="CF80" s="128">
        <v>1.77</v>
      </c>
      <c r="CG80" s="128">
        <v>1.77</v>
      </c>
      <c r="CH80" s="128">
        <v>1.77</v>
      </c>
      <c r="CI80" s="128">
        <v>1.77</v>
      </c>
      <c r="CJ80" s="128">
        <v>1.77</v>
      </c>
      <c r="CK80" s="128">
        <v>1.77</v>
      </c>
      <c r="CL80" s="128">
        <v>1.77</v>
      </c>
      <c r="CM80" s="128">
        <v>1.77</v>
      </c>
      <c r="CN80" s="128">
        <v>1.77</v>
      </c>
      <c r="CO80" s="128">
        <v>1.77</v>
      </c>
      <c r="CP80" s="128">
        <v>1.77</v>
      </c>
      <c r="CQ80" s="128">
        <v>1.77</v>
      </c>
      <c r="CR80" s="128">
        <v>1.77</v>
      </c>
      <c r="CS80" s="128">
        <v>1.77</v>
      </c>
      <c r="CT80" s="128">
        <v>1.77</v>
      </c>
      <c r="CU80" s="128">
        <v>1.77</v>
      </c>
      <c r="CV80" s="128">
        <v>1.77</v>
      </c>
      <c r="CW80" s="128">
        <v>1.77</v>
      </c>
      <c r="CX80" s="128">
        <v>1.77</v>
      </c>
      <c r="CZ80" s="126">
        <f>SUMIF(MatrixF3[[1]:[2]],MatrixF3[[#This Row],[Столбец1]])/MatrixF3[[#This Row],[Столбец1]]</f>
        <v>103.00000000000013</v>
      </c>
    </row>
    <row r="81" spans="1:104" ht="21" customHeight="1" x14ac:dyDescent="0.25">
      <c r="A81" s="127">
        <v>1.78</v>
      </c>
      <c r="B81" s="128">
        <v>1.78</v>
      </c>
      <c r="C81" s="128">
        <v>1.78</v>
      </c>
      <c r="D81" s="128">
        <v>1.78</v>
      </c>
      <c r="E81" s="128">
        <v>1.78</v>
      </c>
      <c r="F81" s="128">
        <v>1.78</v>
      </c>
      <c r="G81" s="128">
        <v>1.78</v>
      </c>
      <c r="H81" s="128">
        <v>1.78</v>
      </c>
      <c r="I81" s="128">
        <v>1.78</v>
      </c>
      <c r="J81" s="128">
        <v>1.78</v>
      </c>
      <c r="K81" s="128">
        <v>1.78</v>
      </c>
      <c r="L81" s="128">
        <v>1.78</v>
      </c>
      <c r="M81" s="128">
        <v>1.78</v>
      </c>
      <c r="N81" s="128">
        <v>1.78</v>
      </c>
      <c r="O81" s="128">
        <v>1.78</v>
      </c>
      <c r="P81" s="128">
        <v>1.78</v>
      </c>
      <c r="Q81" s="128">
        <v>1.78</v>
      </c>
      <c r="R81" s="128">
        <v>1.78</v>
      </c>
      <c r="S81" s="128">
        <v>1.78</v>
      </c>
      <c r="T81" s="128">
        <v>1.78</v>
      </c>
      <c r="U81" s="128">
        <v>1.78</v>
      </c>
      <c r="V81" s="128">
        <v>1.78</v>
      </c>
      <c r="W81" s="128">
        <v>1.78</v>
      </c>
      <c r="X81" s="128">
        <v>1.78</v>
      </c>
      <c r="Y81" s="128">
        <v>1.78</v>
      </c>
      <c r="Z81" s="128">
        <v>1.78</v>
      </c>
      <c r="AA81" s="128">
        <v>1.77</v>
      </c>
      <c r="AB81" s="128">
        <v>1.77</v>
      </c>
      <c r="AC81" s="128">
        <v>1.77</v>
      </c>
      <c r="AD81" s="128">
        <v>1.77</v>
      </c>
      <c r="AE81" s="128">
        <v>1.76</v>
      </c>
      <c r="AF81" s="128">
        <v>1.76</v>
      </c>
      <c r="AG81" s="128">
        <v>1.76</v>
      </c>
      <c r="AH81" s="128">
        <v>1.76</v>
      </c>
      <c r="AI81" s="128">
        <v>1.75</v>
      </c>
      <c r="AJ81" s="128">
        <v>1.75</v>
      </c>
      <c r="AK81" s="128">
        <v>1.75</v>
      </c>
      <c r="AL81" s="128">
        <v>1.74</v>
      </c>
      <c r="AM81" s="128">
        <v>1.74</v>
      </c>
      <c r="AN81" s="128">
        <v>1.74</v>
      </c>
      <c r="AO81" s="128">
        <v>1.73</v>
      </c>
      <c r="AP81" s="128">
        <v>1.73</v>
      </c>
      <c r="AQ81" s="128">
        <v>1.73</v>
      </c>
      <c r="AR81" s="128">
        <v>1.73</v>
      </c>
      <c r="AS81" s="128">
        <v>1.72</v>
      </c>
      <c r="AT81" s="128">
        <v>1.72</v>
      </c>
      <c r="AU81" s="128">
        <v>1.71</v>
      </c>
      <c r="AV81" s="128">
        <v>1.71</v>
      </c>
      <c r="AW81" s="128">
        <v>1.71</v>
      </c>
      <c r="AX81" s="128">
        <v>1.7</v>
      </c>
      <c r="AY81" s="128">
        <v>1.7</v>
      </c>
      <c r="AZ81" s="128">
        <v>1.69</v>
      </c>
      <c r="BA81" s="128">
        <v>1.7</v>
      </c>
      <c r="BB81" s="128">
        <v>1.7</v>
      </c>
      <c r="BC81" s="128">
        <v>1.71</v>
      </c>
      <c r="BD81" s="128">
        <v>1.71</v>
      </c>
      <c r="BE81" s="128">
        <v>1.71</v>
      </c>
      <c r="BF81" s="128">
        <v>1.72</v>
      </c>
      <c r="BG81" s="128">
        <v>1.72</v>
      </c>
      <c r="BH81" s="128">
        <v>1.73</v>
      </c>
      <c r="BI81" s="128">
        <v>1.73</v>
      </c>
      <c r="BJ81" s="128">
        <v>1.73</v>
      </c>
      <c r="BK81" s="128">
        <v>1.73</v>
      </c>
      <c r="BL81" s="128">
        <v>1.74</v>
      </c>
      <c r="BM81" s="128">
        <v>1.74</v>
      </c>
      <c r="BN81" s="128">
        <v>1.74</v>
      </c>
      <c r="BO81" s="128">
        <v>1.75</v>
      </c>
      <c r="BP81" s="128">
        <v>1.75</v>
      </c>
      <c r="BQ81" s="128">
        <v>1.75</v>
      </c>
      <c r="BR81" s="128">
        <v>1.76</v>
      </c>
      <c r="BS81" s="128">
        <v>1.76</v>
      </c>
      <c r="BT81" s="128">
        <v>1.76</v>
      </c>
      <c r="BU81" s="128">
        <v>1.76</v>
      </c>
      <c r="BV81" s="128">
        <v>1.77</v>
      </c>
      <c r="BW81" s="128">
        <v>1.77</v>
      </c>
      <c r="BX81" s="128">
        <v>1.77</v>
      </c>
      <c r="BY81" s="128">
        <v>1.77</v>
      </c>
      <c r="BZ81" s="128">
        <v>1.78</v>
      </c>
      <c r="CA81" s="128">
        <v>1.78</v>
      </c>
      <c r="CB81" s="128">
        <v>1.78</v>
      </c>
      <c r="CC81" s="128">
        <v>1.78</v>
      </c>
      <c r="CD81" s="128">
        <v>1.78</v>
      </c>
      <c r="CE81" s="128">
        <v>1.78</v>
      </c>
      <c r="CF81" s="128">
        <v>1.78</v>
      </c>
      <c r="CG81" s="128">
        <v>1.78</v>
      </c>
      <c r="CH81" s="128">
        <v>1.78</v>
      </c>
      <c r="CI81" s="128">
        <v>1.78</v>
      </c>
      <c r="CJ81" s="128">
        <v>1.78</v>
      </c>
      <c r="CK81" s="128">
        <v>1.78</v>
      </c>
      <c r="CL81" s="128">
        <v>1.78</v>
      </c>
      <c r="CM81" s="128">
        <v>1.78</v>
      </c>
      <c r="CN81" s="128">
        <v>1.78</v>
      </c>
      <c r="CO81" s="128">
        <v>1.78</v>
      </c>
      <c r="CP81" s="128">
        <v>1.78</v>
      </c>
      <c r="CQ81" s="128">
        <v>1.78</v>
      </c>
      <c r="CR81" s="128">
        <v>1.78</v>
      </c>
      <c r="CS81" s="128">
        <v>1.78</v>
      </c>
      <c r="CT81" s="128">
        <v>1.78</v>
      </c>
      <c r="CU81" s="128">
        <v>1.78</v>
      </c>
      <c r="CV81" s="128">
        <v>1.78</v>
      </c>
      <c r="CW81" s="128">
        <v>1.78</v>
      </c>
      <c r="CX81" s="128">
        <v>1.78</v>
      </c>
      <c r="CZ81" s="126">
        <f>SUMIF(MatrixF3[[1]:[2]],MatrixF3[[#This Row],[Столбец1]])/MatrixF3[[#This Row],[Столбец1]]</f>
        <v>107.00000000000006</v>
      </c>
    </row>
    <row r="82" spans="1:104" ht="21" customHeight="1" x14ac:dyDescent="0.25">
      <c r="A82" s="127">
        <v>1.79</v>
      </c>
      <c r="B82" s="128">
        <v>1.79</v>
      </c>
      <c r="C82" s="128">
        <v>1.79</v>
      </c>
      <c r="D82" s="128">
        <v>1.79</v>
      </c>
      <c r="E82" s="128">
        <v>1.79</v>
      </c>
      <c r="F82" s="128">
        <v>1.79</v>
      </c>
      <c r="G82" s="128">
        <v>1.79</v>
      </c>
      <c r="H82" s="128">
        <v>1.79</v>
      </c>
      <c r="I82" s="128">
        <v>1.79</v>
      </c>
      <c r="J82" s="128">
        <v>1.79</v>
      </c>
      <c r="K82" s="128">
        <v>1.79</v>
      </c>
      <c r="L82" s="128">
        <v>1.79</v>
      </c>
      <c r="M82" s="128">
        <v>1.79</v>
      </c>
      <c r="N82" s="128">
        <v>1.79</v>
      </c>
      <c r="O82" s="128">
        <v>1.79</v>
      </c>
      <c r="P82" s="128">
        <v>1.79</v>
      </c>
      <c r="Q82" s="128">
        <v>1.79</v>
      </c>
      <c r="R82" s="128">
        <v>1.79</v>
      </c>
      <c r="S82" s="128">
        <v>1.79</v>
      </c>
      <c r="T82" s="128">
        <v>1.79</v>
      </c>
      <c r="U82" s="128">
        <v>1.79</v>
      </c>
      <c r="V82" s="128">
        <v>1.79</v>
      </c>
      <c r="W82" s="128">
        <v>1.79</v>
      </c>
      <c r="X82" s="128">
        <v>1.79</v>
      </c>
      <c r="Y82" s="128">
        <v>1.79</v>
      </c>
      <c r="Z82" s="128">
        <v>1.78</v>
      </c>
      <c r="AA82" s="128">
        <v>1.78</v>
      </c>
      <c r="AB82" s="128">
        <v>1.78</v>
      </c>
      <c r="AC82" s="128">
        <v>1.78</v>
      </c>
      <c r="AD82" s="128">
        <v>1.77</v>
      </c>
      <c r="AE82" s="128">
        <v>1.77</v>
      </c>
      <c r="AF82" s="128">
        <v>1.77</v>
      </c>
      <c r="AG82" s="128">
        <v>1.77</v>
      </c>
      <c r="AH82" s="128">
        <v>1.76</v>
      </c>
      <c r="AI82" s="128">
        <v>1.76</v>
      </c>
      <c r="AJ82" s="128">
        <v>1.76</v>
      </c>
      <c r="AK82" s="128">
        <v>1.76</v>
      </c>
      <c r="AL82" s="128">
        <v>1.75</v>
      </c>
      <c r="AM82" s="128">
        <v>1.75</v>
      </c>
      <c r="AN82" s="128">
        <v>1.75</v>
      </c>
      <c r="AO82" s="128">
        <v>1.74</v>
      </c>
      <c r="AP82" s="128">
        <v>1.74</v>
      </c>
      <c r="AQ82" s="128">
        <v>1.74</v>
      </c>
      <c r="AR82" s="128">
        <v>1.73</v>
      </c>
      <c r="AS82" s="128">
        <v>1.73</v>
      </c>
      <c r="AT82" s="128">
        <v>1.73</v>
      </c>
      <c r="AU82" s="128">
        <v>1.72</v>
      </c>
      <c r="AV82" s="128">
        <v>1.72</v>
      </c>
      <c r="AW82" s="128">
        <v>1.72</v>
      </c>
      <c r="AX82" s="128">
        <v>1.71</v>
      </c>
      <c r="AY82" s="128">
        <v>1.71</v>
      </c>
      <c r="AZ82" s="128">
        <v>1.7</v>
      </c>
      <c r="BA82" s="128">
        <v>1.71</v>
      </c>
      <c r="BB82" s="128">
        <v>1.71</v>
      </c>
      <c r="BC82" s="128">
        <v>1.72</v>
      </c>
      <c r="BD82" s="128">
        <v>1.72</v>
      </c>
      <c r="BE82" s="128">
        <v>1.72</v>
      </c>
      <c r="BF82" s="128">
        <v>1.73</v>
      </c>
      <c r="BG82" s="128">
        <v>1.73</v>
      </c>
      <c r="BH82" s="128">
        <v>1.73</v>
      </c>
      <c r="BI82" s="128">
        <v>1.74</v>
      </c>
      <c r="BJ82" s="128">
        <v>1.74</v>
      </c>
      <c r="BK82" s="128">
        <v>1.74</v>
      </c>
      <c r="BL82" s="128">
        <v>1.75</v>
      </c>
      <c r="BM82" s="128">
        <v>1.75</v>
      </c>
      <c r="BN82" s="128">
        <v>1.75</v>
      </c>
      <c r="BO82" s="128">
        <v>1.76</v>
      </c>
      <c r="BP82" s="128">
        <v>1.76</v>
      </c>
      <c r="BQ82" s="128">
        <v>1.76</v>
      </c>
      <c r="BR82" s="128">
        <v>1.76</v>
      </c>
      <c r="BS82" s="128">
        <v>1.77</v>
      </c>
      <c r="BT82" s="128">
        <v>1.77</v>
      </c>
      <c r="BU82" s="128">
        <v>1.77</v>
      </c>
      <c r="BV82" s="128">
        <v>1.77</v>
      </c>
      <c r="BW82" s="128">
        <v>1.78</v>
      </c>
      <c r="BX82" s="128">
        <v>1.78</v>
      </c>
      <c r="BY82" s="128">
        <v>1.78</v>
      </c>
      <c r="BZ82" s="128">
        <v>1.78</v>
      </c>
      <c r="CA82" s="128">
        <v>1.79</v>
      </c>
      <c r="CB82" s="128">
        <v>1.79</v>
      </c>
      <c r="CC82" s="128">
        <v>1.79</v>
      </c>
      <c r="CD82" s="128">
        <v>1.79</v>
      </c>
      <c r="CE82" s="128">
        <v>1.79</v>
      </c>
      <c r="CF82" s="128">
        <v>1.79</v>
      </c>
      <c r="CG82" s="128">
        <v>1.79</v>
      </c>
      <c r="CH82" s="128">
        <v>1.79</v>
      </c>
      <c r="CI82" s="128">
        <v>1.79</v>
      </c>
      <c r="CJ82" s="128">
        <v>1.79</v>
      </c>
      <c r="CK82" s="128">
        <v>1.79</v>
      </c>
      <c r="CL82" s="128">
        <v>1.79</v>
      </c>
      <c r="CM82" s="128">
        <v>1.79</v>
      </c>
      <c r="CN82" s="128">
        <v>1.79</v>
      </c>
      <c r="CO82" s="128">
        <v>1.79</v>
      </c>
      <c r="CP82" s="128">
        <v>1.79</v>
      </c>
      <c r="CQ82" s="128">
        <v>1.79</v>
      </c>
      <c r="CR82" s="128">
        <v>1.79</v>
      </c>
      <c r="CS82" s="128">
        <v>1.79</v>
      </c>
      <c r="CT82" s="128">
        <v>1.79</v>
      </c>
      <c r="CU82" s="128">
        <v>1.79</v>
      </c>
      <c r="CV82" s="128">
        <v>1.79</v>
      </c>
      <c r="CW82" s="128">
        <v>1.79</v>
      </c>
      <c r="CX82" s="128">
        <v>1.79</v>
      </c>
      <c r="CZ82" s="126">
        <f>SUMIF(MatrixF3[[1]:[2]],MatrixF3[[#This Row],[Столбец1]])/MatrixF3[[#This Row],[Столбец1]]</f>
        <v>100.99999999999997</v>
      </c>
    </row>
    <row r="83" spans="1:104" ht="21" customHeight="1" x14ac:dyDescent="0.25">
      <c r="A83" s="127">
        <v>1.8</v>
      </c>
      <c r="B83" s="128">
        <v>1.8</v>
      </c>
      <c r="C83" s="128">
        <v>1.8</v>
      </c>
      <c r="D83" s="128">
        <v>1.8</v>
      </c>
      <c r="E83" s="128">
        <v>1.8</v>
      </c>
      <c r="F83" s="128">
        <v>1.8</v>
      </c>
      <c r="G83" s="128">
        <v>1.8</v>
      </c>
      <c r="H83" s="128">
        <v>1.8</v>
      </c>
      <c r="I83" s="128">
        <v>1.8</v>
      </c>
      <c r="J83" s="128">
        <v>1.8</v>
      </c>
      <c r="K83" s="128">
        <v>1.8</v>
      </c>
      <c r="L83" s="128">
        <v>1.8</v>
      </c>
      <c r="M83" s="128">
        <v>1.8</v>
      </c>
      <c r="N83" s="128">
        <v>1.8</v>
      </c>
      <c r="O83" s="128">
        <v>1.8</v>
      </c>
      <c r="P83" s="128">
        <v>1.8</v>
      </c>
      <c r="Q83" s="128">
        <v>1.8</v>
      </c>
      <c r="R83" s="128">
        <v>1.8</v>
      </c>
      <c r="S83" s="128">
        <v>1.8</v>
      </c>
      <c r="T83" s="128">
        <v>1.8</v>
      </c>
      <c r="U83" s="128">
        <v>1.8</v>
      </c>
      <c r="V83" s="128">
        <v>1.8</v>
      </c>
      <c r="W83" s="128">
        <v>1.8</v>
      </c>
      <c r="X83" s="128">
        <v>1.8</v>
      </c>
      <c r="Y83" s="128">
        <v>1.79</v>
      </c>
      <c r="Z83" s="128">
        <v>1.79</v>
      </c>
      <c r="AA83" s="128">
        <v>1.79</v>
      </c>
      <c r="AB83" s="128">
        <v>1.79</v>
      </c>
      <c r="AC83" s="128">
        <v>1.78</v>
      </c>
      <c r="AD83" s="128">
        <v>1.78</v>
      </c>
      <c r="AE83" s="128">
        <v>1.78</v>
      </c>
      <c r="AF83" s="128">
        <v>1.78</v>
      </c>
      <c r="AG83" s="128">
        <v>1.78</v>
      </c>
      <c r="AH83" s="128">
        <v>1.77</v>
      </c>
      <c r="AI83" s="128">
        <v>1.77</v>
      </c>
      <c r="AJ83" s="128">
        <v>1.77</v>
      </c>
      <c r="AK83" s="128">
        <v>1.76</v>
      </c>
      <c r="AL83" s="128">
        <v>1.76</v>
      </c>
      <c r="AM83" s="128">
        <v>1.76</v>
      </c>
      <c r="AN83" s="128">
        <v>1.76</v>
      </c>
      <c r="AO83" s="128">
        <v>1.75</v>
      </c>
      <c r="AP83" s="128">
        <v>1.75</v>
      </c>
      <c r="AQ83" s="128">
        <v>1.75</v>
      </c>
      <c r="AR83" s="128">
        <v>1.74</v>
      </c>
      <c r="AS83" s="128">
        <v>1.74</v>
      </c>
      <c r="AT83" s="128">
        <v>1.74</v>
      </c>
      <c r="AU83" s="128">
        <v>1.73</v>
      </c>
      <c r="AV83" s="128">
        <v>1.73</v>
      </c>
      <c r="AW83" s="128">
        <v>1.73</v>
      </c>
      <c r="AX83" s="128">
        <v>1.72</v>
      </c>
      <c r="AY83" s="128">
        <v>1.72</v>
      </c>
      <c r="AZ83" s="128">
        <v>1.71</v>
      </c>
      <c r="BA83" s="128">
        <v>1.72</v>
      </c>
      <c r="BB83" s="128">
        <v>1.72</v>
      </c>
      <c r="BC83" s="128">
        <v>1.73</v>
      </c>
      <c r="BD83" s="128">
        <v>1.73</v>
      </c>
      <c r="BE83" s="128">
        <v>1.73</v>
      </c>
      <c r="BF83" s="128">
        <v>1.74</v>
      </c>
      <c r="BG83" s="128">
        <v>1.74</v>
      </c>
      <c r="BH83" s="128">
        <v>1.74</v>
      </c>
      <c r="BI83" s="128">
        <v>1.75</v>
      </c>
      <c r="BJ83" s="128">
        <v>1.75</v>
      </c>
      <c r="BK83" s="128">
        <v>1.75</v>
      </c>
      <c r="BL83" s="128">
        <v>1.76</v>
      </c>
      <c r="BM83" s="128">
        <v>1.76</v>
      </c>
      <c r="BN83" s="128">
        <v>1.76</v>
      </c>
      <c r="BO83" s="128">
        <v>1.76</v>
      </c>
      <c r="BP83" s="128">
        <v>1.77</v>
      </c>
      <c r="BQ83" s="128">
        <v>1.77</v>
      </c>
      <c r="BR83" s="128">
        <v>1.77</v>
      </c>
      <c r="BS83" s="128">
        <v>1.78</v>
      </c>
      <c r="BT83" s="128">
        <v>1.78</v>
      </c>
      <c r="BU83" s="128">
        <v>1.78</v>
      </c>
      <c r="BV83" s="128">
        <v>1.78</v>
      </c>
      <c r="BW83" s="128">
        <v>1.78</v>
      </c>
      <c r="BX83" s="128">
        <v>1.79</v>
      </c>
      <c r="BY83" s="128">
        <v>1.79</v>
      </c>
      <c r="BZ83" s="128">
        <v>1.79</v>
      </c>
      <c r="CA83" s="128">
        <v>1.79</v>
      </c>
      <c r="CB83" s="128">
        <v>1.8</v>
      </c>
      <c r="CC83" s="128">
        <v>1.8</v>
      </c>
      <c r="CD83" s="128">
        <v>1.8</v>
      </c>
      <c r="CE83" s="128">
        <v>1.8</v>
      </c>
      <c r="CF83" s="128">
        <v>1.8</v>
      </c>
      <c r="CG83" s="128">
        <v>1.8</v>
      </c>
      <c r="CH83" s="128">
        <v>1.8</v>
      </c>
      <c r="CI83" s="128">
        <v>1.8</v>
      </c>
      <c r="CJ83" s="128">
        <v>1.8</v>
      </c>
      <c r="CK83" s="128">
        <v>1.8</v>
      </c>
      <c r="CL83" s="128">
        <v>1.8</v>
      </c>
      <c r="CM83" s="128">
        <v>1.8</v>
      </c>
      <c r="CN83" s="128">
        <v>1.8</v>
      </c>
      <c r="CO83" s="128">
        <v>1.8</v>
      </c>
      <c r="CP83" s="128">
        <v>1.8</v>
      </c>
      <c r="CQ83" s="128">
        <v>1.8</v>
      </c>
      <c r="CR83" s="128">
        <v>1.8</v>
      </c>
      <c r="CS83" s="128">
        <v>1.8</v>
      </c>
      <c r="CT83" s="128">
        <v>1.8</v>
      </c>
      <c r="CU83" s="128">
        <v>1.8</v>
      </c>
      <c r="CV83" s="128">
        <v>1.8</v>
      </c>
      <c r="CW83" s="128">
        <v>1.8</v>
      </c>
      <c r="CX83" s="128">
        <v>1.8</v>
      </c>
      <c r="CZ83" s="126">
        <f>SUMIF(MatrixF3[[1]:[2]],MatrixF3[[#This Row],[Столбец1]])/MatrixF3[[#This Row],[Столбец1]]</f>
        <v>102.0000000000001</v>
      </c>
    </row>
    <row r="84" spans="1:104" ht="21" customHeight="1" x14ac:dyDescent="0.25">
      <c r="A84" s="127">
        <v>1.81</v>
      </c>
      <c r="B84" s="128">
        <v>1.81</v>
      </c>
      <c r="C84" s="128">
        <v>1.81</v>
      </c>
      <c r="D84" s="128">
        <v>1.81</v>
      </c>
      <c r="E84" s="128">
        <v>1.81</v>
      </c>
      <c r="F84" s="128">
        <v>1.81</v>
      </c>
      <c r="G84" s="128">
        <v>1.81</v>
      </c>
      <c r="H84" s="128">
        <v>1.81</v>
      </c>
      <c r="I84" s="128">
        <v>1.81</v>
      </c>
      <c r="J84" s="128">
        <v>1.81</v>
      </c>
      <c r="K84" s="128">
        <v>1.81</v>
      </c>
      <c r="L84" s="128">
        <v>1.81</v>
      </c>
      <c r="M84" s="128">
        <v>1.81</v>
      </c>
      <c r="N84" s="128">
        <v>1.81</v>
      </c>
      <c r="O84" s="128">
        <v>1.81</v>
      </c>
      <c r="P84" s="128">
        <v>1.81</v>
      </c>
      <c r="Q84" s="128">
        <v>1.81</v>
      </c>
      <c r="R84" s="128">
        <v>1.81</v>
      </c>
      <c r="S84" s="128">
        <v>1.81</v>
      </c>
      <c r="T84" s="128">
        <v>1.81</v>
      </c>
      <c r="U84" s="128">
        <v>1.81</v>
      </c>
      <c r="V84" s="128">
        <v>1.81</v>
      </c>
      <c r="W84" s="128">
        <v>1.81</v>
      </c>
      <c r="X84" s="128">
        <v>1.8</v>
      </c>
      <c r="Y84" s="128">
        <v>1.8</v>
      </c>
      <c r="Z84" s="128">
        <v>1.8</v>
      </c>
      <c r="AA84" s="128">
        <v>1.8</v>
      </c>
      <c r="AB84" s="128">
        <v>1.8</v>
      </c>
      <c r="AC84" s="128">
        <v>1.79</v>
      </c>
      <c r="AD84" s="128">
        <v>1.79</v>
      </c>
      <c r="AE84" s="128">
        <v>1.79</v>
      </c>
      <c r="AF84" s="128">
        <v>1.79</v>
      </c>
      <c r="AG84" s="128">
        <v>1.78</v>
      </c>
      <c r="AH84" s="128">
        <v>1.78</v>
      </c>
      <c r="AI84" s="128">
        <v>1.78</v>
      </c>
      <c r="AJ84" s="128">
        <v>1.78</v>
      </c>
      <c r="AK84" s="128">
        <v>1.77</v>
      </c>
      <c r="AL84" s="128">
        <v>1.77</v>
      </c>
      <c r="AM84" s="128">
        <v>1.77</v>
      </c>
      <c r="AN84" s="128">
        <v>1.77</v>
      </c>
      <c r="AO84" s="128">
        <v>1.76</v>
      </c>
      <c r="AP84" s="128">
        <v>1.76</v>
      </c>
      <c r="AQ84" s="128">
        <v>1.76</v>
      </c>
      <c r="AR84" s="128">
        <v>1.75</v>
      </c>
      <c r="AS84" s="128">
        <v>1.75</v>
      </c>
      <c r="AT84" s="128">
        <v>1.75</v>
      </c>
      <c r="AU84" s="128">
        <v>1.74</v>
      </c>
      <c r="AV84" s="128">
        <v>1.74</v>
      </c>
      <c r="AW84" s="128">
        <v>1.74</v>
      </c>
      <c r="AX84" s="128">
        <v>1.73</v>
      </c>
      <c r="AY84" s="128">
        <v>1.73</v>
      </c>
      <c r="AZ84" s="128">
        <v>1.72</v>
      </c>
      <c r="BA84" s="128">
        <v>1.73</v>
      </c>
      <c r="BB84" s="128">
        <v>1.73</v>
      </c>
      <c r="BC84" s="128">
        <v>1.74</v>
      </c>
      <c r="BD84" s="128">
        <v>1.74</v>
      </c>
      <c r="BE84" s="128">
        <v>1.74</v>
      </c>
      <c r="BF84" s="128">
        <v>1.75</v>
      </c>
      <c r="BG84" s="128">
        <v>1.75</v>
      </c>
      <c r="BH84" s="128">
        <v>1.75</v>
      </c>
      <c r="BI84" s="128">
        <v>1.76</v>
      </c>
      <c r="BJ84" s="128">
        <v>1.76</v>
      </c>
      <c r="BK84" s="128">
        <v>1.76</v>
      </c>
      <c r="BL84" s="128">
        <v>1.77</v>
      </c>
      <c r="BM84" s="128">
        <v>1.77</v>
      </c>
      <c r="BN84" s="128">
        <v>1.77</v>
      </c>
      <c r="BO84" s="128">
        <v>1.77</v>
      </c>
      <c r="BP84" s="128">
        <v>1.78</v>
      </c>
      <c r="BQ84" s="128">
        <v>1.78</v>
      </c>
      <c r="BR84" s="128">
        <v>1.78</v>
      </c>
      <c r="BS84" s="128">
        <v>1.78</v>
      </c>
      <c r="BT84" s="128">
        <v>1.79</v>
      </c>
      <c r="BU84" s="128">
        <v>1.79</v>
      </c>
      <c r="BV84" s="128">
        <v>1.79</v>
      </c>
      <c r="BW84" s="128">
        <v>1.79</v>
      </c>
      <c r="BX84" s="128">
        <v>1.8</v>
      </c>
      <c r="BY84" s="128">
        <v>1.8</v>
      </c>
      <c r="BZ84" s="128">
        <v>1.8</v>
      </c>
      <c r="CA84" s="128">
        <v>1.8</v>
      </c>
      <c r="CB84" s="128">
        <v>1.8</v>
      </c>
      <c r="CC84" s="128">
        <v>1.81</v>
      </c>
      <c r="CD84" s="128">
        <v>1.81</v>
      </c>
      <c r="CE84" s="128">
        <v>1.81</v>
      </c>
      <c r="CF84" s="128">
        <v>1.81</v>
      </c>
      <c r="CG84" s="128">
        <v>1.81</v>
      </c>
      <c r="CH84" s="128">
        <v>1.81</v>
      </c>
      <c r="CI84" s="128">
        <v>1.81</v>
      </c>
      <c r="CJ84" s="128">
        <v>1.81</v>
      </c>
      <c r="CK84" s="128">
        <v>1.81</v>
      </c>
      <c r="CL84" s="128">
        <v>1.81</v>
      </c>
      <c r="CM84" s="128">
        <v>1.81</v>
      </c>
      <c r="CN84" s="128">
        <v>1.81</v>
      </c>
      <c r="CO84" s="128">
        <v>1.81</v>
      </c>
      <c r="CP84" s="128">
        <v>1.81</v>
      </c>
      <c r="CQ84" s="128">
        <v>1.81</v>
      </c>
      <c r="CR84" s="128">
        <v>1.81</v>
      </c>
      <c r="CS84" s="128">
        <v>1.81</v>
      </c>
      <c r="CT84" s="128">
        <v>1.81</v>
      </c>
      <c r="CU84" s="128">
        <v>1.81</v>
      </c>
      <c r="CV84" s="128">
        <v>1.81</v>
      </c>
      <c r="CW84" s="128">
        <v>1.81</v>
      </c>
      <c r="CX84" s="128">
        <v>1.81</v>
      </c>
      <c r="CZ84" s="126">
        <f>SUMIF(MatrixF3[[1]:[2]],MatrixF3[[#This Row],[Столбец1]])/MatrixF3[[#This Row],[Столбец1]]</f>
        <v>101.0000000000001</v>
      </c>
    </row>
    <row r="85" spans="1:104" ht="21" customHeight="1" x14ac:dyDescent="0.25">
      <c r="A85" s="127">
        <v>1.82</v>
      </c>
      <c r="B85" s="128">
        <v>1.82</v>
      </c>
      <c r="C85" s="128">
        <v>1.82</v>
      </c>
      <c r="D85" s="128">
        <v>1.82</v>
      </c>
      <c r="E85" s="128">
        <v>1.82</v>
      </c>
      <c r="F85" s="128">
        <v>1.82</v>
      </c>
      <c r="G85" s="128">
        <v>1.82</v>
      </c>
      <c r="H85" s="128">
        <v>1.82</v>
      </c>
      <c r="I85" s="128">
        <v>1.82</v>
      </c>
      <c r="J85" s="128">
        <v>1.82</v>
      </c>
      <c r="K85" s="128">
        <v>1.82</v>
      </c>
      <c r="L85" s="128">
        <v>1.82</v>
      </c>
      <c r="M85" s="128">
        <v>1.82</v>
      </c>
      <c r="N85" s="128">
        <v>1.82</v>
      </c>
      <c r="O85" s="128">
        <v>1.82</v>
      </c>
      <c r="P85" s="128">
        <v>1.82</v>
      </c>
      <c r="Q85" s="128">
        <v>1.82</v>
      </c>
      <c r="R85" s="128">
        <v>1.82</v>
      </c>
      <c r="S85" s="128">
        <v>1.82</v>
      </c>
      <c r="T85" s="128">
        <v>1.82</v>
      </c>
      <c r="U85" s="128">
        <v>1.82</v>
      </c>
      <c r="V85" s="128">
        <v>1.82</v>
      </c>
      <c r="W85" s="128">
        <v>1.81</v>
      </c>
      <c r="X85" s="128">
        <v>1.81</v>
      </c>
      <c r="Y85" s="128">
        <v>1.81</v>
      </c>
      <c r="Z85" s="128">
        <v>1.81</v>
      </c>
      <c r="AA85" s="128">
        <v>1.81</v>
      </c>
      <c r="AB85" s="128">
        <v>1.8</v>
      </c>
      <c r="AC85" s="128">
        <v>1.8</v>
      </c>
      <c r="AD85" s="128">
        <v>1.8</v>
      </c>
      <c r="AE85" s="128">
        <v>1.8</v>
      </c>
      <c r="AF85" s="128">
        <v>1.8</v>
      </c>
      <c r="AG85" s="128">
        <v>1.79</v>
      </c>
      <c r="AH85" s="128">
        <v>1.79</v>
      </c>
      <c r="AI85" s="128">
        <v>1.79</v>
      </c>
      <c r="AJ85" s="128">
        <v>1.79</v>
      </c>
      <c r="AK85" s="128">
        <v>1.78</v>
      </c>
      <c r="AL85" s="128">
        <v>1.78</v>
      </c>
      <c r="AM85" s="128">
        <v>1.78</v>
      </c>
      <c r="AN85" s="128">
        <v>1.78</v>
      </c>
      <c r="AO85" s="128">
        <v>1.77</v>
      </c>
      <c r="AP85" s="128">
        <v>1.77</v>
      </c>
      <c r="AQ85" s="128">
        <v>1.77</v>
      </c>
      <c r="AR85" s="128">
        <v>1.76</v>
      </c>
      <c r="AS85" s="128">
        <v>1.76</v>
      </c>
      <c r="AT85" s="128">
        <v>1.76</v>
      </c>
      <c r="AU85" s="128">
        <v>1.75</v>
      </c>
      <c r="AV85" s="128">
        <v>1.75</v>
      </c>
      <c r="AW85" s="128">
        <v>1.75</v>
      </c>
      <c r="AX85" s="128">
        <v>1.74</v>
      </c>
      <c r="AY85" s="128">
        <v>1.74</v>
      </c>
      <c r="AZ85" s="128">
        <v>1.74</v>
      </c>
      <c r="BA85" s="128">
        <v>1.74</v>
      </c>
      <c r="BB85" s="128">
        <v>1.74</v>
      </c>
      <c r="BC85" s="128">
        <v>1.75</v>
      </c>
      <c r="BD85" s="128">
        <v>1.75</v>
      </c>
      <c r="BE85" s="128">
        <v>1.75</v>
      </c>
      <c r="BF85" s="128">
        <v>1.76</v>
      </c>
      <c r="BG85" s="128">
        <v>1.76</v>
      </c>
      <c r="BH85" s="128">
        <v>1.76</v>
      </c>
      <c r="BI85" s="128">
        <v>1.77</v>
      </c>
      <c r="BJ85" s="128">
        <v>1.77</v>
      </c>
      <c r="BK85" s="128">
        <v>1.77</v>
      </c>
      <c r="BL85" s="128">
        <v>1.78</v>
      </c>
      <c r="BM85" s="128">
        <v>1.78</v>
      </c>
      <c r="BN85" s="128">
        <v>1.78</v>
      </c>
      <c r="BO85" s="128">
        <v>1.78</v>
      </c>
      <c r="BP85" s="128">
        <v>1.79</v>
      </c>
      <c r="BQ85" s="128">
        <v>1.79</v>
      </c>
      <c r="BR85" s="128">
        <v>1.79</v>
      </c>
      <c r="BS85" s="128">
        <v>1.79</v>
      </c>
      <c r="BT85" s="128">
        <v>1.8</v>
      </c>
      <c r="BU85" s="128">
        <v>1.8</v>
      </c>
      <c r="BV85" s="128">
        <v>1.8</v>
      </c>
      <c r="BW85" s="128">
        <v>1.8</v>
      </c>
      <c r="BX85" s="128">
        <v>1.8</v>
      </c>
      <c r="BY85" s="128">
        <v>1.81</v>
      </c>
      <c r="BZ85" s="128">
        <v>1.81</v>
      </c>
      <c r="CA85" s="128">
        <v>1.81</v>
      </c>
      <c r="CB85" s="128">
        <v>1.81</v>
      </c>
      <c r="CC85" s="128">
        <v>1.81</v>
      </c>
      <c r="CD85" s="128">
        <v>1.82</v>
      </c>
      <c r="CE85" s="128">
        <v>1.82</v>
      </c>
      <c r="CF85" s="128">
        <v>1.82</v>
      </c>
      <c r="CG85" s="128">
        <v>1.82</v>
      </c>
      <c r="CH85" s="128">
        <v>1.82</v>
      </c>
      <c r="CI85" s="128">
        <v>1.82</v>
      </c>
      <c r="CJ85" s="128">
        <v>1.82</v>
      </c>
      <c r="CK85" s="128">
        <v>1.82</v>
      </c>
      <c r="CL85" s="128">
        <v>1.82</v>
      </c>
      <c r="CM85" s="128">
        <v>1.82</v>
      </c>
      <c r="CN85" s="128">
        <v>1.82</v>
      </c>
      <c r="CO85" s="128">
        <v>1.82</v>
      </c>
      <c r="CP85" s="128">
        <v>1.82</v>
      </c>
      <c r="CQ85" s="128">
        <v>1.82</v>
      </c>
      <c r="CR85" s="128">
        <v>1.82</v>
      </c>
      <c r="CS85" s="128">
        <v>1.82</v>
      </c>
      <c r="CT85" s="128">
        <v>1.82</v>
      </c>
      <c r="CU85" s="128">
        <v>1.82</v>
      </c>
      <c r="CV85" s="128">
        <v>1.82</v>
      </c>
      <c r="CW85" s="128">
        <v>1.82</v>
      </c>
      <c r="CX85" s="128">
        <v>1.82</v>
      </c>
      <c r="CZ85" s="126">
        <f>SUMIF(MatrixF3[[1]:[2]],MatrixF3[[#This Row],[Столбец1]])/MatrixF3[[#This Row],[Столбец1]]</f>
        <v>100.99999999999976</v>
      </c>
    </row>
    <row r="86" spans="1:104" ht="21" customHeight="1" x14ac:dyDescent="0.25">
      <c r="A86" s="127">
        <v>1.83</v>
      </c>
      <c r="B86" s="128">
        <v>1.83</v>
      </c>
      <c r="C86" s="128">
        <v>1.83</v>
      </c>
      <c r="D86" s="128">
        <v>1.83</v>
      </c>
      <c r="E86" s="128">
        <v>1.83</v>
      </c>
      <c r="F86" s="128">
        <v>1.83</v>
      </c>
      <c r="G86" s="128">
        <v>1.83</v>
      </c>
      <c r="H86" s="128">
        <v>1.83</v>
      </c>
      <c r="I86" s="128">
        <v>1.83</v>
      </c>
      <c r="J86" s="128">
        <v>1.83</v>
      </c>
      <c r="K86" s="128">
        <v>1.83</v>
      </c>
      <c r="L86" s="128">
        <v>1.83</v>
      </c>
      <c r="M86" s="128">
        <v>1.83</v>
      </c>
      <c r="N86" s="128">
        <v>1.83</v>
      </c>
      <c r="O86" s="128">
        <v>1.83</v>
      </c>
      <c r="P86" s="128">
        <v>1.83</v>
      </c>
      <c r="Q86" s="128">
        <v>1.83</v>
      </c>
      <c r="R86" s="128">
        <v>1.83</v>
      </c>
      <c r="S86" s="128">
        <v>1.83</v>
      </c>
      <c r="T86" s="128">
        <v>1.83</v>
      </c>
      <c r="U86" s="128">
        <v>1.83</v>
      </c>
      <c r="V86" s="128">
        <v>1.82</v>
      </c>
      <c r="W86" s="128">
        <v>1.82</v>
      </c>
      <c r="X86" s="128">
        <v>1.82</v>
      </c>
      <c r="Y86" s="128">
        <v>1.82</v>
      </c>
      <c r="Z86" s="128">
        <v>1.82</v>
      </c>
      <c r="AA86" s="128">
        <v>1.82</v>
      </c>
      <c r="AB86" s="128">
        <v>1.81</v>
      </c>
      <c r="AC86" s="128">
        <v>1.81</v>
      </c>
      <c r="AD86" s="128">
        <v>1.81</v>
      </c>
      <c r="AE86" s="128">
        <v>1.81</v>
      </c>
      <c r="AF86" s="128">
        <v>1.8</v>
      </c>
      <c r="AG86" s="128">
        <v>1.8</v>
      </c>
      <c r="AH86" s="128">
        <v>1.8</v>
      </c>
      <c r="AI86" s="128">
        <v>1.8</v>
      </c>
      <c r="AJ86" s="128">
        <v>1.8</v>
      </c>
      <c r="AK86" s="128">
        <v>1.79</v>
      </c>
      <c r="AL86" s="128">
        <v>1.79</v>
      </c>
      <c r="AM86" s="128">
        <v>1.79</v>
      </c>
      <c r="AN86" s="128">
        <v>1.78</v>
      </c>
      <c r="AO86" s="128">
        <v>1.78</v>
      </c>
      <c r="AP86" s="128">
        <v>1.78</v>
      </c>
      <c r="AQ86" s="128">
        <v>1.78</v>
      </c>
      <c r="AR86" s="128">
        <v>1.77</v>
      </c>
      <c r="AS86" s="128">
        <v>1.77</v>
      </c>
      <c r="AT86" s="128">
        <v>1.77</v>
      </c>
      <c r="AU86" s="128">
        <v>1.76</v>
      </c>
      <c r="AV86" s="128">
        <v>1.76</v>
      </c>
      <c r="AW86" s="128">
        <v>1.76</v>
      </c>
      <c r="AX86" s="128">
        <v>1.75</v>
      </c>
      <c r="AY86" s="128">
        <v>1.75</v>
      </c>
      <c r="AZ86" s="128">
        <v>1.75</v>
      </c>
      <c r="BA86" s="128">
        <v>1.75</v>
      </c>
      <c r="BB86" s="128">
        <v>1.75</v>
      </c>
      <c r="BC86" s="128">
        <v>1.76</v>
      </c>
      <c r="BD86" s="128">
        <v>1.76</v>
      </c>
      <c r="BE86" s="128">
        <v>1.76</v>
      </c>
      <c r="BF86" s="128">
        <v>1.77</v>
      </c>
      <c r="BG86" s="128">
        <v>1.77</v>
      </c>
      <c r="BH86" s="128">
        <v>1.77</v>
      </c>
      <c r="BI86" s="128">
        <v>1.78</v>
      </c>
      <c r="BJ86" s="128">
        <v>1.78</v>
      </c>
      <c r="BK86" s="128">
        <v>1.78</v>
      </c>
      <c r="BL86" s="128">
        <v>1.78</v>
      </c>
      <c r="BM86" s="128">
        <v>1.79</v>
      </c>
      <c r="BN86" s="128">
        <v>1.79</v>
      </c>
      <c r="BO86" s="128">
        <v>1.79</v>
      </c>
      <c r="BP86" s="128">
        <v>1.8</v>
      </c>
      <c r="BQ86" s="128">
        <v>1.8</v>
      </c>
      <c r="BR86" s="128">
        <v>1.8</v>
      </c>
      <c r="BS86" s="128">
        <v>1.8</v>
      </c>
      <c r="BT86" s="128">
        <v>1.8</v>
      </c>
      <c r="BU86" s="128">
        <v>1.81</v>
      </c>
      <c r="BV86" s="128">
        <v>1.81</v>
      </c>
      <c r="BW86" s="128">
        <v>1.81</v>
      </c>
      <c r="BX86" s="128">
        <v>1.81</v>
      </c>
      <c r="BY86" s="128">
        <v>1.82</v>
      </c>
      <c r="BZ86" s="128">
        <v>1.82</v>
      </c>
      <c r="CA86" s="128">
        <v>1.82</v>
      </c>
      <c r="CB86" s="128">
        <v>1.82</v>
      </c>
      <c r="CC86" s="128">
        <v>1.82</v>
      </c>
      <c r="CD86" s="128">
        <v>1.82</v>
      </c>
      <c r="CE86" s="128">
        <v>1.83</v>
      </c>
      <c r="CF86" s="128">
        <v>1.83</v>
      </c>
      <c r="CG86" s="128">
        <v>1.83</v>
      </c>
      <c r="CH86" s="128">
        <v>1.83</v>
      </c>
      <c r="CI86" s="128">
        <v>1.83</v>
      </c>
      <c r="CJ86" s="128">
        <v>1.83</v>
      </c>
      <c r="CK86" s="128">
        <v>1.83</v>
      </c>
      <c r="CL86" s="128">
        <v>1.83</v>
      </c>
      <c r="CM86" s="128">
        <v>1.83</v>
      </c>
      <c r="CN86" s="128">
        <v>1.83</v>
      </c>
      <c r="CO86" s="128">
        <v>1.83</v>
      </c>
      <c r="CP86" s="128">
        <v>1.83</v>
      </c>
      <c r="CQ86" s="128">
        <v>1.83</v>
      </c>
      <c r="CR86" s="128">
        <v>1.83</v>
      </c>
      <c r="CS86" s="128">
        <v>1.83</v>
      </c>
      <c r="CT86" s="128">
        <v>1.83</v>
      </c>
      <c r="CU86" s="128">
        <v>1.83</v>
      </c>
      <c r="CV86" s="128">
        <v>1.83</v>
      </c>
      <c r="CW86" s="128">
        <v>1.83</v>
      </c>
      <c r="CX86" s="128">
        <v>1.83</v>
      </c>
      <c r="CZ86" s="126">
        <f>SUMIF(MatrixF3[[1]:[2]],MatrixF3[[#This Row],[Столбец1]])/MatrixF3[[#This Row],[Столбец1]]</f>
        <v>93.000000000000099</v>
      </c>
    </row>
    <row r="87" spans="1:104" ht="21" customHeight="1" x14ac:dyDescent="0.25">
      <c r="A87" s="127">
        <v>1.84</v>
      </c>
      <c r="B87" s="128">
        <v>1.84</v>
      </c>
      <c r="C87" s="128">
        <v>1.84</v>
      </c>
      <c r="D87" s="128">
        <v>1.84</v>
      </c>
      <c r="E87" s="128">
        <v>1.84</v>
      </c>
      <c r="F87" s="128">
        <v>1.84</v>
      </c>
      <c r="G87" s="128">
        <v>1.84</v>
      </c>
      <c r="H87" s="128">
        <v>1.84</v>
      </c>
      <c r="I87" s="128">
        <v>1.84</v>
      </c>
      <c r="J87" s="128">
        <v>1.84</v>
      </c>
      <c r="K87" s="128">
        <v>1.84</v>
      </c>
      <c r="L87" s="128">
        <v>1.84</v>
      </c>
      <c r="M87" s="128">
        <v>1.84</v>
      </c>
      <c r="N87" s="128">
        <v>1.84</v>
      </c>
      <c r="O87" s="128">
        <v>1.84</v>
      </c>
      <c r="P87" s="128">
        <v>1.84</v>
      </c>
      <c r="Q87" s="128">
        <v>1.84</v>
      </c>
      <c r="R87" s="128">
        <v>1.84</v>
      </c>
      <c r="S87" s="128">
        <v>1.84</v>
      </c>
      <c r="T87" s="128">
        <v>1.84</v>
      </c>
      <c r="U87" s="128">
        <v>1.84</v>
      </c>
      <c r="V87" s="128">
        <v>1.83</v>
      </c>
      <c r="W87" s="128">
        <v>1.83</v>
      </c>
      <c r="X87" s="128">
        <v>1.83</v>
      </c>
      <c r="Y87" s="128">
        <v>1.83</v>
      </c>
      <c r="Z87" s="128">
        <v>1.83</v>
      </c>
      <c r="AA87" s="128">
        <v>1.82</v>
      </c>
      <c r="AB87" s="128">
        <v>1.82</v>
      </c>
      <c r="AC87" s="128">
        <v>1.82</v>
      </c>
      <c r="AD87" s="128">
        <v>1.82</v>
      </c>
      <c r="AE87" s="128">
        <v>1.82</v>
      </c>
      <c r="AF87" s="128">
        <v>1.81</v>
      </c>
      <c r="AG87" s="128">
        <v>1.81</v>
      </c>
      <c r="AH87" s="128">
        <v>1.81</v>
      </c>
      <c r="AI87" s="128">
        <v>1.81</v>
      </c>
      <c r="AJ87" s="128">
        <v>1.8</v>
      </c>
      <c r="AK87" s="128">
        <v>1.8</v>
      </c>
      <c r="AL87" s="128">
        <v>1.8</v>
      </c>
      <c r="AM87" s="128">
        <v>1.8</v>
      </c>
      <c r="AN87" s="128">
        <v>1.79</v>
      </c>
      <c r="AO87" s="128">
        <v>1.79</v>
      </c>
      <c r="AP87" s="128">
        <v>1.79</v>
      </c>
      <c r="AQ87" s="128">
        <v>1.79</v>
      </c>
      <c r="AR87" s="128">
        <v>1.78</v>
      </c>
      <c r="AS87" s="128">
        <v>1.78</v>
      </c>
      <c r="AT87" s="128">
        <v>1.78</v>
      </c>
      <c r="AU87" s="128">
        <v>1.77</v>
      </c>
      <c r="AV87" s="128">
        <v>1.77</v>
      </c>
      <c r="AW87" s="128">
        <v>1.77</v>
      </c>
      <c r="AX87" s="128">
        <v>1.76</v>
      </c>
      <c r="AY87" s="128">
        <v>1.76</v>
      </c>
      <c r="AZ87" s="128">
        <v>1.76</v>
      </c>
      <c r="BA87" s="128">
        <v>1.76</v>
      </c>
      <c r="BB87" s="128">
        <v>1.76</v>
      </c>
      <c r="BC87" s="128">
        <v>1.77</v>
      </c>
      <c r="BD87" s="128">
        <v>1.77</v>
      </c>
      <c r="BE87" s="128">
        <v>1.77</v>
      </c>
      <c r="BF87" s="128">
        <v>1.78</v>
      </c>
      <c r="BG87" s="128">
        <v>1.78</v>
      </c>
      <c r="BH87" s="128">
        <v>1.78</v>
      </c>
      <c r="BI87" s="128">
        <v>1.79</v>
      </c>
      <c r="BJ87" s="128">
        <v>1.79</v>
      </c>
      <c r="BK87" s="128">
        <v>1.79</v>
      </c>
      <c r="BL87" s="128">
        <v>1.79</v>
      </c>
      <c r="BM87" s="128">
        <v>1.8</v>
      </c>
      <c r="BN87" s="128">
        <v>1.8</v>
      </c>
      <c r="BO87" s="128">
        <v>1.8</v>
      </c>
      <c r="BP87" s="128">
        <v>1.8</v>
      </c>
      <c r="BQ87" s="128">
        <v>1.81</v>
      </c>
      <c r="BR87" s="128">
        <v>1.81</v>
      </c>
      <c r="BS87" s="128">
        <v>1.81</v>
      </c>
      <c r="BT87" s="128">
        <v>1.81</v>
      </c>
      <c r="BU87" s="128">
        <v>1.82</v>
      </c>
      <c r="BV87" s="128">
        <v>1.82</v>
      </c>
      <c r="BW87" s="128">
        <v>1.82</v>
      </c>
      <c r="BX87" s="128">
        <v>1.82</v>
      </c>
      <c r="BY87" s="128">
        <v>1.82</v>
      </c>
      <c r="BZ87" s="128">
        <v>1.83</v>
      </c>
      <c r="CA87" s="128">
        <v>1.83</v>
      </c>
      <c r="CB87" s="128">
        <v>1.83</v>
      </c>
      <c r="CC87" s="128">
        <v>1.83</v>
      </c>
      <c r="CD87" s="128">
        <v>1.83</v>
      </c>
      <c r="CE87" s="128">
        <v>1.84</v>
      </c>
      <c r="CF87" s="128">
        <v>1.84</v>
      </c>
      <c r="CG87" s="128">
        <v>1.84</v>
      </c>
      <c r="CH87" s="128">
        <v>1.84</v>
      </c>
      <c r="CI87" s="128">
        <v>1.84</v>
      </c>
      <c r="CJ87" s="128">
        <v>1.84</v>
      </c>
      <c r="CK87" s="128">
        <v>1.84</v>
      </c>
      <c r="CL87" s="128">
        <v>1.84</v>
      </c>
      <c r="CM87" s="128">
        <v>1.84</v>
      </c>
      <c r="CN87" s="128">
        <v>1.84</v>
      </c>
      <c r="CO87" s="128">
        <v>1.84</v>
      </c>
      <c r="CP87" s="128">
        <v>1.84</v>
      </c>
      <c r="CQ87" s="128">
        <v>1.84</v>
      </c>
      <c r="CR87" s="128">
        <v>1.84</v>
      </c>
      <c r="CS87" s="128">
        <v>1.84</v>
      </c>
      <c r="CT87" s="128">
        <v>1.84</v>
      </c>
      <c r="CU87" s="128">
        <v>1.84</v>
      </c>
      <c r="CV87" s="128">
        <v>1.84</v>
      </c>
      <c r="CW87" s="128">
        <v>1.84</v>
      </c>
      <c r="CX87" s="128">
        <v>1.84</v>
      </c>
      <c r="CZ87" s="126">
        <f>SUMIF(MatrixF3[[1]:[2]],MatrixF3[[#This Row],[Столбец1]])/MatrixF3[[#This Row],[Столбец1]]</f>
        <v>100.00000000000016</v>
      </c>
    </row>
    <row r="88" spans="1:104" ht="21" customHeight="1" x14ac:dyDescent="0.25">
      <c r="A88" s="127">
        <v>1.85</v>
      </c>
      <c r="B88" s="128">
        <v>1.85</v>
      </c>
      <c r="C88" s="128">
        <v>1.85</v>
      </c>
      <c r="D88" s="128">
        <v>1.85</v>
      </c>
      <c r="E88" s="128">
        <v>1.85</v>
      </c>
      <c r="F88" s="128">
        <v>1.85</v>
      </c>
      <c r="G88" s="128">
        <v>1.85</v>
      </c>
      <c r="H88" s="128">
        <v>1.85</v>
      </c>
      <c r="I88" s="128">
        <v>1.85</v>
      </c>
      <c r="J88" s="128">
        <v>1.85</v>
      </c>
      <c r="K88" s="128">
        <v>1.85</v>
      </c>
      <c r="L88" s="128">
        <v>1.85</v>
      </c>
      <c r="M88" s="128">
        <v>1.85</v>
      </c>
      <c r="N88" s="128">
        <v>1.85</v>
      </c>
      <c r="O88" s="128">
        <v>1.85</v>
      </c>
      <c r="P88" s="128">
        <v>1.85</v>
      </c>
      <c r="Q88" s="128">
        <v>1.85</v>
      </c>
      <c r="R88" s="128">
        <v>1.85</v>
      </c>
      <c r="S88" s="128">
        <v>1.85</v>
      </c>
      <c r="T88" s="128">
        <v>1.85</v>
      </c>
      <c r="U88" s="128">
        <v>1.84</v>
      </c>
      <c r="V88" s="128">
        <v>1.84</v>
      </c>
      <c r="W88" s="128">
        <v>1.84</v>
      </c>
      <c r="X88" s="128">
        <v>1.84</v>
      </c>
      <c r="Y88" s="128">
        <v>1.84</v>
      </c>
      <c r="Z88" s="128">
        <v>1.84</v>
      </c>
      <c r="AA88" s="128">
        <v>1.83</v>
      </c>
      <c r="AB88" s="128">
        <v>1.83</v>
      </c>
      <c r="AC88" s="128">
        <v>1.83</v>
      </c>
      <c r="AD88" s="128">
        <v>1.83</v>
      </c>
      <c r="AE88" s="128">
        <v>1.83</v>
      </c>
      <c r="AF88" s="128">
        <v>1.82</v>
      </c>
      <c r="AG88" s="128">
        <v>1.82</v>
      </c>
      <c r="AH88" s="128">
        <v>1.82</v>
      </c>
      <c r="AI88" s="128">
        <v>1.82</v>
      </c>
      <c r="AJ88" s="128">
        <v>1.81</v>
      </c>
      <c r="AK88" s="128">
        <v>1.81</v>
      </c>
      <c r="AL88" s="128">
        <v>1.81</v>
      </c>
      <c r="AM88" s="128">
        <v>1.81</v>
      </c>
      <c r="AN88" s="128">
        <v>1.81</v>
      </c>
      <c r="AO88" s="128">
        <v>1.8</v>
      </c>
      <c r="AP88" s="128">
        <v>1.8</v>
      </c>
      <c r="AQ88" s="128">
        <v>1.8</v>
      </c>
      <c r="AR88" s="128">
        <v>1.79</v>
      </c>
      <c r="AS88" s="128">
        <v>1.79</v>
      </c>
      <c r="AT88" s="128">
        <v>1.79</v>
      </c>
      <c r="AU88" s="128">
        <v>1.79</v>
      </c>
      <c r="AV88" s="128">
        <v>1.78</v>
      </c>
      <c r="AW88" s="128">
        <v>1.78</v>
      </c>
      <c r="AX88" s="128">
        <v>1.78</v>
      </c>
      <c r="AY88" s="128">
        <v>1.77</v>
      </c>
      <c r="AZ88" s="128">
        <v>1.77</v>
      </c>
      <c r="BA88" s="128">
        <v>1.77</v>
      </c>
      <c r="BB88" s="128">
        <v>1.78</v>
      </c>
      <c r="BC88" s="128">
        <v>1.78</v>
      </c>
      <c r="BD88" s="128">
        <v>1.78</v>
      </c>
      <c r="BE88" s="128">
        <v>1.79</v>
      </c>
      <c r="BF88" s="128">
        <v>1.79</v>
      </c>
      <c r="BG88" s="128">
        <v>1.79</v>
      </c>
      <c r="BH88" s="128">
        <v>1.79</v>
      </c>
      <c r="BI88" s="128">
        <v>1.8</v>
      </c>
      <c r="BJ88" s="128">
        <v>1.8</v>
      </c>
      <c r="BK88" s="128">
        <v>1.8</v>
      </c>
      <c r="BL88" s="128">
        <v>1.81</v>
      </c>
      <c r="BM88" s="128">
        <v>1.81</v>
      </c>
      <c r="BN88" s="128">
        <v>1.81</v>
      </c>
      <c r="BO88" s="128">
        <v>1.81</v>
      </c>
      <c r="BP88" s="128">
        <v>1.81</v>
      </c>
      <c r="BQ88" s="128">
        <v>1.82</v>
      </c>
      <c r="BR88" s="128">
        <v>1.82</v>
      </c>
      <c r="BS88" s="128">
        <v>1.82</v>
      </c>
      <c r="BT88" s="128">
        <v>1.82</v>
      </c>
      <c r="BU88" s="128">
        <v>1.83</v>
      </c>
      <c r="BV88" s="128">
        <v>1.83</v>
      </c>
      <c r="BW88" s="128">
        <v>1.83</v>
      </c>
      <c r="BX88" s="128">
        <v>1.83</v>
      </c>
      <c r="BY88" s="128">
        <v>1.83</v>
      </c>
      <c r="BZ88" s="128">
        <v>1.84</v>
      </c>
      <c r="CA88" s="128">
        <v>1.84</v>
      </c>
      <c r="CB88" s="128">
        <v>1.84</v>
      </c>
      <c r="CC88" s="128">
        <v>1.84</v>
      </c>
      <c r="CD88" s="128">
        <v>1.84</v>
      </c>
      <c r="CE88" s="128">
        <v>1.84</v>
      </c>
      <c r="CF88" s="128">
        <v>1.85</v>
      </c>
      <c r="CG88" s="128">
        <v>1.85</v>
      </c>
      <c r="CH88" s="128">
        <v>1.85</v>
      </c>
      <c r="CI88" s="128">
        <v>1.85</v>
      </c>
      <c r="CJ88" s="128">
        <v>1.85</v>
      </c>
      <c r="CK88" s="128">
        <v>1.85</v>
      </c>
      <c r="CL88" s="128">
        <v>1.85</v>
      </c>
      <c r="CM88" s="128">
        <v>1.85</v>
      </c>
      <c r="CN88" s="128">
        <v>1.85</v>
      </c>
      <c r="CO88" s="128">
        <v>1.85</v>
      </c>
      <c r="CP88" s="128">
        <v>1.85</v>
      </c>
      <c r="CQ88" s="128">
        <v>1.85</v>
      </c>
      <c r="CR88" s="128">
        <v>1.85</v>
      </c>
      <c r="CS88" s="128">
        <v>1.85</v>
      </c>
      <c r="CT88" s="128">
        <v>1.85</v>
      </c>
      <c r="CU88" s="128">
        <v>1.85</v>
      </c>
      <c r="CV88" s="128">
        <v>1.85</v>
      </c>
      <c r="CW88" s="128">
        <v>1.85</v>
      </c>
      <c r="CX88" s="128">
        <v>1.85</v>
      </c>
      <c r="CZ88" s="126">
        <f>SUMIF(MatrixF3[[1]:[2]],MatrixF3[[#This Row],[Столбец1]])/MatrixF3[[#This Row],[Столбец1]]</f>
        <v>96.999999999999815</v>
      </c>
    </row>
    <row r="89" spans="1:104" ht="21" customHeight="1" x14ac:dyDescent="0.25">
      <c r="A89" s="127">
        <v>1.86</v>
      </c>
      <c r="B89" s="128">
        <v>1.86</v>
      </c>
      <c r="C89" s="128">
        <v>1.86</v>
      </c>
      <c r="D89" s="128">
        <v>1.86</v>
      </c>
      <c r="E89" s="128">
        <v>1.86</v>
      </c>
      <c r="F89" s="128">
        <v>1.86</v>
      </c>
      <c r="G89" s="128">
        <v>1.86</v>
      </c>
      <c r="H89" s="128">
        <v>1.86</v>
      </c>
      <c r="I89" s="128">
        <v>1.86</v>
      </c>
      <c r="J89" s="128">
        <v>1.86</v>
      </c>
      <c r="K89" s="128">
        <v>1.86</v>
      </c>
      <c r="L89" s="128">
        <v>1.86</v>
      </c>
      <c r="M89" s="128">
        <v>1.86</v>
      </c>
      <c r="N89" s="128">
        <v>1.86</v>
      </c>
      <c r="O89" s="128">
        <v>1.86</v>
      </c>
      <c r="P89" s="128">
        <v>1.86</v>
      </c>
      <c r="Q89" s="128">
        <v>1.86</v>
      </c>
      <c r="R89" s="128">
        <v>1.86</v>
      </c>
      <c r="S89" s="128">
        <v>1.86</v>
      </c>
      <c r="T89" s="128">
        <v>1.85</v>
      </c>
      <c r="U89" s="128">
        <v>1.85</v>
      </c>
      <c r="V89" s="128">
        <v>1.85</v>
      </c>
      <c r="W89" s="128">
        <v>1.85</v>
      </c>
      <c r="X89" s="128">
        <v>1.85</v>
      </c>
      <c r="Y89" s="128">
        <v>1.85</v>
      </c>
      <c r="Z89" s="128">
        <v>1.84</v>
      </c>
      <c r="AA89" s="128">
        <v>1.84</v>
      </c>
      <c r="AB89" s="128">
        <v>1.84</v>
      </c>
      <c r="AC89" s="128">
        <v>1.84</v>
      </c>
      <c r="AD89" s="128">
        <v>1.84</v>
      </c>
      <c r="AE89" s="128">
        <v>1.84</v>
      </c>
      <c r="AF89" s="128">
        <v>1.83</v>
      </c>
      <c r="AG89" s="128">
        <v>1.83</v>
      </c>
      <c r="AH89" s="128">
        <v>1.83</v>
      </c>
      <c r="AI89" s="128">
        <v>1.83</v>
      </c>
      <c r="AJ89" s="128">
        <v>1.82</v>
      </c>
      <c r="AK89" s="128">
        <v>1.82</v>
      </c>
      <c r="AL89" s="128">
        <v>1.82</v>
      </c>
      <c r="AM89" s="128">
        <v>1.82</v>
      </c>
      <c r="AN89" s="128">
        <v>1.82</v>
      </c>
      <c r="AO89" s="128">
        <v>1.81</v>
      </c>
      <c r="AP89" s="128">
        <v>1.81</v>
      </c>
      <c r="AQ89" s="128">
        <v>1.81</v>
      </c>
      <c r="AR89" s="128">
        <v>1.81</v>
      </c>
      <c r="AS89" s="128">
        <v>1.8</v>
      </c>
      <c r="AT89" s="128">
        <v>1.8</v>
      </c>
      <c r="AU89" s="128">
        <v>1.8</v>
      </c>
      <c r="AV89" s="128">
        <v>1.79</v>
      </c>
      <c r="AW89" s="128">
        <v>1.79</v>
      </c>
      <c r="AX89" s="128">
        <v>1.79</v>
      </c>
      <c r="AY89" s="128">
        <v>1.78</v>
      </c>
      <c r="AZ89" s="128">
        <v>1.78</v>
      </c>
      <c r="BA89" s="128">
        <v>1.78</v>
      </c>
      <c r="BB89" s="128">
        <v>1.79</v>
      </c>
      <c r="BC89" s="128">
        <v>1.79</v>
      </c>
      <c r="BD89" s="128">
        <v>1.79</v>
      </c>
      <c r="BE89" s="128">
        <v>1.8</v>
      </c>
      <c r="BF89" s="128">
        <v>1.8</v>
      </c>
      <c r="BG89" s="128">
        <v>1.8</v>
      </c>
      <c r="BH89" s="128">
        <v>1.81</v>
      </c>
      <c r="BI89" s="128">
        <v>1.81</v>
      </c>
      <c r="BJ89" s="128">
        <v>1.81</v>
      </c>
      <c r="BK89" s="128">
        <v>1.81</v>
      </c>
      <c r="BL89" s="128">
        <v>1.82</v>
      </c>
      <c r="BM89" s="128">
        <v>1.82</v>
      </c>
      <c r="BN89" s="128">
        <v>1.82</v>
      </c>
      <c r="BO89" s="128">
        <v>1.82</v>
      </c>
      <c r="BP89" s="128">
        <v>1.82</v>
      </c>
      <c r="BQ89" s="128">
        <v>1.83</v>
      </c>
      <c r="BR89" s="128">
        <v>1.83</v>
      </c>
      <c r="BS89" s="128">
        <v>1.83</v>
      </c>
      <c r="BT89" s="128">
        <v>1.83</v>
      </c>
      <c r="BU89" s="128">
        <v>1.84</v>
      </c>
      <c r="BV89" s="128">
        <v>1.84</v>
      </c>
      <c r="BW89" s="128">
        <v>1.84</v>
      </c>
      <c r="BX89" s="128">
        <v>1.84</v>
      </c>
      <c r="BY89" s="128">
        <v>1.84</v>
      </c>
      <c r="BZ89" s="128">
        <v>1.84</v>
      </c>
      <c r="CA89" s="128">
        <v>1.85</v>
      </c>
      <c r="CB89" s="128">
        <v>1.85</v>
      </c>
      <c r="CC89" s="128">
        <v>1.85</v>
      </c>
      <c r="CD89" s="128">
        <v>1.85</v>
      </c>
      <c r="CE89" s="128">
        <v>1.85</v>
      </c>
      <c r="CF89" s="128">
        <v>1.85</v>
      </c>
      <c r="CG89" s="128">
        <v>1.86</v>
      </c>
      <c r="CH89" s="128">
        <v>1.86</v>
      </c>
      <c r="CI89" s="128">
        <v>1.86</v>
      </c>
      <c r="CJ89" s="128">
        <v>1.86</v>
      </c>
      <c r="CK89" s="128">
        <v>1.86</v>
      </c>
      <c r="CL89" s="128">
        <v>1.86</v>
      </c>
      <c r="CM89" s="128">
        <v>1.86</v>
      </c>
      <c r="CN89" s="128">
        <v>1.86</v>
      </c>
      <c r="CO89" s="128">
        <v>1.86</v>
      </c>
      <c r="CP89" s="128">
        <v>1.86</v>
      </c>
      <c r="CQ89" s="128">
        <v>1.86</v>
      </c>
      <c r="CR89" s="128">
        <v>1.86</v>
      </c>
      <c r="CS89" s="128">
        <v>1.86</v>
      </c>
      <c r="CT89" s="128">
        <v>1.86</v>
      </c>
      <c r="CU89" s="128">
        <v>1.86</v>
      </c>
      <c r="CV89" s="128">
        <v>1.86</v>
      </c>
      <c r="CW89" s="128">
        <v>1.86</v>
      </c>
      <c r="CX89" s="128">
        <v>1.86</v>
      </c>
      <c r="CZ89" s="126">
        <f>SUMIF(MatrixF3[[1]:[2]],MatrixF3[[#This Row],[Столбец1]])/MatrixF3[[#This Row],[Столбец1]]</f>
        <v>97.000000000000185</v>
      </c>
    </row>
    <row r="90" spans="1:104" ht="21" customHeight="1" x14ac:dyDescent="0.25">
      <c r="A90" s="127">
        <v>1.87</v>
      </c>
      <c r="B90" s="128">
        <v>1.87</v>
      </c>
      <c r="C90" s="128">
        <v>1.87</v>
      </c>
      <c r="D90" s="128">
        <v>1.87</v>
      </c>
      <c r="E90" s="128">
        <v>1.87</v>
      </c>
      <c r="F90" s="128">
        <v>1.87</v>
      </c>
      <c r="G90" s="128">
        <v>1.87</v>
      </c>
      <c r="H90" s="128">
        <v>1.87</v>
      </c>
      <c r="I90" s="128">
        <v>1.87</v>
      </c>
      <c r="J90" s="128">
        <v>1.87</v>
      </c>
      <c r="K90" s="128">
        <v>1.87</v>
      </c>
      <c r="L90" s="128">
        <v>1.87</v>
      </c>
      <c r="M90" s="128">
        <v>1.87</v>
      </c>
      <c r="N90" s="128">
        <v>1.87</v>
      </c>
      <c r="O90" s="128">
        <v>1.87</v>
      </c>
      <c r="P90" s="128">
        <v>1.87</v>
      </c>
      <c r="Q90" s="128">
        <v>1.87</v>
      </c>
      <c r="R90" s="128">
        <v>1.87</v>
      </c>
      <c r="S90" s="128">
        <v>1.86</v>
      </c>
      <c r="T90" s="128">
        <v>1.86</v>
      </c>
      <c r="U90" s="128">
        <v>1.86</v>
      </c>
      <c r="V90" s="128">
        <v>1.86</v>
      </c>
      <c r="W90" s="128">
        <v>1.86</v>
      </c>
      <c r="X90" s="128">
        <v>1.86</v>
      </c>
      <c r="Y90" s="128">
        <v>1.86</v>
      </c>
      <c r="Z90" s="128">
        <v>1.85</v>
      </c>
      <c r="AA90" s="128">
        <v>1.85</v>
      </c>
      <c r="AB90" s="128">
        <v>1.85</v>
      </c>
      <c r="AC90" s="128">
        <v>1.85</v>
      </c>
      <c r="AD90" s="128">
        <v>1.85</v>
      </c>
      <c r="AE90" s="128">
        <v>1.85</v>
      </c>
      <c r="AF90" s="128">
        <v>1.84</v>
      </c>
      <c r="AG90" s="128">
        <v>1.84</v>
      </c>
      <c r="AH90" s="128">
        <v>1.84</v>
      </c>
      <c r="AI90" s="128">
        <v>1.84</v>
      </c>
      <c r="AJ90" s="128">
        <v>1.84</v>
      </c>
      <c r="AK90" s="128">
        <v>1.83</v>
      </c>
      <c r="AL90" s="128">
        <v>1.83</v>
      </c>
      <c r="AM90" s="128">
        <v>1.83</v>
      </c>
      <c r="AN90" s="128">
        <v>1.83</v>
      </c>
      <c r="AO90" s="128">
        <v>1.82</v>
      </c>
      <c r="AP90" s="128">
        <v>1.82</v>
      </c>
      <c r="AQ90" s="128">
        <v>1.82</v>
      </c>
      <c r="AR90" s="128">
        <v>1.82</v>
      </c>
      <c r="AS90" s="128">
        <v>1.81</v>
      </c>
      <c r="AT90" s="128">
        <v>1.81</v>
      </c>
      <c r="AU90" s="128">
        <v>1.81</v>
      </c>
      <c r="AV90" s="128">
        <v>1.81</v>
      </c>
      <c r="AW90" s="128">
        <v>1.8</v>
      </c>
      <c r="AX90" s="128">
        <v>1.8</v>
      </c>
      <c r="AY90" s="128">
        <v>1.8</v>
      </c>
      <c r="AZ90" s="128">
        <v>1.79</v>
      </c>
      <c r="BA90" s="128">
        <v>1.8</v>
      </c>
      <c r="BB90" s="128">
        <v>1.8</v>
      </c>
      <c r="BC90" s="128">
        <v>1.8</v>
      </c>
      <c r="BD90" s="128">
        <v>1.81</v>
      </c>
      <c r="BE90" s="128">
        <v>1.81</v>
      </c>
      <c r="BF90" s="128">
        <v>1.81</v>
      </c>
      <c r="BG90" s="128">
        <v>1.81</v>
      </c>
      <c r="BH90" s="128">
        <v>1.82</v>
      </c>
      <c r="BI90" s="128">
        <v>1.82</v>
      </c>
      <c r="BJ90" s="128">
        <v>1.82</v>
      </c>
      <c r="BK90" s="128">
        <v>1.82</v>
      </c>
      <c r="BL90" s="128">
        <v>1.83</v>
      </c>
      <c r="BM90" s="128">
        <v>1.83</v>
      </c>
      <c r="BN90" s="128">
        <v>1.83</v>
      </c>
      <c r="BO90" s="128">
        <v>1.83</v>
      </c>
      <c r="BP90" s="128">
        <v>1.84</v>
      </c>
      <c r="BQ90" s="128">
        <v>1.84</v>
      </c>
      <c r="BR90" s="128">
        <v>1.84</v>
      </c>
      <c r="BS90" s="128">
        <v>1.84</v>
      </c>
      <c r="BT90" s="128">
        <v>1.84</v>
      </c>
      <c r="BU90" s="128">
        <v>1.85</v>
      </c>
      <c r="BV90" s="128">
        <v>1.85</v>
      </c>
      <c r="BW90" s="128">
        <v>1.85</v>
      </c>
      <c r="BX90" s="128">
        <v>1.85</v>
      </c>
      <c r="BY90" s="128">
        <v>1.85</v>
      </c>
      <c r="BZ90" s="128">
        <v>1.85</v>
      </c>
      <c r="CA90" s="128">
        <v>1.86</v>
      </c>
      <c r="CB90" s="128">
        <v>1.86</v>
      </c>
      <c r="CC90" s="128">
        <v>1.86</v>
      </c>
      <c r="CD90" s="128">
        <v>1.86</v>
      </c>
      <c r="CE90" s="128">
        <v>1.86</v>
      </c>
      <c r="CF90" s="128">
        <v>1.86</v>
      </c>
      <c r="CG90" s="128">
        <v>1.86</v>
      </c>
      <c r="CH90" s="128">
        <v>1.87</v>
      </c>
      <c r="CI90" s="128">
        <v>1.87</v>
      </c>
      <c r="CJ90" s="128">
        <v>1.87</v>
      </c>
      <c r="CK90" s="128">
        <v>1.87</v>
      </c>
      <c r="CL90" s="128">
        <v>1.87</v>
      </c>
      <c r="CM90" s="128">
        <v>1.87</v>
      </c>
      <c r="CN90" s="128">
        <v>1.87</v>
      </c>
      <c r="CO90" s="128">
        <v>1.87</v>
      </c>
      <c r="CP90" s="128">
        <v>1.87</v>
      </c>
      <c r="CQ90" s="128">
        <v>1.87</v>
      </c>
      <c r="CR90" s="128">
        <v>1.87</v>
      </c>
      <c r="CS90" s="128">
        <v>1.87</v>
      </c>
      <c r="CT90" s="128">
        <v>1.87</v>
      </c>
      <c r="CU90" s="128">
        <v>1.87</v>
      </c>
      <c r="CV90" s="128">
        <v>1.87</v>
      </c>
      <c r="CW90" s="128">
        <v>1.87</v>
      </c>
      <c r="CX90" s="128">
        <v>1.87</v>
      </c>
      <c r="CZ90" s="126">
        <f>SUMIF(MatrixF3[[1]:[2]],MatrixF3[[#This Row],[Столбец1]])/MatrixF3[[#This Row],[Столбец1]]</f>
        <v>88.000000000000099</v>
      </c>
    </row>
    <row r="91" spans="1:104" ht="21" customHeight="1" x14ac:dyDescent="0.25">
      <c r="A91" s="127">
        <v>1.88</v>
      </c>
      <c r="B91" s="128">
        <v>1.88</v>
      </c>
      <c r="C91" s="128">
        <v>1.88</v>
      </c>
      <c r="D91" s="128">
        <v>1.88</v>
      </c>
      <c r="E91" s="128">
        <v>1.88</v>
      </c>
      <c r="F91" s="128">
        <v>1.88</v>
      </c>
      <c r="G91" s="128">
        <v>1.88</v>
      </c>
      <c r="H91" s="128">
        <v>1.88</v>
      </c>
      <c r="I91" s="128">
        <v>1.88</v>
      </c>
      <c r="J91" s="128">
        <v>1.88</v>
      </c>
      <c r="K91" s="128">
        <v>1.88</v>
      </c>
      <c r="L91" s="128">
        <v>1.88</v>
      </c>
      <c r="M91" s="128">
        <v>1.88</v>
      </c>
      <c r="N91" s="128">
        <v>1.88</v>
      </c>
      <c r="O91" s="128">
        <v>1.88</v>
      </c>
      <c r="P91" s="128">
        <v>1.88</v>
      </c>
      <c r="Q91" s="128">
        <v>1.88</v>
      </c>
      <c r="R91" s="128">
        <v>1.88</v>
      </c>
      <c r="S91" s="128">
        <v>1.87</v>
      </c>
      <c r="T91" s="128">
        <v>1.87</v>
      </c>
      <c r="U91" s="128">
        <v>1.87</v>
      </c>
      <c r="V91" s="128">
        <v>1.87</v>
      </c>
      <c r="W91" s="128">
        <v>1.87</v>
      </c>
      <c r="X91" s="128">
        <v>1.87</v>
      </c>
      <c r="Y91" s="128">
        <v>1.87</v>
      </c>
      <c r="Z91" s="128">
        <v>1.86</v>
      </c>
      <c r="AA91" s="128">
        <v>1.86</v>
      </c>
      <c r="AB91" s="128">
        <v>1.86</v>
      </c>
      <c r="AC91" s="128">
        <v>1.86</v>
      </c>
      <c r="AD91" s="128">
        <v>1.86</v>
      </c>
      <c r="AE91" s="128">
        <v>1.86</v>
      </c>
      <c r="AF91" s="128">
        <v>1.85</v>
      </c>
      <c r="AG91" s="128">
        <v>1.85</v>
      </c>
      <c r="AH91" s="128">
        <v>1.85</v>
      </c>
      <c r="AI91" s="128">
        <v>1.85</v>
      </c>
      <c r="AJ91" s="128">
        <v>1.85</v>
      </c>
      <c r="AK91" s="128">
        <v>1.84</v>
      </c>
      <c r="AL91" s="128">
        <v>1.84</v>
      </c>
      <c r="AM91" s="128">
        <v>1.84</v>
      </c>
      <c r="AN91" s="128">
        <v>1.84</v>
      </c>
      <c r="AO91" s="128">
        <v>1.84</v>
      </c>
      <c r="AP91" s="128">
        <v>1.83</v>
      </c>
      <c r="AQ91" s="128">
        <v>1.83</v>
      </c>
      <c r="AR91" s="128">
        <v>1.83</v>
      </c>
      <c r="AS91" s="128">
        <v>1.83</v>
      </c>
      <c r="AT91" s="128">
        <v>1.82</v>
      </c>
      <c r="AU91" s="128">
        <v>1.82</v>
      </c>
      <c r="AV91" s="128">
        <v>1.82</v>
      </c>
      <c r="AW91" s="128">
        <v>1.82</v>
      </c>
      <c r="AX91" s="128">
        <v>1.81</v>
      </c>
      <c r="AY91" s="128">
        <v>1.81</v>
      </c>
      <c r="AZ91" s="128">
        <v>1.81</v>
      </c>
      <c r="BA91" s="128">
        <v>1.81</v>
      </c>
      <c r="BB91" s="128">
        <v>1.81</v>
      </c>
      <c r="BC91" s="128">
        <v>1.82</v>
      </c>
      <c r="BD91" s="128">
        <v>1.82</v>
      </c>
      <c r="BE91" s="128">
        <v>1.82</v>
      </c>
      <c r="BF91" s="128">
        <v>1.82</v>
      </c>
      <c r="BG91" s="128">
        <v>1.83</v>
      </c>
      <c r="BH91" s="128">
        <v>1.83</v>
      </c>
      <c r="BI91" s="128">
        <v>1.83</v>
      </c>
      <c r="BJ91" s="128">
        <v>1.83</v>
      </c>
      <c r="BK91" s="128">
        <v>1.84</v>
      </c>
      <c r="BL91" s="128">
        <v>1.84</v>
      </c>
      <c r="BM91" s="128">
        <v>1.84</v>
      </c>
      <c r="BN91" s="128">
        <v>1.84</v>
      </c>
      <c r="BO91" s="128">
        <v>1.84</v>
      </c>
      <c r="BP91" s="128">
        <v>1.85</v>
      </c>
      <c r="BQ91" s="128">
        <v>1.85</v>
      </c>
      <c r="BR91" s="128">
        <v>1.85</v>
      </c>
      <c r="BS91" s="128">
        <v>1.85</v>
      </c>
      <c r="BT91" s="128">
        <v>1.85</v>
      </c>
      <c r="BU91" s="128">
        <v>1.86</v>
      </c>
      <c r="BV91" s="128">
        <v>1.86</v>
      </c>
      <c r="BW91" s="128">
        <v>1.86</v>
      </c>
      <c r="BX91" s="128">
        <v>1.86</v>
      </c>
      <c r="BY91" s="128">
        <v>1.86</v>
      </c>
      <c r="BZ91" s="128">
        <v>1.86</v>
      </c>
      <c r="CA91" s="128">
        <v>1.87</v>
      </c>
      <c r="CB91" s="128">
        <v>1.87</v>
      </c>
      <c r="CC91" s="128">
        <v>1.87</v>
      </c>
      <c r="CD91" s="128">
        <v>1.87</v>
      </c>
      <c r="CE91" s="128">
        <v>1.87</v>
      </c>
      <c r="CF91" s="128">
        <v>1.87</v>
      </c>
      <c r="CG91" s="128">
        <v>1.87</v>
      </c>
      <c r="CH91" s="128">
        <v>1.88</v>
      </c>
      <c r="CI91" s="128">
        <v>1.88</v>
      </c>
      <c r="CJ91" s="128">
        <v>1.88</v>
      </c>
      <c r="CK91" s="128">
        <v>1.88</v>
      </c>
      <c r="CL91" s="128">
        <v>1.88</v>
      </c>
      <c r="CM91" s="128">
        <v>1.88</v>
      </c>
      <c r="CN91" s="128">
        <v>1.88</v>
      </c>
      <c r="CO91" s="128">
        <v>1.88</v>
      </c>
      <c r="CP91" s="128">
        <v>1.88</v>
      </c>
      <c r="CQ91" s="128">
        <v>1.88</v>
      </c>
      <c r="CR91" s="128">
        <v>1.88</v>
      </c>
      <c r="CS91" s="128">
        <v>1.88</v>
      </c>
      <c r="CT91" s="128">
        <v>1.88</v>
      </c>
      <c r="CU91" s="128">
        <v>1.88</v>
      </c>
      <c r="CV91" s="128">
        <v>1.88</v>
      </c>
      <c r="CW91" s="128">
        <v>1.88</v>
      </c>
      <c r="CX91" s="128">
        <v>1.88</v>
      </c>
      <c r="CZ91" s="126">
        <f>SUMIF(MatrixF3[[1]:[2]],MatrixF3[[#This Row],[Столбец1]])/MatrixF3[[#This Row],[Столбец1]]</f>
        <v>96.999999999999872</v>
      </c>
    </row>
    <row r="92" spans="1:104" ht="21" customHeight="1" x14ac:dyDescent="0.25">
      <c r="A92" s="127">
        <v>1.89</v>
      </c>
      <c r="B92" s="128">
        <v>1.89</v>
      </c>
      <c r="C92" s="128">
        <v>1.89</v>
      </c>
      <c r="D92" s="128">
        <v>1.89</v>
      </c>
      <c r="E92" s="128">
        <v>1.89</v>
      </c>
      <c r="F92" s="128">
        <v>1.89</v>
      </c>
      <c r="G92" s="128">
        <v>1.89</v>
      </c>
      <c r="H92" s="128">
        <v>1.89</v>
      </c>
      <c r="I92" s="128">
        <v>1.89</v>
      </c>
      <c r="J92" s="128">
        <v>1.89</v>
      </c>
      <c r="K92" s="128">
        <v>1.89</v>
      </c>
      <c r="L92" s="128">
        <v>1.89</v>
      </c>
      <c r="M92" s="128">
        <v>1.89</v>
      </c>
      <c r="N92" s="128">
        <v>1.89</v>
      </c>
      <c r="O92" s="128">
        <v>1.89</v>
      </c>
      <c r="P92" s="128">
        <v>1.89</v>
      </c>
      <c r="Q92" s="128">
        <v>1.89</v>
      </c>
      <c r="R92" s="128">
        <v>1.88</v>
      </c>
      <c r="S92" s="128">
        <v>1.88</v>
      </c>
      <c r="T92" s="128">
        <v>1.88</v>
      </c>
      <c r="U92" s="128">
        <v>1.88</v>
      </c>
      <c r="V92" s="128">
        <v>1.88</v>
      </c>
      <c r="W92" s="128">
        <v>1.88</v>
      </c>
      <c r="X92" s="128">
        <v>1.88</v>
      </c>
      <c r="Y92" s="128">
        <v>1.88</v>
      </c>
      <c r="Z92" s="128">
        <v>1.87</v>
      </c>
      <c r="AA92" s="128">
        <v>1.87</v>
      </c>
      <c r="AB92" s="128">
        <v>1.87</v>
      </c>
      <c r="AC92" s="128">
        <v>1.87</v>
      </c>
      <c r="AD92" s="128">
        <v>1.87</v>
      </c>
      <c r="AE92" s="128">
        <v>1.87</v>
      </c>
      <c r="AF92" s="128">
        <v>1.86</v>
      </c>
      <c r="AG92" s="128">
        <v>1.86</v>
      </c>
      <c r="AH92" s="128">
        <v>1.86</v>
      </c>
      <c r="AI92" s="128">
        <v>1.86</v>
      </c>
      <c r="AJ92" s="128">
        <v>1.86</v>
      </c>
      <c r="AK92" s="128">
        <v>1.86</v>
      </c>
      <c r="AL92" s="128">
        <v>1.85</v>
      </c>
      <c r="AM92" s="128">
        <v>1.85</v>
      </c>
      <c r="AN92" s="128">
        <v>1.85</v>
      </c>
      <c r="AO92" s="128">
        <v>1.85</v>
      </c>
      <c r="AP92" s="128">
        <v>1.85</v>
      </c>
      <c r="AQ92" s="128">
        <v>1.84</v>
      </c>
      <c r="AR92" s="128">
        <v>1.84</v>
      </c>
      <c r="AS92" s="128">
        <v>1.84</v>
      </c>
      <c r="AT92" s="128">
        <v>1.84</v>
      </c>
      <c r="AU92" s="128">
        <v>1.83</v>
      </c>
      <c r="AV92" s="128">
        <v>1.83</v>
      </c>
      <c r="AW92" s="128">
        <v>1.83</v>
      </c>
      <c r="AX92" s="128">
        <v>1.83</v>
      </c>
      <c r="AY92" s="128">
        <v>1.82</v>
      </c>
      <c r="AZ92" s="128">
        <v>1.82</v>
      </c>
      <c r="BA92" s="128">
        <v>1.82</v>
      </c>
      <c r="BB92" s="128">
        <v>1.83</v>
      </c>
      <c r="BC92" s="128">
        <v>1.83</v>
      </c>
      <c r="BD92" s="128">
        <v>1.83</v>
      </c>
      <c r="BE92" s="128">
        <v>1.83</v>
      </c>
      <c r="BF92" s="128">
        <v>1.84</v>
      </c>
      <c r="BG92" s="128">
        <v>1.84</v>
      </c>
      <c r="BH92" s="128">
        <v>1.84</v>
      </c>
      <c r="BI92" s="128">
        <v>1.84</v>
      </c>
      <c r="BJ92" s="128">
        <v>1.85</v>
      </c>
      <c r="BK92" s="128">
        <v>1.85</v>
      </c>
      <c r="BL92" s="128">
        <v>1.85</v>
      </c>
      <c r="BM92" s="128">
        <v>1.85</v>
      </c>
      <c r="BN92" s="128">
        <v>1.85</v>
      </c>
      <c r="BO92" s="128">
        <v>1.86</v>
      </c>
      <c r="BP92" s="128">
        <v>1.86</v>
      </c>
      <c r="BQ92" s="128">
        <v>1.86</v>
      </c>
      <c r="BR92" s="128">
        <v>1.86</v>
      </c>
      <c r="BS92" s="128">
        <v>1.86</v>
      </c>
      <c r="BT92" s="128">
        <v>1.86</v>
      </c>
      <c r="BU92" s="128">
        <v>1.87</v>
      </c>
      <c r="BV92" s="128">
        <v>1.87</v>
      </c>
      <c r="BW92" s="128">
        <v>1.87</v>
      </c>
      <c r="BX92" s="128">
        <v>1.87</v>
      </c>
      <c r="BY92" s="128">
        <v>1.87</v>
      </c>
      <c r="BZ92" s="128">
        <v>1.87</v>
      </c>
      <c r="CA92" s="128">
        <v>1.88</v>
      </c>
      <c r="CB92" s="128">
        <v>1.88</v>
      </c>
      <c r="CC92" s="128">
        <v>1.88</v>
      </c>
      <c r="CD92" s="128">
        <v>1.88</v>
      </c>
      <c r="CE92" s="128">
        <v>1.88</v>
      </c>
      <c r="CF92" s="128">
        <v>1.88</v>
      </c>
      <c r="CG92" s="128">
        <v>1.88</v>
      </c>
      <c r="CH92" s="128">
        <v>1.88</v>
      </c>
      <c r="CI92" s="128">
        <v>1.89</v>
      </c>
      <c r="CJ92" s="128">
        <v>1.89</v>
      </c>
      <c r="CK92" s="128">
        <v>1.89</v>
      </c>
      <c r="CL92" s="128">
        <v>1.89</v>
      </c>
      <c r="CM92" s="128">
        <v>1.89</v>
      </c>
      <c r="CN92" s="128">
        <v>1.89</v>
      </c>
      <c r="CO92" s="128">
        <v>1.89</v>
      </c>
      <c r="CP92" s="128">
        <v>1.89</v>
      </c>
      <c r="CQ92" s="128">
        <v>1.89</v>
      </c>
      <c r="CR92" s="128">
        <v>1.89</v>
      </c>
      <c r="CS92" s="128">
        <v>1.89</v>
      </c>
      <c r="CT92" s="128">
        <v>1.89</v>
      </c>
      <c r="CU92" s="128">
        <v>1.89</v>
      </c>
      <c r="CV92" s="128">
        <v>1.89</v>
      </c>
      <c r="CW92" s="128">
        <v>1.89</v>
      </c>
      <c r="CX92" s="128">
        <v>1.89</v>
      </c>
      <c r="CZ92" s="126">
        <f>SUMIF(MatrixF3[[1]:[2]],MatrixF3[[#This Row],[Столбец1]])/MatrixF3[[#This Row],[Столбец1]]</f>
        <v>92.999999999999829</v>
      </c>
    </row>
    <row r="93" spans="1:104" ht="21" customHeight="1" x14ac:dyDescent="0.25">
      <c r="A93" s="127">
        <v>1.9</v>
      </c>
      <c r="B93" s="128">
        <v>1.9</v>
      </c>
      <c r="C93" s="128">
        <v>1.9</v>
      </c>
      <c r="D93" s="128">
        <v>1.9</v>
      </c>
      <c r="E93" s="128">
        <v>1.9</v>
      </c>
      <c r="F93" s="128">
        <v>1.9</v>
      </c>
      <c r="G93" s="128">
        <v>1.9</v>
      </c>
      <c r="H93" s="128">
        <v>1.9</v>
      </c>
      <c r="I93" s="128">
        <v>1.9</v>
      </c>
      <c r="J93" s="128">
        <v>1.9</v>
      </c>
      <c r="K93" s="128">
        <v>1.9</v>
      </c>
      <c r="L93" s="128">
        <v>1.9</v>
      </c>
      <c r="M93" s="128">
        <v>1.9</v>
      </c>
      <c r="N93" s="128">
        <v>1.9</v>
      </c>
      <c r="O93" s="128">
        <v>1.9</v>
      </c>
      <c r="P93" s="128">
        <v>1.9</v>
      </c>
      <c r="Q93" s="128">
        <v>1.89</v>
      </c>
      <c r="R93" s="128">
        <v>1.89</v>
      </c>
      <c r="S93" s="128">
        <v>1.89</v>
      </c>
      <c r="T93" s="128">
        <v>1.89</v>
      </c>
      <c r="U93" s="128">
        <v>1.89</v>
      </c>
      <c r="V93" s="128">
        <v>1.89</v>
      </c>
      <c r="W93" s="128">
        <v>1.89</v>
      </c>
      <c r="X93" s="128">
        <v>1.89</v>
      </c>
      <c r="Y93" s="128">
        <v>1.89</v>
      </c>
      <c r="Z93" s="128">
        <v>1.88</v>
      </c>
      <c r="AA93" s="128">
        <v>1.88</v>
      </c>
      <c r="AB93" s="128">
        <v>1.88</v>
      </c>
      <c r="AC93" s="128">
        <v>1.88</v>
      </c>
      <c r="AD93" s="128">
        <v>1.88</v>
      </c>
      <c r="AE93" s="128">
        <v>1.88</v>
      </c>
      <c r="AF93" s="128">
        <v>1.88</v>
      </c>
      <c r="AG93" s="128">
        <v>1.87</v>
      </c>
      <c r="AH93" s="128">
        <v>1.87</v>
      </c>
      <c r="AI93" s="128">
        <v>1.87</v>
      </c>
      <c r="AJ93" s="128">
        <v>1.87</v>
      </c>
      <c r="AK93" s="128">
        <v>1.87</v>
      </c>
      <c r="AL93" s="128">
        <v>1.86</v>
      </c>
      <c r="AM93" s="128">
        <v>1.86</v>
      </c>
      <c r="AN93" s="128">
        <v>1.86</v>
      </c>
      <c r="AO93" s="128">
        <v>1.86</v>
      </c>
      <c r="AP93" s="128">
        <v>1.86</v>
      </c>
      <c r="AQ93" s="128">
        <v>1.86</v>
      </c>
      <c r="AR93" s="128">
        <v>1.85</v>
      </c>
      <c r="AS93" s="128">
        <v>1.85</v>
      </c>
      <c r="AT93" s="128">
        <v>1.85</v>
      </c>
      <c r="AU93" s="128">
        <v>1.85</v>
      </c>
      <c r="AV93" s="128">
        <v>1.84</v>
      </c>
      <c r="AW93" s="128">
        <v>1.84</v>
      </c>
      <c r="AX93" s="128">
        <v>1.84</v>
      </c>
      <c r="AY93" s="128">
        <v>1.84</v>
      </c>
      <c r="AZ93" s="128">
        <v>1.83</v>
      </c>
      <c r="BA93" s="128">
        <v>1.84</v>
      </c>
      <c r="BB93" s="128">
        <v>1.84</v>
      </c>
      <c r="BC93" s="128">
        <v>1.84</v>
      </c>
      <c r="BD93" s="128">
        <v>1.84</v>
      </c>
      <c r="BE93" s="128">
        <v>1.85</v>
      </c>
      <c r="BF93" s="128">
        <v>1.85</v>
      </c>
      <c r="BG93" s="128">
        <v>1.85</v>
      </c>
      <c r="BH93" s="128">
        <v>1.85</v>
      </c>
      <c r="BI93" s="128">
        <v>1.86</v>
      </c>
      <c r="BJ93" s="128">
        <v>1.86</v>
      </c>
      <c r="BK93" s="128">
        <v>1.86</v>
      </c>
      <c r="BL93" s="128">
        <v>1.86</v>
      </c>
      <c r="BM93" s="128">
        <v>1.86</v>
      </c>
      <c r="BN93" s="128">
        <v>1.86</v>
      </c>
      <c r="BO93" s="128">
        <v>1.87</v>
      </c>
      <c r="BP93" s="128">
        <v>1.87</v>
      </c>
      <c r="BQ93" s="128">
        <v>1.87</v>
      </c>
      <c r="BR93" s="128">
        <v>1.87</v>
      </c>
      <c r="BS93" s="128">
        <v>1.87</v>
      </c>
      <c r="BT93" s="128">
        <v>1.88</v>
      </c>
      <c r="BU93" s="128">
        <v>1.88</v>
      </c>
      <c r="BV93" s="128">
        <v>1.88</v>
      </c>
      <c r="BW93" s="128">
        <v>1.88</v>
      </c>
      <c r="BX93" s="128">
        <v>1.88</v>
      </c>
      <c r="BY93" s="128">
        <v>1.88</v>
      </c>
      <c r="BZ93" s="128">
        <v>1.88</v>
      </c>
      <c r="CA93" s="128">
        <v>1.89</v>
      </c>
      <c r="CB93" s="128">
        <v>1.89</v>
      </c>
      <c r="CC93" s="128">
        <v>1.89</v>
      </c>
      <c r="CD93" s="128">
        <v>1.89</v>
      </c>
      <c r="CE93" s="128">
        <v>1.89</v>
      </c>
      <c r="CF93" s="128">
        <v>1.89</v>
      </c>
      <c r="CG93" s="128">
        <v>1.89</v>
      </c>
      <c r="CH93" s="128">
        <v>1.89</v>
      </c>
      <c r="CI93" s="128">
        <v>1.89</v>
      </c>
      <c r="CJ93" s="128">
        <v>1.9</v>
      </c>
      <c r="CK93" s="128">
        <v>1.9</v>
      </c>
      <c r="CL93" s="128">
        <v>1.9</v>
      </c>
      <c r="CM93" s="128">
        <v>1.9</v>
      </c>
      <c r="CN93" s="128">
        <v>1.9</v>
      </c>
      <c r="CO93" s="128">
        <v>1.9</v>
      </c>
      <c r="CP93" s="128">
        <v>1.9</v>
      </c>
      <c r="CQ93" s="128">
        <v>1.9</v>
      </c>
      <c r="CR93" s="128">
        <v>1.9</v>
      </c>
      <c r="CS93" s="128">
        <v>1.9</v>
      </c>
      <c r="CT93" s="128">
        <v>1.9</v>
      </c>
      <c r="CU93" s="128">
        <v>1.9</v>
      </c>
      <c r="CV93" s="128">
        <v>1.9</v>
      </c>
      <c r="CW93" s="128">
        <v>1.9</v>
      </c>
      <c r="CX93" s="128">
        <v>1.9</v>
      </c>
      <c r="CZ93" s="126">
        <f>SUMIF(MatrixF3[[1]:[2]],MatrixF3[[#This Row],[Столбец1]])/MatrixF3[[#This Row],[Столбец1]]</f>
        <v>90.000000000000156</v>
      </c>
    </row>
    <row r="94" spans="1:104" ht="21" customHeight="1" x14ac:dyDescent="0.25">
      <c r="A94" s="127">
        <v>1.91</v>
      </c>
      <c r="B94" s="128">
        <v>1.91</v>
      </c>
      <c r="C94" s="128">
        <v>1.91</v>
      </c>
      <c r="D94" s="128">
        <v>1.91</v>
      </c>
      <c r="E94" s="128">
        <v>1.91</v>
      </c>
      <c r="F94" s="128">
        <v>1.91</v>
      </c>
      <c r="G94" s="128">
        <v>1.91</v>
      </c>
      <c r="H94" s="128">
        <v>1.91</v>
      </c>
      <c r="I94" s="128">
        <v>1.91</v>
      </c>
      <c r="J94" s="128">
        <v>1.91</v>
      </c>
      <c r="K94" s="128">
        <v>1.91</v>
      </c>
      <c r="L94" s="128">
        <v>1.91</v>
      </c>
      <c r="M94" s="128">
        <v>1.91</v>
      </c>
      <c r="N94" s="128">
        <v>1.91</v>
      </c>
      <c r="O94" s="128">
        <v>1.91</v>
      </c>
      <c r="P94" s="128">
        <v>1.91</v>
      </c>
      <c r="Q94" s="128">
        <v>1.9</v>
      </c>
      <c r="R94" s="128">
        <v>1.9</v>
      </c>
      <c r="S94" s="128">
        <v>1.9</v>
      </c>
      <c r="T94" s="128">
        <v>1.9</v>
      </c>
      <c r="U94" s="128">
        <v>1.9</v>
      </c>
      <c r="V94" s="128">
        <v>1.9</v>
      </c>
      <c r="W94" s="128">
        <v>1.9</v>
      </c>
      <c r="X94" s="128">
        <v>1.9</v>
      </c>
      <c r="Y94" s="128">
        <v>1.9</v>
      </c>
      <c r="Z94" s="128">
        <v>1.89</v>
      </c>
      <c r="AA94" s="128">
        <v>1.89</v>
      </c>
      <c r="AB94" s="128">
        <v>1.89</v>
      </c>
      <c r="AC94" s="128">
        <v>1.89</v>
      </c>
      <c r="AD94" s="128">
        <v>1.89</v>
      </c>
      <c r="AE94" s="128">
        <v>1.89</v>
      </c>
      <c r="AF94" s="128">
        <v>1.89</v>
      </c>
      <c r="AG94" s="128">
        <v>1.88</v>
      </c>
      <c r="AH94" s="128">
        <v>1.88</v>
      </c>
      <c r="AI94" s="128">
        <v>1.88</v>
      </c>
      <c r="AJ94" s="128">
        <v>1.88</v>
      </c>
      <c r="AK94" s="128">
        <v>1.88</v>
      </c>
      <c r="AL94" s="128">
        <v>1.88</v>
      </c>
      <c r="AM94" s="128">
        <v>1.88</v>
      </c>
      <c r="AN94" s="128">
        <v>1.87</v>
      </c>
      <c r="AO94" s="128">
        <v>1.87</v>
      </c>
      <c r="AP94" s="128">
        <v>1.87</v>
      </c>
      <c r="AQ94" s="128">
        <v>1.87</v>
      </c>
      <c r="AR94" s="128">
        <v>1.87</v>
      </c>
      <c r="AS94" s="128">
        <v>1.86</v>
      </c>
      <c r="AT94" s="128">
        <v>1.86</v>
      </c>
      <c r="AU94" s="128">
        <v>1.86</v>
      </c>
      <c r="AV94" s="128">
        <v>1.86</v>
      </c>
      <c r="AW94" s="128">
        <v>1.85</v>
      </c>
      <c r="AX94" s="128">
        <v>1.85</v>
      </c>
      <c r="AY94" s="128">
        <v>1.85</v>
      </c>
      <c r="AZ94" s="128">
        <v>1.85</v>
      </c>
      <c r="BA94" s="128">
        <v>1.85</v>
      </c>
      <c r="BB94" s="128">
        <v>1.85</v>
      </c>
      <c r="BC94" s="128">
        <v>1.85</v>
      </c>
      <c r="BD94" s="128">
        <v>1.86</v>
      </c>
      <c r="BE94" s="128">
        <v>1.86</v>
      </c>
      <c r="BF94" s="128">
        <v>1.86</v>
      </c>
      <c r="BG94" s="128">
        <v>1.86</v>
      </c>
      <c r="BH94" s="128">
        <v>1.87</v>
      </c>
      <c r="BI94" s="128">
        <v>1.87</v>
      </c>
      <c r="BJ94" s="128">
        <v>1.87</v>
      </c>
      <c r="BK94" s="128">
        <v>1.87</v>
      </c>
      <c r="BL94" s="128">
        <v>1.87</v>
      </c>
      <c r="BM94" s="128">
        <v>1.88</v>
      </c>
      <c r="BN94" s="128">
        <v>1.88</v>
      </c>
      <c r="BO94" s="128">
        <v>1.88</v>
      </c>
      <c r="BP94" s="128">
        <v>1.88</v>
      </c>
      <c r="BQ94" s="128">
        <v>1.88</v>
      </c>
      <c r="BR94" s="128">
        <v>1.88</v>
      </c>
      <c r="BS94" s="128">
        <v>1.88</v>
      </c>
      <c r="BT94" s="128">
        <v>1.89</v>
      </c>
      <c r="BU94" s="128">
        <v>1.89</v>
      </c>
      <c r="BV94" s="128">
        <v>1.89</v>
      </c>
      <c r="BW94" s="128">
        <v>1.89</v>
      </c>
      <c r="BX94" s="128">
        <v>1.89</v>
      </c>
      <c r="BY94" s="128">
        <v>1.89</v>
      </c>
      <c r="BZ94" s="128">
        <v>1.89</v>
      </c>
      <c r="CA94" s="128">
        <v>1.9</v>
      </c>
      <c r="CB94" s="128">
        <v>1.9</v>
      </c>
      <c r="CC94" s="128">
        <v>1.9</v>
      </c>
      <c r="CD94" s="128">
        <v>1.9</v>
      </c>
      <c r="CE94" s="128">
        <v>1.9</v>
      </c>
      <c r="CF94" s="128">
        <v>1.9</v>
      </c>
      <c r="CG94" s="128">
        <v>1.9</v>
      </c>
      <c r="CH94" s="128">
        <v>1.9</v>
      </c>
      <c r="CI94" s="128">
        <v>1.9</v>
      </c>
      <c r="CJ94" s="128">
        <v>1.91</v>
      </c>
      <c r="CK94" s="128">
        <v>1.91</v>
      </c>
      <c r="CL94" s="128">
        <v>1.91</v>
      </c>
      <c r="CM94" s="128">
        <v>1.91</v>
      </c>
      <c r="CN94" s="128">
        <v>1.91</v>
      </c>
      <c r="CO94" s="128">
        <v>1.91</v>
      </c>
      <c r="CP94" s="128">
        <v>1.91</v>
      </c>
      <c r="CQ94" s="128">
        <v>1.91</v>
      </c>
      <c r="CR94" s="128">
        <v>1.91</v>
      </c>
      <c r="CS94" s="128">
        <v>1.91</v>
      </c>
      <c r="CT94" s="128">
        <v>1.91</v>
      </c>
      <c r="CU94" s="128">
        <v>1.91</v>
      </c>
      <c r="CV94" s="128">
        <v>1.91</v>
      </c>
      <c r="CW94" s="128">
        <v>1.91</v>
      </c>
      <c r="CX94" s="128">
        <v>1.91</v>
      </c>
      <c r="CZ94" s="126">
        <f>SUMIF(MatrixF3[[1]:[2]],MatrixF3[[#This Row],[Столбец1]])/MatrixF3[[#This Row],[Столбец1]]</f>
        <v>88.999999999999872</v>
      </c>
    </row>
    <row r="95" spans="1:104" ht="21" customHeight="1" x14ac:dyDescent="0.25">
      <c r="A95" s="127">
        <v>1.92</v>
      </c>
      <c r="B95" s="128">
        <v>1.92</v>
      </c>
      <c r="C95" s="128">
        <v>1.92</v>
      </c>
      <c r="D95" s="128">
        <v>1.92</v>
      </c>
      <c r="E95" s="128">
        <v>1.92</v>
      </c>
      <c r="F95" s="128">
        <v>1.92</v>
      </c>
      <c r="G95" s="128">
        <v>1.92</v>
      </c>
      <c r="H95" s="128">
        <v>1.92</v>
      </c>
      <c r="I95" s="128">
        <v>1.92</v>
      </c>
      <c r="J95" s="128">
        <v>1.92</v>
      </c>
      <c r="K95" s="128">
        <v>1.92</v>
      </c>
      <c r="L95" s="128">
        <v>1.92</v>
      </c>
      <c r="M95" s="128">
        <v>1.92</v>
      </c>
      <c r="N95" s="128">
        <v>1.92</v>
      </c>
      <c r="O95" s="128">
        <v>1.92</v>
      </c>
      <c r="P95" s="128">
        <v>1.91</v>
      </c>
      <c r="Q95" s="128">
        <v>1.91</v>
      </c>
      <c r="R95" s="128">
        <v>1.91</v>
      </c>
      <c r="S95" s="128">
        <v>1.91</v>
      </c>
      <c r="T95" s="128">
        <v>1.91</v>
      </c>
      <c r="U95" s="128">
        <v>1.91</v>
      </c>
      <c r="V95" s="128">
        <v>1.91</v>
      </c>
      <c r="W95" s="128">
        <v>1.91</v>
      </c>
      <c r="X95" s="128">
        <v>1.91</v>
      </c>
      <c r="Y95" s="128">
        <v>1.91</v>
      </c>
      <c r="Z95" s="128">
        <v>1.9</v>
      </c>
      <c r="AA95" s="128">
        <v>1.9</v>
      </c>
      <c r="AB95" s="128">
        <v>1.9</v>
      </c>
      <c r="AC95" s="128">
        <v>1.9</v>
      </c>
      <c r="AD95" s="128">
        <v>1.9</v>
      </c>
      <c r="AE95" s="128">
        <v>1.9</v>
      </c>
      <c r="AF95" s="128">
        <v>1.9</v>
      </c>
      <c r="AG95" s="128">
        <v>1.9</v>
      </c>
      <c r="AH95" s="128">
        <v>1.89</v>
      </c>
      <c r="AI95" s="128">
        <v>1.89</v>
      </c>
      <c r="AJ95" s="128">
        <v>1.89</v>
      </c>
      <c r="AK95" s="128">
        <v>1.89</v>
      </c>
      <c r="AL95" s="128">
        <v>1.89</v>
      </c>
      <c r="AM95" s="128">
        <v>1.89</v>
      </c>
      <c r="AN95" s="128">
        <v>1.89</v>
      </c>
      <c r="AO95" s="128">
        <v>1.88</v>
      </c>
      <c r="AP95" s="128">
        <v>1.88</v>
      </c>
      <c r="AQ95" s="128">
        <v>1.88</v>
      </c>
      <c r="AR95" s="128">
        <v>1.88</v>
      </c>
      <c r="AS95" s="128">
        <v>1.88</v>
      </c>
      <c r="AT95" s="128">
        <v>1.88</v>
      </c>
      <c r="AU95" s="128">
        <v>1.87</v>
      </c>
      <c r="AV95" s="128">
        <v>1.87</v>
      </c>
      <c r="AW95" s="128">
        <v>1.87</v>
      </c>
      <c r="AX95" s="128">
        <v>1.87</v>
      </c>
      <c r="AY95" s="128">
        <v>1.86</v>
      </c>
      <c r="AZ95" s="128">
        <v>1.86</v>
      </c>
      <c r="BA95" s="128">
        <v>1.86</v>
      </c>
      <c r="BB95" s="128">
        <v>1.87</v>
      </c>
      <c r="BC95" s="128">
        <v>1.87</v>
      </c>
      <c r="BD95" s="128">
        <v>1.87</v>
      </c>
      <c r="BE95" s="128">
        <v>1.87</v>
      </c>
      <c r="BF95" s="128">
        <v>1.88</v>
      </c>
      <c r="BG95" s="128">
        <v>1.88</v>
      </c>
      <c r="BH95" s="128">
        <v>1.88</v>
      </c>
      <c r="BI95" s="128">
        <v>1.88</v>
      </c>
      <c r="BJ95" s="128">
        <v>1.88</v>
      </c>
      <c r="BK95" s="128">
        <v>1.88</v>
      </c>
      <c r="BL95" s="128">
        <v>1.89</v>
      </c>
      <c r="BM95" s="128">
        <v>1.89</v>
      </c>
      <c r="BN95" s="128">
        <v>1.89</v>
      </c>
      <c r="BO95" s="128">
        <v>1.89</v>
      </c>
      <c r="BP95" s="128">
        <v>1.89</v>
      </c>
      <c r="BQ95" s="128">
        <v>1.89</v>
      </c>
      <c r="BR95" s="128">
        <v>1.89</v>
      </c>
      <c r="BS95" s="128">
        <v>1.9</v>
      </c>
      <c r="BT95" s="128">
        <v>1.9</v>
      </c>
      <c r="BU95" s="128">
        <v>1.9</v>
      </c>
      <c r="BV95" s="128">
        <v>1.9</v>
      </c>
      <c r="BW95" s="128">
        <v>1.9</v>
      </c>
      <c r="BX95" s="128">
        <v>1.9</v>
      </c>
      <c r="BY95" s="128">
        <v>1.9</v>
      </c>
      <c r="BZ95" s="128">
        <v>1.9</v>
      </c>
      <c r="CA95" s="128">
        <v>1.91</v>
      </c>
      <c r="CB95" s="128">
        <v>1.91</v>
      </c>
      <c r="CC95" s="128">
        <v>1.91</v>
      </c>
      <c r="CD95" s="128">
        <v>1.91</v>
      </c>
      <c r="CE95" s="128">
        <v>1.91</v>
      </c>
      <c r="CF95" s="128">
        <v>1.91</v>
      </c>
      <c r="CG95" s="128">
        <v>1.91</v>
      </c>
      <c r="CH95" s="128">
        <v>1.91</v>
      </c>
      <c r="CI95" s="128">
        <v>1.91</v>
      </c>
      <c r="CJ95" s="128">
        <v>1.91</v>
      </c>
      <c r="CK95" s="128">
        <v>1.92</v>
      </c>
      <c r="CL95" s="128">
        <v>1.92</v>
      </c>
      <c r="CM95" s="128">
        <v>1.92</v>
      </c>
      <c r="CN95" s="128">
        <v>1.92</v>
      </c>
      <c r="CO95" s="128">
        <v>1.92</v>
      </c>
      <c r="CP95" s="128">
        <v>1.92</v>
      </c>
      <c r="CQ95" s="128">
        <v>1.92</v>
      </c>
      <c r="CR95" s="128">
        <v>1.92</v>
      </c>
      <c r="CS95" s="128">
        <v>1.92</v>
      </c>
      <c r="CT95" s="128">
        <v>1.92</v>
      </c>
      <c r="CU95" s="128">
        <v>1.92</v>
      </c>
      <c r="CV95" s="128">
        <v>1.92</v>
      </c>
      <c r="CW95" s="128">
        <v>1.92</v>
      </c>
      <c r="CX95" s="128">
        <v>1.92</v>
      </c>
      <c r="CZ95" s="126">
        <f>SUMIF(MatrixF3[[1]:[2]],MatrixF3[[#This Row],[Столбец1]])/MatrixF3[[#This Row],[Столбец1]]</f>
        <v>85.999999999999929</v>
      </c>
    </row>
    <row r="96" spans="1:104" ht="21" customHeight="1" x14ac:dyDescent="0.25">
      <c r="A96" s="127">
        <v>1.93</v>
      </c>
      <c r="B96" s="128">
        <v>1.93</v>
      </c>
      <c r="C96" s="128">
        <v>1.93</v>
      </c>
      <c r="D96" s="128">
        <v>1.93</v>
      </c>
      <c r="E96" s="128">
        <v>1.93</v>
      </c>
      <c r="F96" s="128">
        <v>1.93</v>
      </c>
      <c r="G96" s="128">
        <v>1.93</v>
      </c>
      <c r="H96" s="128">
        <v>1.93</v>
      </c>
      <c r="I96" s="128">
        <v>1.93</v>
      </c>
      <c r="J96" s="128">
        <v>1.93</v>
      </c>
      <c r="K96" s="128">
        <v>1.93</v>
      </c>
      <c r="L96" s="128">
        <v>1.93</v>
      </c>
      <c r="M96" s="128">
        <v>1.93</v>
      </c>
      <c r="N96" s="128">
        <v>1.93</v>
      </c>
      <c r="O96" s="128">
        <v>1.93</v>
      </c>
      <c r="P96" s="128">
        <v>1.92</v>
      </c>
      <c r="Q96" s="128">
        <v>1.92</v>
      </c>
      <c r="R96" s="128">
        <v>1.92</v>
      </c>
      <c r="S96" s="128">
        <v>1.92</v>
      </c>
      <c r="T96" s="128">
        <v>1.92</v>
      </c>
      <c r="U96" s="128">
        <v>1.92</v>
      </c>
      <c r="V96" s="128">
        <v>1.92</v>
      </c>
      <c r="W96" s="128">
        <v>1.92</v>
      </c>
      <c r="X96" s="128">
        <v>1.92</v>
      </c>
      <c r="Y96" s="128">
        <v>1.92</v>
      </c>
      <c r="Z96" s="128">
        <v>1.92</v>
      </c>
      <c r="AA96" s="128">
        <v>1.91</v>
      </c>
      <c r="AB96" s="128">
        <v>1.91</v>
      </c>
      <c r="AC96" s="128">
        <v>1.91</v>
      </c>
      <c r="AD96" s="128">
        <v>1.91</v>
      </c>
      <c r="AE96" s="128">
        <v>1.91</v>
      </c>
      <c r="AF96" s="128">
        <v>1.91</v>
      </c>
      <c r="AG96" s="128">
        <v>1.91</v>
      </c>
      <c r="AH96" s="128">
        <v>1.91</v>
      </c>
      <c r="AI96" s="128">
        <v>1.91</v>
      </c>
      <c r="AJ96" s="128">
        <v>1.9</v>
      </c>
      <c r="AK96" s="128">
        <v>1.9</v>
      </c>
      <c r="AL96" s="128">
        <v>1.9</v>
      </c>
      <c r="AM96" s="128">
        <v>1.9</v>
      </c>
      <c r="AN96" s="128">
        <v>1.9</v>
      </c>
      <c r="AO96" s="128">
        <v>1.9</v>
      </c>
      <c r="AP96" s="128">
        <v>1.9</v>
      </c>
      <c r="AQ96" s="128">
        <v>1.89</v>
      </c>
      <c r="AR96" s="128">
        <v>1.89</v>
      </c>
      <c r="AS96" s="128">
        <v>1.89</v>
      </c>
      <c r="AT96" s="128">
        <v>1.89</v>
      </c>
      <c r="AU96" s="128">
        <v>1.89</v>
      </c>
      <c r="AV96" s="128">
        <v>1.89</v>
      </c>
      <c r="AW96" s="128">
        <v>1.88</v>
      </c>
      <c r="AX96" s="128">
        <v>1.88</v>
      </c>
      <c r="AY96" s="128">
        <v>1.88</v>
      </c>
      <c r="AZ96" s="128">
        <v>1.88</v>
      </c>
      <c r="BA96" s="128">
        <v>1.88</v>
      </c>
      <c r="BB96" s="128">
        <v>1.88</v>
      </c>
      <c r="BC96" s="128">
        <v>1.88</v>
      </c>
      <c r="BD96" s="128">
        <v>1.89</v>
      </c>
      <c r="BE96" s="128">
        <v>1.89</v>
      </c>
      <c r="BF96" s="128">
        <v>1.89</v>
      </c>
      <c r="BG96" s="128">
        <v>1.89</v>
      </c>
      <c r="BH96" s="128">
        <v>1.89</v>
      </c>
      <c r="BI96" s="128">
        <v>1.89</v>
      </c>
      <c r="BJ96" s="128">
        <v>1.9</v>
      </c>
      <c r="BK96" s="128">
        <v>1.9</v>
      </c>
      <c r="BL96" s="128">
        <v>1.9</v>
      </c>
      <c r="BM96" s="128">
        <v>1.9</v>
      </c>
      <c r="BN96" s="128">
        <v>1.9</v>
      </c>
      <c r="BO96" s="128">
        <v>1.9</v>
      </c>
      <c r="BP96" s="128">
        <v>1.9</v>
      </c>
      <c r="BQ96" s="128">
        <v>1.91</v>
      </c>
      <c r="BR96" s="128">
        <v>1.91</v>
      </c>
      <c r="BS96" s="128">
        <v>1.91</v>
      </c>
      <c r="BT96" s="128">
        <v>1.91</v>
      </c>
      <c r="BU96" s="128">
        <v>1.91</v>
      </c>
      <c r="BV96" s="128">
        <v>1.91</v>
      </c>
      <c r="BW96" s="128">
        <v>1.91</v>
      </c>
      <c r="BX96" s="128">
        <v>1.91</v>
      </c>
      <c r="BY96" s="128">
        <v>1.91</v>
      </c>
      <c r="BZ96" s="128">
        <v>1.92</v>
      </c>
      <c r="CA96" s="128">
        <v>1.92</v>
      </c>
      <c r="CB96" s="128">
        <v>1.92</v>
      </c>
      <c r="CC96" s="128">
        <v>1.92</v>
      </c>
      <c r="CD96" s="128">
        <v>1.92</v>
      </c>
      <c r="CE96" s="128">
        <v>1.92</v>
      </c>
      <c r="CF96" s="128">
        <v>1.92</v>
      </c>
      <c r="CG96" s="128">
        <v>1.92</v>
      </c>
      <c r="CH96" s="128">
        <v>1.92</v>
      </c>
      <c r="CI96" s="128">
        <v>1.92</v>
      </c>
      <c r="CJ96" s="128">
        <v>1.92</v>
      </c>
      <c r="CK96" s="128">
        <v>1.93</v>
      </c>
      <c r="CL96" s="128">
        <v>1.93</v>
      </c>
      <c r="CM96" s="128">
        <v>1.93</v>
      </c>
      <c r="CN96" s="128">
        <v>1.93</v>
      </c>
      <c r="CO96" s="128">
        <v>1.93</v>
      </c>
      <c r="CP96" s="128">
        <v>1.93</v>
      </c>
      <c r="CQ96" s="128">
        <v>1.93</v>
      </c>
      <c r="CR96" s="128">
        <v>1.93</v>
      </c>
      <c r="CS96" s="128">
        <v>1.93</v>
      </c>
      <c r="CT96" s="128">
        <v>1.93</v>
      </c>
      <c r="CU96" s="128">
        <v>1.93</v>
      </c>
      <c r="CV96" s="128">
        <v>1.93</v>
      </c>
      <c r="CW96" s="128">
        <v>1.93</v>
      </c>
      <c r="CX96" s="128">
        <v>1.93</v>
      </c>
      <c r="CZ96" s="126">
        <f>SUMIF(MatrixF3[[1]:[2]],MatrixF3[[#This Row],[Столбец1]])/MatrixF3[[#This Row],[Столбец1]]</f>
        <v>87.000000000000199</v>
      </c>
    </row>
    <row r="97" spans="1:104" ht="21" customHeight="1" x14ac:dyDescent="0.25">
      <c r="A97" s="127">
        <v>1.94</v>
      </c>
      <c r="B97" s="128">
        <v>1.94</v>
      </c>
      <c r="C97" s="128">
        <v>1.94</v>
      </c>
      <c r="D97" s="128">
        <v>1.94</v>
      </c>
      <c r="E97" s="128">
        <v>1.94</v>
      </c>
      <c r="F97" s="128">
        <v>1.94</v>
      </c>
      <c r="G97" s="128">
        <v>1.94</v>
      </c>
      <c r="H97" s="128">
        <v>1.94</v>
      </c>
      <c r="I97" s="128">
        <v>1.94</v>
      </c>
      <c r="J97" s="128">
        <v>1.94</v>
      </c>
      <c r="K97" s="128">
        <v>1.94</v>
      </c>
      <c r="L97" s="128">
        <v>1.94</v>
      </c>
      <c r="M97" s="128">
        <v>1.94</v>
      </c>
      <c r="N97" s="128">
        <v>1.94</v>
      </c>
      <c r="O97" s="128">
        <v>1.94</v>
      </c>
      <c r="P97" s="128">
        <v>1.93</v>
      </c>
      <c r="Q97" s="128">
        <v>1.93</v>
      </c>
      <c r="R97" s="128">
        <v>1.93</v>
      </c>
      <c r="S97" s="128">
        <v>1.93</v>
      </c>
      <c r="T97" s="128">
        <v>1.93</v>
      </c>
      <c r="U97" s="128">
        <v>1.93</v>
      </c>
      <c r="V97" s="128">
        <v>1.93</v>
      </c>
      <c r="W97" s="128">
        <v>1.93</v>
      </c>
      <c r="X97" s="128">
        <v>1.93</v>
      </c>
      <c r="Y97" s="128">
        <v>1.93</v>
      </c>
      <c r="Z97" s="128">
        <v>1.93</v>
      </c>
      <c r="AA97" s="128">
        <v>1.93</v>
      </c>
      <c r="AB97" s="128">
        <v>1.92</v>
      </c>
      <c r="AC97" s="128">
        <v>1.92</v>
      </c>
      <c r="AD97" s="128">
        <v>1.92</v>
      </c>
      <c r="AE97" s="128">
        <v>1.92</v>
      </c>
      <c r="AF97" s="128">
        <v>1.92</v>
      </c>
      <c r="AG97" s="128">
        <v>1.92</v>
      </c>
      <c r="AH97" s="128">
        <v>1.92</v>
      </c>
      <c r="AI97" s="128">
        <v>1.92</v>
      </c>
      <c r="AJ97" s="128">
        <v>1.92</v>
      </c>
      <c r="AK97" s="128">
        <v>1.92</v>
      </c>
      <c r="AL97" s="128">
        <v>1.91</v>
      </c>
      <c r="AM97" s="128">
        <v>1.91</v>
      </c>
      <c r="AN97" s="128">
        <v>1.91</v>
      </c>
      <c r="AO97" s="128">
        <v>1.91</v>
      </c>
      <c r="AP97" s="128">
        <v>1.91</v>
      </c>
      <c r="AQ97" s="128">
        <v>1.91</v>
      </c>
      <c r="AR97" s="128">
        <v>1.91</v>
      </c>
      <c r="AS97" s="128">
        <v>1.9</v>
      </c>
      <c r="AT97" s="128">
        <v>1.9</v>
      </c>
      <c r="AU97" s="128">
        <v>1.9</v>
      </c>
      <c r="AV97" s="128">
        <v>1.9</v>
      </c>
      <c r="AW97" s="128">
        <v>1.9</v>
      </c>
      <c r="AX97" s="128">
        <v>1.9</v>
      </c>
      <c r="AY97" s="128">
        <v>1.89</v>
      </c>
      <c r="AZ97" s="128">
        <v>1.89</v>
      </c>
      <c r="BA97" s="128">
        <v>1.89</v>
      </c>
      <c r="BB97" s="128">
        <v>1.9</v>
      </c>
      <c r="BC97" s="128">
        <v>1.9</v>
      </c>
      <c r="BD97" s="128">
        <v>1.9</v>
      </c>
      <c r="BE97" s="128">
        <v>1.9</v>
      </c>
      <c r="BF97" s="128">
        <v>1.9</v>
      </c>
      <c r="BG97" s="128">
        <v>1.9</v>
      </c>
      <c r="BH97" s="128">
        <v>1.91</v>
      </c>
      <c r="BI97" s="128">
        <v>1.91</v>
      </c>
      <c r="BJ97" s="128">
        <v>1.91</v>
      </c>
      <c r="BK97" s="128">
        <v>1.91</v>
      </c>
      <c r="BL97" s="128">
        <v>1.91</v>
      </c>
      <c r="BM97" s="128">
        <v>1.91</v>
      </c>
      <c r="BN97" s="128">
        <v>1.91</v>
      </c>
      <c r="BO97" s="128">
        <v>1.92</v>
      </c>
      <c r="BP97" s="128">
        <v>1.92</v>
      </c>
      <c r="BQ97" s="128">
        <v>1.92</v>
      </c>
      <c r="BR97" s="128">
        <v>1.92</v>
      </c>
      <c r="BS97" s="128">
        <v>1.92</v>
      </c>
      <c r="BT97" s="128">
        <v>1.92</v>
      </c>
      <c r="BU97" s="128">
        <v>1.92</v>
      </c>
      <c r="BV97" s="128">
        <v>1.92</v>
      </c>
      <c r="BW97" s="128">
        <v>1.92</v>
      </c>
      <c r="BX97" s="128">
        <v>1.92</v>
      </c>
      <c r="BY97" s="128">
        <v>1.93</v>
      </c>
      <c r="BZ97" s="128">
        <v>1.93</v>
      </c>
      <c r="CA97" s="128">
        <v>1.93</v>
      </c>
      <c r="CB97" s="128">
        <v>1.93</v>
      </c>
      <c r="CC97" s="128">
        <v>1.93</v>
      </c>
      <c r="CD97" s="128">
        <v>1.93</v>
      </c>
      <c r="CE97" s="128">
        <v>1.93</v>
      </c>
      <c r="CF97" s="128">
        <v>1.93</v>
      </c>
      <c r="CG97" s="128">
        <v>1.93</v>
      </c>
      <c r="CH97" s="128">
        <v>1.93</v>
      </c>
      <c r="CI97" s="128">
        <v>1.93</v>
      </c>
      <c r="CJ97" s="128">
        <v>1.93</v>
      </c>
      <c r="CK97" s="128">
        <v>1.94</v>
      </c>
      <c r="CL97" s="128">
        <v>1.94</v>
      </c>
      <c r="CM97" s="128">
        <v>1.94</v>
      </c>
      <c r="CN97" s="128">
        <v>1.94</v>
      </c>
      <c r="CO97" s="128">
        <v>1.94</v>
      </c>
      <c r="CP97" s="128">
        <v>1.94</v>
      </c>
      <c r="CQ97" s="128">
        <v>1.94</v>
      </c>
      <c r="CR97" s="128">
        <v>1.94</v>
      </c>
      <c r="CS97" s="128">
        <v>1.94</v>
      </c>
      <c r="CT97" s="128">
        <v>1.94</v>
      </c>
      <c r="CU97" s="128">
        <v>1.94</v>
      </c>
      <c r="CV97" s="128">
        <v>1.94</v>
      </c>
      <c r="CW97" s="128">
        <v>1.94</v>
      </c>
      <c r="CX97" s="128">
        <v>1.94</v>
      </c>
      <c r="CZ97" s="126">
        <f>SUMIF(MatrixF3[[1]:[2]],MatrixF3[[#This Row],[Столбец1]])/MatrixF3[[#This Row],[Столбец1]]</f>
        <v>80.999999999999943</v>
      </c>
    </row>
    <row r="98" spans="1:104" ht="21" customHeight="1" x14ac:dyDescent="0.25">
      <c r="A98" s="127">
        <v>1.95</v>
      </c>
      <c r="B98" s="128">
        <v>1.95</v>
      </c>
      <c r="C98" s="128">
        <v>1.95</v>
      </c>
      <c r="D98" s="128">
        <v>1.95</v>
      </c>
      <c r="E98" s="128">
        <v>1.95</v>
      </c>
      <c r="F98" s="128">
        <v>1.95</v>
      </c>
      <c r="G98" s="128">
        <v>1.95</v>
      </c>
      <c r="H98" s="128">
        <v>1.95</v>
      </c>
      <c r="I98" s="128">
        <v>1.95</v>
      </c>
      <c r="J98" s="128">
        <v>1.95</v>
      </c>
      <c r="K98" s="128">
        <v>1.95</v>
      </c>
      <c r="L98" s="128">
        <v>1.95</v>
      </c>
      <c r="M98" s="128">
        <v>1.95</v>
      </c>
      <c r="N98" s="128">
        <v>1.95</v>
      </c>
      <c r="O98" s="128">
        <v>1.95</v>
      </c>
      <c r="P98" s="128">
        <v>1.95</v>
      </c>
      <c r="Q98" s="128">
        <v>1.94</v>
      </c>
      <c r="R98" s="128">
        <v>1.94</v>
      </c>
      <c r="S98" s="128">
        <v>1.94</v>
      </c>
      <c r="T98" s="128">
        <v>1.94</v>
      </c>
      <c r="U98" s="128">
        <v>1.94</v>
      </c>
      <c r="V98" s="128">
        <v>1.94</v>
      </c>
      <c r="W98" s="128">
        <v>1.94</v>
      </c>
      <c r="X98" s="128">
        <v>1.94</v>
      </c>
      <c r="Y98" s="128">
        <v>1.94</v>
      </c>
      <c r="Z98" s="128">
        <v>1.94</v>
      </c>
      <c r="AA98" s="128">
        <v>1.94</v>
      </c>
      <c r="AB98" s="128">
        <v>1.94</v>
      </c>
      <c r="AC98" s="128">
        <v>1.94</v>
      </c>
      <c r="AD98" s="128">
        <v>1.94</v>
      </c>
      <c r="AE98" s="128">
        <v>1.93</v>
      </c>
      <c r="AF98" s="128">
        <v>1.93</v>
      </c>
      <c r="AG98" s="128">
        <v>1.93</v>
      </c>
      <c r="AH98" s="128">
        <v>1.93</v>
      </c>
      <c r="AI98" s="128">
        <v>1.93</v>
      </c>
      <c r="AJ98" s="128">
        <v>1.93</v>
      </c>
      <c r="AK98" s="128">
        <v>1.93</v>
      </c>
      <c r="AL98" s="128">
        <v>1.93</v>
      </c>
      <c r="AM98" s="128">
        <v>1.93</v>
      </c>
      <c r="AN98" s="128">
        <v>1.93</v>
      </c>
      <c r="AO98" s="128">
        <v>1.92</v>
      </c>
      <c r="AP98" s="128">
        <v>1.92</v>
      </c>
      <c r="AQ98" s="128">
        <v>1.92</v>
      </c>
      <c r="AR98" s="128">
        <v>1.92</v>
      </c>
      <c r="AS98" s="128">
        <v>1.92</v>
      </c>
      <c r="AT98" s="128">
        <v>1.92</v>
      </c>
      <c r="AU98" s="128">
        <v>1.92</v>
      </c>
      <c r="AV98" s="128">
        <v>1.92</v>
      </c>
      <c r="AW98" s="128">
        <v>1.91</v>
      </c>
      <c r="AX98" s="128">
        <v>1.91</v>
      </c>
      <c r="AY98" s="128">
        <v>1.91</v>
      </c>
      <c r="AZ98" s="128">
        <v>1.91</v>
      </c>
      <c r="BA98" s="128">
        <v>1.91</v>
      </c>
      <c r="BB98" s="128">
        <v>1.91</v>
      </c>
      <c r="BC98" s="128">
        <v>1.91</v>
      </c>
      <c r="BD98" s="128">
        <v>1.92</v>
      </c>
      <c r="BE98" s="128">
        <v>1.92</v>
      </c>
      <c r="BF98" s="128">
        <v>1.92</v>
      </c>
      <c r="BG98" s="128">
        <v>1.92</v>
      </c>
      <c r="BH98" s="128">
        <v>1.92</v>
      </c>
      <c r="BI98" s="128">
        <v>1.92</v>
      </c>
      <c r="BJ98" s="128">
        <v>1.92</v>
      </c>
      <c r="BK98" s="128">
        <v>1.92</v>
      </c>
      <c r="BL98" s="128">
        <v>1.93</v>
      </c>
      <c r="BM98" s="128">
        <v>1.93</v>
      </c>
      <c r="BN98" s="128">
        <v>1.93</v>
      </c>
      <c r="BO98" s="128">
        <v>1.93</v>
      </c>
      <c r="BP98" s="128">
        <v>1.93</v>
      </c>
      <c r="BQ98" s="128">
        <v>1.93</v>
      </c>
      <c r="BR98" s="128">
        <v>1.93</v>
      </c>
      <c r="BS98" s="128">
        <v>1.93</v>
      </c>
      <c r="BT98" s="128">
        <v>1.93</v>
      </c>
      <c r="BU98" s="128">
        <v>1.93</v>
      </c>
      <c r="BV98" s="128">
        <v>1.94</v>
      </c>
      <c r="BW98" s="128">
        <v>1.94</v>
      </c>
      <c r="BX98" s="128">
        <v>1.94</v>
      </c>
      <c r="BY98" s="128">
        <v>1.94</v>
      </c>
      <c r="BZ98" s="128">
        <v>1.94</v>
      </c>
      <c r="CA98" s="128">
        <v>1.94</v>
      </c>
      <c r="CB98" s="128">
        <v>1.94</v>
      </c>
      <c r="CC98" s="128">
        <v>1.94</v>
      </c>
      <c r="CD98" s="128">
        <v>1.94</v>
      </c>
      <c r="CE98" s="128">
        <v>1.94</v>
      </c>
      <c r="CF98" s="128">
        <v>1.94</v>
      </c>
      <c r="CG98" s="128">
        <v>1.94</v>
      </c>
      <c r="CH98" s="128">
        <v>1.94</v>
      </c>
      <c r="CI98" s="128">
        <v>1.94</v>
      </c>
      <c r="CJ98" s="128">
        <v>1.95</v>
      </c>
      <c r="CK98" s="128">
        <v>1.95</v>
      </c>
      <c r="CL98" s="128">
        <v>1.95</v>
      </c>
      <c r="CM98" s="128">
        <v>1.95</v>
      </c>
      <c r="CN98" s="128">
        <v>1.95</v>
      </c>
      <c r="CO98" s="128">
        <v>1.95</v>
      </c>
      <c r="CP98" s="128">
        <v>1.95</v>
      </c>
      <c r="CQ98" s="128">
        <v>1.95</v>
      </c>
      <c r="CR98" s="128">
        <v>1.95</v>
      </c>
      <c r="CS98" s="128">
        <v>1.95</v>
      </c>
      <c r="CT98" s="128">
        <v>1.95</v>
      </c>
      <c r="CU98" s="128">
        <v>1.95</v>
      </c>
      <c r="CV98" s="128">
        <v>1.95</v>
      </c>
      <c r="CW98" s="128">
        <v>1.95</v>
      </c>
      <c r="CX98" s="128">
        <v>1.95</v>
      </c>
      <c r="CZ98" s="126">
        <f>SUMIF(MatrixF3[[1]:[2]],MatrixF3[[#This Row],[Столбец1]])/MatrixF3[[#This Row],[Столбец1]]</f>
        <v>85.999999999999957</v>
      </c>
    </row>
    <row r="99" spans="1:104" ht="21" customHeight="1" x14ac:dyDescent="0.25">
      <c r="A99" s="127">
        <v>1.96</v>
      </c>
      <c r="B99" s="128">
        <v>1.96</v>
      </c>
      <c r="C99" s="128">
        <v>1.96</v>
      </c>
      <c r="D99" s="128">
        <v>1.96</v>
      </c>
      <c r="E99" s="128">
        <v>1.96</v>
      </c>
      <c r="F99" s="128">
        <v>1.96</v>
      </c>
      <c r="G99" s="128">
        <v>1.96</v>
      </c>
      <c r="H99" s="128">
        <v>1.96</v>
      </c>
      <c r="I99" s="128">
        <v>1.96</v>
      </c>
      <c r="J99" s="128">
        <v>1.96</v>
      </c>
      <c r="K99" s="128">
        <v>1.96</v>
      </c>
      <c r="L99" s="128">
        <v>1.96</v>
      </c>
      <c r="M99" s="128">
        <v>1.96</v>
      </c>
      <c r="N99" s="128">
        <v>1.96</v>
      </c>
      <c r="O99" s="128">
        <v>1.96</v>
      </c>
      <c r="P99" s="128">
        <v>1.96</v>
      </c>
      <c r="Q99" s="128">
        <v>1.96</v>
      </c>
      <c r="R99" s="128">
        <v>1.95</v>
      </c>
      <c r="S99" s="128">
        <v>1.95</v>
      </c>
      <c r="T99" s="128">
        <v>1.95</v>
      </c>
      <c r="U99" s="128">
        <v>1.95</v>
      </c>
      <c r="V99" s="128">
        <v>1.95</v>
      </c>
      <c r="W99" s="128">
        <v>1.95</v>
      </c>
      <c r="X99" s="128">
        <v>1.95</v>
      </c>
      <c r="Y99" s="128">
        <v>1.95</v>
      </c>
      <c r="Z99" s="128">
        <v>1.95</v>
      </c>
      <c r="AA99" s="128">
        <v>1.95</v>
      </c>
      <c r="AB99" s="128">
        <v>1.95</v>
      </c>
      <c r="AC99" s="128">
        <v>1.95</v>
      </c>
      <c r="AD99" s="128">
        <v>1.95</v>
      </c>
      <c r="AE99" s="128">
        <v>1.95</v>
      </c>
      <c r="AF99" s="128">
        <v>1.95</v>
      </c>
      <c r="AG99" s="128">
        <v>1.95</v>
      </c>
      <c r="AH99" s="128">
        <v>1.94</v>
      </c>
      <c r="AI99" s="128">
        <v>1.94</v>
      </c>
      <c r="AJ99" s="128">
        <v>1.94</v>
      </c>
      <c r="AK99" s="128">
        <v>1.94</v>
      </c>
      <c r="AL99" s="128">
        <v>1.94</v>
      </c>
      <c r="AM99" s="128">
        <v>1.94</v>
      </c>
      <c r="AN99" s="128">
        <v>1.94</v>
      </c>
      <c r="AO99" s="128">
        <v>1.94</v>
      </c>
      <c r="AP99" s="128">
        <v>1.94</v>
      </c>
      <c r="AQ99" s="128">
        <v>1.94</v>
      </c>
      <c r="AR99" s="128">
        <v>1.94</v>
      </c>
      <c r="AS99" s="128">
        <v>1.93</v>
      </c>
      <c r="AT99" s="128">
        <v>1.93</v>
      </c>
      <c r="AU99" s="128">
        <v>1.93</v>
      </c>
      <c r="AV99" s="128">
        <v>1.93</v>
      </c>
      <c r="AW99" s="128">
        <v>1.93</v>
      </c>
      <c r="AX99" s="128">
        <v>1.93</v>
      </c>
      <c r="AY99" s="128">
        <v>1.93</v>
      </c>
      <c r="AZ99" s="128">
        <v>1.93</v>
      </c>
      <c r="BA99" s="128">
        <v>1.93</v>
      </c>
      <c r="BB99" s="128">
        <v>1.93</v>
      </c>
      <c r="BC99" s="128">
        <v>1.93</v>
      </c>
      <c r="BD99" s="128">
        <v>1.93</v>
      </c>
      <c r="BE99" s="128">
        <v>1.93</v>
      </c>
      <c r="BF99" s="128">
        <v>1.93</v>
      </c>
      <c r="BG99" s="128">
        <v>1.93</v>
      </c>
      <c r="BH99" s="128">
        <v>1.94</v>
      </c>
      <c r="BI99" s="128">
        <v>1.94</v>
      </c>
      <c r="BJ99" s="128">
        <v>1.94</v>
      </c>
      <c r="BK99" s="128">
        <v>1.94</v>
      </c>
      <c r="BL99" s="128">
        <v>1.94</v>
      </c>
      <c r="BM99" s="128">
        <v>1.94</v>
      </c>
      <c r="BN99" s="128">
        <v>1.94</v>
      </c>
      <c r="BO99" s="128">
        <v>1.94</v>
      </c>
      <c r="BP99" s="128">
        <v>1.94</v>
      </c>
      <c r="BQ99" s="128">
        <v>1.94</v>
      </c>
      <c r="BR99" s="128">
        <v>1.94</v>
      </c>
      <c r="BS99" s="128">
        <v>1.95</v>
      </c>
      <c r="BT99" s="128">
        <v>1.95</v>
      </c>
      <c r="BU99" s="128">
        <v>1.95</v>
      </c>
      <c r="BV99" s="128">
        <v>1.95</v>
      </c>
      <c r="BW99" s="128">
        <v>1.95</v>
      </c>
      <c r="BX99" s="128">
        <v>1.95</v>
      </c>
      <c r="BY99" s="128">
        <v>1.95</v>
      </c>
      <c r="BZ99" s="128">
        <v>1.95</v>
      </c>
      <c r="CA99" s="128">
        <v>1.95</v>
      </c>
      <c r="CB99" s="128">
        <v>1.95</v>
      </c>
      <c r="CC99" s="128">
        <v>1.95</v>
      </c>
      <c r="CD99" s="128">
        <v>1.95</v>
      </c>
      <c r="CE99" s="128">
        <v>1.95</v>
      </c>
      <c r="CF99" s="128">
        <v>1.95</v>
      </c>
      <c r="CG99" s="128">
        <v>1.95</v>
      </c>
      <c r="CH99" s="128">
        <v>1.95</v>
      </c>
      <c r="CI99" s="128">
        <v>1.96</v>
      </c>
      <c r="CJ99" s="128">
        <v>1.96</v>
      </c>
      <c r="CK99" s="128">
        <v>1.96</v>
      </c>
      <c r="CL99" s="128">
        <v>1.96</v>
      </c>
      <c r="CM99" s="128">
        <v>1.96</v>
      </c>
      <c r="CN99" s="128">
        <v>1.96</v>
      </c>
      <c r="CO99" s="128">
        <v>1.96</v>
      </c>
      <c r="CP99" s="128">
        <v>1.96</v>
      </c>
      <c r="CQ99" s="128">
        <v>1.96</v>
      </c>
      <c r="CR99" s="128">
        <v>1.96</v>
      </c>
      <c r="CS99" s="128">
        <v>1.96</v>
      </c>
      <c r="CT99" s="128">
        <v>1.96</v>
      </c>
      <c r="CU99" s="128">
        <v>1.96</v>
      </c>
      <c r="CV99" s="128">
        <v>1.96</v>
      </c>
      <c r="CW99" s="128">
        <v>1.96</v>
      </c>
      <c r="CX99" s="128">
        <v>1.96</v>
      </c>
      <c r="CZ99" s="126">
        <f>SUMIF(MatrixF3[[1]:[2]],MatrixF3[[#This Row],[Столбец1]])/MatrixF3[[#This Row],[Столбец1]]</f>
        <v>80.999999999999972</v>
      </c>
    </row>
    <row r="100" spans="1:104" ht="21" customHeight="1" x14ac:dyDescent="0.25">
      <c r="A100" s="127">
        <v>1.97</v>
      </c>
      <c r="B100" s="128">
        <v>1.97</v>
      </c>
      <c r="C100" s="128">
        <v>1.97</v>
      </c>
      <c r="D100" s="128">
        <v>1.97</v>
      </c>
      <c r="E100" s="128">
        <v>1.97</v>
      </c>
      <c r="F100" s="128">
        <v>1.97</v>
      </c>
      <c r="G100" s="128">
        <v>1.97</v>
      </c>
      <c r="H100" s="128">
        <v>1.97</v>
      </c>
      <c r="I100" s="128">
        <v>1.97</v>
      </c>
      <c r="J100" s="128">
        <v>1.97</v>
      </c>
      <c r="K100" s="128">
        <v>1.97</v>
      </c>
      <c r="L100" s="128">
        <v>1.97</v>
      </c>
      <c r="M100" s="128">
        <v>1.97</v>
      </c>
      <c r="N100" s="128">
        <v>1.97</v>
      </c>
      <c r="O100" s="128">
        <v>1.97</v>
      </c>
      <c r="P100" s="128">
        <v>1.97</v>
      </c>
      <c r="Q100" s="128">
        <v>1.97</v>
      </c>
      <c r="R100" s="128">
        <v>1.97</v>
      </c>
      <c r="S100" s="128">
        <v>1.97</v>
      </c>
      <c r="T100" s="128">
        <v>1.96</v>
      </c>
      <c r="U100" s="128">
        <v>1.96</v>
      </c>
      <c r="V100" s="128">
        <v>1.96</v>
      </c>
      <c r="W100" s="128">
        <v>1.96</v>
      </c>
      <c r="X100" s="128">
        <v>1.96</v>
      </c>
      <c r="Y100" s="128">
        <v>1.96</v>
      </c>
      <c r="Z100" s="128">
        <v>1.96</v>
      </c>
      <c r="AA100" s="128">
        <v>1.96</v>
      </c>
      <c r="AB100" s="128">
        <v>1.96</v>
      </c>
      <c r="AC100" s="128">
        <v>1.96</v>
      </c>
      <c r="AD100" s="128">
        <v>1.96</v>
      </c>
      <c r="AE100" s="128">
        <v>1.96</v>
      </c>
      <c r="AF100" s="128">
        <v>1.96</v>
      </c>
      <c r="AG100" s="128">
        <v>1.96</v>
      </c>
      <c r="AH100" s="128">
        <v>1.96</v>
      </c>
      <c r="AI100" s="128">
        <v>1.96</v>
      </c>
      <c r="AJ100" s="128">
        <v>1.96</v>
      </c>
      <c r="AK100" s="128">
        <v>1.96</v>
      </c>
      <c r="AL100" s="128">
        <v>1.96</v>
      </c>
      <c r="AM100" s="128">
        <v>1.95</v>
      </c>
      <c r="AN100" s="128">
        <v>1.95</v>
      </c>
      <c r="AO100" s="128">
        <v>1.95</v>
      </c>
      <c r="AP100" s="128">
        <v>1.95</v>
      </c>
      <c r="AQ100" s="128">
        <v>1.95</v>
      </c>
      <c r="AR100" s="128">
        <v>1.95</v>
      </c>
      <c r="AS100" s="128">
        <v>1.95</v>
      </c>
      <c r="AT100" s="128">
        <v>1.95</v>
      </c>
      <c r="AU100" s="128">
        <v>1.95</v>
      </c>
      <c r="AV100" s="128">
        <v>1.95</v>
      </c>
      <c r="AW100" s="128">
        <v>1.95</v>
      </c>
      <c r="AX100" s="128">
        <v>1.95</v>
      </c>
      <c r="AY100" s="128">
        <v>1.94</v>
      </c>
      <c r="AZ100" s="128">
        <v>1.94</v>
      </c>
      <c r="BA100" s="128">
        <v>1.94</v>
      </c>
      <c r="BB100" s="128">
        <v>1.95</v>
      </c>
      <c r="BC100" s="128">
        <v>1.95</v>
      </c>
      <c r="BD100" s="128">
        <v>1.95</v>
      </c>
      <c r="BE100" s="128">
        <v>1.95</v>
      </c>
      <c r="BF100" s="128">
        <v>1.95</v>
      </c>
      <c r="BG100" s="128">
        <v>1.95</v>
      </c>
      <c r="BH100" s="128">
        <v>1.95</v>
      </c>
      <c r="BI100" s="128">
        <v>1.95</v>
      </c>
      <c r="BJ100" s="128">
        <v>1.95</v>
      </c>
      <c r="BK100" s="128">
        <v>1.95</v>
      </c>
      <c r="BL100" s="128">
        <v>1.95</v>
      </c>
      <c r="BM100" s="128">
        <v>1.95</v>
      </c>
      <c r="BN100" s="128">
        <v>1.96</v>
      </c>
      <c r="BO100" s="128">
        <v>1.96</v>
      </c>
      <c r="BP100" s="128">
        <v>1.96</v>
      </c>
      <c r="BQ100" s="128">
        <v>1.96</v>
      </c>
      <c r="BR100" s="128">
        <v>1.96</v>
      </c>
      <c r="BS100" s="128">
        <v>1.96</v>
      </c>
      <c r="BT100" s="128">
        <v>1.96</v>
      </c>
      <c r="BU100" s="128">
        <v>1.96</v>
      </c>
      <c r="BV100" s="128">
        <v>1.96</v>
      </c>
      <c r="BW100" s="128">
        <v>1.96</v>
      </c>
      <c r="BX100" s="128">
        <v>1.96</v>
      </c>
      <c r="BY100" s="128">
        <v>1.96</v>
      </c>
      <c r="BZ100" s="128">
        <v>1.96</v>
      </c>
      <c r="CA100" s="128">
        <v>1.96</v>
      </c>
      <c r="CB100" s="128">
        <v>1.96</v>
      </c>
      <c r="CC100" s="128">
        <v>1.96</v>
      </c>
      <c r="CD100" s="128">
        <v>1.96</v>
      </c>
      <c r="CE100" s="128">
        <v>1.96</v>
      </c>
      <c r="CF100" s="128">
        <v>1.96</v>
      </c>
      <c r="CG100" s="128">
        <v>1.97</v>
      </c>
      <c r="CH100" s="128">
        <v>1.97</v>
      </c>
      <c r="CI100" s="128">
        <v>1.97</v>
      </c>
      <c r="CJ100" s="128">
        <v>1.97</v>
      </c>
      <c r="CK100" s="128">
        <v>1.97</v>
      </c>
      <c r="CL100" s="128">
        <v>1.97</v>
      </c>
      <c r="CM100" s="128">
        <v>1.97</v>
      </c>
      <c r="CN100" s="128">
        <v>1.97</v>
      </c>
      <c r="CO100" s="128">
        <v>1.97</v>
      </c>
      <c r="CP100" s="128">
        <v>1.97</v>
      </c>
      <c r="CQ100" s="128">
        <v>1.97</v>
      </c>
      <c r="CR100" s="128">
        <v>1.97</v>
      </c>
      <c r="CS100" s="128">
        <v>1.97</v>
      </c>
      <c r="CT100" s="128">
        <v>1.97</v>
      </c>
      <c r="CU100" s="128">
        <v>1.97</v>
      </c>
      <c r="CV100" s="128">
        <v>1.97</v>
      </c>
      <c r="CW100" s="128">
        <v>1.97</v>
      </c>
      <c r="CX100" s="128">
        <v>1.97</v>
      </c>
      <c r="CZ100" s="126">
        <f>SUMIF(MatrixF3[[1]:[2]],MatrixF3[[#This Row],[Столбец1]])/MatrixF3[[#This Row],[Столбец1]]</f>
        <v>79.999999999999972</v>
      </c>
    </row>
    <row r="101" spans="1:104" ht="21" customHeight="1" x14ac:dyDescent="0.25">
      <c r="A101" s="127">
        <v>1.98</v>
      </c>
      <c r="B101" s="128">
        <v>1.98</v>
      </c>
      <c r="C101" s="128">
        <v>1.98</v>
      </c>
      <c r="D101" s="128">
        <v>1.98</v>
      </c>
      <c r="E101" s="128">
        <v>1.98</v>
      </c>
      <c r="F101" s="128">
        <v>1.98</v>
      </c>
      <c r="G101" s="128">
        <v>1.98</v>
      </c>
      <c r="H101" s="128">
        <v>1.98</v>
      </c>
      <c r="I101" s="128">
        <v>1.98</v>
      </c>
      <c r="J101" s="128">
        <v>1.98</v>
      </c>
      <c r="K101" s="128">
        <v>1.98</v>
      </c>
      <c r="L101" s="128">
        <v>1.98</v>
      </c>
      <c r="M101" s="128">
        <v>1.98</v>
      </c>
      <c r="N101" s="128">
        <v>1.98</v>
      </c>
      <c r="O101" s="128">
        <v>1.98</v>
      </c>
      <c r="P101" s="128">
        <v>1.98</v>
      </c>
      <c r="Q101" s="128">
        <v>1.98</v>
      </c>
      <c r="R101" s="128">
        <v>1.98</v>
      </c>
      <c r="S101" s="128">
        <v>1.98</v>
      </c>
      <c r="T101" s="128">
        <v>1.98</v>
      </c>
      <c r="U101" s="128">
        <v>1.98</v>
      </c>
      <c r="V101" s="128">
        <v>1.98</v>
      </c>
      <c r="W101" s="128">
        <v>1.98</v>
      </c>
      <c r="X101" s="128">
        <v>1.98</v>
      </c>
      <c r="Y101" s="128">
        <v>1.97</v>
      </c>
      <c r="Z101" s="128">
        <v>1.97</v>
      </c>
      <c r="AA101" s="128">
        <v>1.97</v>
      </c>
      <c r="AB101" s="128">
        <v>1.97</v>
      </c>
      <c r="AC101" s="128">
        <v>1.97</v>
      </c>
      <c r="AD101" s="128">
        <v>1.97</v>
      </c>
      <c r="AE101" s="128">
        <v>1.97</v>
      </c>
      <c r="AF101" s="128">
        <v>1.97</v>
      </c>
      <c r="AG101" s="128">
        <v>1.97</v>
      </c>
      <c r="AH101" s="128">
        <v>1.97</v>
      </c>
      <c r="AI101" s="128">
        <v>1.97</v>
      </c>
      <c r="AJ101" s="128">
        <v>1.97</v>
      </c>
      <c r="AK101" s="128">
        <v>1.97</v>
      </c>
      <c r="AL101" s="128">
        <v>1.97</v>
      </c>
      <c r="AM101" s="128">
        <v>1.97</v>
      </c>
      <c r="AN101" s="128">
        <v>1.97</v>
      </c>
      <c r="AO101" s="128">
        <v>1.97</v>
      </c>
      <c r="AP101" s="128">
        <v>1.97</v>
      </c>
      <c r="AQ101" s="128">
        <v>1.97</v>
      </c>
      <c r="AR101" s="128">
        <v>1.97</v>
      </c>
      <c r="AS101" s="128">
        <v>1.97</v>
      </c>
      <c r="AT101" s="128">
        <v>1.97</v>
      </c>
      <c r="AU101" s="128">
        <v>1.96</v>
      </c>
      <c r="AV101" s="128">
        <v>1.96</v>
      </c>
      <c r="AW101" s="128">
        <v>1.96</v>
      </c>
      <c r="AX101" s="128">
        <v>1.96</v>
      </c>
      <c r="AY101" s="128">
        <v>1.96</v>
      </c>
      <c r="AZ101" s="128">
        <v>1.96</v>
      </c>
      <c r="BA101" s="128">
        <v>1.96</v>
      </c>
      <c r="BB101" s="128">
        <v>1.96</v>
      </c>
      <c r="BC101" s="128">
        <v>1.96</v>
      </c>
      <c r="BD101" s="128">
        <v>1.96</v>
      </c>
      <c r="BE101" s="128">
        <v>1.96</v>
      </c>
      <c r="BF101" s="128">
        <v>1.97</v>
      </c>
      <c r="BG101" s="128">
        <v>1.97</v>
      </c>
      <c r="BH101" s="128">
        <v>1.97</v>
      </c>
      <c r="BI101" s="128">
        <v>1.97</v>
      </c>
      <c r="BJ101" s="128">
        <v>1.97</v>
      </c>
      <c r="BK101" s="128">
        <v>1.97</v>
      </c>
      <c r="BL101" s="128">
        <v>1.97</v>
      </c>
      <c r="BM101" s="128">
        <v>1.97</v>
      </c>
      <c r="BN101" s="128">
        <v>1.97</v>
      </c>
      <c r="BO101" s="128">
        <v>1.97</v>
      </c>
      <c r="BP101" s="128">
        <v>1.97</v>
      </c>
      <c r="BQ101" s="128">
        <v>1.97</v>
      </c>
      <c r="BR101" s="128">
        <v>1.97</v>
      </c>
      <c r="BS101" s="128">
        <v>1.97</v>
      </c>
      <c r="BT101" s="128">
        <v>1.97</v>
      </c>
      <c r="BU101" s="128">
        <v>1.97</v>
      </c>
      <c r="BV101" s="128">
        <v>1.97</v>
      </c>
      <c r="BW101" s="128">
        <v>1.97</v>
      </c>
      <c r="BX101" s="128">
        <v>1.97</v>
      </c>
      <c r="BY101" s="128">
        <v>1.97</v>
      </c>
      <c r="BZ101" s="128">
        <v>1.97</v>
      </c>
      <c r="CA101" s="128">
        <v>1.97</v>
      </c>
      <c r="CB101" s="128">
        <v>1.98</v>
      </c>
      <c r="CC101" s="128">
        <v>1.98</v>
      </c>
      <c r="CD101" s="128">
        <v>1.98</v>
      </c>
      <c r="CE101" s="128">
        <v>1.98</v>
      </c>
      <c r="CF101" s="128">
        <v>1.98</v>
      </c>
      <c r="CG101" s="128">
        <v>1.98</v>
      </c>
      <c r="CH101" s="128">
        <v>1.98</v>
      </c>
      <c r="CI101" s="128">
        <v>1.98</v>
      </c>
      <c r="CJ101" s="128">
        <v>1.98</v>
      </c>
      <c r="CK101" s="128">
        <v>1.98</v>
      </c>
      <c r="CL101" s="128">
        <v>1.98</v>
      </c>
      <c r="CM101" s="128">
        <v>1.98</v>
      </c>
      <c r="CN101" s="128">
        <v>1.98</v>
      </c>
      <c r="CO101" s="128">
        <v>1.98</v>
      </c>
      <c r="CP101" s="128">
        <v>1.98</v>
      </c>
      <c r="CQ101" s="128">
        <v>1.98</v>
      </c>
      <c r="CR101" s="128">
        <v>1.98</v>
      </c>
      <c r="CS101" s="128">
        <v>1.98</v>
      </c>
      <c r="CT101" s="128">
        <v>1.98</v>
      </c>
      <c r="CU101" s="128">
        <v>1.98</v>
      </c>
      <c r="CV101" s="128">
        <v>1.98</v>
      </c>
      <c r="CW101" s="128">
        <v>1.98</v>
      </c>
      <c r="CX101" s="128">
        <v>1.98</v>
      </c>
      <c r="CZ101" s="126">
        <f>SUMIF(MatrixF3[[1]:[2]],MatrixF3[[#This Row],[Столбец1]])/MatrixF3[[#This Row],[Столбец1]]</f>
        <v>76.999999999999972</v>
      </c>
    </row>
    <row r="102" spans="1:104" ht="21" customHeight="1" x14ac:dyDescent="0.25">
      <c r="A102" s="127">
        <v>1.99</v>
      </c>
      <c r="B102" s="128">
        <v>1.99</v>
      </c>
      <c r="C102" s="128">
        <v>1.99</v>
      </c>
      <c r="D102" s="128">
        <v>1.99</v>
      </c>
      <c r="E102" s="128">
        <v>1.99</v>
      </c>
      <c r="F102" s="128">
        <v>1.99</v>
      </c>
      <c r="G102" s="128">
        <v>1.99</v>
      </c>
      <c r="H102" s="128">
        <v>1.99</v>
      </c>
      <c r="I102" s="128">
        <v>1.99</v>
      </c>
      <c r="J102" s="128">
        <v>1.99</v>
      </c>
      <c r="K102" s="128">
        <v>1.99</v>
      </c>
      <c r="L102" s="128">
        <v>1.99</v>
      </c>
      <c r="M102" s="128">
        <v>1.99</v>
      </c>
      <c r="N102" s="128">
        <v>1.99</v>
      </c>
      <c r="O102" s="128">
        <v>1.99</v>
      </c>
      <c r="P102" s="128">
        <v>1.99</v>
      </c>
      <c r="Q102" s="128">
        <v>1.99</v>
      </c>
      <c r="R102" s="128">
        <v>1.99</v>
      </c>
      <c r="S102" s="128">
        <v>1.99</v>
      </c>
      <c r="T102" s="128">
        <v>1.99</v>
      </c>
      <c r="U102" s="128">
        <v>1.99</v>
      </c>
      <c r="V102" s="128">
        <v>1.99</v>
      </c>
      <c r="W102" s="128">
        <v>1.99</v>
      </c>
      <c r="X102" s="128">
        <v>1.99</v>
      </c>
      <c r="Y102" s="128">
        <v>1.99</v>
      </c>
      <c r="Z102" s="128">
        <v>1.99</v>
      </c>
      <c r="AA102" s="128">
        <v>1.99</v>
      </c>
      <c r="AB102" s="128">
        <v>1.99</v>
      </c>
      <c r="AC102" s="128">
        <v>1.99</v>
      </c>
      <c r="AD102" s="128">
        <v>1.99</v>
      </c>
      <c r="AE102" s="128">
        <v>1.99</v>
      </c>
      <c r="AF102" s="128">
        <v>1.99</v>
      </c>
      <c r="AG102" s="128">
        <v>1.99</v>
      </c>
      <c r="AH102" s="128">
        <v>1.99</v>
      </c>
      <c r="AI102" s="128">
        <v>1.99</v>
      </c>
      <c r="AJ102" s="128">
        <v>1.99</v>
      </c>
      <c r="AK102" s="128">
        <v>1.98</v>
      </c>
      <c r="AL102" s="128">
        <v>1.98</v>
      </c>
      <c r="AM102" s="128">
        <v>1.98</v>
      </c>
      <c r="AN102" s="128">
        <v>1.98</v>
      </c>
      <c r="AO102" s="128">
        <v>1.98</v>
      </c>
      <c r="AP102" s="128">
        <v>1.98</v>
      </c>
      <c r="AQ102" s="128">
        <v>1.98</v>
      </c>
      <c r="AR102" s="128">
        <v>1.98</v>
      </c>
      <c r="AS102" s="128">
        <v>1.98</v>
      </c>
      <c r="AT102" s="128">
        <v>1.98</v>
      </c>
      <c r="AU102" s="128">
        <v>1.98</v>
      </c>
      <c r="AV102" s="128">
        <v>1.98</v>
      </c>
      <c r="AW102" s="128">
        <v>1.98</v>
      </c>
      <c r="AX102" s="128">
        <v>1.98</v>
      </c>
      <c r="AY102" s="128">
        <v>1.98</v>
      </c>
      <c r="AZ102" s="128">
        <v>1.98</v>
      </c>
      <c r="BA102" s="128">
        <v>1.98</v>
      </c>
      <c r="BB102" s="128">
        <v>1.98</v>
      </c>
      <c r="BC102" s="128">
        <v>1.98</v>
      </c>
      <c r="BD102" s="128">
        <v>1.98</v>
      </c>
      <c r="BE102" s="128">
        <v>1.98</v>
      </c>
      <c r="BF102" s="128">
        <v>1.98</v>
      </c>
      <c r="BG102" s="128">
        <v>1.98</v>
      </c>
      <c r="BH102" s="128">
        <v>1.98</v>
      </c>
      <c r="BI102" s="128">
        <v>1.98</v>
      </c>
      <c r="BJ102" s="128">
        <v>1.98</v>
      </c>
      <c r="BK102" s="128">
        <v>1.98</v>
      </c>
      <c r="BL102" s="128">
        <v>1.98</v>
      </c>
      <c r="BM102" s="128">
        <v>1.98</v>
      </c>
      <c r="BN102" s="128">
        <v>1.98</v>
      </c>
      <c r="BO102" s="128">
        <v>1.98</v>
      </c>
      <c r="BP102" s="128">
        <v>1.99</v>
      </c>
      <c r="BQ102" s="128">
        <v>1.99</v>
      </c>
      <c r="BR102" s="128">
        <v>1.99</v>
      </c>
      <c r="BS102" s="128">
        <v>1.99</v>
      </c>
      <c r="BT102" s="128">
        <v>1.99</v>
      </c>
      <c r="BU102" s="128">
        <v>1.99</v>
      </c>
      <c r="BV102" s="128">
        <v>1.99</v>
      </c>
      <c r="BW102" s="128">
        <v>1.99</v>
      </c>
      <c r="BX102" s="128">
        <v>1.99</v>
      </c>
      <c r="BY102" s="128">
        <v>1.99</v>
      </c>
      <c r="BZ102" s="128">
        <v>1.99</v>
      </c>
      <c r="CA102" s="128">
        <v>1.99</v>
      </c>
      <c r="CB102" s="128">
        <v>1.99</v>
      </c>
      <c r="CC102" s="128">
        <v>1.99</v>
      </c>
      <c r="CD102" s="128">
        <v>1.99</v>
      </c>
      <c r="CE102" s="128">
        <v>1.99</v>
      </c>
      <c r="CF102" s="128">
        <v>1.99</v>
      </c>
      <c r="CG102" s="128">
        <v>1.99</v>
      </c>
      <c r="CH102" s="128">
        <v>1.99</v>
      </c>
      <c r="CI102" s="128">
        <v>1.99</v>
      </c>
      <c r="CJ102" s="128">
        <v>1.99</v>
      </c>
      <c r="CK102" s="128">
        <v>1.99</v>
      </c>
      <c r="CL102" s="128">
        <v>1.99</v>
      </c>
      <c r="CM102" s="128">
        <v>1.99</v>
      </c>
      <c r="CN102" s="128">
        <v>1.99</v>
      </c>
      <c r="CO102" s="128">
        <v>1.99</v>
      </c>
      <c r="CP102" s="128">
        <v>1.99</v>
      </c>
      <c r="CQ102" s="128">
        <v>1.99</v>
      </c>
      <c r="CR102" s="128">
        <v>1.99</v>
      </c>
      <c r="CS102" s="128">
        <v>1.99</v>
      </c>
      <c r="CT102" s="128">
        <v>1.99</v>
      </c>
      <c r="CU102" s="128">
        <v>1.99</v>
      </c>
      <c r="CV102" s="128">
        <v>1.99</v>
      </c>
      <c r="CW102" s="128">
        <v>1.99</v>
      </c>
      <c r="CX102" s="128">
        <v>1.99</v>
      </c>
      <c r="CZ102" s="126">
        <f>SUMIF(MatrixF3[[1]:[2]],MatrixF3[[#This Row],[Столбец1]])/MatrixF3[[#This Row],[Столбец1]]</f>
        <v>69.999999999999943</v>
      </c>
    </row>
    <row r="103" spans="1:104" ht="21" customHeight="1" x14ac:dyDescent="0.25">
      <c r="A103" s="127">
        <v>2</v>
      </c>
      <c r="B103" s="128">
        <v>2</v>
      </c>
      <c r="C103" s="128">
        <v>2</v>
      </c>
      <c r="D103" s="128">
        <v>2</v>
      </c>
      <c r="E103" s="128">
        <v>2</v>
      </c>
      <c r="F103" s="128">
        <v>2</v>
      </c>
      <c r="G103" s="128">
        <v>2</v>
      </c>
      <c r="H103" s="128">
        <v>2</v>
      </c>
      <c r="I103" s="128">
        <v>2</v>
      </c>
      <c r="J103" s="128">
        <v>2</v>
      </c>
      <c r="K103" s="128">
        <v>2</v>
      </c>
      <c r="L103" s="128">
        <v>2</v>
      </c>
      <c r="M103" s="128">
        <v>2</v>
      </c>
      <c r="N103" s="128">
        <v>2</v>
      </c>
      <c r="O103" s="128">
        <v>2</v>
      </c>
      <c r="P103" s="128">
        <v>2</v>
      </c>
      <c r="Q103" s="128">
        <v>2</v>
      </c>
      <c r="R103" s="128">
        <v>2</v>
      </c>
      <c r="S103" s="128">
        <v>2</v>
      </c>
      <c r="T103" s="128">
        <v>2</v>
      </c>
      <c r="U103" s="128">
        <v>2</v>
      </c>
      <c r="V103" s="128">
        <v>2</v>
      </c>
      <c r="W103" s="128">
        <v>2</v>
      </c>
      <c r="X103" s="128">
        <v>2</v>
      </c>
      <c r="Y103" s="128">
        <v>2</v>
      </c>
      <c r="Z103" s="128">
        <v>2</v>
      </c>
      <c r="AA103" s="128">
        <v>2</v>
      </c>
      <c r="AB103" s="128">
        <v>2</v>
      </c>
      <c r="AC103" s="128">
        <v>2</v>
      </c>
      <c r="AD103" s="128">
        <v>2</v>
      </c>
      <c r="AE103" s="128">
        <v>2</v>
      </c>
      <c r="AF103" s="128">
        <v>2</v>
      </c>
      <c r="AG103" s="128">
        <v>2</v>
      </c>
      <c r="AH103" s="128">
        <v>2</v>
      </c>
      <c r="AI103" s="128">
        <v>2</v>
      </c>
      <c r="AJ103" s="128">
        <v>2</v>
      </c>
      <c r="AK103" s="128">
        <v>2</v>
      </c>
      <c r="AL103" s="128">
        <v>2</v>
      </c>
      <c r="AM103" s="128">
        <v>2</v>
      </c>
      <c r="AN103" s="128">
        <v>2</v>
      </c>
      <c r="AO103" s="128">
        <v>2</v>
      </c>
      <c r="AP103" s="128">
        <v>2</v>
      </c>
      <c r="AQ103" s="128">
        <v>2</v>
      </c>
      <c r="AR103" s="128">
        <v>2</v>
      </c>
      <c r="AS103" s="128">
        <v>2</v>
      </c>
      <c r="AT103" s="128">
        <v>2</v>
      </c>
      <c r="AU103" s="128">
        <v>2</v>
      </c>
      <c r="AV103" s="128">
        <v>2</v>
      </c>
      <c r="AW103" s="128">
        <v>2</v>
      </c>
      <c r="AX103" s="128">
        <v>2</v>
      </c>
      <c r="AY103" s="128">
        <v>2</v>
      </c>
      <c r="AZ103" s="128">
        <v>2</v>
      </c>
      <c r="BA103" s="128">
        <v>2</v>
      </c>
      <c r="BB103" s="128">
        <v>2</v>
      </c>
      <c r="BC103" s="128">
        <v>2</v>
      </c>
      <c r="BD103" s="128">
        <v>2</v>
      </c>
      <c r="BE103" s="128">
        <v>2</v>
      </c>
      <c r="BF103" s="128">
        <v>2</v>
      </c>
      <c r="BG103" s="128">
        <v>2</v>
      </c>
      <c r="BH103" s="128">
        <v>2</v>
      </c>
      <c r="BI103" s="128">
        <v>2</v>
      </c>
      <c r="BJ103" s="128">
        <v>2</v>
      </c>
      <c r="BK103" s="128">
        <v>2</v>
      </c>
      <c r="BL103" s="128">
        <v>2</v>
      </c>
      <c r="BM103" s="128">
        <v>2</v>
      </c>
      <c r="BN103" s="128">
        <v>2</v>
      </c>
      <c r="BO103" s="128">
        <v>2</v>
      </c>
      <c r="BP103" s="128">
        <v>2</v>
      </c>
      <c r="BQ103" s="128">
        <v>2</v>
      </c>
      <c r="BR103" s="128">
        <v>2</v>
      </c>
      <c r="BS103" s="128">
        <v>2</v>
      </c>
      <c r="BT103" s="128">
        <v>2</v>
      </c>
      <c r="BU103" s="128">
        <v>2</v>
      </c>
      <c r="BV103" s="128">
        <v>2</v>
      </c>
      <c r="BW103" s="128">
        <v>2</v>
      </c>
      <c r="BX103" s="128">
        <v>2</v>
      </c>
      <c r="BY103" s="128">
        <v>2</v>
      </c>
      <c r="BZ103" s="128">
        <v>2</v>
      </c>
      <c r="CA103" s="128">
        <v>2</v>
      </c>
      <c r="CB103" s="128">
        <v>2</v>
      </c>
      <c r="CC103" s="128">
        <v>2</v>
      </c>
      <c r="CD103" s="128">
        <v>2</v>
      </c>
      <c r="CE103" s="128">
        <v>2</v>
      </c>
      <c r="CF103" s="128">
        <v>2</v>
      </c>
      <c r="CG103" s="128">
        <v>2</v>
      </c>
      <c r="CH103" s="128">
        <v>2</v>
      </c>
      <c r="CI103" s="128">
        <v>2</v>
      </c>
      <c r="CJ103" s="128">
        <v>2</v>
      </c>
      <c r="CK103" s="128">
        <v>2</v>
      </c>
      <c r="CL103" s="128">
        <v>2</v>
      </c>
      <c r="CM103" s="128">
        <v>2</v>
      </c>
      <c r="CN103" s="128">
        <v>2</v>
      </c>
      <c r="CO103" s="128">
        <v>2</v>
      </c>
      <c r="CP103" s="128">
        <v>2</v>
      </c>
      <c r="CQ103" s="128">
        <v>2</v>
      </c>
      <c r="CR103" s="128">
        <v>2</v>
      </c>
      <c r="CS103" s="128">
        <v>2</v>
      </c>
      <c r="CT103" s="128">
        <v>2</v>
      </c>
      <c r="CU103" s="128">
        <v>2</v>
      </c>
      <c r="CV103" s="128">
        <v>2</v>
      </c>
      <c r="CW103" s="128">
        <v>2</v>
      </c>
      <c r="CX103" s="128">
        <v>2</v>
      </c>
      <c r="CZ103" s="126">
        <f>SUMIF(MatrixF3[[1]:[2]],MatrixF3[[#This Row],[Столбец1]])/MatrixF3[[#This Row],[Столбец1]]</f>
        <v>101</v>
      </c>
    </row>
    <row r="105" spans="1:104" s="126" customFormat="1" ht="21" customHeight="1" x14ac:dyDescent="0.25">
      <c r="B105" s="126">
        <f>SUMIF(MatrixF3[[1]:[2]],MatrixF3[[#Headers],[1]])/MatrixF3[[#Headers],[1]]</f>
        <v>101</v>
      </c>
      <c r="C105" s="126">
        <f>SUMIF(MatrixF3[[1]:[2]],MatrixF3[[#Headers],[1,01]])/MatrixF3[[#Headers],[1,01]]</f>
        <v>69.999999999999986</v>
      </c>
      <c r="D105" s="126">
        <f>SUMIF(MatrixF3[[1]:[2]],MatrixF3[[#Headers],[1,02]])/MatrixF3[[#Headers],[1,02]]</f>
        <v>75.000000000000043</v>
      </c>
      <c r="E105" s="126">
        <f>SUMIF(MatrixF3[[1]:[2]],MatrixF3[[#Headers],[1,03]])/MatrixF3[[#Headers],[1,03]]</f>
        <v>82.000000000000057</v>
      </c>
      <c r="F105" s="126">
        <f>SUMIF(MatrixF3[[1]:[2]],MatrixF3[[#Headers],[1,04]])/MatrixF3[[#Headers],[1,04]]</f>
        <v>81.000000000000071</v>
      </c>
      <c r="G105" s="126">
        <f>SUMIF(MatrixF3[[1]:[2]],MatrixF3[[#Headers],[1,05]])/MatrixF3[[#Headers],[1,05]]</f>
        <v>85.999999999999858</v>
      </c>
      <c r="H105" s="126">
        <f>SUMIF(MatrixF3[[1]:[2]],MatrixF3[[#Headers],[1,06]])/MatrixF3[[#Headers],[1,06]]</f>
        <v>81.000000000000085</v>
      </c>
      <c r="I105" s="126">
        <f>SUMIF(MatrixF3[[1]:[2]],MatrixF3[[#Headers],[1,07]])/MatrixF3[[#Headers],[1,07]]</f>
        <v>86.999999999999829</v>
      </c>
      <c r="J105" s="126">
        <f>SUMIF(MatrixF3[[1]:[2]],MatrixF3[[#Headers],[1,08]])/MatrixF3[[#Headers],[1,08]]</f>
        <v>85.999999999999886</v>
      </c>
      <c r="K105" s="126">
        <f>SUMIF(MatrixF3[[1]:[2]],MatrixF3[[#Headers],[1,09]])/MatrixF3[[#Headers],[1,09]]</f>
        <v>89.000000000000185</v>
      </c>
      <c r="L105" s="126">
        <f>SUMIF(MatrixF3[[1]:[2]],MatrixF3[[#Headers],[1,1]])/MatrixF3[[#Headers],[1,1]]</f>
        <v>89.999999999999872</v>
      </c>
      <c r="M105" s="126">
        <f>SUMIF(MatrixF3[[1]:[2]],MatrixF3[[#Headers],[1,11]])/MatrixF3[[#Headers],[1,11]]</f>
        <v>92.999999999999957</v>
      </c>
      <c r="N105" s="126">
        <f>SUMIF(MatrixF3[[1]:[2]],MatrixF3[[#Headers],[1,12]])/MatrixF3[[#Headers],[1,12]]</f>
        <v>95.000000000000099</v>
      </c>
      <c r="O105" s="126">
        <f>SUMIF(MatrixF3[[1]:[2]],MatrixF3[[#Headers],[1,13]])/MatrixF3[[#Headers],[1,13]]</f>
        <v>89.999999999999929</v>
      </c>
      <c r="P105" s="126">
        <f>SUMIF(MatrixF3[[1]:[2]],MatrixF3[[#Headers],[1,14]])/MatrixF3[[#Headers],[1,14]]</f>
        <v>97.000000000000043</v>
      </c>
      <c r="Q105" s="126">
        <f>SUMIF(MatrixF3[[1]:[2]],MatrixF3[[#Headers],[1,15]])/MatrixF3[[#Headers],[1,15]]</f>
        <v>97.000000000000171</v>
      </c>
      <c r="R105" s="126">
        <f>SUMIF(MatrixF3[[1]:[2]],MatrixF3[[#Headers],[1,16]])/MatrixF3[[#Headers],[1,16]]</f>
        <v>99.999999999999801</v>
      </c>
      <c r="S105" s="126">
        <f>SUMIF(MatrixF3[[1]:[2]],MatrixF3[[#Headers],[1,17]])/MatrixF3[[#Headers],[1,17]]</f>
        <v>93.000000000000114</v>
      </c>
      <c r="T105" s="126">
        <f>SUMIF(MatrixF3[[1]:[2]],MatrixF3[[#Headers],[1,18]])/MatrixF3[[#Headers],[1,18]]</f>
        <v>101.00000000000027</v>
      </c>
      <c r="U105" s="126">
        <f>SUMIF(MatrixF3[[1]:[2]],MatrixF3[[#Headers],[1,19]])/MatrixF3[[#Headers],[1,19]]</f>
        <v>100.99999999999987</v>
      </c>
      <c r="V105" s="126">
        <f>SUMIF(MatrixF3[[1]:[2]],MatrixF3[[#Headers],[1,2]])/MatrixF3[[#Headers],[1,2]]</f>
        <v>102.00000000000017</v>
      </c>
      <c r="W105" s="126">
        <f>SUMIF(MatrixF3[[1]:[2]],MatrixF3[[#Headers],[1,21]])/MatrixF3[[#Headers],[1,21]]</f>
        <v>100.99999999999979</v>
      </c>
      <c r="X105" s="126">
        <f>SUMIF(MatrixF3[[1]:[2]],MatrixF3[[#Headers],[1,22]])/MatrixF3[[#Headers],[1,22]]</f>
        <v>106.99999999999993</v>
      </c>
      <c r="Y105" s="126">
        <f>SUMIF(MatrixF3[[1]:[2]],MatrixF3[[#Headers],[1,23]])/MatrixF3[[#Headers],[1,23]]</f>
        <v>103.0000000000001</v>
      </c>
      <c r="Z105" s="126">
        <f>SUMIF(MatrixF3[[1]:[2]],MatrixF3[[#Headers],[1,24]])/MatrixF3[[#Headers],[1,24]]</f>
        <v>108.99999999999986</v>
      </c>
      <c r="AA105" s="126">
        <f>SUMIF(MatrixF3[[1]:[2]],MatrixF3[[#Headers],[1,25]])/MatrixF3[[#Headers],[1,25]]</f>
        <v>101</v>
      </c>
      <c r="AB105" s="126">
        <f>SUMIF(MatrixF3[[1]:[2]],MatrixF3[[#Headers],[1,26]])/MatrixF3[[#Headers],[1,26]]</f>
        <v>109.00000000000014</v>
      </c>
      <c r="AC105" s="126">
        <f>SUMIF(MatrixF3[[1]:[2]],MatrixF3[[#Headers],[1,27]])/MatrixF3[[#Headers],[1,27]]</f>
        <v>107.99999999999996</v>
      </c>
      <c r="AD105" s="126">
        <f>SUMIF(MatrixF3[[1]:[2]],MatrixF3[[#Headers],[1,28]])/MatrixF3[[#Headers],[1,28]]</f>
        <v>109.00000000000007</v>
      </c>
      <c r="AE105" s="126">
        <f>SUMIF(MatrixF3[[1]:[2]],MatrixF3[[#Headers],[1,29]])/MatrixF3[[#Headers],[1,29]]</f>
        <v>111.00000000000016</v>
      </c>
      <c r="AF105" s="126">
        <f>SUMIF(MatrixF3[[1]:[2]],MatrixF3[[#Headers],[1,3]])/MatrixF3[[#Headers],[1,3]]</f>
        <v>108.99999999999994</v>
      </c>
      <c r="AG105" s="126">
        <f>SUMIF(MatrixF3[[1]:[2]],MatrixF3[[#Headers],[1,31]])/MatrixF3[[#Headers],[1,31]]</f>
        <v>109.00000000000011</v>
      </c>
      <c r="AH105" s="126">
        <f>SUMIF(MatrixF3[[1]:[2]],MatrixF3[[#Headers],[1,32]])/MatrixF3[[#Headers],[1,32]]</f>
        <v>111.99999999999967</v>
      </c>
      <c r="AI105" s="126">
        <f>SUMIF(MatrixF3[[1]:[2]],MatrixF3[[#Headers],[1,33]])/MatrixF3[[#Headers],[1,33]]</f>
        <v>113.00000000000006</v>
      </c>
      <c r="AJ105" s="126">
        <f>SUMIF(MatrixF3[[1]:[2]],MatrixF3[[#Headers],[1,34]])/MatrixF3[[#Headers],[1,34]]</f>
        <v>111.00000000000021</v>
      </c>
      <c r="AK105" s="126">
        <f>SUMIF(MatrixF3[[1]:[2]],MatrixF3[[#Headers],[1,35]])/MatrixF3[[#Headers],[1,35]]</f>
        <v>112.99999999999974</v>
      </c>
      <c r="AL105" s="126">
        <f>SUMIF(MatrixF3[[1]:[2]],MatrixF3[[#Headers],[1,36]])/MatrixF3[[#Headers],[1,36]]</f>
        <v>111.00000000000013</v>
      </c>
      <c r="AM105" s="126">
        <f>SUMIF(MatrixF3[[1]:[2]],MatrixF3[[#Headers],[1,37]])/MatrixF3[[#Headers],[1,37]]</f>
        <v>109.00000000000017</v>
      </c>
      <c r="AN105" s="126">
        <f>SUMIF(MatrixF3[[1]:[2]],MatrixF3[[#Headers],[1,38]])/MatrixF3[[#Headers],[1,38]]</f>
        <v>113.99999999999982</v>
      </c>
      <c r="AO105" s="126">
        <f>SUMIF(MatrixF3[[1]:[2]],MatrixF3[[#Headers],[1,39]])/MatrixF3[[#Headers],[1,39]]</f>
        <v>110.99999999999986</v>
      </c>
      <c r="AP105" s="126">
        <f>SUMIF(MatrixF3[[1]:[2]],MatrixF3[[#Headers],[1,4]])/MatrixF3[[#Headers],[1,4]]</f>
        <v>114.00000000000024</v>
      </c>
      <c r="AQ105" s="126">
        <f>SUMIF(MatrixF3[[1]:[2]],MatrixF3[[#Headers],[1,41]])/MatrixF3[[#Headers],[1,41]]</f>
        <v>110.9999999999998</v>
      </c>
      <c r="AR105" s="126">
        <f>SUMIF(MatrixF3[[1]:[2]],MatrixF3[[#Headers],[1,42]])/MatrixF3[[#Headers],[1,42]]</f>
        <v>108.99999999999993</v>
      </c>
      <c r="AS105" s="126">
        <f>SUMIF(MatrixF3[[1]:[2]],MatrixF3[[#Headers],[1,43]])/MatrixF3[[#Headers],[1,43]]</f>
        <v>112.00000000000033</v>
      </c>
      <c r="AT105" s="126">
        <f>SUMIF(MatrixF3[[1]:[2]],MatrixF3[[#Headers],[1,44]])/MatrixF3[[#Headers],[1,44]]</f>
        <v>107.99999999999989</v>
      </c>
      <c r="AU105" s="126">
        <f>SUMIF(MatrixF3[[1]:[2]],MatrixF3[[#Headers],[1,45]])/MatrixF3[[#Headers],[1,45]]</f>
        <v>108.99999999999996</v>
      </c>
      <c r="AV105" s="126">
        <f>SUMIF(MatrixF3[[1]:[2]],MatrixF3[[#Headers],[1,46]])/MatrixF3[[#Headers],[1,46]]</f>
        <v>107.99999999999994</v>
      </c>
      <c r="AW105" s="126">
        <f>SUMIF(MatrixF3[[1]:[2]],MatrixF3[[#Headers],[1,47]])/MatrixF3[[#Headers],[1,47]]</f>
        <v>105.99999999999994</v>
      </c>
      <c r="AX105" s="126">
        <f>SUMIF(MatrixF3[[1]:[2]],MatrixF3[[#Headers],[1,48]])/MatrixF3[[#Headers],[1,48]]</f>
        <v>103.99999999999996</v>
      </c>
      <c r="AY105" s="126">
        <f>SUMIF(MatrixF3[[1]:[2]],MatrixF3[[#Headers],[1,49]])/MatrixF3[[#Headers],[1,49]]</f>
        <v>101.99999999999997</v>
      </c>
      <c r="AZ105" s="126">
        <f>SUMIF(MatrixF3[[1]:[2]],MatrixF3[[#Headers],[1,5]])/MatrixF3[[#Headers],[1,5]]</f>
        <v>101</v>
      </c>
      <c r="BA105" s="126">
        <f>SUMIF(MatrixF3[[1]:[2]],MatrixF3[[#Headers],[1,51]])/MatrixF3[[#Headers],[1,51]]</f>
        <v>102.00000000000003</v>
      </c>
      <c r="BB105" s="126">
        <f>SUMIF(MatrixF3[[1]:[2]],MatrixF3[[#Headers],[1,52]])/MatrixF3[[#Headers],[1,52]]</f>
        <v>104.00000000000006</v>
      </c>
      <c r="BC105" s="126">
        <f>SUMIF(MatrixF3[[1]:[2]],MatrixF3[[#Headers],[1,53]])/MatrixF3[[#Headers],[1,53]]</f>
        <v>106.00000000000006</v>
      </c>
      <c r="BD105" s="126">
        <f>SUMIF(MatrixF3[[1]:[2]],MatrixF3[[#Headers],[1,54]])/MatrixF3[[#Headers],[1,54]]</f>
        <v>108.00000000000003</v>
      </c>
      <c r="BE105" s="126">
        <f>SUMIF(MatrixF3[[1]:[2]],MatrixF3[[#Headers],[1,55]])/MatrixF3[[#Headers],[1,55]]</f>
        <v>109.00000000000009</v>
      </c>
      <c r="BF105" s="126">
        <f>SUMIF(MatrixF3[[1]:[2]],MatrixF3[[#Headers],[1,56]])/MatrixF3[[#Headers],[1,56]]</f>
        <v>108.00000000000011</v>
      </c>
      <c r="BG105" s="126">
        <f>SUMIF(MatrixF3[[1]:[2]],MatrixF3[[#Headers],[1,57]])/MatrixF3[[#Headers],[1,57]]</f>
        <v>111.99999999999969</v>
      </c>
      <c r="BH105" s="126">
        <f>SUMIF(MatrixF3[[1]:[2]],MatrixF3[[#Headers],[1,58]])/MatrixF3[[#Headers],[1,58]]</f>
        <v>109.00000000000014</v>
      </c>
      <c r="BI105" s="126">
        <f>SUMIF(MatrixF3[[1]:[2]],MatrixF3[[#Headers],[1,59]])/MatrixF3[[#Headers],[1,59]]</f>
        <v>111.00000000000018</v>
      </c>
      <c r="BJ105" s="126">
        <f>SUMIF(MatrixF3[[1]:[2]],MatrixF3[[#Headers],[1,6]])/MatrixF3[[#Headers],[1,6]]</f>
        <v>113.99999999999974</v>
      </c>
      <c r="BK105" s="126">
        <f>SUMIF(MatrixF3[[1]:[2]],MatrixF3[[#Headers],[1,61]])/MatrixF3[[#Headers],[1,61]]</f>
        <v>111.00000000000024</v>
      </c>
      <c r="BL105" s="126">
        <f>SUMIF(MatrixF3[[1]:[2]],MatrixF3[[#Headers],[1,62]])/MatrixF3[[#Headers],[1,62]]</f>
        <v>112.00000000000017</v>
      </c>
      <c r="BM105" s="126">
        <f>SUMIF(MatrixF3[[1]:[2]],MatrixF3[[#Headers],[1,63]])/MatrixF3[[#Headers],[1,63]]</f>
        <v>110.99999999999984</v>
      </c>
      <c r="BN105" s="126">
        <f>SUMIF(MatrixF3[[1]:[2]],MatrixF3[[#Headers],[1,64]])/MatrixF3[[#Headers],[1,64]]</f>
        <v>110.99999999999976</v>
      </c>
      <c r="BO105" s="126">
        <f>SUMIF(MatrixF3[[1]:[2]],MatrixF3[[#Headers],[1,65]])/MatrixF3[[#Headers],[1,65]]</f>
        <v>113.00000000000024</v>
      </c>
      <c r="BP105" s="126">
        <f>SUMIF(MatrixF3[[1]:[2]],MatrixF3[[#Headers],[1,66]])/MatrixF3[[#Headers],[1,66]]</f>
        <v>110.99999999999983</v>
      </c>
      <c r="BQ105" s="126">
        <f>SUMIF(MatrixF3[[1]:[2]],MatrixF3[[#Headers],[1,67]])/MatrixF3[[#Headers],[1,67]]</f>
        <v>112.99999999999979</v>
      </c>
      <c r="BR105" s="126">
        <f>SUMIF(MatrixF3[[1]:[2]],MatrixF3[[#Headers],[1,68]])/MatrixF3[[#Headers],[1,68]]</f>
        <v>112.00000000000028</v>
      </c>
      <c r="BS105" s="126">
        <f>SUMIF(MatrixF3[[1]:[2]],MatrixF3[[#Headers],[1,69]])/MatrixF3[[#Headers],[1,69]]</f>
        <v>108.99999999999989</v>
      </c>
      <c r="BT105" s="126">
        <f>SUMIF(MatrixF3[[1]:[2]],MatrixF3[[#Headers],[1,7]])/MatrixF3[[#Headers],[1,7]]</f>
        <v>108.99999999999986</v>
      </c>
      <c r="BU105" s="126">
        <f>SUMIF(MatrixF3[[1]:[2]],MatrixF3[[#Headers],[1,71]])/MatrixF3[[#Headers],[1,71]]</f>
        <v>111.00000000000006</v>
      </c>
      <c r="BV105" s="126">
        <f>SUMIF(MatrixF3[[1]:[2]],MatrixF3[[#Headers],[1,72]])/MatrixF3[[#Headers],[1,72]]</f>
        <v>106.99999999999994</v>
      </c>
      <c r="BW105" s="126">
        <f>SUMIF(MatrixF3[[1]:[2]],MatrixF3[[#Headers],[1,73]])/MatrixF3[[#Headers],[1,73]]</f>
        <v>109.99999999999984</v>
      </c>
      <c r="BX105" s="126">
        <f>SUMIF(MatrixF3[[1]:[2]],MatrixF3[[#Headers],[1,74]])/MatrixF3[[#Headers],[1,74]]</f>
        <v>109.0000000000001</v>
      </c>
      <c r="BY105" s="126">
        <f>SUMIF(MatrixF3[[1]:[2]],MatrixF3[[#Headers],[1,75]])/MatrixF3[[#Headers],[1,75]]</f>
        <v>101</v>
      </c>
      <c r="BZ105" s="126">
        <f>SUMIF(MatrixF3[[1]:[2]],MatrixF3[[#Headers],[1,76]])/MatrixF3[[#Headers],[1,76]]</f>
        <v>108.9999999999999</v>
      </c>
      <c r="CA105" s="126">
        <f>SUMIF(MatrixF3[[1]:[2]],MatrixF3[[#Headers],[1,77]])/MatrixF3[[#Headers],[1,77]]</f>
        <v>103.00000000000013</v>
      </c>
      <c r="CB105" s="126">
        <f>SUMIF(MatrixF3[[1]:[2]],MatrixF3[[#Headers],[1,78]])/MatrixF3[[#Headers],[1,78]]</f>
        <v>107.00000000000006</v>
      </c>
      <c r="CC105" s="126">
        <f>SUMIF(MatrixF3[[1]:[2]],MatrixF3[[#Headers],[1,79]])/MatrixF3[[#Headers],[1,79]]</f>
        <v>100.99999999999997</v>
      </c>
      <c r="CD105" s="126">
        <f>SUMIF(MatrixF3[[1]:[2]],MatrixF3[[#Headers],[1,8]])/MatrixF3[[#Headers],[1,8]]</f>
        <v>102.0000000000001</v>
      </c>
      <c r="CE105" s="126">
        <f>SUMIF(MatrixF3[[1]:[2]],MatrixF3[[#Headers],[1,81]])/MatrixF3[[#Headers],[1,81]]</f>
        <v>101.0000000000001</v>
      </c>
      <c r="CF105" s="126">
        <f>SUMIF(MatrixF3[[1]:[2]],MatrixF3[[#Headers],[1,82]])/MatrixF3[[#Headers],[1,82]]</f>
        <v>100.99999999999976</v>
      </c>
      <c r="CG105" s="126">
        <f>SUMIF(MatrixF3[[1]:[2]],MatrixF3[[#Headers],[1,83]])/MatrixF3[[#Headers],[1,83]]</f>
        <v>93.000000000000099</v>
      </c>
      <c r="CH105" s="126">
        <f>SUMIF(MatrixF3[[1]:[2]],MatrixF3[[#Headers],[1,84]])/MatrixF3[[#Headers],[1,84]]</f>
        <v>100.00000000000016</v>
      </c>
      <c r="CI105" s="126">
        <f>SUMIF(MatrixF3[[1]:[2]],MatrixF3[[#Headers],[1,85]])/MatrixF3[[#Headers],[1,85]]</f>
        <v>96.999999999999815</v>
      </c>
      <c r="CJ105" s="126">
        <f>SUMIF(MatrixF3[[1]:[2]],MatrixF3[[#Headers],[1,86]])/MatrixF3[[#Headers],[1,86]]</f>
        <v>97.000000000000185</v>
      </c>
      <c r="CK105" s="126">
        <f>SUMIF(MatrixF3[[1]:[2]],MatrixF3[[#Headers],[1,87]])/MatrixF3[[#Headers],[1,87]]</f>
        <v>88.000000000000099</v>
      </c>
      <c r="CL105" s="126">
        <f>SUMIF(MatrixF3[[1]:[2]],MatrixF3[[#Headers],[1,88]])/MatrixF3[[#Headers],[1,88]]</f>
        <v>96.999999999999872</v>
      </c>
      <c r="CM105" s="126">
        <f>SUMIF(MatrixF3[[1]:[2]],MatrixF3[[#Headers],[1,89]])/MatrixF3[[#Headers],[1,89]]</f>
        <v>92.999999999999829</v>
      </c>
      <c r="CN105" s="126">
        <f>SUMIF(MatrixF3[[1]:[2]],MatrixF3[[#Headers],[1,9]])/MatrixF3[[#Headers],[1,9]]</f>
        <v>90.000000000000156</v>
      </c>
      <c r="CO105" s="126">
        <f>SUMIF(MatrixF3[[1]:[2]],MatrixF3[[#Headers],[1,91]])/MatrixF3[[#Headers],[1,91]]</f>
        <v>88.999999999999872</v>
      </c>
      <c r="CP105" s="126">
        <f>SUMIF(MatrixF3[[1]:[2]],MatrixF3[[#Headers],[1,92]])/MatrixF3[[#Headers],[1,92]]</f>
        <v>85.999999999999929</v>
      </c>
      <c r="CQ105" s="126">
        <f>SUMIF(MatrixF3[[1]:[2]],MatrixF3[[#Headers],[1,93]])/MatrixF3[[#Headers],[1,93]]</f>
        <v>87.000000000000199</v>
      </c>
      <c r="CR105" s="126">
        <f>SUMIF(MatrixF3[[1]:[2]],MatrixF3[[#Headers],[1,94]])/MatrixF3[[#Headers],[1,94]]</f>
        <v>80.999999999999943</v>
      </c>
      <c r="CS105" s="126">
        <f>SUMIF(MatrixF3[[1]:[2]],MatrixF3[[#Headers],[1,95]])/MatrixF3[[#Headers],[1,95]]</f>
        <v>85.999999999999957</v>
      </c>
      <c r="CT105" s="126">
        <f>SUMIF(MatrixF3[[1]:[2]],MatrixF3[[#Headers],[1,96]])/MatrixF3[[#Headers],[1,96]]</f>
        <v>80.999999999999972</v>
      </c>
      <c r="CU105" s="126">
        <f>SUMIF(MatrixF3[[1]:[2]],MatrixF3[[#Headers],[1,97]])/MatrixF3[[#Headers],[1,97]]</f>
        <v>79.999999999999972</v>
      </c>
      <c r="CV105" s="126">
        <f>SUMIF(MatrixF3[[1]:[2]],MatrixF3[[#Headers],[1,98]])/MatrixF3[[#Headers],[1,98]]</f>
        <v>76.999999999999972</v>
      </c>
      <c r="CW105" s="126">
        <f>SUMIF(MatrixF3[[1]:[2]],MatrixF3[[#Headers],[1,99]])/MatrixF3[[#Headers],[1,99]]</f>
        <v>69.999999999999943</v>
      </c>
      <c r="CX105" s="126">
        <f>SUMIF(MatrixF3[[1]:[2]],MatrixF3[[#Headers],[2]])/MatrixF3[[#Headers],[2]]</f>
        <v>101</v>
      </c>
      <c r="CZ105" s="126">
        <f>SUM(CZ3:CZ103)</f>
        <v>10201</v>
      </c>
    </row>
  </sheetData>
  <mergeCells count="1">
    <mergeCell ref="A1:C1"/>
  </mergeCells>
  <conditionalFormatting sqref="B3:CX103">
    <cfRule type="cellIs" dxfId="319" priority="1" operator="equal">
      <formula>1.6</formula>
    </cfRule>
    <cfRule type="colorScale" priority="2">
      <colorScale>
        <cfvo type="min"/>
        <cfvo type="percentile" val="50"/>
        <cfvo type="max"/>
        <color rgb="FFF8696B"/>
        <color rgb="FFFFEB84"/>
        <color rgb="FF63BE7B"/>
      </colorScale>
    </cfRule>
  </conditionalFormatting>
  <hyperlinks>
    <hyperlink ref="A1:C1" location="Содержание!A1" display="&lt;&lt;НАЗАД" xr:uid="{00000000-0004-0000-0F00-000000000000}"/>
  </hyperlink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Лист911"/>
  <dimension ref="A1:CZ105"/>
  <sheetViews>
    <sheetView zoomScale="160" zoomScaleNormal="160" workbookViewId="0">
      <pane xSplit="1" ySplit="2" topLeftCell="F17" activePane="bottomRight" state="frozen"/>
      <selection pane="topRight" activeCell="B1" sqref="B1"/>
      <selection pane="bottomLeft" activeCell="A3" sqref="A3"/>
      <selection pane="bottomRight" activeCell="I2" sqref="I2"/>
    </sheetView>
  </sheetViews>
  <sheetFormatPr defaultColWidth="4.7109375" defaultRowHeight="21" customHeight="1" x14ac:dyDescent="0.25"/>
  <cols>
    <col min="1" max="103" width="4.7109375" style="2"/>
    <col min="104" max="104" width="4.7109375" style="126" customWidth="1"/>
    <col min="105" max="16384" width="4.7109375" style="2"/>
  </cols>
  <sheetData>
    <row r="1" spans="1:104" ht="21" customHeight="1" x14ac:dyDescent="0.25">
      <c r="A1" s="261" t="s">
        <v>109</v>
      </c>
      <c r="B1" s="261"/>
      <c r="C1" s="261"/>
      <c r="G1" s="205">
        <v>1.57</v>
      </c>
      <c r="H1" s="206" t="s">
        <v>614</v>
      </c>
      <c r="I1" s="205">
        <f>COUNTIF(MatrixF4[[1]:[2]],"="&amp;G1)</f>
        <v>137</v>
      </c>
    </row>
    <row r="2" spans="1:104" ht="21" customHeight="1" x14ac:dyDescent="0.25">
      <c r="A2" s="127" t="s">
        <v>99</v>
      </c>
      <c r="B2" s="127" t="s">
        <v>100</v>
      </c>
      <c r="C2" s="127" t="s">
        <v>0</v>
      </c>
      <c r="D2" s="127" t="s">
        <v>1</v>
      </c>
      <c r="E2" s="127" t="s">
        <v>2</v>
      </c>
      <c r="F2" s="127" t="s">
        <v>3</v>
      </c>
      <c r="G2" s="127" t="s">
        <v>4</v>
      </c>
      <c r="H2" s="127" t="s">
        <v>5</v>
      </c>
      <c r="I2" s="127" t="s">
        <v>6</v>
      </c>
      <c r="J2" s="127" t="s">
        <v>7</v>
      </c>
      <c r="K2" s="127" t="s">
        <v>8</v>
      </c>
      <c r="L2" s="127" t="s">
        <v>9</v>
      </c>
      <c r="M2" s="127" t="s">
        <v>10</v>
      </c>
      <c r="N2" s="127" t="s">
        <v>11</v>
      </c>
      <c r="O2" s="127" t="s">
        <v>12</v>
      </c>
      <c r="P2" s="127" t="s">
        <v>13</v>
      </c>
      <c r="Q2" s="127" t="s">
        <v>14</v>
      </c>
      <c r="R2" s="127" t="s">
        <v>15</v>
      </c>
      <c r="S2" s="127" t="s">
        <v>16</v>
      </c>
      <c r="T2" s="127" t="s">
        <v>17</v>
      </c>
      <c r="U2" s="127" t="s">
        <v>18</v>
      </c>
      <c r="V2" s="127" t="s">
        <v>19</v>
      </c>
      <c r="W2" s="127" t="s">
        <v>20</v>
      </c>
      <c r="X2" s="127" t="s">
        <v>21</v>
      </c>
      <c r="Y2" s="127" t="s">
        <v>22</v>
      </c>
      <c r="Z2" s="127" t="s">
        <v>23</v>
      </c>
      <c r="AA2" s="127" t="s">
        <v>24</v>
      </c>
      <c r="AB2" s="127" t="s">
        <v>25</v>
      </c>
      <c r="AC2" s="127" t="s">
        <v>26</v>
      </c>
      <c r="AD2" s="127" t="s">
        <v>27</v>
      </c>
      <c r="AE2" s="127" t="s">
        <v>28</v>
      </c>
      <c r="AF2" s="127" t="s">
        <v>29</v>
      </c>
      <c r="AG2" s="127" t="s">
        <v>30</v>
      </c>
      <c r="AH2" s="127" t="s">
        <v>31</v>
      </c>
      <c r="AI2" s="127" t="s">
        <v>32</v>
      </c>
      <c r="AJ2" s="127" t="s">
        <v>33</v>
      </c>
      <c r="AK2" s="127" t="s">
        <v>34</v>
      </c>
      <c r="AL2" s="127" t="s">
        <v>35</v>
      </c>
      <c r="AM2" s="127" t="s">
        <v>36</v>
      </c>
      <c r="AN2" s="127" t="s">
        <v>37</v>
      </c>
      <c r="AO2" s="127" t="s">
        <v>38</v>
      </c>
      <c r="AP2" s="127" t="s">
        <v>39</v>
      </c>
      <c r="AQ2" s="127" t="s">
        <v>40</v>
      </c>
      <c r="AR2" s="127" t="s">
        <v>41</v>
      </c>
      <c r="AS2" s="127" t="s">
        <v>42</v>
      </c>
      <c r="AT2" s="127" t="s">
        <v>43</v>
      </c>
      <c r="AU2" s="127" t="s">
        <v>44</v>
      </c>
      <c r="AV2" s="127" t="s">
        <v>45</v>
      </c>
      <c r="AW2" s="127" t="s">
        <v>46</v>
      </c>
      <c r="AX2" s="127" t="s">
        <v>47</v>
      </c>
      <c r="AY2" s="127" t="s">
        <v>48</v>
      </c>
      <c r="AZ2" s="127" t="s">
        <v>49</v>
      </c>
      <c r="BA2" s="127" t="s">
        <v>50</v>
      </c>
      <c r="BB2" s="127" t="s">
        <v>51</v>
      </c>
      <c r="BC2" s="127" t="s">
        <v>52</v>
      </c>
      <c r="BD2" s="127" t="s">
        <v>53</v>
      </c>
      <c r="BE2" s="127" t="s">
        <v>54</v>
      </c>
      <c r="BF2" s="127" t="s">
        <v>55</v>
      </c>
      <c r="BG2" s="127" t="s">
        <v>56</v>
      </c>
      <c r="BH2" s="127" t="s">
        <v>57</v>
      </c>
      <c r="BI2" s="127" t="s">
        <v>58</v>
      </c>
      <c r="BJ2" s="127" t="s">
        <v>59</v>
      </c>
      <c r="BK2" s="127" t="s">
        <v>60</v>
      </c>
      <c r="BL2" s="127" t="s">
        <v>61</v>
      </c>
      <c r="BM2" s="127" t="s">
        <v>62</v>
      </c>
      <c r="BN2" s="127" t="s">
        <v>63</v>
      </c>
      <c r="BO2" s="127" t="s">
        <v>64</v>
      </c>
      <c r="BP2" s="127" t="s">
        <v>65</v>
      </c>
      <c r="BQ2" s="127" t="s">
        <v>66</v>
      </c>
      <c r="BR2" s="127" t="s">
        <v>67</v>
      </c>
      <c r="BS2" s="127" t="s">
        <v>68</v>
      </c>
      <c r="BT2" s="127" t="s">
        <v>69</v>
      </c>
      <c r="BU2" s="127" t="s">
        <v>70</v>
      </c>
      <c r="BV2" s="127" t="s">
        <v>71</v>
      </c>
      <c r="BW2" s="127" t="s">
        <v>72</v>
      </c>
      <c r="BX2" s="127" t="s">
        <v>73</v>
      </c>
      <c r="BY2" s="127" t="s">
        <v>74</v>
      </c>
      <c r="BZ2" s="127" t="s">
        <v>75</v>
      </c>
      <c r="CA2" s="127" t="s">
        <v>76</v>
      </c>
      <c r="CB2" s="127" t="s">
        <v>77</v>
      </c>
      <c r="CC2" s="127" t="s">
        <v>78</v>
      </c>
      <c r="CD2" s="127" t="s">
        <v>79</v>
      </c>
      <c r="CE2" s="127" t="s">
        <v>80</v>
      </c>
      <c r="CF2" s="127" t="s">
        <v>81</v>
      </c>
      <c r="CG2" s="127" t="s">
        <v>82</v>
      </c>
      <c r="CH2" s="127" t="s">
        <v>83</v>
      </c>
      <c r="CI2" s="127" t="s">
        <v>84</v>
      </c>
      <c r="CJ2" s="127" t="s">
        <v>85</v>
      </c>
      <c r="CK2" s="127" t="s">
        <v>86</v>
      </c>
      <c r="CL2" s="127" t="s">
        <v>87</v>
      </c>
      <c r="CM2" s="127" t="s">
        <v>88</v>
      </c>
      <c r="CN2" s="127" t="s">
        <v>89</v>
      </c>
      <c r="CO2" s="127" t="s">
        <v>90</v>
      </c>
      <c r="CP2" s="127" t="s">
        <v>91</v>
      </c>
      <c r="CQ2" s="127" t="s">
        <v>92</v>
      </c>
      <c r="CR2" s="127" t="s">
        <v>93</v>
      </c>
      <c r="CS2" s="127" t="s">
        <v>94</v>
      </c>
      <c r="CT2" s="127" t="s">
        <v>95</v>
      </c>
      <c r="CU2" s="127" t="s">
        <v>96</v>
      </c>
      <c r="CV2" s="127" t="s">
        <v>97</v>
      </c>
      <c r="CW2" s="127" t="s">
        <v>98</v>
      </c>
      <c r="CX2" s="127" t="s">
        <v>101</v>
      </c>
    </row>
    <row r="3" spans="1:104" ht="21" customHeight="1" x14ac:dyDescent="0.25">
      <c r="A3" s="127">
        <v>1</v>
      </c>
      <c r="B3" s="129">
        <v>1</v>
      </c>
      <c r="C3" s="129">
        <v>1.01</v>
      </c>
      <c r="D3" s="129">
        <v>1.02</v>
      </c>
      <c r="E3" s="129">
        <v>1.03</v>
      </c>
      <c r="F3" s="129">
        <v>1.04</v>
      </c>
      <c r="G3" s="129">
        <v>1.05</v>
      </c>
      <c r="H3" s="129">
        <v>1.06</v>
      </c>
      <c r="I3" s="129">
        <v>1.07</v>
      </c>
      <c r="J3" s="129">
        <v>1.08</v>
      </c>
      <c r="K3" s="129">
        <v>1.0900000000000001</v>
      </c>
      <c r="L3" s="129">
        <v>1.1000000000000001</v>
      </c>
      <c r="M3" s="129">
        <v>1.1100000000000001</v>
      </c>
      <c r="N3" s="129">
        <v>1.1200000000000001</v>
      </c>
      <c r="O3" s="129">
        <v>1.1299999999999999</v>
      </c>
      <c r="P3" s="129">
        <v>1.1399999999999999</v>
      </c>
      <c r="Q3" s="129">
        <v>1.1499999999999999</v>
      </c>
      <c r="R3" s="129">
        <v>1.1599999999999999</v>
      </c>
      <c r="S3" s="129">
        <v>1.17</v>
      </c>
      <c r="T3" s="129">
        <v>1.18</v>
      </c>
      <c r="U3" s="129">
        <v>1.19</v>
      </c>
      <c r="V3" s="129">
        <v>1.2</v>
      </c>
      <c r="W3" s="129">
        <v>1.21</v>
      </c>
      <c r="X3" s="129">
        <v>1.22</v>
      </c>
      <c r="Y3" s="129">
        <v>1.23</v>
      </c>
      <c r="Z3" s="129">
        <v>1.24</v>
      </c>
      <c r="AA3" s="129">
        <v>1.25</v>
      </c>
      <c r="AB3" s="129">
        <v>1.26</v>
      </c>
      <c r="AC3" s="129">
        <v>1.27</v>
      </c>
      <c r="AD3" s="129">
        <v>1.28</v>
      </c>
      <c r="AE3" s="129">
        <v>1.29</v>
      </c>
      <c r="AF3" s="129">
        <v>1.3</v>
      </c>
      <c r="AG3" s="129">
        <v>1.31</v>
      </c>
      <c r="AH3" s="129">
        <v>1.32</v>
      </c>
      <c r="AI3" s="129">
        <v>1.33</v>
      </c>
      <c r="AJ3" s="129">
        <v>1.34</v>
      </c>
      <c r="AK3" s="129">
        <v>1.35</v>
      </c>
      <c r="AL3" s="129">
        <v>1.36</v>
      </c>
      <c r="AM3" s="129">
        <v>1.37</v>
      </c>
      <c r="AN3" s="129">
        <v>1.38</v>
      </c>
      <c r="AO3" s="129">
        <v>1.39</v>
      </c>
      <c r="AP3" s="129">
        <v>1.4</v>
      </c>
      <c r="AQ3" s="129">
        <v>1.41</v>
      </c>
      <c r="AR3" s="129">
        <v>1.42</v>
      </c>
      <c r="AS3" s="129">
        <v>1.43</v>
      </c>
      <c r="AT3" s="129">
        <v>1.44</v>
      </c>
      <c r="AU3" s="129">
        <v>1.45</v>
      </c>
      <c r="AV3" s="129">
        <v>1.46</v>
      </c>
      <c r="AW3" s="129">
        <v>1.47</v>
      </c>
      <c r="AX3" s="129">
        <v>1.48</v>
      </c>
      <c r="AY3" s="129">
        <v>1.49</v>
      </c>
      <c r="AZ3" s="129">
        <v>1.5</v>
      </c>
      <c r="BA3" s="129">
        <v>1.51</v>
      </c>
      <c r="BB3" s="129">
        <v>1.52</v>
      </c>
      <c r="BC3" s="129">
        <v>1.53</v>
      </c>
      <c r="BD3" s="129">
        <v>1.54</v>
      </c>
      <c r="BE3" s="129">
        <v>1.55</v>
      </c>
      <c r="BF3" s="129">
        <v>1.56</v>
      </c>
      <c r="BG3" s="129">
        <v>1.57</v>
      </c>
      <c r="BH3" s="129">
        <v>1.58</v>
      </c>
      <c r="BI3" s="129">
        <v>1.59</v>
      </c>
      <c r="BJ3" s="129">
        <v>1.6</v>
      </c>
      <c r="BK3" s="129">
        <v>1.61</v>
      </c>
      <c r="BL3" s="129">
        <v>1.62</v>
      </c>
      <c r="BM3" s="129">
        <v>1.63</v>
      </c>
      <c r="BN3" s="129">
        <v>1.64</v>
      </c>
      <c r="BO3" s="129">
        <v>1.65</v>
      </c>
      <c r="BP3" s="129">
        <v>1.66</v>
      </c>
      <c r="BQ3" s="129">
        <v>1.67</v>
      </c>
      <c r="BR3" s="129">
        <v>1.68</v>
      </c>
      <c r="BS3" s="129">
        <v>1.69</v>
      </c>
      <c r="BT3" s="129">
        <v>1.7</v>
      </c>
      <c r="BU3" s="129">
        <v>1.71</v>
      </c>
      <c r="BV3" s="129">
        <v>1.72</v>
      </c>
      <c r="BW3" s="129">
        <v>1.73</v>
      </c>
      <c r="BX3" s="129">
        <v>1.74</v>
      </c>
      <c r="BY3" s="129">
        <v>1.75</v>
      </c>
      <c r="BZ3" s="129">
        <v>1.76</v>
      </c>
      <c r="CA3" s="129">
        <v>1.77</v>
      </c>
      <c r="CB3" s="129">
        <v>1.78</v>
      </c>
      <c r="CC3" s="129">
        <v>1.79</v>
      </c>
      <c r="CD3" s="129">
        <v>1.8</v>
      </c>
      <c r="CE3" s="129">
        <v>1.81</v>
      </c>
      <c r="CF3" s="129">
        <v>1.82</v>
      </c>
      <c r="CG3" s="129">
        <v>1.83</v>
      </c>
      <c r="CH3" s="129">
        <v>1.84</v>
      </c>
      <c r="CI3" s="129">
        <v>1.85</v>
      </c>
      <c r="CJ3" s="129">
        <v>1.86</v>
      </c>
      <c r="CK3" s="129">
        <v>1.87</v>
      </c>
      <c r="CL3" s="129">
        <v>1.88</v>
      </c>
      <c r="CM3" s="129">
        <v>1.89</v>
      </c>
      <c r="CN3" s="129">
        <v>1.9</v>
      </c>
      <c r="CO3" s="129">
        <v>1.91</v>
      </c>
      <c r="CP3" s="129">
        <v>1.92</v>
      </c>
      <c r="CQ3" s="129">
        <v>1.93</v>
      </c>
      <c r="CR3" s="129">
        <v>1.94</v>
      </c>
      <c r="CS3" s="129">
        <v>1.95</v>
      </c>
      <c r="CT3" s="129">
        <v>1.96</v>
      </c>
      <c r="CU3" s="129">
        <v>1.97</v>
      </c>
      <c r="CV3" s="129">
        <v>1.98</v>
      </c>
      <c r="CW3" s="129">
        <v>1.99</v>
      </c>
      <c r="CX3" s="129">
        <v>2</v>
      </c>
      <c r="CZ3" s="126">
        <f>SUMIF(MatrixF4[[1]:[2]],MatrixF4[[#This Row],[Столбец1]])/MatrixF4[[#This Row],[Столбец1]]</f>
        <v>1</v>
      </c>
    </row>
    <row r="4" spans="1:104" ht="21" customHeight="1" x14ac:dyDescent="0.25">
      <c r="A4" s="127">
        <v>1.01</v>
      </c>
      <c r="B4" s="129">
        <v>1.01</v>
      </c>
      <c r="C4" s="129">
        <v>1.01</v>
      </c>
      <c r="D4" s="129">
        <v>1.02</v>
      </c>
      <c r="E4" s="129">
        <v>1.03</v>
      </c>
      <c r="F4" s="129">
        <v>1.04</v>
      </c>
      <c r="G4" s="129">
        <v>1.05</v>
      </c>
      <c r="H4" s="129">
        <v>1.06</v>
      </c>
      <c r="I4" s="129">
        <v>1.07</v>
      </c>
      <c r="J4" s="129">
        <v>1.08</v>
      </c>
      <c r="K4" s="129">
        <v>1.0900000000000001</v>
      </c>
      <c r="L4" s="129">
        <v>1.1000000000000001</v>
      </c>
      <c r="M4" s="129">
        <v>1.1100000000000001</v>
      </c>
      <c r="N4" s="129">
        <v>1.1200000000000001</v>
      </c>
      <c r="O4" s="129">
        <v>1.1299999999999999</v>
      </c>
      <c r="P4" s="129">
        <v>1.1399999999999999</v>
      </c>
      <c r="Q4" s="129">
        <v>1.1499999999999999</v>
      </c>
      <c r="R4" s="129">
        <v>1.1599999999999999</v>
      </c>
      <c r="S4" s="129">
        <v>1.17</v>
      </c>
      <c r="T4" s="129">
        <v>1.18</v>
      </c>
      <c r="U4" s="129">
        <v>1.19</v>
      </c>
      <c r="V4" s="129">
        <v>1.2</v>
      </c>
      <c r="W4" s="129">
        <v>1.21</v>
      </c>
      <c r="X4" s="129">
        <v>1.22</v>
      </c>
      <c r="Y4" s="129">
        <v>1.23</v>
      </c>
      <c r="Z4" s="129">
        <v>1.24</v>
      </c>
      <c r="AA4" s="129">
        <v>1.25</v>
      </c>
      <c r="AB4" s="129">
        <v>1.26</v>
      </c>
      <c r="AC4" s="129">
        <v>1.27</v>
      </c>
      <c r="AD4" s="129">
        <v>1.28</v>
      </c>
      <c r="AE4" s="129">
        <v>1.29</v>
      </c>
      <c r="AF4" s="129">
        <v>1.3</v>
      </c>
      <c r="AG4" s="129">
        <v>1.31</v>
      </c>
      <c r="AH4" s="129">
        <v>1.32</v>
      </c>
      <c r="AI4" s="129">
        <v>1.33</v>
      </c>
      <c r="AJ4" s="129">
        <v>1.34</v>
      </c>
      <c r="AK4" s="129">
        <v>1.35</v>
      </c>
      <c r="AL4" s="129">
        <v>1.36</v>
      </c>
      <c r="AM4" s="129">
        <v>1.37</v>
      </c>
      <c r="AN4" s="129">
        <v>1.38</v>
      </c>
      <c r="AO4" s="129">
        <v>1.39</v>
      </c>
      <c r="AP4" s="129">
        <v>1.4</v>
      </c>
      <c r="AQ4" s="129">
        <v>1.41</v>
      </c>
      <c r="AR4" s="129">
        <v>1.42</v>
      </c>
      <c r="AS4" s="129">
        <v>1.43</v>
      </c>
      <c r="AT4" s="129">
        <v>1.44</v>
      </c>
      <c r="AU4" s="129">
        <v>1.45</v>
      </c>
      <c r="AV4" s="129">
        <v>1.46</v>
      </c>
      <c r="AW4" s="129">
        <v>1.47</v>
      </c>
      <c r="AX4" s="129">
        <v>1.48</v>
      </c>
      <c r="AY4" s="129">
        <v>1.49</v>
      </c>
      <c r="AZ4" s="129">
        <v>1.5</v>
      </c>
      <c r="BA4" s="129">
        <v>1.51</v>
      </c>
      <c r="BB4" s="129">
        <v>1.52</v>
      </c>
      <c r="BC4" s="129">
        <v>1.53</v>
      </c>
      <c r="BD4" s="129">
        <v>1.54</v>
      </c>
      <c r="BE4" s="129">
        <v>1.55</v>
      </c>
      <c r="BF4" s="129">
        <v>1.56</v>
      </c>
      <c r="BG4" s="129">
        <v>1.57</v>
      </c>
      <c r="BH4" s="129">
        <v>1.58</v>
      </c>
      <c r="BI4" s="129">
        <v>1.59</v>
      </c>
      <c r="BJ4" s="129">
        <v>1.6</v>
      </c>
      <c r="BK4" s="129">
        <v>1.61</v>
      </c>
      <c r="BL4" s="129">
        <v>1.62</v>
      </c>
      <c r="BM4" s="129">
        <v>1.63</v>
      </c>
      <c r="BN4" s="129">
        <v>1.64</v>
      </c>
      <c r="BO4" s="129">
        <v>1.65</v>
      </c>
      <c r="BP4" s="129">
        <v>1.66</v>
      </c>
      <c r="BQ4" s="129">
        <v>1.67</v>
      </c>
      <c r="BR4" s="129">
        <v>1.68</v>
      </c>
      <c r="BS4" s="129">
        <v>1.69</v>
      </c>
      <c r="BT4" s="129">
        <v>1.7</v>
      </c>
      <c r="BU4" s="129">
        <v>1.71</v>
      </c>
      <c r="BV4" s="129">
        <v>1.72</v>
      </c>
      <c r="BW4" s="129">
        <v>1.73</v>
      </c>
      <c r="BX4" s="129">
        <v>1.74</v>
      </c>
      <c r="BY4" s="129">
        <v>1.75</v>
      </c>
      <c r="BZ4" s="129">
        <v>1.76</v>
      </c>
      <c r="CA4" s="129">
        <v>1.77</v>
      </c>
      <c r="CB4" s="129">
        <v>1.78</v>
      </c>
      <c r="CC4" s="129">
        <v>1.79</v>
      </c>
      <c r="CD4" s="129">
        <v>1.8</v>
      </c>
      <c r="CE4" s="129">
        <v>1.81</v>
      </c>
      <c r="CF4" s="129">
        <v>1.82</v>
      </c>
      <c r="CG4" s="129">
        <v>1.83</v>
      </c>
      <c r="CH4" s="129">
        <v>1.84</v>
      </c>
      <c r="CI4" s="129">
        <v>1.85</v>
      </c>
      <c r="CJ4" s="129">
        <v>1.86</v>
      </c>
      <c r="CK4" s="129">
        <v>1.87</v>
      </c>
      <c r="CL4" s="129">
        <v>1.88</v>
      </c>
      <c r="CM4" s="129">
        <v>1.89</v>
      </c>
      <c r="CN4" s="129">
        <v>1.9</v>
      </c>
      <c r="CO4" s="129">
        <v>1.91</v>
      </c>
      <c r="CP4" s="129">
        <v>1.92</v>
      </c>
      <c r="CQ4" s="129">
        <v>1.93</v>
      </c>
      <c r="CR4" s="129">
        <v>1.94</v>
      </c>
      <c r="CS4" s="129">
        <v>1.95</v>
      </c>
      <c r="CT4" s="129">
        <v>1.96</v>
      </c>
      <c r="CU4" s="129">
        <v>1.97</v>
      </c>
      <c r="CV4" s="129">
        <v>1.98</v>
      </c>
      <c r="CW4" s="129">
        <v>1.99</v>
      </c>
      <c r="CX4" s="129">
        <v>2</v>
      </c>
      <c r="CZ4" s="126">
        <f>SUMIF(MatrixF4[[1]:[2]],MatrixF4[[#This Row],[Столбец1]])/MatrixF4[[#This Row],[Столбец1]]</f>
        <v>3</v>
      </c>
    </row>
    <row r="5" spans="1:104" ht="21" customHeight="1" x14ac:dyDescent="0.25">
      <c r="A5" s="127">
        <v>1.02</v>
      </c>
      <c r="B5" s="129">
        <v>1.02</v>
      </c>
      <c r="C5" s="129">
        <v>1.02</v>
      </c>
      <c r="D5" s="129">
        <v>1.02</v>
      </c>
      <c r="E5" s="129">
        <v>1.03</v>
      </c>
      <c r="F5" s="129">
        <v>1.04</v>
      </c>
      <c r="G5" s="129">
        <v>1.05</v>
      </c>
      <c r="H5" s="129">
        <v>1.06</v>
      </c>
      <c r="I5" s="129">
        <v>1.07</v>
      </c>
      <c r="J5" s="129">
        <v>1.08</v>
      </c>
      <c r="K5" s="129">
        <v>1.0900000000000001</v>
      </c>
      <c r="L5" s="129">
        <v>1.1000000000000001</v>
      </c>
      <c r="M5" s="129">
        <v>1.1100000000000001</v>
      </c>
      <c r="N5" s="129">
        <v>1.1200000000000001</v>
      </c>
      <c r="O5" s="129">
        <v>1.1299999999999999</v>
      </c>
      <c r="P5" s="129">
        <v>1.1399999999999999</v>
      </c>
      <c r="Q5" s="129">
        <v>1.1499999999999999</v>
      </c>
      <c r="R5" s="129">
        <v>1.1599999999999999</v>
      </c>
      <c r="S5" s="129">
        <v>1.17</v>
      </c>
      <c r="T5" s="129">
        <v>1.18</v>
      </c>
      <c r="U5" s="129">
        <v>1.19</v>
      </c>
      <c r="V5" s="129">
        <v>1.2</v>
      </c>
      <c r="W5" s="129">
        <v>1.21</v>
      </c>
      <c r="X5" s="129">
        <v>1.22</v>
      </c>
      <c r="Y5" s="129">
        <v>1.23</v>
      </c>
      <c r="Z5" s="129">
        <v>1.24</v>
      </c>
      <c r="AA5" s="129">
        <v>1.25</v>
      </c>
      <c r="AB5" s="129">
        <v>1.26</v>
      </c>
      <c r="AC5" s="129">
        <v>1.27</v>
      </c>
      <c r="AD5" s="129">
        <v>1.28</v>
      </c>
      <c r="AE5" s="129">
        <v>1.29</v>
      </c>
      <c r="AF5" s="129">
        <v>1.3</v>
      </c>
      <c r="AG5" s="129">
        <v>1.31</v>
      </c>
      <c r="AH5" s="129">
        <v>1.32</v>
      </c>
      <c r="AI5" s="129">
        <v>1.33</v>
      </c>
      <c r="AJ5" s="129">
        <v>1.34</v>
      </c>
      <c r="AK5" s="129">
        <v>1.35</v>
      </c>
      <c r="AL5" s="129">
        <v>1.36</v>
      </c>
      <c r="AM5" s="129">
        <v>1.37</v>
      </c>
      <c r="AN5" s="129">
        <v>1.38</v>
      </c>
      <c r="AO5" s="129">
        <v>1.39</v>
      </c>
      <c r="AP5" s="129">
        <v>1.4</v>
      </c>
      <c r="AQ5" s="129">
        <v>1.41</v>
      </c>
      <c r="AR5" s="129">
        <v>1.42</v>
      </c>
      <c r="AS5" s="129">
        <v>1.43</v>
      </c>
      <c r="AT5" s="129">
        <v>1.44</v>
      </c>
      <c r="AU5" s="129">
        <v>1.45</v>
      </c>
      <c r="AV5" s="129">
        <v>1.46</v>
      </c>
      <c r="AW5" s="129">
        <v>1.47</v>
      </c>
      <c r="AX5" s="129">
        <v>1.48</v>
      </c>
      <c r="AY5" s="129">
        <v>1.49</v>
      </c>
      <c r="AZ5" s="129">
        <v>1.5</v>
      </c>
      <c r="BA5" s="129">
        <v>1.51</v>
      </c>
      <c r="BB5" s="129">
        <v>1.52</v>
      </c>
      <c r="BC5" s="129">
        <v>1.53</v>
      </c>
      <c r="BD5" s="129">
        <v>1.54</v>
      </c>
      <c r="BE5" s="129">
        <v>1.55</v>
      </c>
      <c r="BF5" s="129">
        <v>1.56</v>
      </c>
      <c r="BG5" s="129">
        <v>1.57</v>
      </c>
      <c r="BH5" s="129">
        <v>1.58</v>
      </c>
      <c r="BI5" s="129">
        <v>1.59</v>
      </c>
      <c r="BJ5" s="129">
        <v>1.6</v>
      </c>
      <c r="BK5" s="129">
        <v>1.61</v>
      </c>
      <c r="BL5" s="129">
        <v>1.62</v>
      </c>
      <c r="BM5" s="129">
        <v>1.63</v>
      </c>
      <c r="BN5" s="129">
        <v>1.64</v>
      </c>
      <c r="BO5" s="129">
        <v>1.65</v>
      </c>
      <c r="BP5" s="129">
        <v>1.66</v>
      </c>
      <c r="BQ5" s="129">
        <v>1.67</v>
      </c>
      <c r="BR5" s="129">
        <v>1.68</v>
      </c>
      <c r="BS5" s="129">
        <v>1.69</v>
      </c>
      <c r="BT5" s="129">
        <v>1.7</v>
      </c>
      <c r="BU5" s="129">
        <v>1.71</v>
      </c>
      <c r="BV5" s="129">
        <v>1.72</v>
      </c>
      <c r="BW5" s="129">
        <v>1.73</v>
      </c>
      <c r="BX5" s="129">
        <v>1.74</v>
      </c>
      <c r="BY5" s="129">
        <v>1.75</v>
      </c>
      <c r="BZ5" s="129">
        <v>1.76</v>
      </c>
      <c r="CA5" s="129">
        <v>1.77</v>
      </c>
      <c r="CB5" s="129">
        <v>1.78</v>
      </c>
      <c r="CC5" s="129">
        <v>1.79</v>
      </c>
      <c r="CD5" s="129">
        <v>1.8</v>
      </c>
      <c r="CE5" s="129">
        <v>1.81</v>
      </c>
      <c r="CF5" s="129">
        <v>1.82</v>
      </c>
      <c r="CG5" s="129">
        <v>1.83</v>
      </c>
      <c r="CH5" s="129">
        <v>1.84</v>
      </c>
      <c r="CI5" s="129">
        <v>1.85</v>
      </c>
      <c r="CJ5" s="129">
        <v>1.86</v>
      </c>
      <c r="CK5" s="129">
        <v>1.87</v>
      </c>
      <c r="CL5" s="129">
        <v>1.88</v>
      </c>
      <c r="CM5" s="129">
        <v>1.89</v>
      </c>
      <c r="CN5" s="129">
        <v>1.9</v>
      </c>
      <c r="CO5" s="129">
        <v>1.91</v>
      </c>
      <c r="CP5" s="129">
        <v>1.92</v>
      </c>
      <c r="CQ5" s="129">
        <v>1.93</v>
      </c>
      <c r="CR5" s="129">
        <v>1.94</v>
      </c>
      <c r="CS5" s="129">
        <v>1.95</v>
      </c>
      <c r="CT5" s="129">
        <v>1.96</v>
      </c>
      <c r="CU5" s="129">
        <v>1.97</v>
      </c>
      <c r="CV5" s="129">
        <v>1.98</v>
      </c>
      <c r="CW5" s="129">
        <v>1.99</v>
      </c>
      <c r="CX5" s="129">
        <v>2</v>
      </c>
      <c r="CZ5" s="126">
        <f>SUMIF(MatrixF4[[1]:[2]],MatrixF4[[#This Row],[Столбец1]])/MatrixF4[[#This Row],[Столбец1]]</f>
        <v>5</v>
      </c>
    </row>
    <row r="6" spans="1:104" ht="21" customHeight="1" x14ac:dyDescent="0.25">
      <c r="A6" s="127">
        <v>1.03</v>
      </c>
      <c r="B6" s="129">
        <v>1.03</v>
      </c>
      <c r="C6" s="129">
        <v>1.03</v>
      </c>
      <c r="D6" s="129">
        <v>1.03</v>
      </c>
      <c r="E6" s="129">
        <v>1.03</v>
      </c>
      <c r="F6" s="129">
        <v>1.04</v>
      </c>
      <c r="G6" s="129">
        <v>1.05</v>
      </c>
      <c r="H6" s="129">
        <v>1.06</v>
      </c>
      <c r="I6" s="129">
        <v>1.07</v>
      </c>
      <c r="J6" s="129">
        <v>1.08</v>
      </c>
      <c r="K6" s="129">
        <v>1.0900000000000001</v>
      </c>
      <c r="L6" s="129">
        <v>1.1000000000000001</v>
      </c>
      <c r="M6" s="129">
        <v>1.1100000000000001</v>
      </c>
      <c r="N6" s="129">
        <v>1.1200000000000001</v>
      </c>
      <c r="O6" s="129">
        <v>1.1299999999999999</v>
      </c>
      <c r="P6" s="129">
        <v>1.1399999999999999</v>
      </c>
      <c r="Q6" s="129">
        <v>1.1499999999999999</v>
      </c>
      <c r="R6" s="129">
        <v>1.1599999999999999</v>
      </c>
      <c r="S6" s="129">
        <v>1.17</v>
      </c>
      <c r="T6" s="129">
        <v>1.18</v>
      </c>
      <c r="U6" s="129">
        <v>1.19</v>
      </c>
      <c r="V6" s="129">
        <v>1.2</v>
      </c>
      <c r="W6" s="129">
        <v>1.21</v>
      </c>
      <c r="X6" s="129">
        <v>1.22</v>
      </c>
      <c r="Y6" s="129">
        <v>1.23</v>
      </c>
      <c r="Z6" s="129">
        <v>1.24</v>
      </c>
      <c r="AA6" s="129">
        <v>1.25</v>
      </c>
      <c r="AB6" s="129">
        <v>1.26</v>
      </c>
      <c r="AC6" s="129">
        <v>1.27</v>
      </c>
      <c r="AD6" s="129">
        <v>1.28</v>
      </c>
      <c r="AE6" s="129">
        <v>1.29</v>
      </c>
      <c r="AF6" s="129">
        <v>1.3</v>
      </c>
      <c r="AG6" s="129">
        <v>1.31</v>
      </c>
      <c r="AH6" s="129">
        <v>1.32</v>
      </c>
      <c r="AI6" s="129">
        <v>1.33</v>
      </c>
      <c r="AJ6" s="129">
        <v>1.34</v>
      </c>
      <c r="AK6" s="129">
        <v>1.35</v>
      </c>
      <c r="AL6" s="129">
        <v>1.36</v>
      </c>
      <c r="AM6" s="129">
        <v>1.37</v>
      </c>
      <c r="AN6" s="129">
        <v>1.38</v>
      </c>
      <c r="AO6" s="129">
        <v>1.39</v>
      </c>
      <c r="AP6" s="129">
        <v>1.4</v>
      </c>
      <c r="AQ6" s="129">
        <v>1.41</v>
      </c>
      <c r="AR6" s="129">
        <v>1.42</v>
      </c>
      <c r="AS6" s="129">
        <v>1.43</v>
      </c>
      <c r="AT6" s="129">
        <v>1.44</v>
      </c>
      <c r="AU6" s="129">
        <v>1.45</v>
      </c>
      <c r="AV6" s="129">
        <v>1.46</v>
      </c>
      <c r="AW6" s="129">
        <v>1.47</v>
      </c>
      <c r="AX6" s="129">
        <v>1.48</v>
      </c>
      <c r="AY6" s="129">
        <v>1.49</v>
      </c>
      <c r="AZ6" s="129">
        <v>1.5</v>
      </c>
      <c r="BA6" s="129">
        <v>1.51</v>
      </c>
      <c r="BB6" s="129">
        <v>1.52</v>
      </c>
      <c r="BC6" s="129">
        <v>1.53</v>
      </c>
      <c r="BD6" s="129">
        <v>1.54</v>
      </c>
      <c r="BE6" s="129">
        <v>1.55</v>
      </c>
      <c r="BF6" s="129">
        <v>1.56</v>
      </c>
      <c r="BG6" s="129">
        <v>1.57</v>
      </c>
      <c r="BH6" s="129">
        <v>1.58</v>
      </c>
      <c r="BI6" s="129">
        <v>1.59</v>
      </c>
      <c r="BJ6" s="129">
        <v>1.6</v>
      </c>
      <c r="BK6" s="129">
        <v>1.61</v>
      </c>
      <c r="BL6" s="129">
        <v>1.62</v>
      </c>
      <c r="BM6" s="129">
        <v>1.63</v>
      </c>
      <c r="BN6" s="129">
        <v>1.64</v>
      </c>
      <c r="BO6" s="129">
        <v>1.65</v>
      </c>
      <c r="BP6" s="129">
        <v>1.66</v>
      </c>
      <c r="BQ6" s="129">
        <v>1.67</v>
      </c>
      <c r="BR6" s="129">
        <v>1.68</v>
      </c>
      <c r="BS6" s="129">
        <v>1.69</v>
      </c>
      <c r="BT6" s="129">
        <v>1.7</v>
      </c>
      <c r="BU6" s="129">
        <v>1.71</v>
      </c>
      <c r="BV6" s="129">
        <v>1.72</v>
      </c>
      <c r="BW6" s="129">
        <v>1.73</v>
      </c>
      <c r="BX6" s="129">
        <v>1.74</v>
      </c>
      <c r="BY6" s="129">
        <v>1.75</v>
      </c>
      <c r="BZ6" s="129">
        <v>1.76</v>
      </c>
      <c r="CA6" s="129">
        <v>1.77</v>
      </c>
      <c r="CB6" s="129">
        <v>1.78</v>
      </c>
      <c r="CC6" s="129">
        <v>1.79</v>
      </c>
      <c r="CD6" s="129">
        <v>1.8</v>
      </c>
      <c r="CE6" s="129">
        <v>1.81</v>
      </c>
      <c r="CF6" s="129">
        <v>1.82</v>
      </c>
      <c r="CG6" s="129">
        <v>1.83</v>
      </c>
      <c r="CH6" s="129">
        <v>1.84</v>
      </c>
      <c r="CI6" s="129">
        <v>1.85</v>
      </c>
      <c r="CJ6" s="129">
        <v>1.86</v>
      </c>
      <c r="CK6" s="129">
        <v>1.87</v>
      </c>
      <c r="CL6" s="129">
        <v>1.88</v>
      </c>
      <c r="CM6" s="129">
        <v>1.89</v>
      </c>
      <c r="CN6" s="129">
        <v>1.9</v>
      </c>
      <c r="CO6" s="129">
        <v>1.91</v>
      </c>
      <c r="CP6" s="129">
        <v>1.92</v>
      </c>
      <c r="CQ6" s="129">
        <v>1.93</v>
      </c>
      <c r="CR6" s="129">
        <v>1.94</v>
      </c>
      <c r="CS6" s="129">
        <v>1.95</v>
      </c>
      <c r="CT6" s="129">
        <v>1.96</v>
      </c>
      <c r="CU6" s="129">
        <v>1.97</v>
      </c>
      <c r="CV6" s="129">
        <v>1.98</v>
      </c>
      <c r="CW6" s="129">
        <v>1.99</v>
      </c>
      <c r="CX6" s="129">
        <v>2</v>
      </c>
      <c r="CZ6" s="126">
        <f>SUMIF(MatrixF4[[1]:[2]],MatrixF4[[#This Row],[Столбец1]])/MatrixF4[[#This Row],[Столбец1]]</f>
        <v>7.0000000000000009</v>
      </c>
    </row>
    <row r="7" spans="1:104" ht="21" customHeight="1" x14ac:dyDescent="0.25">
      <c r="A7" s="127">
        <v>1.04</v>
      </c>
      <c r="B7" s="129">
        <v>1.04</v>
      </c>
      <c r="C7" s="129">
        <v>1.04</v>
      </c>
      <c r="D7" s="129">
        <v>1.04</v>
      </c>
      <c r="E7" s="129">
        <v>1.04</v>
      </c>
      <c r="F7" s="129">
        <v>1.04</v>
      </c>
      <c r="G7" s="129">
        <v>1.05</v>
      </c>
      <c r="H7" s="129">
        <v>1.06</v>
      </c>
      <c r="I7" s="129">
        <v>1.07</v>
      </c>
      <c r="J7" s="129">
        <v>1.08</v>
      </c>
      <c r="K7" s="129">
        <v>1.0900000000000001</v>
      </c>
      <c r="L7" s="129">
        <v>1.1000000000000001</v>
      </c>
      <c r="M7" s="129">
        <v>1.1100000000000001</v>
      </c>
      <c r="N7" s="129">
        <v>1.1200000000000001</v>
      </c>
      <c r="O7" s="129">
        <v>1.1299999999999999</v>
      </c>
      <c r="P7" s="129">
        <v>1.1399999999999999</v>
      </c>
      <c r="Q7" s="129">
        <v>1.1499999999999999</v>
      </c>
      <c r="R7" s="129">
        <v>1.1599999999999999</v>
      </c>
      <c r="S7" s="129">
        <v>1.17</v>
      </c>
      <c r="T7" s="129">
        <v>1.18</v>
      </c>
      <c r="U7" s="129">
        <v>1.19</v>
      </c>
      <c r="V7" s="129">
        <v>1.2</v>
      </c>
      <c r="W7" s="129">
        <v>1.21</v>
      </c>
      <c r="X7" s="129">
        <v>1.22</v>
      </c>
      <c r="Y7" s="129">
        <v>1.23</v>
      </c>
      <c r="Z7" s="129">
        <v>1.24</v>
      </c>
      <c r="AA7" s="129">
        <v>1.25</v>
      </c>
      <c r="AB7" s="129">
        <v>1.26</v>
      </c>
      <c r="AC7" s="129">
        <v>1.27</v>
      </c>
      <c r="AD7" s="129">
        <v>1.28</v>
      </c>
      <c r="AE7" s="129">
        <v>1.29</v>
      </c>
      <c r="AF7" s="129">
        <v>1.3</v>
      </c>
      <c r="AG7" s="129">
        <v>1.31</v>
      </c>
      <c r="AH7" s="129">
        <v>1.32</v>
      </c>
      <c r="AI7" s="129">
        <v>1.33</v>
      </c>
      <c r="AJ7" s="129">
        <v>1.34</v>
      </c>
      <c r="AK7" s="129">
        <v>1.35</v>
      </c>
      <c r="AL7" s="129">
        <v>1.36</v>
      </c>
      <c r="AM7" s="129">
        <v>1.37</v>
      </c>
      <c r="AN7" s="129">
        <v>1.38</v>
      </c>
      <c r="AO7" s="129">
        <v>1.39</v>
      </c>
      <c r="AP7" s="129">
        <v>1.4</v>
      </c>
      <c r="AQ7" s="129">
        <v>1.41</v>
      </c>
      <c r="AR7" s="129">
        <v>1.42</v>
      </c>
      <c r="AS7" s="129">
        <v>1.43</v>
      </c>
      <c r="AT7" s="129">
        <v>1.44</v>
      </c>
      <c r="AU7" s="129">
        <v>1.45</v>
      </c>
      <c r="AV7" s="129">
        <v>1.46</v>
      </c>
      <c r="AW7" s="129">
        <v>1.47</v>
      </c>
      <c r="AX7" s="129">
        <v>1.48</v>
      </c>
      <c r="AY7" s="129">
        <v>1.49</v>
      </c>
      <c r="AZ7" s="129">
        <v>1.5</v>
      </c>
      <c r="BA7" s="129">
        <v>1.51</v>
      </c>
      <c r="BB7" s="129">
        <v>1.52</v>
      </c>
      <c r="BC7" s="129">
        <v>1.53</v>
      </c>
      <c r="BD7" s="129">
        <v>1.54</v>
      </c>
      <c r="BE7" s="129">
        <v>1.55</v>
      </c>
      <c r="BF7" s="129">
        <v>1.56</v>
      </c>
      <c r="BG7" s="129">
        <v>1.57</v>
      </c>
      <c r="BH7" s="129">
        <v>1.58</v>
      </c>
      <c r="BI7" s="129">
        <v>1.59</v>
      </c>
      <c r="BJ7" s="129">
        <v>1.6</v>
      </c>
      <c r="BK7" s="129">
        <v>1.61</v>
      </c>
      <c r="BL7" s="129">
        <v>1.62</v>
      </c>
      <c r="BM7" s="129">
        <v>1.63</v>
      </c>
      <c r="BN7" s="129">
        <v>1.64</v>
      </c>
      <c r="BO7" s="129">
        <v>1.65</v>
      </c>
      <c r="BP7" s="129">
        <v>1.66</v>
      </c>
      <c r="BQ7" s="129">
        <v>1.67</v>
      </c>
      <c r="BR7" s="129">
        <v>1.68</v>
      </c>
      <c r="BS7" s="129">
        <v>1.69</v>
      </c>
      <c r="BT7" s="129">
        <v>1.7</v>
      </c>
      <c r="BU7" s="129">
        <v>1.71</v>
      </c>
      <c r="BV7" s="129">
        <v>1.72</v>
      </c>
      <c r="BW7" s="129">
        <v>1.73</v>
      </c>
      <c r="BX7" s="129">
        <v>1.74</v>
      </c>
      <c r="BY7" s="129">
        <v>1.75</v>
      </c>
      <c r="BZ7" s="129">
        <v>1.76</v>
      </c>
      <c r="CA7" s="129">
        <v>1.77</v>
      </c>
      <c r="CB7" s="129">
        <v>1.78</v>
      </c>
      <c r="CC7" s="129">
        <v>1.79</v>
      </c>
      <c r="CD7" s="129">
        <v>1.8</v>
      </c>
      <c r="CE7" s="129">
        <v>1.81</v>
      </c>
      <c r="CF7" s="129">
        <v>1.82</v>
      </c>
      <c r="CG7" s="129">
        <v>1.83</v>
      </c>
      <c r="CH7" s="129">
        <v>1.84</v>
      </c>
      <c r="CI7" s="129">
        <v>1.85</v>
      </c>
      <c r="CJ7" s="129">
        <v>1.86</v>
      </c>
      <c r="CK7" s="129">
        <v>1.87</v>
      </c>
      <c r="CL7" s="129">
        <v>1.88</v>
      </c>
      <c r="CM7" s="129">
        <v>1.89</v>
      </c>
      <c r="CN7" s="129">
        <v>1.9</v>
      </c>
      <c r="CO7" s="129">
        <v>1.91</v>
      </c>
      <c r="CP7" s="129">
        <v>1.92</v>
      </c>
      <c r="CQ7" s="129">
        <v>1.93</v>
      </c>
      <c r="CR7" s="129">
        <v>1.94</v>
      </c>
      <c r="CS7" s="129">
        <v>1.95</v>
      </c>
      <c r="CT7" s="129">
        <v>1.96</v>
      </c>
      <c r="CU7" s="129">
        <v>1.97</v>
      </c>
      <c r="CV7" s="129">
        <v>1.98</v>
      </c>
      <c r="CW7" s="129">
        <v>1.99</v>
      </c>
      <c r="CX7" s="129">
        <v>2</v>
      </c>
      <c r="CZ7" s="126">
        <f>SUMIF(MatrixF4[[1]:[2]],MatrixF4[[#This Row],[Столбец1]])/MatrixF4[[#This Row],[Столбец1]]</f>
        <v>9</v>
      </c>
    </row>
    <row r="8" spans="1:104" ht="21" customHeight="1" x14ac:dyDescent="0.25">
      <c r="A8" s="127">
        <v>1.05</v>
      </c>
      <c r="B8" s="129">
        <v>1.05</v>
      </c>
      <c r="C8" s="129">
        <v>1.05</v>
      </c>
      <c r="D8" s="129">
        <v>1.05</v>
      </c>
      <c r="E8" s="129">
        <v>1.05</v>
      </c>
      <c r="F8" s="129">
        <v>1.05</v>
      </c>
      <c r="G8" s="129">
        <v>1.05</v>
      </c>
      <c r="H8" s="129">
        <v>1.06</v>
      </c>
      <c r="I8" s="129">
        <v>1.07</v>
      </c>
      <c r="J8" s="129">
        <v>1.08</v>
      </c>
      <c r="K8" s="129">
        <v>1.0900000000000001</v>
      </c>
      <c r="L8" s="129">
        <v>1.1000000000000001</v>
      </c>
      <c r="M8" s="129">
        <v>1.1100000000000001</v>
      </c>
      <c r="N8" s="129">
        <v>1.1200000000000001</v>
      </c>
      <c r="O8" s="129">
        <v>1.1299999999999999</v>
      </c>
      <c r="P8" s="129">
        <v>1.1399999999999999</v>
      </c>
      <c r="Q8" s="129">
        <v>1.1499999999999999</v>
      </c>
      <c r="R8" s="129">
        <v>1.1599999999999999</v>
      </c>
      <c r="S8" s="129">
        <v>1.17</v>
      </c>
      <c r="T8" s="129">
        <v>1.18</v>
      </c>
      <c r="U8" s="129">
        <v>1.19</v>
      </c>
      <c r="V8" s="129">
        <v>1.2</v>
      </c>
      <c r="W8" s="129">
        <v>1.21</v>
      </c>
      <c r="X8" s="129">
        <v>1.22</v>
      </c>
      <c r="Y8" s="129">
        <v>1.23</v>
      </c>
      <c r="Z8" s="129">
        <v>1.24</v>
      </c>
      <c r="AA8" s="129">
        <v>1.25</v>
      </c>
      <c r="AB8" s="129">
        <v>1.26</v>
      </c>
      <c r="AC8" s="129">
        <v>1.27</v>
      </c>
      <c r="AD8" s="129">
        <v>1.28</v>
      </c>
      <c r="AE8" s="129">
        <v>1.29</v>
      </c>
      <c r="AF8" s="129">
        <v>1.3</v>
      </c>
      <c r="AG8" s="129">
        <v>1.31</v>
      </c>
      <c r="AH8" s="129">
        <v>1.32</v>
      </c>
      <c r="AI8" s="129">
        <v>1.33</v>
      </c>
      <c r="AJ8" s="129">
        <v>1.34</v>
      </c>
      <c r="AK8" s="129">
        <v>1.35</v>
      </c>
      <c r="AL8" s="129">
        <v>1.36</v>
      </c>
      <c r="AM8" s="129">
        <v>1.37</v>
      </c>
      <c r="AN8" s="129">
        <v>1.38</v>
      </c>
      <c r="AO8" s="129">
        <v>1.39</v>
      </c>
      <c r="AP8" s="129">
        <v>1.4</v>
      </c>
      <c r="AQ8" s="129">
        <v>1.41</v>
      </c>
      <c r="AR8" s="129">
        <v>1.42</v>
      </c>
      <c r="AS8" s="129">
        <v>1.43</v>
      </c>
      <c r="AT8" s="129">
        <v>1.44</v>
      </c>
      <c r="AU8" s="129">
        <v>1.45</v>
      </c>
      <c r="AV8" s="129">
        <v>1.46</v>
      </c>
      <c r="AW8" s="129">
        <v>1.47</v>
      </c>
      <c r="AX8" s="129">
        <v>1.48</v>
      </c>
      <c r="AY8" s="129">
        <v>1.49</v>
      </c>
      <c r="AZ8" s="129">
        <v>1.5</v>
      </c>
      <c r="BA8" s="129">
        <v>1.51</v>
      </c>
      <c r="BB8" s="129">
        <v>1.52</v>
      </c>
      <c r="BC8" s="129">
        <v>1.53</v>
      </c>
      <c r="BD8" s="129">
        <v>1.54</v>
      </c>
      <c r="BE8" s="129">
        <v>1.55</v>
      </c>
      <c r="BF8" s="129">
        <v>1.56</v>
      </c>
      <c r="BG8" s="129">
        <v>1.57</v>
      </c>
      <c r="BH8" s="129">
        <v>1.58</v>
      </c>
      <c r="BI8" s="129">
        <v>1.59</v>
      </c>
      <c r="BJ8" s="129">
        <v>1.6</v>
      </c>
      <c r="BK8" s="129">
        <v>1.61</v>
      </c>
      <c r="BL8" s="129">
        <v>1.62</v>
      </c>
      <c r="BM8" s="129">
        <v>1.63</v>
      </c>
      <c r="BN8" s="129">
        <v>1.64</v>
      </c>
      <c r="BO8" s="129">
        <v>1.65</v>
      </c>
      <c r="BP8" s="129">
        <v>1.66</v>
      </c>
      <c r="BQ8" s="129">
        <v>1.67</v>
      </c>
      <c r="BR8" s="129">
        <v>1.68</v>
      </c>
      <c r="BS8" s="129">
        <v>1.69</v>
      </c>
      <c r="BT8" s="129">
        <v>1.7</v>
      </c>
      <c r="BU8" s="129">
        <v>1.71</v>
      </c>
      <c r="BV8" s="129">
        <v>1.72</v>
      </c>
      <c r="BW8" s="129">
        <v>1.73</v>
      </c>
      <c r="BX8" s="129">
        <v>1.74</v>
      </c>
      <c r="BY8" s="129">
        <v>1.75</v>
      </c>
      <c r="BZ8" s="129">
        <v>1.76</v>
      </c>
      <c r="CA8" s="129">
        <v>1.77</v>
      </c>
      <c r="CB8" s="129">
        <v>1.78</v>
      </c>
      <c r="CC8" s="129">
        <v>1.79</v>
      </c>
      <c r="CD8" s="129">
        <v>1.8</v>
      </c>
      <c r="CE8" s="129">
        <v>1.81</v>
      </c>
      <c r="CF8" s="129">
        <v>1.82</v>
      </c>
      <c r="CG8" s="129">
        <v>1.83</v>
      </c>
      <c r="CH8" s="129">
        <v>1.84</v>
      </c>
      <c r="CI8" s="129">
        <v>1.85</v>
      </c>
      <c r="CJ8" s="129">
        <v>1.86</v>
      </c>
      <c r="CK8" s="129">
        <v>1.87</v>
      </c>
      <c r="CL8" s="129">
        <v>1.88</v>
      </c>
      <c r="CM8" s="129">
        <v>1.89</v>
      </c>
      <c r="CN8" s="129">
        <v>1.9</v>
      </c>
      <c r="CO8" s="129">
        <v>1.91</v>
      </c>
      <c r="CP8" s="129">
        <v>1.92</v>
      </c>
      <c r="CQ8" s="129">
        <v>1.93</v>
      </c>
      <c r="CR8" s="129">
        <v>1.94</v>
      </c>
      <c r="CS8" s="129">
        <v>1.95</v>
      </c>
      <c r="CT8" s="129">
        <v>1.96</v>
      </c>
      <c r="CU8" s="129">
        <v>1.97</v>
      </c>
      <c r="CV8" s="129">
        <v>1.98</v>
      </c>
      <c r="CW8" s="129">
        <v>1.99</v>
      </c>
      <c r="CX8" s="129">
        <v>2</v>
      </c>
      <c r="CZ8" s="126">
        <f>SUMIF(MatrixF4[[1]:[2]],MatrixF4[[#This Row],[Столбец1]])/MatrixF4[[#This Row],[Столбец1]]</f>
        <v>11.000000000000002</v>
      </c>
    </row>
    <row r="9" spans="1:104" ht="21" customHeight="1" x14ac:dyDescent="0.25">
      <c r="A9" s="127">
        <v>1.06</v>
      </c>
      <c r="B9" s="129">
        <v>1.06</v>
      </c>
      <c r="C9" s="129">
        <v>1.06</v>
      </c>
      <c r="D9" s="129">
        <v>1.06</v>
      </c>
      <c r="E9" s="129">
        <v>1.06</v>
      </c>
      <c r="F9" s="129">
        <v>1.06</v>
      </c>
      <c r="G9" s="129">
        <v>1.06</v>
      </c>
      <c r="H9" s="129">
        <v>1.06</v>
      </c>
      <c r="I9" s="129">
        <v>1.07</v>
      </c>
      <c r="J9" s="129">
        <v>1.08</v>
      </c>
      <c r="K9" s="129">
        <v>1.0900000000000001</v>
      </c>
      <c r="L9" s="129">
        <v>1.1000000000000001</v>
      </c>
      <c r="M9" s="129">
        <v>1.1100000000000001</v>
      </c>
      <c r="N9" s="129">
        <v>1.1200000000000001</v>
      </c>
      <c r="O9" s="129">
        <v>1.1299999999999999</v>
      </c>
      <c r="P9" s="129">
        <v>1.1399999999999999</v>
      </c>
      <c r="Q9" s="129">
        <v>1.1499999999999999</v>
      </c>
      <c r="R9" s="129">
        <v>1.1599999999999999</v>
      </c>
      <c r="S9" s="129">
        <v>1.17</v>
      </c>
      <c r="T9" s="129">
        <v>1.18</v>
      </c>
      <c r="U9" s="129">
        <v>1.19</v>
      </c>
      <c r="V9" s="129">
        <v>1.2</v>
      </c>
      <c r="W9" s="129">
        <v>1.21</v>
      </c>
      <c r="X9" s="129">
        <v>1.22</v>
      </c>
      <c r="Y9" s="129">
        <v>1.23</v>
      </c>
      <c r="Z9" s="129">
        <v>1.24</v>
      </c>
      <c r="AA9" s="129">
        <v>1.25</v>
      </c>
      <c r="AB9" s="129">
        <v>1.26</v>
      </c>
      <c r="AC9" s="129">
        <v>1.27</v>
      </c>
      <c r="AD9" s="129">
        <v>1.28</v>
      </c>
      <c r="AE9" s="129">
        <v>1.29</v>
      </c>
      <c r="AF9" s="129">
        <v>1.3</v>
      </c>
      <c r="AG9" s="129">
        <v>1.31</v>
      </c>
      <c r="AH9" s="129">
        <v>1.32</v>
      </c>
      <c r="AI9" s="129">
        <v>1.33</v>
      </c>
      <c r="AJ9" s="129">
        <v>1.34</v>
      </c>
      <c r="AK9" s="129">
        <v>1.35</v>
      </c>
      <c r="AL9" s="129">
        <v>1.36</v>
      </c>
      <c r="AM9" s="129">
        <v>1.37</v>
      </c>
      <c r="AN9" s="129">
        <v>1.38</v>
      </c>
      <c r="AO9" s="129">
        <v>1.39</v>
      </c>
      <c r="AP9" s="129">
        <v>1.4</v>
      </c>
      <c r="AQ9" s="129">
        <v>1.41</v>
      </c>
      <c r="AR9" s="129">
        <v>1.42</v>
      </c>
      <c r="AS9" s="129">
        <v>1.43</v>
      </c>
      <c r="AT9" s="129">
        <v>1.44</v>
      </c>
      <c r="AU9" s="129">
        <v>1.45</v>
      </c>
      <c r="AV9" s="129">
        <v>1.46</v>
      </c>
      <c r="AW9" s="129">
        <v>1.47</v>
      </c>
      <c r="AX9" s="129">
        <v>1.48</v>
      </c>
      <c r="AY9" s="129">
        <v>1.49</v>
      </c>
      <c r="AZ9" s="129">
        <v>1.5</v>
      </c>
      <c r="BA9" s="129">
        <v>1.51</v>
      </c>
      <c r="BB9" s="129">
        <v>1.52</v>
      </c>
      <c r="BC9" s="129">
        <v>1.53</v>
      </c>
      <c r="BD9" s="129">
        <v>1.54</v>
      </c>
      <c r="BE9" s="129">
        <v>1.55</v>
      </c>
      <c r="BF9" s="129">
        <v>1.56</v>
      </c>
      <c r="BG9" s="129">
        <v>1.57</v>
      </c>
      <c r="BH9" s="129">
        <v>1.58</v>
      </c>
      <c r="BI9" s="129">
        <v>1.59</v>
      </c>
      <c r="BJ9" s="129">
        <v>1.6</v>
      </c>
      <c r="BK9" s="129">
        <v>1.61</v>
      </c>
      <c r="BL9" s="129">
        <v>1.62</v>
      </c>
      <c r="BM9" s="129">
        <v>1.63</v>
      </c>
      <c r="BN9" s="129">
        <v>1.64</v>
      </c>
      <c r="BO9" s="129">
        <v>1.65</v>
      </c>
      <c r="BP9" s="129">
        <v>1.66</v>
      </c>
      <c r="BQ9" s="129">
        <v>1.67</v>
      </c>
      <c r="BR9" s="129">
        <v>1.68</v>
      </c>
      <c r="BS9" s="129">
        <v>1.69</v>
      </c>
      <c r="BT9" s="129">
        <v>1.7</v>
      </c>
      <c r="BU9" s="129">
        <v>1.71</v>
      </c>
      <c r="BV9" s="129">
        <v>1.72</v>
      </c>
      <c r="BW9" s="129">
        <v>1.73</v>
      </c>
      <c r="BX9" s="129">
        <v>1.74</v>
      </c>
      <c r="BY9" s="129">
        <v>1.75</v>
      </c>
      <c r="BZ9" s="129">
        <v>1.76</v>
      </c>
      <c r="CA9" s="129">
        <v>1.77</v>
      </c>
      <c r="CB9" s="129">
        <v>1.78</v>
      </c>
      <c r="CC9" s="129">
        <v>1.79</v>
      </c>
      <c r="CD9" s="129">
        <v>1.8</v>
      </c>
      <c r="CE9" s="129">
        <v>1.81</v>
      </c>
      <c r="CF9" s="129">
        <v>1.82</v>
      </c>
      <c r="CG9" s="129">
        <v>1.83</v>
      </c>
      <c r="CH9" s="129">
        <v>1.84</v>
      </c>
      <c r="CI9" s="129">
        <v>1.85</v>
      </c>
      <c r="CJ9" s="129">
        <v>1.86</v>
      </c>
      <c r="CK9" s="129">
        <v>1.87</v>
      </c>
      <c r="CL9" s="129">
        <v>1.88</v>
      </c>
      <c r="CM9" s="129">
        <v>1.89</v>
      </c>
      <c r="CN9" s="129">
        <v>1.9</v>
      </c>
      <c r="CO9" s="129">
        <v>1.91</v>
      </c>
      <c r="CP9" s="129">
        <v>1.92</v>
      </c>
      <c r="CQ9" s="129">
        <v>1.93</v>
      </c>
      <c r="CR9" s="129">
        <v>1.94</v>
      </c>
      <c r="CS9" s="129">
        <v>1.95</v>
      </c>
      <c r="CT9" s="129">
        <v>1.96</v>
      </c>
      <c r="CU9" s="129">
        <v>1.97</v>
      </c>
      <c r="CV9" s="129">
        <v>1.98</v>
      </c>
      <c r="CW9" s="129">
        <v>1.99</v>
      </c>
      <c r="CX9" s="129">
        <v>2</v>
      </c>
      <c r="CZ9" s="126">
        <f>SUMIF(MatrixF4[[1]:[2]],MatrixF4[[#This Row],[Столбец1]])/MatrixF4[[#This Row],[Столбец1]]</f>
        <v>13.000000000000004</v>
      </c>
    </row>
    <row r="10" spans="1:104" ht="21" customHeight="1" x14ac:dyDescent="0.25">
      <c r="A10" s="127">
        <v>1.07</v>
      </c>
      <c r="B10" s="129">
        <v>1.07</v>
      </c>
      <c r="C10" s="129">
        <v>1.07</v>
      </c>
      <c r="D10" s="129">
        <v>1.07</v>
      </c>
      <c r="E10" s="129">
        <v>1.07</v>
      </c>
      <c r="F10" s="129">
        <v>1.07</v>
      </c>
      <c r="G10" s="129">
        <v>1.07</v>
      </c>
      <c r="H10" s="129">
        <v>1.07</v>
      </c>
      <c r="I10" s="129">
        <v>1.07</v>
      </c>
      <c r="J10" s="129">
        <v>1.08</v>
      </c>
      <c r="K10" s="129">
        <v>1.0900000000000001</v>
      </c>
      <c r="L10" s="129">
        <v>1.1000000000000001</v>
      </c>
      <c r="M10" s="129">
        <v>1.1100000000000001</v>
      </c>
      <c r="N10" s="129">
        <v>1.1200000000000001</v>
      </c>
      <c r="O10" s="129">
        <v>1.1299999999999999</v>
      </c>
      <c r="P10" s="129">
        <v>1.1399999999999999</v>
      </c>
      <c r="Q10" s="129">
        <v>1.1499999999999999</v>
      </c>
      <c r="R10" s="129">
        <v>1.1599999999999999</v>
      </c>
      <c r="S10" s="129">
        <v>1.17</v>
      </c>
      <c r="T10" s="129">
        <v>1.18</v>
      </c>
      <c r="U10" s="129">
        <v>1.19</v>
      </c>
      <c r="V10" s="129">
        <v>1.2</v>
      </c>
      <c r="W10" s="129">
        <v>1.21</v>
      </c>
      <c r="X10" s="129">
        <v>1.22</v>
      </c>
      <c r="Y10" s="129">
        <v>1.23</v>
      </c>
      <c r="Z10" s="129">
        <v>1.24</v>
      </c>
      <c r="AA10" s="129">
        <v>1.25</v>
      </c>
      <c r="AB10" s="129">
        <v>1.26</v>
      </c>
      <c r="AC10" s="129">
        <v>1.27</v>
      </c>
      <c r="AD10" s="129">
        <v>1.28</v>
      </c>
      <c r="AE10" s="129">
        <v>1.29</v>
      </c>
      <c r="AF10" s="129">
        <v>1.3</v>
      </c>
      <c r="AG10" s="129">
        <v>1.31</v>
      </c>
      <c r="AH10" s="129">
        <v>1.32</v>
      </c>
      <c r="AI10" s="129">
        <v>1.33</v>
      </c>
      <c r="AJ10" s="129">
        <v>1.34</v>
      </c>
      <c r="AK10" s="129">
        <v>1.35</v>
      </c>
      <c r="AL10" s="129">
        <v>1.36</v>
      </c>
      <c r="AM10" s="129">
        <v>1.37</v>
      </c>
      <c r="AN10" s="129">
        <v>1.38</v>
      </c>
      <c r="AO10" s="129">
        <v>1.39</v>
      </c>
      <c r="AP10" s="129">
        <v>1.4</v>
      </c>
      <c r="AQ10" s="129">
        <v>1.41</v>
      </c>
      <c r="AR10" s="129">
        <v>1.42</v>
      </c>
      <c r="AS10" s="129">
        <v>1.43</v>
      </c>
      <c r="AT10" s="129">
        <v>1.44</v>
      </c>
      <c r="AU10" s="129">
        <v>1.45</v>
      </c>
      <c r="AV10" s="129">
        <v>1.46</v>
      </c>
      <c r="AW10" s="129">
        <v>1.47</v>
      </c>
      <c r="AX10" s="129">
        <v>1.48</v>
      </c>
      <c r="AY10" s="129">
        <v>1.49</v>
      </c>
      <c r="AZ10" s="129">
        <v>1.5</v>
      </c>
      <c r="BA10" s="129">
        <v>1.51</v>
      </c>
      <c r="BB10" s="129">
        <v>1.52</v>
      </c>
      <c r="BC10" s="129">
        <v>1.53</v>
      </c>
      <c r="BD10" s="129">
        <v>1.54</v>
      </c>
      <c r="BE10" s="129">
        <v>1.55</v>
      </c>
      <c r="BF10" s="129">
        <v>1.56</v>
      </c>
      <c r="BG10" s="129">
        <v>1.57</v>
      </c>
      <c r="BH10" s="129">
        <v>1.58</v>
      </c>
      <c r="BI10" s="129">
        <v>1.59</v>
      </c>
      <c r="BJ10" s="129">
        <v>1.6</v>
      </c>
      <c r="BK10" s="129">
        <v>1.61</v>
      </c>
      <c r="BL10" s="129">
        <v>1.62</v>
      </c>
      <c r="BM10" s="129">
        <v>1.63</v>
      </c>
      <c r="BN10" s="129">
        <v>1.64</v>
      </c>
      <c r="BO10" s="129">
        <v>1.65</v>
      </c>
      <c r="BP10" s="129">
        <v>1.66</v>
      </c>
      <c r="BQ10" s="129">
        <v>1.67</v>
      </c>
      <c r="BR10" s="129">
        <v>1.68</v>
      </c>
      <c r="BS10" s="129">
        <v>1.69</v>
      </c>
      <c r="BT10" s="129">
        <v>1.7</v>
      </c>
      <c r="BU10" s="129">
        <v>1.71</v>
      </c>
      <c r="BV10" s="129">
        <v>1.72</v>
      </c>
      <c r="BW10" s="129">
        <v>1.73</v>
      </c>
      <c r="BX10" s="129">
        <v>1.74</v>
      </c>
      <c r="BY10" s="129">
        <v>1.75</v>
      </c>
      <c r="BZ10" s="129">
        <v>1.76</v>
      </c>
      <c r="CA10" s="129">
        <v>1.77</v>
      </c>
      <c r="CB10" s="129">
        <v>1.78</v>
      </c>
      <c r="CC10" s="129">
        <v>1.79</v>
      </c>
      <c r="CD10" s="129">
        <v>1.8</v>
      </c>
      <c r="CE10" s="129">
        <v>1.81</v>
      </c>
      <c r="CF10" s="129">
        <v>1.82</v>
      </c>
      <c r="CG10" s="129">
        <v>1.83</v>
      </c>
      <c r="CH10" s="129">
        <v>1.84</v>
      </c>
      <c r="CI10" s="129">
        <v>1.85</v>
      </c>
      <c r="CJ10" s="129">
        <v>1.86</v>
      </c>
      <c r="CK10" s="129">
        <v>1.87</v>
      </c>
      <c r="CL10" s="129">
        <v>1.88</v>
      </c>
      <c r="CM10" s="129">
        <v>1.89</v>
      </c>
      <c r="CN10" s="129">
        <v>1.9</v>
      </c>
      <c r="CO10" s="129">
        <v>1.91</v>
      </c>
      <c r="CP10" s="129">
        <v>1.92</v>
      </c>
      <c r="CQ10" s="129">
        <v>1.93</v>
      </c>
      <c r="CR10" s="129">
        <v>1.94</v>
      </c>
      <c r="CS10" s="129">
        <v>1.95</v>
      </c>
      <c r="CT10" s="129">
        <v>1.96</v>
      </c>
      <c r="CU10" s="129">
        <v>1.97</v>
      </c>
      <c r="CV10" s="129">
        <v>1.98</v>
      </c>
      <c r="CW10" s="129">
        <v>1.99</v>
      </c>
      <c r="CX10" s="129">
        <v>2</v>
      </c>
      <c r="CZ10" s="126">
        <f>SUMIF(MatrixF4[[1]:[2]],MatrixF4[[#This Row],[Столбец1]])/MatrixF4[[#This Row],[Столбец1]]</f>
        <v>15</v>
      </c>
    </row>
    <row r="11" spans="1:104" ht="21" customHeight="1" x14ac:dyDescent="0.25">
      <c r="A11" s="127">
        <v>1.08</v>
      </c>
      <c r="B11" s="129">
        <v>1.08</v>
      </c>
      <c r="C11" s="129">
        <v>1.08</v>
      </c>
      <c r="D11" s="129">
        <v>1.08</v>
      </c>
      <c r="E11" s="129">
        <v>1.08</v>
      </c>
      <c r="F11" s="129">
        <v>1.08</v>
      </c>
      <c r="G11" s="129">
        <v>1.08</v>
      </c>
      <c r="H11" s="129">
        <v>1.08</v>
      </c>
      <c r="I11" s="129">
        <v>1.08</v>
      </c>
      <c r="J11" s="129">
        <v>1.08</v>
      </c>
      <c r="K11" s="129">
        <v>1.0900000000000001</v>
      </c>
      <c r="L11" s="129">
        <v>1.1000000000000001</v>
      </c>
      <c r="M11" s="129">
        <v>1.1100000000000001</v>
      </c>
      <c r="N11" s="129">
        <v>1.1200000000000001</v>
      </c>
      <c r="O11" s="129">
        <v>1.1299999999999999</v>
      </c>
      <c r="P11" s="129">
        <v>1.1399999999999999</v>
      </c>
      <c r="Q11" s="129">
        <v>1.1499999999999999</v>
      </c>
      <c r="R11" s="129">
        <v>1.1599999999999999</v>
      </c>
      <c r="S11" s="129">
        <v>1.17</v>
      </c>
      <c r="T11" s="129">
        <v>1.18</v>
      </c>
      <c r="U11" s="129">
        <v>1.19</v>
      </c>
      <c r="V11" s="129">
        <v>1.2</v>
      </c>
      <c r="W11" s="129">
        <v>1.21</v>
      </c>
      <c r="X11" s="129">
        <v>1.22</v>
      </c>
      <c r="Y11" s="129">
        <v>1.23</v>
      </c>
      <c r="Z11" s="129">
        <v>1.24</v>
      </c>
      <c r="AA11" s="129">
        <v>1.25</v>
      </c>
      <c r="AB11" s="129">
        <v>1.26</v>
      </c>
      <c r="AC11" s="129">
        <v>1.27</v>
      </c>
      <c r="AD11" s="129">
        <v>1.28</v>
      </c>
      <c r="AE11" s="129">
        <v>1.29</v>
      </c>
      <c r="AF11" s="129">
        <v>1.3</v>
      </c>
      <c r="AG11" s="129">
        <v>1.31</v>
      </c>
      <c r="AH11" s="129">
        <v>1.32</v>
      </c>
      <c r="AI11" s="129">
        <v>1.33</v>
      </c>
      <c r="AJ11" s="129">
        <v>1.34</v>
      </c>
      <c r="AK11" s="129">
        <v>1.35</v>
      </c>
      <c r="AL11" s="129">
        <v>1.36</v>
      </c>
      <c r="AM11" s="129">
        <v>1.37</v>
      </c>
      <c r="AN11" s="129">
        <v>1.38</v>
      </c>
      <c r="AO11" s="129">
        <v>1.39</v>
      </c>
      <c r="AP11" s="129">
        <v>1.4</v>
      </c>
      <c r="AQ11" s="129">
        <v>1.41</v>
      </c>
      <c r="AR11" s="129">
        <v>1.42</v>
      </c>
      <c r="AS11" s="129">
        <v>1.43</v>
      </c>
      <c r="AT11" s="129">
        <v>1.44</v>
      </c>
      <c r="AU11" s="129">
        <v>1.45</v>
      </c>
      <c r="AV11" s="129">
        <v>1.46</v>
      </c>
      <c r="AW11" s="129">
        <v>1.47</v>
      </c>
      <c r="AX11" s="129">
        <v>1.48</v>
      </c>
      <c r="AY11" s="129">
        <v>1.49</v>
      </c>
      <c r="AZ11" s="129">
        <v>1.5</v>
      </c>
      <c r="BA11" s="129">
        <v>1.51</v>
      </c>
      <c r="BB11" s="129">
        <v>1.52</v>
      </c>
      <c r="BC11" s="129">
        <v>1.53</v>
      </c>
      <c r="BD11" s="129">
        <v>1.54</v>
      </c>
      <c r="BE11" s="129">
        <v>1.55</v>
      </c>
      <c r="BF11" s="129">
        <v>1.56</v>
      </c>
      <c r="BG11" s="129">
        <v>1.57</v>
      </c>
      <c r="BH11" s="129">
        <v>1.58</v>
      </c>
      <c r="BI11" s="129">
        <v>1.59</v>
      </c>
      <c r="BJ11" s="129">
        <v>1.6</v>
      </c>
      <c r="BK11" s="129">
        <v>1.61</v>
      </c>
      <c r="BL11" s="129">
        <v>1.62</v>
      </c>
      <c r="BM11" s="129">
        <v>1.63</v>
      </c>
      <c r="BN11" s="129">
        <v>1.64</v>
      </c>
      <c r="BO11" s="129">
        <v>1.65</v>
      </c>
      <c r="BP11" s="129">
        <v>1.66</v>
      </c>
      <c r="BQ11" s="129">
        <v>1.67</v>
      </c>
      <c r="BR11" s="129">
        <v>1.68</v>
      </c>
      <c r="BS11" s="129">
        <v>1.69</v>
      </c>
      <c r="BT11" s="129">
        <v>1.7</v>
      </c>
      <c r="BU11" s="129">
        <v>1.71</v>
      </c>
      <c r="BV11" s="129">
        <v>1.72</v>
      </c>
      <c r="BW11" s="129">
        <v>1.73</v>
      </c>
      <c r="BX11" s="129">
        <v>1.74</v>
      </c>
      <c r="BY11" s="129">
        <v>1.75</v>
      </c>
      <c r="BZ11" s="129">
        <v>1.76</v>
      </c>
      <c r="CA11" s="129">
        <v>1.77</v>
      </c>
      <c r="CB11" s="129">
        <v>1.78</v>
      </c>
      <c r="CC11" s="129">
        <v>1.79</v>
      </c>
      <c r="CD11" s="129">
        <v>1.8</v>
      </c>
      <c r="CE11" s="129">
        <v>1.81</v>
      </c>
      <c r="CF11" s="129">
        <v>1.82</v>
      </c>
      <c r="CG11" s="129">
        <v>1.83</v>
      </c>
      <c r="CH11" s="129">
        <v>1.84</v>
      </c>
      <c r="CI11" s="129">
        <v>1.85</v>
      </c>
      <c r="CJ11" s="129">
        <v>1.86</v>
      </c>
      <c r="CK11" s="129">
        <v>1.87</v>
      </c>
      <c r="CL11" s="129">
        <v>1.88</v>
      </c>
      <c r="CM11" s="129">
        <v>1.89</v>
      </c>
      <c r="CN11" s="129">
        <v>1.9</v>
      </c>
      <c r="CO11" s="129">
        <v>1.91</v>
      </c>
      <c r="CP11" s="129">
        <v>1.92</v>
      </c>
      <c r="CQ11" s="129">
        <v>1.93</v>
      </c>
      <c r="CR11" s="129">
        <v>1.94</v>
      </c>
      <c r="CS11" s="129">
        <v>1.95</v>
      </c>
      <c r="CT11" s="129">
        <v>1.96</v>
      </c>
      <c r="CU11" s="129">
        <v>1.97</v>
      </c>
      <c r="CV11" s="129">
        <v>1.98</v>
      </c>
      <c r="CW11" s="129">
        <v>1.99</v>
      </c>
      <c r="CX11" s="129">
        <v>2</v>
      </c>
      <c r="CZ11" s="126">
        <f>SUMIF(MatrixF4[[1]:[2]],MatrixF4[[#This Row],[Столбец1]])/MatrixF4[[#This Row],[Столбец1]]</f>
        <v>17</v>
      </c>
    </row>
    <row r="12" spans="1:104" ht="21" customHeight="1" x14ac:dyDescent="0.25">
      <c r="A12" s="127">
        <v>1.0900000000000001</v>
      </c>
      <c r="B12" s="129">
        <v>1.0900000000000001</v>
      </c>
      <c r="C12" s="129">
        <v>1.0900000000000001</v>
      </c>
      <c r="D12" s="129">
        <v>1.0900000000000001</v>
      </c>
      <c r="E12" s="129">
        <v>1.0900000000000001</v>
      </c>
      <c r="F12" s="129">
        <v>1.0900000000000001</v>
      </c>
      <c r="G12" s="129">
        <v>1.0900000000000001</v>
      </c>
      <c r="H12" s="129">
        <v>1.0900000000000001</v>
      </c>
      <c r="I12" s="129">
        <v>1.0900000000000001</v>
      </c>
      <c r="J12" s="129">
        <v>1.0900000000000001</v>
      </c>
      <c r="K12" s="129">
        <v>1.0900000000000001</v>
      </c>
      <c r="L12" s="129">
        <v>1.1000000000000001</v>
      </c>
      <c r="M12" s="129">
        <v>1.1100000000000001</v>
      </c>
      <c r="N12" s="129">
        <v>1.1200000000000001</v>
      </c>
      <c r="O12" s="129">
        <v>1.1299999999999999</v>
      </c>
      <c r="P12" s="129">
        <v>1.1399999999999999</v>
      </c>
      <c r="Q12" s="129">
        <v>1.1499999999999999</v>
      </c>
      <c r="R12" s="129">
        <v>1.1599999999999999</v>
      </c>
      <c r="S12" s="129">
        <v>1.17</v>
      </c>
      <c r="T12" s="129">
        <v>1.18</v>
      </c>
      <c r="U12" s="129">
        <v>1.19</v>
      </c>
      <c r="V12" s="129">
        <v>1.2</v>
      </c>
      <c r="W12" s="129">
        <v>1.21</v>
      </c>
      <c r="X12" s="129">
        <v>1.22</v>
      </c>
      <c r="Y12" s="129">
        <v>1.23</v>
      </c>
      <c r="Z12" s="129">
        <v>1.24</v>
      </c>
      <c r="AA12" s="129">
        <v>1.25</v>
      </c>
      <c r="AB12" s="129">
        <v>1.26</v>
      </c>
      <c r="AC12" s="129">
        <v>1.27</v>
      </c>
      <c r="AD12" s="129">
        <v>1.28</v>
      </c>
      <c r="AE12" s="129">
        <v>1.29</v>
      </c>
      <c r="AF12" s="129">
        <v>1.3</v>
      </c>
      <c r="AG12" s="129">
        <v>1.31</v>
      </c>
      <c r="AH12" s="129">
        <v>1.32</v>
      </c>
      <c r="AI12" s="129">
        <v>1.33</v>
      </c>
      <c r="AJ12" s="129">
        <v>1.34</v>
      </c>
      <c r="AK12" s="129">
        <v>1.35</v>
      </c>
      <c r="AL12" s="129">
        <v>1.36</v>
      </c>
      <c r="AM12" s="129">
        <v>1.37</v>
      </c>
      <c r="AN12" s="129">
        <v>1.38</v>
      </c>
      <c r="AO12" s="129">
        <v>1.39</v>
      </c>
      <c r="AP12" s="129">
        <v>1.4</v>
      </c>
      <c r="AQ12" s="129">
        <v>1.41</v>
      </c>
      <c r="AR12" s="129">
        <v>1.42</v>
      </c>
      <c r="AS12" s="129">
        <v>1.43</v>
      </c>
      <c r="AT12" s="129">
        <v>1.44</v>
      </c>
      <c r="AU12" s="129">
        <v>1.45</v>
      </c>
      <c r="AV12" s="129">
        <v>1.46</v>
      </c>
      <c r="AW12" s="129">
        <v>1.47</v>
      </c>
      <c r="AX12" s="129">
        <v>1.48</v>
      </c>
      <c r="AY12" s="129">
        <v>1.49</v>
      </c>
      <c r="AZ12" s="129">
        <v>1.5</v>
      </c>
      <c r="BA12" s="129">
        <v>1.51</v>
      </c>
      <c r="BB12" s="129">
        <v>1.52</v>
      </c>
      <c r="BC12" s="129">
        <v>1.53</v>
      </c>
      <c r="BD12" s="129">
        <v>1.54</v>
      </c>
      <c r="BE12" s="129">
        <v>1.55</v>
      </c>
      <c r="BF12" s="129">
        <v>1.56</v>
      </c>
      <c r="BG12" s="129">
        <v>1.57</v>
      </c>
      <c r="BH12" s="129">
        <v>1.58</v>
      </c>
      <c r="BI12" s="129">
        <v>1.59</v>
      </c>
      <c r="BJ12" s="129">
        <v>1.6</v>
      </c>
      <c r="BK12" s="129">
        <v>1.61</v>
      </c>
      <c r="BL12" s="129">
        <v>1.62</v>
      </c>
      <c r="BM12" s="129">
        <v>1.63</v>
      </c>
      <c r="BN12" s="129">
        <v>1.64</v>
      </c>
      <c r="BO12" s="129">
        <v>1.65</v>
      </c>
      <c r="BP12" s="129">
        <v>1.66</v>
      </c>
      <c r="BQ12" s="129">
        <v>1.67</v>
      </c>
      <c r="BR12" s="129">
        <v>1.68</v>
      </c>
      <c r="BS12" s="129">
        <v>1.69</v>
      </c>
      <c r="BT12" s="129">
        <v>1.7</v>
      </c>
      <c r="BU12" s="129">
        <v>1.71</v>
      </c>
      <c r="BV12" s="129">
        <v>1.72</v>
      </c>
      <c r="BW12" s="129">
        <v>1.73</v>
      </c>
      <c r="BX12" s="129">
        <v>1.74</v>
      </c>
      <c r="BY12" s="129">
        <v>1.75</v>
      </c>
      <c r="BZ12" s="129">
        <v>1.76</v>
      </c>
      <c r="CA12" s="129">
        <v>1.77</v>
      </c>
      <c r="CB12" s="129">
        <v>1.78</v>
      </c>
      <c r="CC12" s="129">
        <v>1.79</v>
      </c>
      <c r="CD12" s="129">
        <v>1.8</v>
      </c>
      <c r="CE12" s="129">
        <v>1.81</v>
      </c>
      <c r="CF12" s="129">
        <v>1.82</v>
      </c>
      <c r="CG12" s="129">
        <v>1.83</v>
      </c>
      <c r="CH12" s="129">
        <v>1.84</v>
      </c>
      <c r="CI12" s="129">
        <v>1.85</v>
      </c>
      <c r="CJ12" s="129">
        <v>1.86</v>
      </c>
      <c r="CK12" s="129">
        <v>1.87</v>
      </c>
      <c r="CL12" s="129">
        <v>1.88</v>
      </c>
      <c r="CM12" s="129">
        <v>1.89</v>
      </c>
      <c r="CN12" s="129">
        <v>1.9</v>
      </c>
      <c r="CO12" s="129">
        <v>1.91</v>
      </c>
      <c r="CP12" s="129">
        <v>1.92</v>
      </c>
      <c r="CQ12" s="129">
        <v>1.93</v>
      </c>
      <c r="CR12" s="129">
        <v>1.94</v>
      </c>
      <c r="CS12" s="129">
        <v>1.95</v>
      </c>
      <c r="CT12" s="129">
        <v>1.96</v>
      </c>
      <c r="CU12" s="129">
        <v>1.97</v>
      </c>
      <c r="CV12" s="129">
        <v>1.98</v>
      </c>
      <c r="CW12" s="129">
        <v>1.99</v>
      </c>
      <c r="CX12" s="129">
        <v>2</v>
      </c>
      <c r="CZ12" s="126">
        <f>SUMIF(MatrixF4[[1]:[2]],MatrixF4[[#This Row],[Столбец1]])/MatrixF4[[#This Row],[Столбец1]]</f>
        <v>19</v>
      </c>
    </row>
    <row r="13" spans="1:104" ht="21" customHeight="1" x14ac:dyDescent="0.25">
      <c r="A13" s="127">
        <v>1.1000000000000001</v>
      </c>
      <c r="B13" s="129">
        <v>1.1000000000000001</v>
      </c>
      <c r="C13" s="129">
        <v>1.1000000000000001</v>
      </c>
      <c r="D13" s="129">
        <v>1.1000000000000001</v>
      </c>
      <c r="E13" s="129">
        <v>1.1000000000000001</v>
      </c>
      <c r="F13" s="129">
        <v>1.1000000000000001</v>
      </c>
      <c r="G13" s="129">
        <v>1.1000000000000001</v>
      </c>
      <c r="H13" s="129">
        <v>1.1000000000000001</v>
      </c>
      <c r="I13" s="129">
        <v>1.1000000000000001</v>
      </c>
      <c r="J13" s="129">
        <v>1.1000000000000001</v>
      </c>
      <c r="K13" s="129">
        <v>1.1000000000000001</v>
      </c>
      <c r="L13" s="129">
        <v>1.1000000000000001</v>
      </c>
      <c r="M13" s="129">
        <v>1.1100000000000001</v>
      </c>
      <c r="N13" s="129">
        <v>1.1200000000000001</v>
      </c>
      <c r="O13" s="129">
        <v>1.1299999999999999</v>
      </c>
      <c r="P13" s="129">
        <v>1.1399999999999999</v>
      </c>
      <c r="Q13" s="129">
        <v>1.1499999999999999</v>
      </c>
      <c r="R13" s="129">
        <v>1.1599999999999999</v>
      </c>
      <c r="S13" s="129">
        <v>1.17</v>
      </c>
      <c r="T13" s="129">
        <v>1.18</v>
      </c>
      <c r="U13" s="129">
        <v>1.19</v>
      </c>
      <c r="V13" s="129">
        <v>1.2</v>
      </c>
      <c r="W13" s="129">
        <v>1.21</v>
      </c>
      <c r="X13" s="129">
        <v>1.22</v>
      </c>
      <c r="Y13" s="129">
        <v>1.23</v>
      </c>
      <c r="Z13" s="129">
        <v>1.24</v>
      </c>
      <c r="AA13" s="129">
        <v>1.25</v>
      </c>
      <c r="AB13" s="129">
        <v>1.26</v>
      </c>
      <c r="AC13" s="129">
        <v>1.27</v>
      </c>
      <c r="AD13" s="129">
        <v>1.28</v>
      </c>
      <c r="AE13" s="129">
        <v>1.29</v>
      </c>
      <c r="AF13" s="129">
        <v>1.3</v>
      </c>
      <c r="AG13" s="129">
        <v>1.31</v>
      </c>
      <c r="AH13" s="129">
        <v>1.32</v>
      </c>
      <c r="AI13" s="129">
        <v>1.33</v>
      </c>
      <c r="AJ13" s="129">
        <v>1.34</v>
      </c>
      <c r="AK13" s="129">
        <v>1.35</v>
      </c>
      <c r="AL13" s="129">
        <v>1.36</v>
      </c>
      <c r="AM13" s="129">
        <v>1.37</v>
      </c>
      <c r="AN13" s="129">
        <v>1.38</v>
      </c>
      <c r="AO13" s="129">
        <v>1.39</v>
      </c>
      <c r="AP13" s="129">
        <v>1.4</v>
      </c>
      <c r="AQ13" s="129">
        <v>1.41</v>
      </c>
      <c r="AR13" s="129">
        <v>1.42</v>
      </c>
      <c r="AS13" s="129">
        <v>1.43</v>
      </c>
      <c r="AT13" s="129">
        <v>1.44</v>
      </c>
      <c r="AU13" s="129">
        <v>1.45</v>
      </c>
      <c r="AV13" s="129">
        <v>1.46</v>
      </c>
      <c r="AW13" s="129">
        <v>1.47</v>
      </c>
      <c r="AX13" s="129">
        <v>1.48</v>
      </c>
      <c r="AY13" s="129">
        <v>1.49</v>
      </c>
      <c r="AZ13" s="129">
        <v>1.5</v>
      </c>
      <c r="BA13" s="129">
        <v>1.51</v>
      </c>
      <c r="BB13" s="129">
        <v>1.52</v>
      </c>
      <c r="BC13" s="129">
        <v>1.53</v>
      </c>
      <c r="BD13" s="129">
        <v>1.54</v>
      </c>
      <c r="BE13" s="129">
        <v>1.55</v>
      </c>
      <c r="BF13" s="129">
        <v>1.56</v>
      </c>
      <c r="BG13" s="129">
        <v>1.57</v>
      </c>
      <c r="BH13" s="129">
        <v>1.58</v>
      </c>
      <c r="BI13" s="129">
        <v>1.59</v>
      </c>
      <c r="BJ13" s="129">
        <v>1.6</v>
      </c>
      <c r="BK13" s="129">
        <v>1.61</v>
      </c>
      <c r="BL13" s="129">
        <v>1.62</v>
      </c>
      <c r="BM13" s="129">
        <v>1.63</v>
      </c>
      <c r="BN13" s="129">
        <v>1.64</v>
      </c>
      <c r="BO13" s="129">
        <v>1.65</v>
      </c>
      <c r="BP13" s="129">
        <v>1.66</v>
      </c>
      <c r="BQ13" s="129">
        <v>1.67</v>
      </c>
      <c r="BR13" s="129">
        <v>1.68</v>
      </c>
      <c r="BS13" s="129">
        <v>1.69</v>
      </c>
      <c r="BT13" s="129">
        <v>1.7</v>
      </c>
      <c r="BU13" s="129">
        <v>1.71</v>
      </c>
      <c r="BV13" s="129">
        <v>1.72</v>
      </c>
      <c r="BW13" s="129">
        <v>1.73</v>
      </c>
      <c r="BX13" s="129">
        <v>1.74</v>
      </c>
      <c r="BY13" s="129">
        <v>1.75</v>
      </c>
      <c r="BZ13" s="129">
        <v>1.76</v>
      </c>
      <c r="CA13" s="129">
        <v>1.77</v>
      </c>
      <c r="CB13" s="129">
        <v>1.78</v>
      </c>
      <c r="CC13" s="129">
        <v>1.79</v>
      </c>
      <c r="CD13" s="129">
        <v>1.8</v>
      </c>
      <c r="CE13" s="129">
        <v>1.81</v>
      </c>
      <c r="CF13" s="129">
        <v>1.82</v>
      </c>
      <c r="CG13" s="129">
        <v>1.83</v>
      </c>
      <c r="CH13" s="129">
        <v>1.84</v>
      </c>
      <c r="CI13" s="129">
        <v>1.85</v>
      </c>
      <c r="CJ13" s="129">
        <v>1.86</v>
      </c>
      <c r="CK13" s="129">
        <v>1.87</v>
      </c>
      <c r="CL13" s="129">
        <v>1.88</v>
      </c>
      <c r="CM13" s="129">
        <v>1.89</v>
      </c>
      <c r="CN13" s="129">
        <v>1.9</v>
      </c>
      <c r="CO13" s="129">
        <v>1.91</v>
      </c>
      <c r="CP13" s="129">
        <v>1.92</v>
      </c>
      <c r="CQ13" s="129">
        <v>1.93</v>
      </c>
      <c r="CR13" s="129">
        <v>1.94</v>
      </c>
      <c r="CS13" s="129">
        <v>1.95</v>
      </c>
      <c r="CT13" s="129">
        <v>1.96</v>
      </c>
      <c r="CU13" s="129">
        <v>1.97</v>
      </c>
      <c r="CV13" s="129">
        <v>1.98</v>
      </c>
      <c r="CW13" s="129">
        <v>1.99</v>
      </c>
      <c r="CX13" s="129">
        <v>2</v>
      </c>
      <c r="CZ13" s="126">
        <f>SUMIF(MatrixF4[[1]:[2]],MatrixF4[[#This Row],[Столбец1]])/MatrixF4[[#This Row],[Столбец1]]</f>
        <v>21.000000000000004</v>
      </c>
    </row>
    <row r="14" spans="1:104" ht="21" customHeight="1" x14ac:dyDescent="0.25">
      <c r="A14" s="127">
        <v>1.1100000000000001</v>
      </c>
      <c r="B14" s="129">
        <v>1.1100000000000001</v>
      </c>
      <c r="C14" s="129">
        <v>1.1100000000000001</v>
      </c>
      <c r="D14" s="129">
        <v>1.1100000000000001</v>
      </c>
      <c r="E14" s="129">
        <v>1.1100000000000001</v>
      </c>
      <c r="F14" s="129">
        <v>1.1100000000000001</v>
      </c>
      <c r="G14" s="129">
        <v>1.1100000000000001</v>
      </c>
      <c r="H14" s="129">
        <v>1.1100000000000001</v>
      </c>
      <c r="I14" s="129">
        <v>1.1100000000000001</v>
      </c>
      <c r="J14" s="129">
        <v>1.1100000000000001</v>
      </c>
      <c r="K14" s="129">
        <v>1.1100000000000001</v>
      </c>
      <c r="L14" s="129">
        <v>1.1100000000000001</v>
      </c>
      <c r="M14" s="129">
        <v>1.1100000000000001</v>
      </c>
      <c r="N14" s="129">
        <v>1.1200000000000001</v>
      </c>
      <c r="O14" s="129">
        <v>1.1299999999999999</v>
      </c>
      <c r="P14" s="129">
        <v>1.1399999999999999</v>
      </c>
      <c r="Q14" s="129">
        <v>1.1499999999999999</v>
      </c>
      <c r="R14" s="129">
        <v>1.1599999999999999</v>
      </c>
      <c r="S14" s="129">
        <v>1.17</v>
      </c>
      <c r="T14" s="129">
        <v>1.18</v>
      </c>
      <c r="U14" s="129">
        <v>1.19</v>
      </c>
      <c r="V14" s="129">
        <v>1.2</v>
      </c>
      <c r="W14" s="129">
        <v>1.21</v>
      </c>
      <c r="X14" s="129">
        <v>1.22</v>
      </c>
      <c r="Y14" s="129">
        <v>1.23</v>
      </c>
      <c r="Z14" s="129">
        <v>1.24</v>
      </c>
      <c r="AA14" s="129">
        <v>1.25</v>
      </c>
      <c r="AB14" s="129">
        <v>1.26</v>
      </c>
      <c r="AC14" s="129">
        <v>1.27</v>
      </c>
      <c r="AD14" s="129">
        <v>1.28</v>
      </c>
      <c r="AE14" s="129">
        <v>1.29</v>
      </c>
      <c r="AF14" s="129">
        <v>1.3</v>
      </c>
      <c r="AG14" s="129">
        <v>1.31</v>
      </c>
      <c r="AH14" s="129">
        <v>1.32</v>
      </c>
      <c r="AI14" s="129">
        <v>1.33</v>
      </c>
      <c r="AJ14" s="129">
        <v>1.34</v>
      </c>
      <c r="AK14" s="129">
        <v>1.35</v>
      </c>
      <c r="AL14" s="129">
        <v>1.36</v>
      </c>
      <c r="AM14" s="129">
        <v>1.37</v>
      </c>
      <c r="AN14" s="129">
        <v>1.38</v>
      </c>
      <c r="AO14" s="129">
        <v>1.39</v>
      </c>
      <c r="AP14" s="129">
        <v>1.4</v>
      </c>
      <c r="AQ14" s="129">
        <v>1.41</v>
      </c>
      <c r="AR14" s="129">
        <v>1.42</v>
      </c>
      <c r="AS14" s="129">
        <v>1.43</v>
      </c>
      <c r="AT14" s="129">
        <v>1.44</v>
      </c>
      <c r="AU14" s="129">
        <v>1.45</v>
      </c>
      <c r="AV14" s="129">
        <v>1.46</v>
      </c>
      <c r="AW14" s="129">
        <v>1.47</v>
      </c>
      <c r="AX14" s="129">
        <v>1.48</v>
      </c>
      <c r="AY14" s="129">
        <v>1.49</v>
      </c>
      <c r="AZ14" s="129">
        <v>1.5</v>
      </c>
      <c r="BA14" s="129">
        <v>1.51</v>
      </c>
      <c r="BB14" s="129">
        <v>1.52</v>
      </c>
      <c r="BC14" s="129">
        <v>1.53</v>
      </c>
      <c r="BD14" s="129">
        <v>1.54</v>
      </c>
      <c r="BE14" s="129">
        <v>1.55</v>
      </c>
      <c r="BF14" s="129">
        <v>1.56</v>
      </c>
      <c r="BG14" s="129">
        <v>1.57</v>
      </c>
      <c r="BH14" s="129">
        <v>1.58</v>
      </c>
      <c r="BI14" s="129">
        <v>1.59</v>
      </c>
      <c r="BJ14" s="129">
        <v>1.6</v>
      </c>
      <c r="BK14" s="129">
        <v>1.61</v>
      </c>
      <c r="BL14" s="129">
        <v>1.62</v>
      </c>
      <c r="BM14" s="129">
        <v>1.63</v>
      </c>
      <c r="BN14" s="129">
        <v>1.64</v>
      </c>
      <c r="BO14" s="129">
        <v>1.65</v>
      </c>
      <c r="BP14" s="129">
        <v>1.66</v>
      </c>
      <c r="BQ14" s="129">
        <v>1.67</v>
      </c>
      <c r="BR14" s="129">
        <v>1.68</v>
      </c>
      <c r="BS14" s="129">
        <v>1.69</v>
      </c>
      <c r="BT14" s="129">
        <v>1.7</v>
      </c>
      <c r="BU14" s="129">
        <v>1.71</v>
      </c>
      <c r="BV14" s="129">
        <v>1.72</v>
      </c>
      <c r="BW14" s="129">
        <v>1.73</v>
      </c>
      <c r="BX14" s="129">
        <v>1.74</v>
      </c>
      <c r="BY14" s="129">
        <v>1.75</v>
      </c>
      <c r="BZ14" s="129">
        <v>1.76</v>
      </c>
      <c r="CA14" s="129">
        <v>1.77</v>
      </c>
      <c r="CB14" s="129">
        <v>1.78</v>
      </c>
      <c r="CC14" s="129">
        <v>1.79</v>
      </c>
      <c r="CD14" s="129">
        <v>1.8</v>
      </c>
      <c r="CE14" s="129">
        <v>1.81</v>
      </c>
      <c r="CF14" s="129">
        <v>1.82</v>
      </c>
      <c r="CG14" s="129">
        <v>1.83</v>
      </c>
      <c r="CH14" s="129">
        <v>1.84</v>
      </c>
      <c r="CI14" s="129">
        <v>1.85</v>
      </c>
      <c r="CJ14" s="129">
        <v>1.86</v>
      </c>
      <c r="CK14" s="129">
        <v>1.87</v>
      </c>
      <c r="CL14" s="129">
        <v>1.88</v>
      </c>
      <c r="CM14" s="129">
        <v>1.89</v>
      </c>
      <c r="CN14" s="129">
        <v>1.9</v>
      </c>
      <c r="CO14" s="129">
        <v>1.91</v>
      </c>
      <c r="CP14" s="129">
        <v>1.92</v>
      </c>
      <c r="CQ14" s="129">
        <v>1.93</v>
      </c>
      <c r="CR14" s="129">
        <v>1.94</v>
      </c>
      <c r="CS14" s="129">
        <v>1.95</v>
      </c>
      <c r="CT14" s="129">
        <v>1.96</v>
      </c>
      <c r="CU14" s="129">
        <v>1.97</v>
      </c>
      <c r="CV14" s="129">
        <v>1.98</v>
      </c>
      <c r="CW14" s="129">
        <v>1.99</v>
      </c>
      <c r="CX14" s="129">
        <v>2</v>
      </c>
      <c r="CZ14" s="126">
        <f>SUMIF(MatrixF4[[1]:[2]],MatrixF4[[#This Row],[Столбец1]])/MatrixF4[[#This Row],[Столбец1]]</f>
        <v>22.999999999999993</v>
      </c>
    </row>
    <row r="15" spans="1:104" ht="21" customHeight="1" x14ac:dyDescent="0.25">
      <c r="A15" s="127">
        <v>1.1200000000000001</v>
      </c>
      <c r="B15" s="129">
        <v>1.1200000000000001</v>
      </c>
      <c r="C15" s="129">
        <v>1.1200000000000001</v>
      </c>
      <c r="D15" s="129">
        <v>1.1200000000000001</v>
      </c>
      <c r="E15" s="129">
        <v>1.1200000000000001</v>
      </c>
      <c r="F15" s="129">
        <v>1.1200000000000001</v>
      </c>
      <c r="G15" s="129">
        <v>1.1200000000000001</v>
      </c>
      <c r="H15" s="129">
        <v>1.1200000000000001</v>
      </c>
      <c r="I15" s="129">
        <v>1.1200000000000001</v>
      </c>
      <c r="J15" s="129">
        <v>1.1200000000000001</v>
      </c>
      <c r="K15" s="129">
        <v>1.1200000000000001</v>
      </c>
      <c r="L15" s="129">
        <v>1.1200000000000001</v>
      </c>
      <c r="M15" s="129">
        <v>1.1200000000000001</v>
      </c>
      <c r="N15" s="129">
        <v>1.1200000000000001</v>
      </c>
      <c r="O15" s="129">
        <v>1.1299999999999999</v>
      </c>
      <c r="P15" s="129">
        <v>1.1399999999999999</v>
      </c>
      <c r="Q15" s="129">
        <v>1.1499999999999999</v>
      </c>
      <c r="R15" s="129">
        <v>1.1599999999999999</v>
      </c>
      <c r="S15" s="129">
        <v>1.17</v>
      </c>
      <c r="T15" s="129">
        <v>1.18</v>
      </c>
      <c r="U15" s="129">
        <v>1.19</v>
      </c>
      <c r="V15" s="129">
        <v>1.2</v>
      </c>
      <c r="W15" s="129">
        <v>1.21</v>
      </c>
      <c r="X15" s="129">
        <v>1.22</v>
      </c>
      <c r="Y15" s="129">
        <v>1.23</v>
      </c>
      <c r="Z15" s="129">
        <v>1.24</v>
      </c>
      <c r="AA15" s="129">
        <v>1.25</v>
      </c>
      <c r="AB15" s="129">
        <v>1.26</v>
      </c>
      <c r="AC15" s="129">
        <v>1.27</v>
      </c>
      <c r="AD15" s="129">
        <v>1.28</v>
      </c>
      <c r="AE15" s="129">
        <v>1.29</v>
      </c>
      <c r="AF15" s="129">
        <v>1.3</v>
      </c>
      <c r="AG15" s="129">
        <v>1.31</v>
      </c>
      <c r="AH15" s="129">
        <v>1.32</v>
      </c>
      <c r="AI15" s="129">
        <v>1.33</v>
      </c>
      <c r="AJ15" s="129">
        <v>1.34</v>
      </c>
      <c r="AK15" s="129">
        <v>1.35</v>
      </c>
      <c r="AL15" s="129">
        <v>1.36</v>
      </c>
      <c r="AM15" s="129">
        <v>1.37</v>
      </c>
      <c r="AN15" s="129">
        <v>1.38</v>
      </c>
      <c r="AO15" s="129">
        <v>1.39</v>
      </c>
      <c r="AP15" s="129">
        <v>1.4</v>
      </c>
      <c r="AQ15" s="129">
        <v>1.41</v>
      </c>
      <c r="AR15" s="129">
        <v>1.42</v>
      </c>
      <c r="AS15" s="129">
        <v>1.43</v>
      </c>
      <c r="AT15" s="129">
        <v>1.44</v>
      </c>
      <c r="AU15" s="129">
        <v>1.45</v>
      </c>
      <c r="AV15" s="129">
        <v>1.46</v>
      </c>
      <c r="AW15" s="129">
        <v>1.47</v>
      </c>
      <c r="AX15" s="129">
        <v>1.48</v>
      </c>
      <c r="AY15" s="129">
        <v>1.49</v>
      </c>
      <c r="AZ15" s="129">
        <v>1.5</v>
      </c>
      <c r="BA15" s="129">
        <v>1.51</v>
      </c>
      <c r="BB15" s="129">
        <v>1.52</v>
      </c>
      <c r="BC15" s="129">
        <v>1.53</v>
      </c>
      <c r="BD15" s="129">
        <v>1.54</v>
      </c>
      <c r="BE15" s="129">
        <v>1.55</v>
      </c>
      <c r="BF15" s="129">
        <v>1.56</v>
      </c>
      <c r="BG15" s="129">
        <v>1.57</v>
      </c>
      <c r="BH15" s="129">
        <v>1.58</v>
      </c>
      <c r="BI15" s="129">
        <v>1.59</v>
      </c>
      <c r="BJ15" s="129">
        <v>1.6</v>
      </c>
      <c r="BK15" s="129">
        <v>1.61</v>
      </c>
      <c r="BL15" s="129">
        <v>1.62</v>
      </c>
      <c r="BM15" s="129">
        <v>1.63</v>
      </c>
      <c r="BN15" s="129">
        <v>1.64</v>
      </c>
      <c r="BO15" s="129">
        <v>1.65</v>
      </c>
      <c r="BP15" s="129">
        <v>1.66</v>
      </c>
      <c r="BQ15" s="129">
        <v>1.67</v>
      </c>
      <c r="BR15" s="129">
        <v>1.68</v>
      </c>
      <c r="BS15" s="129">
        <v>1.69</v>
      </c>
      <c r="BT15" s="129">
        <v>1.7</v>
      </c>
      <c r="BU15" s="129">
        <v>1.71</v>
      </c>
      <c r="BV15" s="129">
        <v>1.72</v>
      </c>
      <c r="BW15" s="129">
        <v>1.73</v>
      </c>
      <c r="BX15" s="129">
        <v>1.74</v>
      </c>
      <c r="BY15" s="129">
        <v>1.75</v>
      </c>
      <c r="BZ15" s="129">
        <v>1.76</v>
      </c>
      <c r="CA15" s="129">
        <v>1.77</v>
      </c>
      <c r="CB15" s="129">
        <v>1.78</v>
      </c>
      <c r="CC15" s="129">
        <v>1.79</v>
      </c>
      <c r="CD15" s="129">
        <v>1.8</v>
      </c>
      <c r="CE15" s="129">
        <v>1.81</v>
      </c>
      <c r="CF15" s="129">
        <v>1.82</v>
      </c>
      <c r="CG15" s="129">
        <v>1.83</v>
      </c>
      <c r="CH15" s="129">
        <v>1.84</v>
      </c>
      <c r="CI15" s="129">
        <v>1.85</v>
      </c>
      <c r="CJ15" s="129">
        <v>1.86</v>
      </c>
      <c r="CK15" s="129">
        <v>1.87</v>
      </c>
      <c r="CL15" s="129">
        <v>1.88</v>
      </c>
      <c r="CM15" s="129">
        <v>1.89</v>
      </c>
      <c r="CN15" s="129">
        <v>1.9</v>
      </c>
      <c r="CO15" s="129">
        <v>1.91</v>
      </c>
      <c r="CP15" s="129">
        <v>1.92</v>
      </c>
      <c r="CQ15" s="129">
        <v>1.93</v>
      </c>
      <c r="CR15" s="129">
        <v>1.94</v>
      </c>
      <c r="CS15" s="129">
        <v>1.95</v>
      </c>
      <c r="CT15" s="129">
        <v>1.96</v>
      </c>
      <c r="CU15" s="129">
        <v>1.97</v>
      </c>
      <c r="CV15" s="129">
        <v>1.98</v>
      </c>
      <c r="CW15" s="129">
        <v>1.99</v>
      </c>
      <c r="CX15" s="129">
        <v>2</v>
      </c>
      <c r="CZ15" s="126">
        <f>SUMIF(MatrixF4[[1]:[2]],MatrixF4[[#This Row],[Столбец1]])/MatrixF4[[#This Row],[Столбец1]]</f>
        <v>25.000000000000014</v>
      </c>
    </row>
    <row r="16" spans="1:104" ht="21" customHeight="1" x14ac:dyDescent="0.25">
      <c r="A16" s="127">
        <v>1.1299999999999999</v>
      </c>
      <c r="B16" s="129">
        <v>1.1299999999999999</v>
      </c>
      <c r="C16" s="129">
        <v>1.1299999999999999</v>
      </c>
      <c r="D16" s="129">
        <v>1.1299999999999999</v>
      </c>
      <c r="E16" s="129">
        <v>1.1299999999999999</v>
      </c>
      <c r="F16" s="129">
        <v>1.1299999999999999</v>
      </c>
      <c r="G16" s="129">
        <v>1.1299999999999999</v>
      </c>
      <c r="H16" s="129">
        <v>1.1299999999999999</v>
      </c>
      <c r="I16" s="129">
        <v>1.1299999999999999</v>
      </c>
      <c r="J16" s="129">
        <v>1.1299999999999999</v>
      </c>
      <c r="K16" s="129">
        <v>1.1299999999999999</v>
      </c>
      <c r="L16" s="129">
        <v>1.1299999999999999</v>
      </c>
      <c r="M16" s="129">
        <v>1.1299999999999999</v>
      </c>
      <c r="N16" s="129">
        <v>1.1299999999999999</v>
      </c>
      <c r="O16" s="129">
        <v>1.1299999999999999</v>
      </c>
      <c r="P16" s="129">
        <v>1.1399999999999999</v>
      </c>
      <c r="Q16" s="129">
        <v>1.1499999999999999</v>
      </c>
      <c r="R16" s="129">
        <v>1.1599999999999999</v>
      </c>
      <c r="S16" s="129">
        <v>1.17</v>
      </c>
      <c r="T16" s="129">
        <v>1.18</v>
      </c>
      <c r="U16" s="129">
        <v>1.19</v>
      </c>
      <c r="V16" s="129">
        <v>1.2</v>
      </c>
      <c r="W16" s="129">
        <v>1.21</v>
      </c>
      <c r="X16" s="129">
        <v>1.22</v>
      </c>
      <c r="Y16" s="129">
        <v>1.23</v>
      </c>
      <c r="Z16" s="129">
        <v>1.24</v>
      </c>
      <c r="AA16" s="129">
        <v>1.25</v>
      </c>
      <c r="AB16" s="129">
        <v>1.26</v>
      </c>
      <c r="AC16" s="129">
        <v>1.27</v>
      </c>
      <c r="AD16" s="129">
        <v>1.28</v>
      </c>
      <c r="AE16" s="129">
        <v>1.29</v>
      </c>
      <c r="AF16" s="129">
        <v>1.3</v>
      </c>
      <c r="AG16" s="129">
        <v>1.31</v>
      </c>
      <c r="AH16" s="129">
        <v>1.32</v>
      </c>
      <c r="AI16" s="129">
        <v>1.33</v>
      </c>
      <c r="AJ16" s="129">
        <v>1.34</v>
      </c>
      <c r="AK16" s="129">
        <v>1.35</v>
      </c>
      <c r="AL16" s="129">
        <v>1.36</v>
      </c>
      <c r="AM16" s="129">
        <v>1.37</v>
      </c>
      <c r="AN16" s="129">
        <v>1.38</v>
      </c>
      <c r="AO16" s="129">
        <v>1.39</v>
      </c>
      <c r="AP16" s="129">
        <v>1.4</v>
      </c>
      <c r="AQ16" s="129">
        <v>1.41</v>
      </c>
      <c r="AR16" s="129">
        <v>1.42</v>
      </c>
      <c r="AS16" s="129">
        <v>1.43</v>
      </c>
      <c r="AT16" s="129">
        <v>1.44</v>
      </c>
      <c r="AU16" s="129">
        <v>1.45</v>
      </c>
      <c r="AV16" s="129">
        <v>1.46</v>
      </c>
      <c r="AW16" s="129">
        <v>1.47</v>
      </c>
      <c r="AX16" s="129">
        <v>1.48</v>
      </c>
      <c r="AY16" s="129">
        <v>1.49</v>
      </c>
      <c r="AZ16" s="129">
        <v>1.5</v>
      </c>
      <c r="BA16" s="129">
        <v>1.51</v>
      </c>
      <c r="BB16" s="129">
        <v>1.52</v>
      </c>
      <c r="BC16" s="129">
        <v>1.53</v>
      </c>
      <c r="BD16" s="129">
        <v>1.54</v>
      </c>
      <c r="BE16" s="129">
        <v>1.55</v>
      </c>
      <c r="BF16" s="129">
        <v>1.56</v>
      </c>
      <c r="BG16" s="129">
        <v>1.57</v>
      </c>
      <c r="BH16" s="129">
        <v>1.58</v>
      </c>
      <c r="BI16" s="129">
        <v>1.59</v>
      </c>
      <c r="BJ16" s="129">
        <v>1.6</v>
      </c>
      <c r="BK16" s="129">
        <v>1.61</v>
      </c>
      <c r="BL16" s="129">
        <v>1.62</v>
      </c>
      <c r="BM16" s="129">
        <v>1.63</v>
      </c>
      <c r="BN16" s="129">
        <v>1.64</v>
      </c>
      <c r="BO16" s="129">
        <v>1.65</v>
      </c>
      <c r="BP16" s="129">
        <v>1.66</v>
      </c>
      <c r="BQ16" s="129">
        <v>1.67</v>
      </c>
      <c r="BR16" s="129">
        <v>1.68</v>
      </c>
      <c r="BS16" s="129">
        <v>1.69</v>
      </c>
      <c r="BT16" s="129">
        <v>1.7</v>
      </c>
      <c r="BU16" s="129">
        <v>1.71</v>
      </c>
      <c r="BV16" s="129">
        <v>1.72</v>
      </c>
      <c r="BW16" s="129">
        <v>1.73</v>
      </c>
      <c r="BX16" s="129">
        <v>1.74</v>
      </c>
      <c r="BY16" s="129">
        <v>1.75</v>
      </c>
      <c r="BZ16" s="129">
        <v>1.76</v>
      </c>
      <c r="CA16" s="129">
        <v>1.77</v>
      </c>
      <c r="CB16" s="129">
        <v>1.78</v>
      </c>
      <c r="CC16" s="129">
        <v>1.79</v>
      </c>
      <c r="CD16" s="129">
        <v>1.8</v>
      </c>
      <c r="CE16" s="129">
        <v>1.81</v>
      </c>
      <c r="CF16" s="129">
        <v>1.82</v>
      </c>
      <c r="CG16" s="129">
        <v>1.83</v>
      </c>
      <c r="CH16" s="129">
        <v>1.84</v>
      </c>
      <c r="CI16" s="129">
        <v>1.85</v>
      </c>
      <c r="CJ16" s="129">
        <v>1.86</v>
      </c>
      <c r="CK16" s="129">
        <v>1.87</v>
      </c>
      <c r="CL16" s="129">
        <v>1.88</v>
      </c>
      <c r="CM16" s="129">
        <v>1.89</v>
      </c>
      <c r="CN16" s="129">
        <v>1.9</v>
      </c>
      <c r="CO16" s="129">
        <v>1.91</v>
      </c>
      <c r="CP16" s="129">
        <v>1.92</v>
      </c>
      <c r="CQ16" s="129">
        <v>1.93</v>
      </c>
      <c r="CR16" s="129">
        <v>1.94</v>
      </c>
      <c r="CS16" s="129">
        <v>1.95</v>
      </c>
      <c r="CT16" s="129">
        <v>1.96</v>
      </c>
      <c r="CU16" s="129">
        <v>1.97</v>
      </c>
      <c r="CV16" s="129">
        <v>1.98</v>
      </c>
      <c r="CW16" s="129">
        <v>1.99</v>
      </c>
      <c r="CX16" s="129">
        <v>2</v>
      </c>
      <c r="CZ16" s="126">
        <f>SUMIF(MatrixF4[[1]:[2]],MatrixF4[[#This Row],[Столбец1]])/MatrixF4[[#This Row],[Столбец1]]</f>
        <v>26.999999999999986</v>
      </c>
    </row>
    <row r="17" spans="1:104" ht="21" customHeight="1" x14ac:dyDescent="0.25">
      <c r="A17" s="127">
        <v>1.1399999999999999</v>
      </c>
      <c r="B17" s="129">
        <v>1.1399999999999999</v>
      </c>
      <c r="C17" s="129">
        <v>1.1399999999999999</v>
      </c>
      <c r="D17" s="129">
        <v>1.1399999999999999</v>
      </c>
      <c r="E17" s="129">
        <v>1.1399999999999999</v>
      </c>
      <c r="F17" s="129">
        <v>1.1399999999999999</v>
      </c>
      <c r="G17" s="129">
        <v>1.1399999999999999</v>
      </c>
      <c r="H17" s="129">
        <v>1.1399999999999999</v>
      </c>
      <c r="I17" s="129">
        <v>1.1399999999999999</v>
      </c>
      <c r="J17" s="129">
        <v>1.1399999999999999</v>
      </c>
      <c r="K17" s="129">
        <v>1.1399999999999999</v>
      </c>
      <c r="L17" s="129">
        <v>1.1399999999999999</v>
      </c>
      <c r="M17" s="129">
        <v>1.1399999999999999</v>
      </c>
      <c r="N17" s="129">
        <v>1.1399999999999999</v>
      </c>
      <c r="O17" s="129">
        <v>1.1399999999999999</v>
      </c>
      <c r="P17" s="129">
        <v>1.1399999999999999</v>
      </c>
      <c r="Q17" s="129">
        <v>1.1499999999999999</v>
      </c>
      <c r="R17" s="129">
        <v>1.1599999999999999</v>
      </c>
      <c r="S17" s="129">
        <v>1.17</v>
      </c>
      <c r="T17" s="129">
        <v>1.18</v>
      </c>
      <c r="U17" s="129">
        <v>1.19</v>
      </c>
      <c r="V17" s="129">
        <v>1.2</v>
      </c>
      <c r="W17" s="129">
        <v>1.21</v>
      </c>
      <c r="X17" s="129">
        <v>1.22</v>
      </c>
      <c r="Y17" s="129">
        <v>1.23</v>
      </c>
      <c r="Z17" s="129">
        <v>1.24</v>
      </c>
      <c r="AA17" s="129">
        <v>1.25</v>
      </c>
      <c r="AB17" s="129">
        <v>1.26</v>
      </c>
      <c r="AC17" s="129">
        <v>1.27</v>
      </c>
      <c r="AD17" s="129">
        <v>1.28</v>
      </c>
      <c r="AE17" s="129">
        <v>1.29</v>
      </c>
      <c r="AF17" s="129">
        <v>1.3</v>
      </c>
      <c r="AG17" s="129">
        <v>1.31</v>
      </c>
      <c r="AH17" s="129">
        <v>1.32</v>
      </c>
      <c r="AI17" s="129">
        <v>1.33</v>
      </c>
      <c r="AJ17" s="129">
        <v>1.34</v>
      </c>
      <c r="AK17" s="129">
        <v>1.35</v>
      </c>
      <c r="AL17" s="129">
        <v>1.36</v>
      </c>
      <c r="AM17" s="129">
        <v>1.37</v>
      </c>
      <c r="AN17" s="129">
        <v>1.38</v>
      </c>
      <c r="AO17" s="129">
        <v>1.39</v>
      </c>
      <c r="AP17" s="129">
        <v>1.4</v>
      </c>
      <c r="AQ17" s="129">
        <v>1.41</v>
      </c>
      <c r="AR17" s="129">
        <v>1.42</v>
      </c>
      <c r="AS17" s="129">
        <v>1.43</v>
      </c>
      <c r="AT17" s="129">
        <v>1.44</v>
      </c>
      <c r="AU17" s="129">
        <v>1.45</v>
      </c>
      <c r="AV17" s="129">
        <v>1.46</v>
      </c>
      <c r="AW17" s="129">
        <v>1.47</v>
      </c>
      <c r="AX17" s="129">
        <v>1.48</v>
      </c>
      <c r="AY17" s="129">
        <v>1.49</v>
      </c>
      <c r="AZ17" s="129">
        <v>1.5</v>
      </c>
      <c r="BA17" s="129">
        <v>1.51</v>
      </c>
      <c r="BB17" s="129">
        <v>1.52</v>
      </c>
      <c r="BC17" s="129">
        <v>1.53</v>
      </c>
      <c r="BD17" s="129">
        <v>1.54</v>
      </c>
      <c r="BE17" s="129">
        <v>1.55</v>
      </c>
      <c r="BF17" s="129">
        <v>1.56</v>
      </c>
      <c r="BG17" s="129">
        <v>1.57</v>
      </c>
      <c r="BH17" s="129">
        <v>1.58</v>
      </c>
      <c r="BI17" s="129">
        <v>1.59</v>
      </c>
      <c r="BJ17" s="129">
        <v>1.6</v>
      </c>
      <c r="BK17" s="129">
        <v>1.61</v>
      </c>
      <c r="BL17" s="129">
        <v>1.62</v>
      </c>
      <c r="BM17" s="129">
        <v>1.63</v>
      </c>
      <c r="BN17" s="129">
        <v>1.64</v>
      </c>
      <c r="BO17" s="129">
        <v>1.65</v>
      </c>
      <c r="BP17" s="129">
        <v>1.66</v>
      </c>
      <c r="BQ17" s="129">
        <v>1.67</v>
      </c>
      <c r="BR17" s="129">
        <v>1.68</v>
      </c>
      <c r="BS17" s="129">
        <v>1.69</v>
      </c>
      <c r="BT17" s="129">
        <v>1.7</v>
      </c>
      <c r="BU17" s="129">
        <v>1.71</v>
      </c>
      <c r="BV17" s="129">
        <v>1.72</v>
      </c>
      <c r="BW17" s="129">
        <v>1.73</v>
      </c>
      <c r="BX17" s="129">
        <v>1.74</v>
      </c>
      <c r="BY17" s="129">
        <v>1.75</v>
      </c>
      <c r="BZ17" s="129">
        <v>1.76</v>
      </c>
      <c r="CA17" s="129">
        <v>1.77</v>
      </c>
      <c r="CB17" s="129">
        <v>1.78</v>
      </c>
      <c r="CC17" s="129">
        <v>1.79</v>
      </c>
      <c r="CD17" s="129">
        <v>1.8</v>
      </c>
      <c r="CE17" s="129">
        <v>1.81</v>
      </c>
      <c r="CF17" s="129">
        <v>1.82</v>
      </c>
      <c r="CG17" s="129">
        <v>1.83</v>
      </c>
      <c r="CH17" s="129">
        <v>1.84</v>
      </c>
      <c r="CI17" s="129">
        <v>1.85</v>
      </c>
      <c r="CJ17" s="129">
        <v>1.86</v>
      </c>
      <c r="CK17" s="129">
        <v>1.87</v>
      </c>
      <c r="CL17" s="129">
        <v>1.88</v>
      </c>
      <c r="CM17" s="129">
        <v>1.89</v>
      </c>
      <c r="CN17" s="129">
        <v>1.9</v>
      </c>
      <c r="CO17" s="129">
        <v>1.91</v>
      </c>
      <c r="CP17" s="129">
        <v>1.91</v>
      </c>
      <c r="CQ17" s="129">
        <v>1.92</v>
      </c>
      <c r="CR17" s="129">
        <v>1.93</v>
      </c>
      <c r="CS17" s="129">
        <v>1.95</v>
      </c>
      <c r="CT17" s="129">
        <v>1.96</v>
      </c>
      <c r="CU17" s="129">
        <v>1.97</v>
      </c>
      <c r="CV17" s="129">
        <v>1.98</v>
      </c>
      <c r="CW17" s="129">
        <v>1.99</v>
      </c>
      <c r="CX17" s="129">
        <v>2</v>
      </c>
      <c r="CZ17" s="126">
        <f>SUMIF(MatrixF4[[1]:[2]],MatrixF4[[#This Row],[Столбец1]])/MatrixF4[[#This Row],[Столбец1]]</f>
        <v>29.000000000000011</v>
      </c>
    </row>
    <row r="18" spans="1:104" ht="21" customHeight="1" x14ac:dyDescent="0.25">
      <c r="A18" s="127">
        <v>1.1499999999999999</v>
      </c>
      <c r="B18" s="129">
        <v>1.1499999999999999</v>
      </c>
      <c r="C18" s="129">
        <v>1.1499999999999999</v>
      </c>
      <c r="D18" s="129">
        <v>1.1499999999999999</v>
      </c>
      <c r="E18" s="129">
        <v>1.1499999999999999</v>
      </c>
      <c r="F18" s="129">
        <v>1.1499999999999999</v>
      </c>
      <c r="G18" s="129">
        <v>1.1499999999999999</v>
      </c>
      <c r="H18" s="129">
        <v>1.1499999999999999</v>
      </c>
      <c r="I18" s="129">
        <v>1.1499999999999999</v>
      </c>
      <c r="J18" s="129">
        <v>1.1499999999999999</v>
      </c>
      <c r="K18" s="129">
        <v>1.1499999999999999</v>
      </c>
      <c r="L18" s="129">
        <v>1.1499999999999999</v>
      </c>
      <c r="M18" s="129">
        <v>1.1499999999999999</v>
      </c>
      <c r="N18" s="129">
        <v>1.1499999999999999</v>
      </c>
      <c r="O18" s="129">
        <v>1.1499999999999999</v>
      </c>
      <c r="P18" s="129">
        <v>1.1499999999999999</v>
      </c>
      <c r="Q18" s="129">
        <v>1.1499999999999999</v>
      </c>
      <c r="R18" s="129">
        <v>1.1599999999999999</v>
      </c>
      <c r="S18" s="129">
        <v>1.17</v>
      </c>
      <c r="T18" s="129">
        <v>1.18</v>
      </c>
      <c r="U18" s="129">
        <v>1.19</v>
      </c>
      <c r="V18" s="129">
        <v>1.2</v>
      </c>
      <c r="W18" s="129">
        <v>1.21</v>
      </c>
      <c r="X18" s="129">
        <v>1.22</v>
      </c>
      <c r="Y18" s="129">
        <v>1.23</v>
      </c>
      <c r="Z18" s="129">
        <v>1.24</v>
      </c>
      <c r="AA18" s="129">
        <v>1.25</v>
      </c>
      <c r="AB18" s="129">
        <v>1.26</v>
      </c>
      <c r="AC18" s="129">
        <v>1.27</v>
      </c>
      <c r="AD18" s="129">
        <v>1.28</v>
      </c>
      <c r="AE18" s="129">
        <v>1.29</v>
      </c>
      <c r="AF18" s="129">
        <v>1.3</v>
      </c>
      <c r="AG18" s="129">
        <v>1.31</v>
      </c>
      <c r="AH18" s="129">
        <v>1.32</v>
      </c>
      <c r="AI18" s="129">
        <v>1.33</v>
      </c>
      <c r="AJ18" s="129">
        <v>1.34</v>
      </c>
      <c r="AK18" s="129">
        <v>1.35</v>
      </c>
      <c r="AL18" s="129">
        <v>1.36</v>
      </c>
      <c r="AM18" s="129">
        <v>1.37</v>
      </c>
      <c r="AN18" s="129">
        <v>1.38</v>
      </c>
      <c r="AO18" s="129">
        <v>1.39</v>
      </c>
      <c r="AP18" s="129">
        <v>1.4</v>
      </c>
      <c r="AQ18" s="129">
        <v>1.41</v>
      </c>
      <c r="AR18" s="129">
        <v>1.42</v>
      </c>
      <c r="AS18" s="129">
        <v>1.43</v>
      </c>
      <c r="AT18" s="129">
        <v>1.44</v>
      </c>
      <c r="AU18" s="129">
        <v>1.45</v>
      </c>
      <c r="AV18" s="129">
        <v>1.46</v>
      </c>
      <c r="AW18" s="129">
        <v>1.47</v>
      </c>
      <c r="AX18" s="129">
        <v>1.48</v>
      </c>
      <c r="AY18" s="129">
        <v>1.49</v>
      </c>
      <c r="AZ18" s="129">
        <v>1.5</v>
      </c>
      <c r="BA18" s="129">
        <v>1.51</v>
      </c>
      <c r="BB18" s="129">
        <v>1.52</v>
      </c>
      <c r="BC18" s="129">
        <v>1.53</v>
      </c>
      <c r="BD18" s="129">
        <v>1.54</v>
      </c>
      <c r="BE18" s="129">
        <v>1.55</v>
      </c>
      <c r="BF18" s="129">
        <v>1.56</v>
      </c>
      <c r="BG18" s="129">
        <v>1.57</v>
      </c>
      <c r="BH18" s="129">
        <v>1.58</v>
      </c>
      <c r="BI18" s="129">
        <v>1.59</v>
      </c>
      <c r="BJ18" s="129">
        <v>1.6</v>
      </c>
      <c r="BK18" s="129">
        <v>1.61</v>
      </c>
      <c r="BL18" s="129">
        <v>1.62</v>
      </c>
      <c r="BM18" s="129">
        <v>1.63</v>
      </c>
      <c r="BN18" s="129">
        <v>1.64</v>
      </c>
      <c r="BO18" s="129">
        <v>1.65</v>
      </c>
      <c r="BP18" s="129">
        <v>1.66</v>
      </c>
      <c r="BQ18" s="129">
        <v>1.67</v>
      </c>
      <c r="BR18" s="129">
        <v>1.68</v>
      </c>
      <c r="BS18" s="129">
        <v>1.69</v>
      </c>
      <c r="BT18" s="129">
        <v>1.7</v>
      </c>
      <c r="BU18" s="129">
        <v>1.71</v>
      </c>
      <c r="BV18" s="129">
        <v>1.72</v>
      </c>
      <c r="BW18" s="129">
        <v>1.73</v>
      </c>
      <c r="BX18" s="129">
        <v>1.74</v>
      </c>
      <c r="BY18" s="129">
        <v>1.75</v>
      </c>
      <c r="BZ18" s="129">
        <v>1.76</v>
      </c>
      <c r="CA18" s="129">
        <v>1.77</v>
      </c>
      <c r="CB18" s="129">
        <v>1.78</v>
      </c>
      <c r="CC18" s="129">
        <v>1.79</v>
      </c>
      <c r="CD18" s="129">
        <v>1.8</v>
      </c>
      <c r="CE18" s="129">
        <v>1.81</v>
      </c>
      <c r="CF18" s="129">
        <v>1.82</v>
      </c>
      <c r="CG18" s="129">
        <v>1.83</v>
      </c>
      <c r="CH18" s="129">
        <v>1.84</v>
      </c>
      <c r="CI18" s="129">
        <v>1.85</v>
      </c>
      <c r="CJ18" s="129">
        <v>1.86</v>
      </c>
      <c r="CK18" s="129">
        <v>1.87</v>
      </c>
      <c r="CL18" s="129">
        <v>1.88</v>
      </c>
      <c r="CM18" s="129">
        <v>1.89</v>
      </c>
      <c r="CN18" s="129">
        <v>1.89</v>
      </c>
      <c r="CO18" s="129">
        <v>1.9</v>
      </c>
      <c r="CP18" s="129">
        <v>1.91</v>
      </c>
      <c r="CQ18" s="129">
        <v>1.92</v>
      </c>
      <c r="CR18" s="129">
        <v>1.93</v>
      </c>
      <c r="CS18" s="129">
        <v>1.94</v>
      </c>
      <c r="CT18" s="129">
        <v>1.96</v>
      </c>
      <c r="CU18" s="129">
        <v>1.97</v>
      </c>
      <c r="CV18" s="129">
        <v>1.98</v>
      </c>
      <c r="CW18" s="129">
        <v>1.99</v>
      </c>
      <c r="CX18" s="129">
        <v>2</v>
      </c>
      <c r="CZ18" s="126">
        <f>SUMIF(MatrixF4[[1]:[2]],MatrixF4[[#This Row],[Столбец1]])/MatrixF4[[#This Row],[Столбец1]]</f>
        <v>30.999999999999982</v>
      </c>
    </row>
    <row r="19" spans="1:104" ht="21" customHeight="1" x14ac:dyDescent="0.25">
      <c r="A19" s="127">
        <v>1.1599999999999999</v>
      </c>
      <c r="B19" s="129">
        <v>1.1599999999999999</v>
      </c>
      <c r="C19" s="129">
        <v>1.1599999999999999</v>
      </c>
      <c r="D19" s="129">
        <v>1.1599999999999999</v>
      </c>
      <c r="E19" s="129">
        <v>1.1599999999999999</v>
      </c>
      <c r="F19" s="129">
        <v>1.1599999999999999</v>
      </c>
      <c r="G19" s="129">
        <v>1.1599999999999999</v>
      </c>
      <c r="H19" s="129">
        <v>1.1599999999999999</v>
      </c>
      <c r="I19" s="129">
        <v>1.1599999999999999</v>
      </c>
      <c r="J19" s="129">
        <v>1.1599999999999999</v>
      </c>
      <c r="K19" s="129">
        <v>1.1599999999999999</v>
      </c>
      <c r="L19" s="129">
        <v>1.1599999999999999</v>
      </c>
      <c r="M19" s="129">
        <v>1.1599999999999999</v>
      </c>
      <c r="N19" s="129">
        <v>1.1599999999999999</v>
      </c>
      <c r="O19" s="129">
        <v>1.1599999999999999</v>
      </c>
      <c r="P19" s="129">
        <v>1.1599999999999999</v>
      </c>
      <c r="Q19" s="129">
        <v>1.1599999999999999</v>
      </c>
      <c r="R19" s="129">
        <v>1.1599999999999999</v>
      </c>
      <c r="S19" s="129">
        <v>1.17</v>
      </c>
      <c r="T19" s="129">
        <v>1.18</v>
      </c>
      <c r="U19" s="129">
        <v>1.19</v>
      </c>
      <c r="V19" s="129">
        <v>1.2</v>
      </c>
      <c r="W19" s="129">
        <v>1.21</v>
      </c>
      <c r="X19" s="129">
        <v>1.22</v>
      </c>
      <c r="Y19" s="129">
        <v>1.23</v>
      </c>
      <c r="Z19" s="129">
        <v>1.24</v>
      </c>
      <c r="AA19" s="129">
        <v>1.25</v>
      </c>
      <c r="AB19" s="129">
        <v>1.26</v>
      </c>
      <c r="AC19" s="129">
        <v>1.27</v>
      </c>
      <c r="AD19" s="129">
        <v>1.28</v>
      </c>
      <c r="AE19" s="129">
        <v>1.29</v>
      </c>
      <c r="AF19" s="129">
        <v>1.3</v>
      </c>
      <c r="AG19" s="129">
        <v>1.31</v>
      </c>
      <c r="AH19" s="129">
        <v>1.32</v>
      </c>
      <c r="AI19" s="129">
        <v>1.33</v>
      </c>
      <c r="AJ19" s="129">
        <v>1.34</v>
      </c>
      <c r="AK19" s="129">
        <v>1.35</v>
      </c>
      <c r="AL19" s="129">
        <v>1.36</v>
      </c>
      <c r="AM19" s="129">
        <v>1.37</v>
      </c>
      <c r="AN19" s="129">
        <v>1.38</v>
      </c>
      <c r="AO19" s="129">
        <v>1.39</v>
      </c>
      <c r="AP19" s="129">
        <v>1.4</v>
      </c>
      <c r="AQ19" s="129">
        <v>1.41</v>
      </c>
      <c r="AR19" s="129">
        <v>1.42</v>
      </c>
      <c r="AS19" s="129">
        <v>1.43</v>
      </c>
      <c r="AT19" s="129">
        <v>1.44</v>
      </c>
      <c r="AU19" s="129">
        <v>1.45</v>
      </c>
      <c r="AV19" s="129">
        <v>1.46</v>
      </c>
      <c r="AW19" s="129">
        <v>1.47</v>
      </c>
      <c r="AX19" s="129">
        <v>1.48</v>
      </c>
      <c r="AY19" s="129">
        <v>1.49</v>
      </c>
      <c r="AZ19" s="129">
        <v>1.5</v>
      </c>
      <c r="BA19" s="129">
        <v>1.51</v>
      </c>
      <c r="BB19" s="129">
        <v>1.52</v>
      </c>
      <c r="BC19" s="129">
        <v>1.53</v>
      </c>
      <c r="BD19" s="129">
        <v>1.54</v>
      </c>
      <c r="BE19" s="129">
        <v>1.55</v>
      </c>
      <c r="BF19" s="129">
        <v>1.56</v>
      </c>
      <c r="BG19" s="129">
        <v>1.57</v>
      </c>
      <c r="BH19" s="129">
        <v>1.58</v>
      </c>
      <c r="BI19" s="129">
        <v>1.59</v>
      </c>
      <c r="BJ19" s="129">
        <v>1.6</v>
      </c>
      <c r="BK19" s="129">
        <v>1.61</v>
      </c>
      <c r="BL19" s="129">
        <v>1.62</v>
      </c>
      <c r="BM19" s="129">
        <v>1.63</v>
      </c>
      <c r="BN19" s="129">
        <v>1.64</v>
      </c>
      <c r="BO19" s="129">
        <v>1.65</v>
      </c>
      <c r="BP19" s="129">
        <v>1.66</v>
      </c>
      <c r="BQ19" s="129">
        <v>1.67</v>
      </c>
      <c r="BR19" s="129">
        <v>1.68</v>
      </c>
      <c r="BS19" s="129">
        <v>1.69</v>
      </c>
      <c r="BT19" s="129">
        <v>1.7</v>
      </c>
      <c r="BU19" s="129">
        <v>1.71</v>
      </c>
      <c r="BV19" s="129">
        <v>1.72</v>
      </c>
      <c r="BW19" s="129">
        <v>1.73</v>
      </c>
      <c r="BX19" s="129">
        <v>1.74</v>
      </c>
      <c r="BY19" s="129">
        <v>1.75</v>
      </c>
      <c r="BZ19" s="129">
        <v>1.76</v>
      </c>
      <c r="CA19" s="129">
        <v>1.77</v>
      </c>
      <c r="CB19" s="129">
        <v>1.78</v>
      </c>
      <c r="CC19" s="129">
        <v>1.79</v>
      </c>
      <c r="CD19" s="129">
        <v>1.8</v>
      </c>
      <c r="CE19" s="129">
        <v>1.81</v>
      </c>
      <c r="CF19" s="129">
        <v>1.82</v>
      </c>
      <c r="CG19" s="129">
        <v>1.83</v>
      </c>
      <c r="CH19" s="129">
        <v>1.84</v>
      </c>
      <c r="CI19" s="129">
        <v>1.85</v>
      </c>
      <c r="CJ19" s="129">
        <v>1.86</v>
      </c>
      <c r="CK19" s="129">
        <v>1.87</v>
      </c>
      <c r="CL19" s="129">
        <v>1.88</v>
      </c>
      <c r="CM19" s="129">
        <v>1.88</v>
      </c>
      <c r="CN19" s="129">
        <v>1.89</v>
      </c>
      <c r="CO19" s="129">
        <v>1.9</v>
      </c>
      <c r="CP19" s="129">
        <v>1.91</v>
      </c>
      <c r="CQ19" s="129">
        <v>1.92</v>
      </c>
      <c r="CR19" s="129">
        <v>1.93</v>
      </c>
      <c r="CS19" s="129">
        <v>1.94</v>
      </c>
      <c r="CT19" s="129">
        <v>1.95</v>
      </c>
      <c r="CU19" s="129">
        <v>1.97</v>
      </c>
      <c r="CV19" s="129">
        <v>1.98</v>
      </c>
      <c r="CW19" s="129">
        <v>1.99</v>
      </c>
      <c r="CX19" s="129">
        <v>2</v>
      </c>
      <c r="CZ19" s="126">
        <f>SUMIF(MatrixF4[[1]:[2]],MatrixF4[[#This Row],[Столбец1]])/MatrixF4[[#This Row],[Столбец1]]</f>
        <v>32.999999999999986</v>
      </c>
    </row>
    <row r="20" spans="1:104" ht="21" customHeight="1" x14ac:dyDescent="0.25">
      <c r="A20" s="127">
        <v>1.17</v>
      </c>
      <c r="B20" s="129">
        <v>1.17</v>
      </c>
      <c r="C20" s="129">
        <v>1.17</v>
      </c>
      <c r="D20" s="129">
        <v>1.17</v>
      </c>
      <c r="E20" s="129">
        <v>1.17</v>
      </c>
      <c r="F20" s="129">
        <v>1.17</v>
      </c>
      <c r="G20" s="129">
        <v>1.17</v>
      </c>
      <c r="H20" s="129">
        <v>1.17</v>
      </c>
      <c r="I20" s="129">
        <v>1.17</v>
      </c>
      <c r="J20" s="129">
        <v>1.17</v>
      </c>
      <c r="K20" s="129">
        <v>1.17</v>
      </c>
      <c r="L20" s="129">
        <v>1.17</v>
      </c>
      <c r="M20" s="129">
        <v>1.17</v>
      </c>
      <c r="N20" s="129">
        <v>1.17</v>
      </c>
      <c r="O20" s="129">
        <v>1.17</v>
      </c>
      <c r="P20" s="129">
        <v>1.17</v>
      </c>
      <c r="Q20" s="129">
        <v>1.17</v>
      </c>
      <c r="R20" s="129">
        <v>1.17</v>
      </c>
      <c r="S20" s="129">
        <v>1.17</v>
      </c>
      <c r="T20" s="129">
        <v>1.18</v>
      </c>
      <c r="U20" s="129">
        <v>1.19</v>
      </c>
      <c r="V20" s="129">
        <v>1.2</v>
      </c>
      <c r="W20" s="129">
        <v>1.21</v>
      </c>
      <c r="X20" s="129">
        <v>1.22</v>
      </c>
      <c r="Y20" s="129">
        <v>1.23</v>
      </c>
      <c r="Z20" s="129">
        <v>1.24</v>
      </c>
      <c r="AA20" s="129">
        <v>1.25</v>
      </c>
      <c r="AB20" s="129">
        <v>1.26</v>
      </c>
      <c r="AC20" s="129">
        <v>1.27</v>
      </c>
      <c r="AD20" s="129">
        <v>1.28</v>
      </c>
      <c r="AE20" s="129">
        <v>1.29</v>
      </c>
      <c r="AF20" s="129">
        <v>1.3</v>
      </c>
      <c r="AG20" s="129">
        <v>1.31</v>
      </c>
      <c r="AH20" s="129">
        <v>1.32</v>
      </c>
      <c r="AI20" s="129">
        <v>1.33</v>
      </c>
      <c r="AJ20" s="129">
        <v>1.34</v>
      </c>
      <c r="AK20" s="129">
        <v>1.35</v>
      </c>
      <c r="AL20" s="129">
        <v>1.36</v>
      </c>
      <c r="AM20" s="129">
        <v>1.37</v>
      </c>
      <c r="AN20" s="129">
        <v>1.38</v>
      </c>
      <c r="AO20" s="129">
        <v>1.39</v>
      </c>
      <c r="AP20" s="129">
        <v>1.4</v>
      </c>
      <c r="AQ20" s="129">
        <v>1.41</v>
      </c>
      <c r="AR20" s="129">
        <v>1.42</v>
      </c>
      <c r="AS20" s="129">
        <v>1.43</v>
      </c>
      <c r="AT20" s="129">
        <v>1.44</v>
      </c>
      <c r="AU20" s="129">
        <v>1.45</v>
      </c>
      <c r="AV20" s="129">
        <v>1.46</v>
      </c>
      <c r="AW20" s="129">
        <v>1.47</v>
      </c>
      <c r="AX20" s="129">
        <v>1.48</v>
      </c>
      <c r="AY20" s="129">
        <v>1.49</v>
      </c>
      <c r="AZ20" s="129">
        <v>1.5</v>
      </c>
      <c r="BA20" s="129">
        <v>1.51</v>
      </c>
      <c r="BB20" s="129">
        <v>1.52</v>
      </c>
      <c r="BC20" s="129">
        <v>1.53</v>
      </c>
      <c r="BD20" s="129">
        <v>1.54</v>
      </c>
      <c r="BE20" s="129">
        <v>1.55</v>
      </c>
      <c r="BF20" s="129">
        <v>1.56</v>
      </c>
      <c r="BG20" s="129">
        <v>1.57</v>
      </c>
      <c r="BH20" s="129">
        <v>1.58</v>
      </c>
      <c r="BI20" s="129">
        <v>1.59</v>
      </c>
      <c r="BJ20" s="129">
        <v>1.6</v>
      </c>
      <c r="BK20" s="129">
        <v>1.61</v>
      </c>
      <c r="BL20" s="129">
        <v>1.62</v>
      </c>
      <c r="BM20" s="129">
        <v>1.63</v>
      </c>
      <c r="BN20" s="129">
        <v>1.64</v>
      </c>
      <c r="BO20" s="129">
        <v>1.65</v>
      </c>
      <c r="BP20" s="129">
        <v>1.66</v>
      </c>
      <c r="BQ20" s="129">
        <v>1.67</v>
      </c>
      <c r="BR20" s="129">
        <v>1.68</v>
      </c>
      <c r="BS20" s="129">
        <v>1.69</v>
      </c>
      <c r="BT20" s="129">
        <v>1.7</v>
      </c>
      <c r="BU20" s="129">
        <v>1.71</v>
      </c>
      <c r="BV20" s="129">
        <v>1.72</v>
      </c>
      <c r="BW20" s="129">
        <v>1.73</v>
      </c>
      <c r="BX20" s="129">
        <v>1.74</v>
      </c>
      <c r="BY20" s="129">
        <v>1.75</v>
      </c>
      <c r="BZ20" s="129">
        <v>1.76</v>
      </c>
      <c r="CA20" s="129">
        <v>1.77</v>
      </c>
      <c r="CB20" s="129">
        <v>1.78</v>
      </c>
      <c r="CC20" s="129">
        <v>1.79</v>
      </c>
      <c r="CD20" s="129">
        <v>1.8</v>
      </c>
      <c r="CE20" s="129">
        <v>1.81</v>
      </c>
      <c r="CF20" s="129">
        <v>1.82</v>
      </c>
      <c r="CG20" s="129">
        <v>1.83</v>
      </c>
      <c r="CH20" s="129">
        <v>1.84</v>
      </c>
      <c r="CI20" s="129">
        <v>1.85</v>
      </c>
      <c r="CJ20" s="129">
        <v>1.86</v>
      </c>
      <c r="CK20" s="129">
        <v>1.86</v>
      </c>
      <c r="CL20" s="129">
        <v>1.87</v>
      </c>
      <c r="CM20" s="129">
        <v>1.88</v>
      </c>
      <c r="CN20" s="129">
        <v>1.89</v>
      </c>
      <c r="CO20" s="129">
        <v>1.9</v>
      </c>
      <c r="CP20" s="129">
        <v>1.91</v>
      </c>
      <c r="CQ20" s="129">
        <v>1.92</v>
      </c>
      <c r="CR20" s="129">
        <v>1.93</v>
      </c>
      <c r="CS20" s="129">
        <v>1.94</v>
      </c>
      <c r="CT20" s="129">
        <v>1.95</v>
      </c>
      <c r="CU20" s="129">
        <v>1.97</v>
      </c>
      <c r="CV20" s="129">
        <v>1.98</v>
      </c>
      <c r="CW20" s="129">
        <v>1.99</v>
      </c>
      <c r="CX20" s="129">
        <v>2</v>
      </c>
      <c r="CZ20" s="126">
        <f>SUMIF(MatrixF4[[1]:[2]],MatrixF4[[#This Row],[Столбец1]])/MatrixF4[[#This Row],[Столбец1]]</f>
        <v>35.000000000000028</v>
      </c>
    </row>
    <row r="21" spans="1:104" ht="21" customHeight="1" x14ac:dyDescent="0.25">
      <c r="A21" s="127">
        <v>1.18</v>
      </c>
      <c r="B21" s="129">
        <v>1.18</v>
      </c>
      <c r="C21" s="129">
        <v>1.18</v>
      </c>
      <c r="D21" s="129">
        <v>1.18</v>
      </c>
      <c r="E21" s="129">
        <v>1.18</v>
      </c>
      <c r="F21" s="129">
        <v>1.18</v>
      </c>
      <c r="G21" s="129">
        <v>1.18</v>
      </c>
      <c r="H21" s="129">
        <v>1.18</v>
      </c>
      <c r="I21" s="129">
        <v>1.18</v>
      </c>
      <c r="J21" s="129">
        <v>1.18</v>
      </c>
      <c r="K21" s="129">
        <v>1.18</v>
      </c>
      <c r="L21" s="129">
        <v>1.18</v>
      </c>
      <c r="M21" s="129">
        <v>1.18</v>
      </c>
      <c r="N21" s="129">
        <v>1.18</v>
      </c>
      <c r="O21" s="129">
        <v>1.18</v>
      </c>
      <c r="P21" s="129">
        <v>1.18</v>
      </c>
      <c r="Q21" s="129">
        <v>1.18</v>
      </c>
      <c r="R21" s="129">
        <v>1.18</v>
      </c>
      <c r="S21" s="129">
        <v>1.18</v>
      </c>
      <c r="T21" s="129">
        <v>1.18</v>
      </c>
      <c r="U21" s="129">
        <v>1.19</v>
      </c>
      <c r="V21" s="129">
        <v>1.2</v>
      </c>
      <c r="W21" s="129">
        <v>1.21</v>
      </c>
      <c r="X21" s="129">
        <v>1.22</v>
      </c>
      <c r="Y21" s="129">
        <v>1.23</v>
      </c>
      <c r="Z21" s="129">
        <v>1.24</v>
      </c>
      <c r="AA21" s="129">
        <v>1.25</v>
      </c>
      <c r="AB21" s="129">
        <v>1.26</v>
      </c>
      <c r="AC21" s="129">
        <v>1.27</v>
      </c>
      <c r="AD21" s="129">
        <v>1.28</v>
      </c>
      <c r="AE21" s="129">
        <v>1.29</v>
      </c>
      <c r="AF21" s="129">
        <v>1.3</v>
      </c>
      <c r="AG21" s="129">
        <v>1.31</v>
      </c>
      <c r="AH21" s="129">
        <v>1.32</v>
      </c>
      <c r="AI21" s="129">
        <v>1.33</v>
      </c>
      <c r="AJ21" s="129">
        <v>1.34</v>
      </c>
      <c r="AK21" s="129">
        <v>1.35</v>
      </c>
      <c r="AL21" s="129">
        <v>1.36</v>
      </c>
      <c r="AM21" s="129">
        <v>1.37</v>
      </c>
      <c r="AN21" s="129">
        <v>1.38</v>
      </c>
      <c r="AO21" s="129">
        <v>1.39</v>
      </c>
      <c r="AP21" s="129">
        <v>1.4</v>
      </c>
      <c r="AQ21" s="129">
        <v>1.41</v>
      </c>
      <c r="AR21" s="129">
        <v>1.42</v>
      </c>
      <c r="AS21" s="129">
        <v>1.43</v>
      </c>
      <c r="AT21" s="129">
        <v>1.44</v>
      </c>
      <c r="AU21" s="129">
        <v>1.45</v>
      </c>
      <c r="AV21" s="129">
        <v>1.46</v>
      </c>
      <c r="AW21" s="129">
        <v>1.47</v>
      </c>
      <c r="AX21" s="129">
        <v>1.48</v>
      </c>
      <c r="AY21" s="129">
        <v>1.49</v>
      </c>
      <c r="AZ21" s="129">
        <v>1.5</v>
      </c>
      <c r="BA21" s="129">
        <v>1.51</v>
      </c>
      <c r="BB21" s="129">
        <v>1.52</v>
      </c>
      <c r="BC21" s="129">
        <v>1.53</v>
      </c>
      <c r="BD21" s="129">
        <v>1.54</v>
      </c>
      <c r="BE21" s="129">
        <v>1.55</v>
      </c>
      <c r="BF21" s="129">
        <v>1.56</v>
      </c>
      <c r="BG21" s="129">
        <v>1.57</v>
      </c>
      <c r="BH21" s="129">
        <v>1.58</v>
      </c>
      <c r="BI21" s="129">
        <v>1.59</v>
      </c>
      <c r="BJ21" s="129">
        <v>1.6</v>
      </c>
      <c r="BK21" s="129">
        <v>1.61</v>
      </c>
      <c r="BL21" s="129">
        <v>1.62</v>
      </c>
      <c r="BM21" s="129">
        <v>1.63</v>
      </c>
      <c r="BN21" s="129">
        <v>1.64</v>
      </c>
      <c r="BO21" s="129">
        <v>1.65</v>
      </c>
      <c r="BP21" s="129">
        <v>1.66</v>
      </c>
      <c r="BQ21" s="129">
        <v>1.67</v>
      </c>
      <c r="BR21" s="129">
        <v>1.68</v>
      </c>
      <c r="BS21" s="129">
        <v>1.69</v>
      </c>
      <c r="BT21" s="129">
        <v>1.7</v>
      </c>
      <c r="BU21" s="129">
        <v>1.71</v>
      </c>
      <c r="BV21" s="129">
        <v>1.72</v>
      </c>
      <c r="BW21" s="129">
        <v>1.73</v>
      </c>
      <c r="BX21" s="129">
        <v>1.74</v>
      </c>
      <c r="BY21" s="129">
        <v>1.75</v>
      </c>
      <c r="BZ21" s="129">
        <v>1.76</v>
      </c>
      <c r="CA21" s="129">
        <v>1.77</v>
      </c>
      <c r="CB21" s="129">
        <v>1.78</v>
      </c>
      <c r="CC21" s="129">
        <v>1.79</v>
      </c>
      <c r="CD21" s="129">
        <v>1.8</v>
      </c>
      <c r="CE21" s="129">
        <v>1.81</v>
      </c>
      <c r="CF21" s="129">
        <v>1.82</v>
      </c>
      <c r="CG21" s="129">
        <v>1.83</v>
      </c>
      <c r="CH21" s="129">
        <v>1.84</v>
      </c>
      <c r="CI21" s="129">
        <v>1.85</v>
      </c>
      <c r="CJ21" s="129">
        <v>1.85</v>
      </c>
      <c r="CK21" s="129">
        <v>1.86</v>
      </c>
      <c r="CL21" s="129">
        <v>1.87</v>
      </c>
      <c r="CM21" s="129">
        <v>1.88</v>
      </c>
      <c r="CN21" s="129">
        <v>1.89</v>
      </c>
      <c r="CO21" s="129">
        <v>1.9</v>
      </c>
      <c r="CP21" s="129">
        <v>1.91</v>
      </c>
      <c r="CQ21" s="129">
        <v>1.92</v>
      </c>
      <c r="CR21" s="129">
        <v>1.93</v>
      </c>
      <c r="CS21" s="129">
        <v>1.94</v>
      </c>
      <c r="CT21" s="129">
        <v>1.95</v>
      </c>
      <c r="CU21" s="129">
        <v>1.96</v>
      </c>
      <c r="CV21" s="129">
        <v>1.98</v>
      </c>
      <c r="CW21" s="129">
        <v>1.99</v>
      </c>
      <c r="CX21" s="129">
        <v>2</v>
      </c>
      <c r="CZ21" s="126">
        <f>SUMIF(MatrixF4[[1]:[2]],MatrixF4[[#This Row],[Столбец1]])/MatrixF4[[#This Row],[Столбец1]]</f>
        <v>37</v>
      </c>
    </row>
    <row r="22" spans="1:104" ht="21" customHeight="1" x14ac:dyDescent="0.25">
      <c r="A22" s="127">
        <v>1.19</v>
      </c>
      <c r="B22" s="129">
        <v>1.19</v>
      </c>
      <c r="C22" s="129">
        <v>1.19</v>
      </c>
      <c r="D22" s="129">
        <v>1.19</v>
      </c>
      <c r="E22" s="129">
        <v>1.19</v>
      </c>
      <c r="F22" s="129">
        <v>1.19</v>
      </c>
      <c r="G22" s="129">
        <v>1.19</v>
      </c>
      <c r="H22" s="129">
        <v>1.19</v>
      </c>
      <c r="I22" s="129">
        <v>1.19</v>
      </c>
      <c r="J22" s="129">
        <v>1.19</v>
      </c>
      <c r="K22" s="129">
        <v>1.19</v>
      </c>
      <c r="L22" s="129">
        <v>1.19</v>
      </c>
      <c r="M22" s="129">
        <v>1.19</v>
      </c>
      <c r="N22" s="129">
        <v>1.19</v>
      </c>
      <c r="O22" s="129">
        <v>1.19</v>
      </c>
      <c r="P22" s="129">
        <v>1.19</v>
      </c>
      <c r="Q22" s="129">
        <v>1.19</v>
      </c>
      <c r="R22" s="129">
        <v>1.19</v>
      </c>
      <c r="S22" s="129">
        <v>1.19</v>
      </c>
      <c r="T22" s="129">
        <v>1.19</v>
      </c>
      <c r="U22" s="129">
        <v>1.19</v>
      </c>
      <c r="V22" s="129">
        <v>1.2</v>
      </c>
      <c r="W22" s="129">
        <v>1.21</v>
      </c>
      <c r="X22" s="129">
        <v>1.22</v>
      </c>
      <c r="Y22" s="129">
        <v>1.23</v>
      </c>
      <c r="Z22" s="129">
        <v>1.24</v>
      </c>
      <c r="AA22" s="129">
        <v>1.25</v>
      </c>
      <c r="AB22" s="129">
        <v>1.26</v>
      </c>
      <c r="AC22" s="129">
        <v>1.27</v>
      </c>
      <c r="AD22" s="129">
        <v>1.28</v>
      </c>
      <c r="AE22" s="129">
        <v>1.29</v>
      </c>
      <c r="AF22" s="129">
        <v>1.3</v>
      </c>
      <c r="AG22" s="129">
        <v>1.31</v>
      </c>
      <c r="AH22" s="129">
        <v>1.32</v>
      </c>
      <c r="AI22" s="129">
        <v>1.33</v>
      </c>
      <c r="AJ22" s="129">
        <v>1.34</v>
      </c>
      <c r="AK22" s="129">
        <v>1.35</v>
      </c>
      <c r="AL22" s="129">
        <v>1.36</v>
      </c>
      <c r="AM22" s="129">
        <v>1.37</v>
      </c>
      <c r="AN22" s="129">
        <v>1.38</v>
      </c>
      <c r="AO22" s="129">
        <v>1.39</v>
      </c>
      <c r="AP22" s="129">
        <v>1.4</v>
      </c>
      <c r="AQ22" s="129">
        <v>1.41</v>
      </c>
      <c r="AR22" s="129">
        <v>1.42</v>
      </c>
      <c r="AS22" s="129">
        <v>1.43</v>
      </c>
      <c r="AT22" s="129">
        <v>1.44</v>
      </c>
      <c r="AU22" s="129">
        <v>1.45</v>
      </c>
      <c r="AV22" s="129">
        <v>1.46</v>
      </c>
      <c r="AW22" s="129">
        <v>1.47</v>
      </c>
      <c r="AX22" s="129">
        <v>1.48</v>
      </c>
      <c r="AY22" s="129">
        <v>1.49</v>
      </c>
      <c r="AZ22" s="129">
        <v>1.5</v>
      </c>
      <c r="BA22" s="129">
        <v>1.51</v>
      </c>
      <c r="BB22" s="129">
        <v>1.52</v>
      </c>
      <c r="BC22" s="129">
        <v>1.53</v>
      </c>
      <c r="BD22" s="129">
        <v>1.54</v>
      </c>
      <c r="BE22" s="129">
        <v>1.55</v>
      </c>
      <c r="BF22" s="129">
        <v>1.56</v>
      </c>
      <c r="BG22" s="129">
        <v>1.57</v>
      </c>
      <c r="BH22" s="129">
        <v>1.58</v>
      </c>
      <c r="BI22" s="129">
        <v>1.59</v>
      </c>
      <c r="BJ22" s="129">
        <v>1.6</v>
      </c>
      <c r="BK22" s="129">
        <v>1.61</v>
      </c>
      <c r="BL22" s="129">
        <v>1.62</v>
      </c>
      <c r="BM22" s="129">
        <v>1.63</v>
      </c>
      <c r="BN22" s="129">
        <v>1.64</v>
      </c>
      <c r="BO22" s="129">
        <v>1.65</v>
      </c>
      <c r="BP22" s="129">
        <v>1.66</v>
      </c>
      <c r="BQ22" s="129">
        <v>1.67</v>
      </c>
      <c r="BR22" s="129">
        <v>1.68</v>
      </c>
      <c r="BS22" s="129">
        <v>1.69</v>
      </c>
      <c r="BT22" s="129">
        <v>1.7</v>
      </c>
      <c r="BU22" s="129">
        <v>1.71</v>
      </c>
      <c r="BV22" s="129">
        <v>1.72</v>
      </c>
      <c r="BW22" s="129">
        <v>1.73</v>
      </c>
      <c r="BX22" s="129">
        <v>1.74</v>
      </c>
      <c r="BY22" s="129">
        <v>1.75</v>
      </c>
      <c r="BZ22" s="129">
        <v>1.76</v>
      </c>
      <c r="CA22" s="129">
        <v>1.77</v>
      </c>
      <c r="CB22" s="129">
        <v>1.78</v>
      </c>
      <c r="CC22" s="129">
        <v>1.79</v>
      </c>
      <c r="CD22" s="129">
        <v>1.8</v>
      </c>
      <c r="CE22" s="129">
        <v>1.81</v>
      </c>
      <c r="CF22" s="129">
        <v>1.82</v>
      </c>
      <c r="CG22" s="129">
        <v>1.83</v>
      </c>
      <c r="CH22" s="129">
        <v>1.84</v>
      </c>
      <c r="CI22" s="129">
        <v>1.84</v>
      </c>
      <c r="CJ22" s="129">
        <v>1.85</v>
      </c>
      <c r="CK22" s="129">
        <v>1.86</v>
      </c>
      <c r="CL22" s="129">
        <v>1.87</v>
      </c>
      <c r="CM22" s="129">
        <v>1.88</v>
      </c>
      <c r="CN22" s="129">
        <v>1.89</v>
      </c>
      <c r="CO22" s="129">
        <v>1.9</v>
      </c>
      <c r="CP22" s="129">
        <v>1.91</v>
      </c>
      <c r="CQ22" s="129">
        <v>1.92</v>
      </c>
      <c r="CR22" s="129">
        <v>1.93</v>
      </c>
      <c r="CS22" s="129">
        <v>1.94</v>
      </c>
      <c r="CT22" s="129">
        <v>1.95</v>
      </c>
      <c r="CU22" s="129">
        <v>1.96</v>
      </c>
      <c r="CV22" s="129">
        <v>1.98</v>
      </c>
      <c r="CW22" s="129">
        <v>1.99</v>
      </c>
      <c r="CX22" s="129">
        <v>2</v>
      </c>
      <c r="CZ22" s="126">
        <f>SUMIF(MatrixF4[[1]:[2]],MatrixF4[[#This Row],[Столбец1]])/MatrixF4[[#This Row],[Столбец1]]</f>
        <v>38.999999999999986</v>
      </c>
    </row>
    <row r="23" spans="1:104" ht="21" customHeight="1" x14ac:dyDescent="0.25">
      <c r="A23" s="127">
        <v>1.2</v>
      </c>
      <c r="B23" s="129">
        <v>1.2</v>
      </c>
      <c r="C23" s="129">
        <v>1.2</v>
      </c>
      <c r="D23" s="129">
        <v>1.2</v>
      </c>
      <c r="E23" s="129">
        <v>1.2</v>
      </c>
      <c r="F23" s="129">
        <v>1.2</v>
      </c>
      <c r="G23" s="129">
        <v>1.2</v>
      </c>
      <c r="H23" s="129">
        <v>1.2</v>
      </c>
      <c r="I23" s="129">
        <v>1.2</v>
      </c>
      <c r="J23" s="129">
        <v>1.2</v>
      </c>
      <c r="K23" s="129">
        <v>1.2</v>
      </c>
      <c r="L23" s="129">
        <v>1.2</v>
      </c>
      <c r="M23" s="129">
        <v>1.2</v>
      </c>
      <c r="N23" s="129">
        <v>1.2</v>
      </c>
      <c r="O23" s="129">
        <v>1.2</v>
      </c>
      <c r="P23" s="129">
        <v>1.2</v>
      </c>
      <c r="Q23" s="129">
        <v>1.2</v>
      </c>
      <c r="R23" s="129">
        <v>1.2</v>
      </c>
      <c r="S23" s="129">
        <v>1.2</v>
      </c>
      <c r="T23" s="129">
        <v>1.2</v>
      </c>
      <c r="U23" s="129">
        <v>1.2</v>
      </c>
      <c r="V23" s="129">
        <v>1.2</v>
      </c>
      <c r="W23" s="129">
        <v>1.21</v>
      </c>
      <c r="X23" s="129">
        <v>1.22</v>
      </c>
      <c r="Y23" s="129">
        <v>1.23</v>
      </c>
      <c r="Z23" s="129">
        <v>1.24</v>
      </c>
      <c r="AA23" s="129">
        <v>1.25</v>
      </c>
      <c r="AB23" s="129">
        <v>1.26</v>
      </c>
      <c r="AC23" s="129">
        <v>1.27</v>
      </c>
      <c r="AD23" s="129">
        <v>1.28</v>
      </c>
      <c r="AE23" s="129">
        <v>1.29</v>
      </c>
      <c r="AF23" s="129">
        <v>1.3</v>
      </c>
      <c r="AG23" s="129">
        <v>1.31</v>
      </c>
      <c r="AH23" s="129">
        <v>1.32</v>
      </c>
      <c r="AI23" s="129">
        <v>1.33</v>
      </c>
      <c r="AJ23" s="129">
        <v>1.34</v>
      </c>
      <c r="AK23" s="129">
        <v>1.35</v>
      </c>
      <c r="AL23" s="129">
        <v>1.36</v>
      </c>
      <c r="AM23" s="129">
        <v>1.37</v>
      </c>
      <c r="AN23" s="129">
        <v>1.38</v>
      </c>
      <c r="AO23" s="129">
        <v>1.39</v>
      </c>
      <c r="AP23" s="129">
        <v>1.4</v>
      </c>
      <c r="AQ23" s="129">
        <v>1.41</v>
      </c>
      <c r="AR23" s="129">
        <v>1.42</v>
      </c>
      <c r="AS23" s="129">
        <v>1.43</v>
      </c>
      <c r="AT23" s="129">
        <v>1.44</v>
      </c>
      <c r="AU23" s="129">
        <v>1.45</v>
      </c>
      <c r="AV23" s="129">
        <v>1.46</v>
      </c>
      <c r="AW23" s="129">
        <v>1.47</v>
      </c>
      <c r="AX23" s="129">
        <v>1.48</v>
      </c>
      <c r="AY23" s="129">
        <v>1.49</v>
      </c>
      <c r="AZ23" s="129">
        <v>1.5</v>
      </c>
      <c r="BA23" s="129">
        <v>1.51</v>
      </c>
      <c r="BB23" s="129">
        <v>1.52</v>
      </c>
      <c r="BC23" s="129">
        <v>1.53</v>
      </c>
      <c r="BD23" s="129">
        <v>1.54</v>
      </c>
      <c r="BE23" s="129">
        <v>1.55</v>
      </c>
      <c r="BF23" s="129">
        <v>1.56</v>
      </c>
      <c r="BG23" s="129">
        <v>1.57</v>
      </c>
      <c r="BH23" s="129">
        <v>1.58</v>
      </c>
      <c r="BI23" s="129">
        <v>1.59</v>
      </c>
      <c r="BJ23" s="129">
        <v>1.6</v>
      </c>
      <c r="BK23" s="129">
        <v>1.61</v>
      </c>
      <c r="BL23" s="129">
        <v>1.62</v>
      </c>
      <c r="BM23" s="129">
        <v>1.63</v>
      </c>
      <c r="BN23" s="129">
        <v>1.64</v>
      </c>
      <c r="BO23" s="129">
        <v>1.65</v>
      </c>
      <c r="BP23" s="129">
        <v>1.66</v>
      </c>
      <c r="BQ23" s="129">
        <v>1.67</v>
      </c>
      <c r="BR23" s="129">
        <v>1.68</v>
      </c>
      <c r="BS23" s="129">
        <v>1.69</v>
      </c>
      <c r="BT23" s="129">
        <v>1.7</v>
      </c>
      <c r="BU23" s="129">
        <v>1.71</v>
      </c>
      <c r="BV23" s="129">
        <v>1.72</v>
      </c>
      <c r="BW23" s="129">
        <v>1.73</v>
      </c>
      <c r="BX23" s="129">
        <v>1.74</v>
      </c>
      <c r="BY23" s="129">
        <v>1.75</v>
      </c>
      <c r="BZ23" s="129">
        <v>1.76</v>
      </c>
      <c r="CA23" s="129">
        <v>1.77</v>
      </c>
      <c r="CB23" s="129">
        <v>1.78</v>
      </c>
      <c r="CC23" s="129">
        <v>1.79</v>
      </c>
      <c r="CD23" s="129">
        <v>1.8</v>
      </c>
      <c r="CE23" s="129">
        <v>1.81</v>
      </c>
      <c r="CF23" s="129">
        <v>1.82</v>
      </c>
      <c r="CG23" s="129">
        <v>1.82</v>
      </c>
      <c r="CH23" s="129">
        <v>1.83</v>
      </c>
      <c r="CI23" s="129">
        <v>1.84</v>
      </c>
      <c r="CJ23" s="129">
        <v>1.85</v>
      </c>
      <c r="CK23" s="129">
        <v>1.86</v>
      </c>
      <c r="CL23" s="129">
        <v>1.87</v>
      </c>
      <c r="CM23" s="129">
        <v>1.88</v>
      </c>
      <c r="CN23" s="129">
        <v>1.89</v>
      </c>
      <c r="CO23" s="129">
        <v>1.9</v>
      </c>
      <c r="CP23" s="129">
        <v>1.91</v>
      </c>
      <c r="CQ23" s="129">
        <v>1.92</v>
      </c>
      <c r="CR23" s="129">
        <v>1.93</v>
      </c>
      <c r="CS23" s="129">
        <v>1.94</v>
      </c>
      <c r="CT23" s="129">
        <v>1.95</v>
      </c>
      <c r="CU23" s="129">
        <v>1.96</v>
      </c>
      <c r="CV23" s="129">
        <v>1.98</v>
      </c>
      <c r="CW23" s="129">
        <v>1.99</v>
      </c>
      <c r="CX23" s="129">
        <v>2</v>
      </c>
      <c r="CZ23" s="126">
        <f>SUMIF(MatrixF4[[1]:[2]],MatrixF4[[#This Row],[Столбец1]])/MatrixF4[[#This Row],[Столбец1]]</f>
        <v>41.000000000000028</v>
      </c>
    </row>
    <row r="24" spans="1:104" ht="21" customHeight="1" x14ac:dyDescent="0.25">
      <c r="A24" s="127">
        <v>1.21</v>
      </c>
      <c r="B24" s="129">
        <v>1.21</v>
      </c>
      <c r="C24" s="129">
        <v>1.21</v>
      </c>
      <c r="D24" s="129">
        <v>1.21</v>
      </c>
      <c r="E24" s="129">
        <v>1.21</v>
      </c>
      <c r="F24" s="129">
        <v>1.21</v>
      </c>
      <c r="G24" s="129">
        <v>1.21</v>
      </c>
      <c r="H24" s="129">
        <v>1.21</v>
      </c>
      <c r="I24" s="129">
        <v>1.21</v>
      </c>
      <c r="J24" s="129">
        <v>1.21</v>
      </c>
      <c r="K24" s="129">
        <v>1.21</v>
      </c>
      <c r="L24" s="129">
        <v>1.21</v>
      </c>
      <c r="M24" s="129">
        <v>1.21</v>
      </c>
      <c r="N24" s="129">
        <v>1.21</v>
      </c>
      <c r="O24" s="129">
        <v>1.21</v>
      </c>
      <c r="P24" s="129">
        <v>1.21</v>
      </c>
      <c r="Q24" s="129">
        <v>1.21</v>
      </c>
      <c r="R24" s="129">
        <v>1.21</v>
      </c>
      <c r="S24" s="129">
        <v>1.21</v>
      </c>
      <c r="T24" s="129">
        <v>1.21</v>
      </c>
      <c r="U24" s="129">
        <v>1.21</v>
      </c>
      <c r="V24" s="129">
        <v>1.21</v>
      </c>
      <c r="W24" s="129">
        <v>1.21</v>
      </c>
      <c r="X24" s="129">
        <v>1.22</v>
      </c>
      <c r="Y24" s="129">
        <v>1.23</v>
      </c>
      <c r="Z24" s="129">
        <v>1.24</v>
      </c>
      <c r="AA24" s="129">
        <v>1.25</v>
      </c>
      <c r="AB24" s="129">
        <v>1.26</v>
      </c>
      <c r="AC24" s="129">
        <v>1.27</v>
      </c>
      <c r="AD24" s="129">
        <v>1.28</v>
      </c>
      <c r="AE24" s="129">
        <v>1.29</v>
      </c>
      <c r="AF24" s="129">
        <v>1.3</v>
      </c>
      <c r="AG24" s="129">
        <v>1.31</v>
      </c>
      <c r="AH24" s="129">
        <v>1.32</v>
      </c>
      <c r="AI24" s="129">
        <v>1.33</v>
      </c>
      <c r="AJ24" s="129">
        <v>1.34</v>
      </c>
      <c r="AK24" s="129">
        <v>1.35</v>
      </c>
      <c r="AL24" s="129">
        <v>1.36</v>
      </c>
      <c r="AM24" s="129">
        <v>1.37</v>
      </c>
      <c r="AN24" s="129">
        <v>1.38</v>
      </c>
      <c r="AO24" s="129">
        <v>1.39</v>
      </c>
      <c r="AP24" s="129">
        <v>1.4</v>
      </c>
      <c r="AQ24" s="129">
        <v>1.41</v>
      </c>
      <c r="AR24" s="129">
        <v>1.42</v>
      </c>
      <c r="AS24" s="129">
        <v>1.43</v>
      </c>
      <c r="AT24" s="129">
        <v>1.44</v>
      </c>
      <c r="AU24" s="129">
        <v>1.45</v>
      </c>
      <c r="AV24" s="129">
        <v>1.46</v>
      </c>
      <c r="AW24" s="129">
        <v>1.47</v>
      </c>
      <c r="AX24" s="129">
        <v>1.48</v>
      </c>
      <c r="AY24" s="129">
        <v>1.49</v>
      </c>
      <c r="AZ24" s="129">
        <v>1.5</v>
      </c>
      <c r="BA24" s="129">
        <v>1.51</v>
      </c>
      <c r="BB24" s="129">
        <v>1.52</v>
      </c>
      <c r="BC24" s="129">
        <v>1.53</v>
      </c>
      <c r="BD24" s="129">
        <v>1.54</v>
      </c>
      <c r="BE24" s="129">
        <v>1.55</v>
      </c>
      <c r="BF24" s="129">
        <v>1.56</v>
      </c>
      <c r="BG24" s="129">
        <v>1.57</v>
      </c>
      <c r="BH24" s="129">
        <v>1.58</v>
      </c>
      <c r="BI24" s="129">
        <v>1.59</v>
      </c>
      <c r="BJ24" s="129">
        <v>1.6</v>
      </c>
      <c r="BK24" s="129">
        <v>1.61</v>
      </c>
      <c r="BL24" s="129">
        <v>1.62</v>
      </c>
      <c r="BM24" s="129">
        <v>1.63</v>
      </c>
      <c r="BN24" s="129">
        <v>1.64</v>
      </c>
      <c r="BO24" s="129">
        <v>1.65</v>
      </c>
      <c r="BP24" s="129">
        <v>1.66</v>
      </c>
      <c r="BQ24" s="129">
        <v>1.67</v>
      </c>
      <c r="BR24" s="129">
        <v>1.68</v>
      </c>
      <c r="BS24" s="129">
        <v>1.69</v>
      </c>
      <c r="BT24" s="129">
        <v>1.7</v>
      </c>
      <c r="BU24" s="129">
        <v>1.71</v>
      </c>
      <c r="BV24" s="129">
        <v>1.72</v>
      </c>
      <c r="BW24" s="129">
        <v>1.73</v>
      </c>
      <c r="BX24" s="129">
        <v>1.74</v>
      </c>
      <c r="BY24" s="129">
        <v>1.75</v>
      </c>
      <c r="BZ24" s="129">
        <v>1.76</v>
      </c>
      <c r="CA24" s="129">
        <v>1.77</v>
      </c>
      <c r="CB24" s="129">
        <v>1.78</v>
      </c>
      <c r="CC24" s="129">
        <v>1.79</v>
      </c>
      <c r="CD24" s="129">
        <v>1.8</v>
      </c>
      <c r="CE24" s="129">
        <v>1.81</v>
      </c>
      <c r="CF24" s="129">
        <v>1.81</v>
      </c>
      <c r="CG24" s="129">
        <v>1.82</v>
      </c>
      <c r="CH24" s="129">
        <v>1.83</v>
      </c>
      <c r="CI24" s="129">
        <v>1.84</v>
      </c>
      <c r="CJ24" s="129">
        <v>1.85</v>
      </c>
      <c r="CK24" s="129">
        <v>1.86</v>
      </c>
      <c r="CL24" s="129">
        <v>1.87</v>
      </c>
      <c r="CM24" s="129">
        <v>1.88</v>
      </c>
      <c r="CN24" s="129">
        <v>1.89</v>
      </c>
      <c r="CO24" s="129">
        <v>1.9</v>
      </c>
      <c r="CP24" s="129">
        <v>1.91</v>
      </c>
      <c r="CQ24" s="129">
        <v>1.92</v>
      </c>
      <c r="CR24" s="129">
        <v>1.93</v>
      </c>
      <c r="CS24" s="129">
        <v>1.94</v>
      </c>
      <c r="CT24" s="129">
        <v>1.95</v>
      </c>
      <c r="CU24" s="129">
        <v>1.96</v>
      </c>
      <c r="CV24" s="129">
        <v>1.98</v>
      </c>
      <c r="CW24" s="129">
        <v>1.99</v>
      </c>
      <c r="CX24" s="129">
        <v>2</v>
      </c>
      <c r="CZ24" s="126">
        <f>SUMIF(MatrixF4[[1]:[2]],MatrixF4[[#This Row],[Столбец1]])/MatrixF4[[#This Row],[Столбец1]]</f>
        <v>43.000000000000028</v>
      </c>
    </row>
    <row r="25" spans="1:104" ht="21" customHeight="1" x14ac:dyDescent="0.25">
      <c r="A25" s="127">
        <v>1.22</v>
      </c>
      <c r="B25" s="129">
        <v>1.22</v>
      </c>
      <c r="C25" s="129">
        <v>1.22</v>
      </c>
      <c r="D25" s="129">
        <v>1.22</v>
      </c>
      <c r="E25" s="129">
        <v>1.22</v>
      </c>
      <c r="F25" s="129">
        <v>1.22</v>
      </c>
      <c r="G25" s="129">
        <v>1.22</v>
      </c>
      <c r="H25" s="129">
        <v>1.22</v>
      </c>
      <c r="I25" s="129">
        <v>1.22</v>
      </c>
      <c r="J25" s="129">
        <v>1.22</v>
      </c>
      <c r="K25" s="129">
        <v>1.22</v>
      </c>
      <c r="L25" s="129">
        <v>1.22</v>
      </c>
      <c r="M25" s="129">
        <v>1.22</v>
      </c>
      <c r="N25" s="129">
        <v>1.22</v>
      </c>
      <c r="O25" s="129">
        <v>1.22</v>
      </c>
      <c r="P25" s="129">
        <v>1.22</v>
      </c>
      <c r="Q25" s="129">
        <v>1.22</v>
      </c>
      <c r="R25" s="129">
        <v>1.22</v>
      </c>
      <c r="S25" s="129">
        <v>1.22</v>
      </c>
      <c r="T25" s="129">
        <v>1.22</v>
      </c>
      <c r="U25" s="129">
        <v>1.22</v>
      </c>
      <c r="V25" s="129">
        <v>1.22</v>
      </c>
      <c r="W25" s="129">
        <v>1.22</v>
      </c>
      <c r="X25" s="129">
        <v>1.22</v>
      </c>
      <c r="Y25" s="129">
        <v>1.23</v>
      </c>
      <c r="Z25" s="129">
        <v>1.24</v>
      </c>
      <c r="AA25" s="129">
        <v>1.25</v>
      </c>
      <c r="AB25" s="129">
        <v>1.26</v>
      </c>
      <c r="AC25" s="129">
        <v>1.27</v>
      </c>
      <c r="AD25" s="129">
        <v>1.28</v>
      </c>
      <c r="AE25" s="129">
        <v>1.29</v>
      </c>
      <c r="AF25" s="129">
        <v>1.3</v>
      </c>
      <c r="AG25" s="129">
        <v>1.31</v>
      </c>
      <c r="AH25" s="129">
        <v>1.32</v>
      </c>
      <c r="AI25" s="129">
        <v>1.33</v>
      </c>
      <c r="AJ25" s="129">
        <v>1.34</v>
      </c>
      <c r="AK25" s="129">
        <v>1.35</v>
      </c>
      <c r="AL25" s="129">
        <v>1.36</v>
      </c>
      <c r="AM25" s="129">
        <v>1.37</v>
      </c>
      <c r="AN25" s="129">
        <v>1.38</v>
      </c>
      <c r="AO25" s="129">
        <v>1.39</v>
      </c>
      <c r="AP25" s="129">
        <v>1.4</v>
      </c>
      <c r="AQ25" s="129">
        <v>1.41</v>
      </c>
      <c r="AR25" s="129">
        <v>1.42</v>
      </c>
      <c r="AS25" s="129">
        <v>1.43</v>
      </c>
      <c r="AT25" s="129">
        <v>1.44</v>
      </c>
      <c r="AU25" s="129">
        <v>1.45</v>
      </c>
      <c r="AV25" s="129">
        <v>1.46</v>
      </c>
      <c r="AW25" s="129">
        <v>1.47</v>
      </c>
      <c r="AX25" s="129">
        <v>1.48</v>
      </c>
      <c r="AY25" s="129">
        <v>1.49</v>
      </c>
      <c r="AZ25" s="129">
        <v>1.5</v>
      </c>
      <c r="BA25" s="129">
        <v>1.51</v>
      </c>
      <c r="BB25" s="129">
        <v>1.52</v>
      </c>
      <c r="BC25" s="129">
        <v>1.53</v>
      </c>
      <c r="BD25" s="129">
        <v>1.54</v>
      </c>
      <c r="BE25" s="129">
        <v>1.55</v>
      </c>
      <c r="BF25" s="129">
        <v>1.56</v>
      </c>
      <c r="BG25" s="129">
        <v>1.57</v>
      </c>
      <c r="BH25" s="129">
        <v>1.58</v>
      </c>
      <c r="BI25" s="129">
        <v>1.59</v>
      </c>
      <c r="BJ25" s="129">
        <v>1.6</v>
      </c>
      <c r="BK25" s="129">
        <v>1.61</v>
      </c>
      <c r="BL25" s="129">
        <v>1.62</v>
      </c>
      <c r="BM25" s="129">
        <v>1.63</v>
      </c>
      <c r="BN25" s="129">
        <v>1.64</v>
      </c>
      <c r="BO25" s="129">
        <v>1.65</v>
      </c>
      <c r="BP25" s="129">
        <v>1.66</v>
      </c>
      <c r="BQ25" s="129">
        <v>1.67</v>
      </c>
      <c r="BR25" s="129">
        <v>1.68</v>
      </c>
      <c r="BS25" s="129">
        <v>1.69</v>
      </c>
      <c r="BT25" s="129">
        <v>1.7</v>
      </c>
      <c r="BU25" s="129">
        <v>1.71</v>
      </c>
      <c r="BV25" s="129">
        <v>1.72</v>
      </c>
      <c r="BW25" s="129">
        <v>1.73</v>
      </c>
      <c r="BX25" s="129">
        <v>1.74</v>
      </c>
      <c r="BY25" s="129">
        <v>1.75</v>
      </c>
      <c r="BZ25" s="129">
        <v>1.76</v>
      </c>
      <c r="CA25" s="129">
        <v>1.77</v>
      </c>
      <c r="CB25" s="129">
        <v>1.78</v>
      </c>
      <c r="CC25" s="129">
        <v>1.79</v>
      </c>
      <c r="CD25" s="129">
        <v>1.8</v>
      </c>
      <c r="CE25" s="129">
        <v>1.8</v>
      </c>
      <c r="CF25" s="129">
        <v>1.81</v>
      </c>
      <c r="CG25" s="129">
        <v>1.82</v>
      </c>
      <c r="CH25" s="129">
        <v>1.83</v>
      </c>
      <c r="CI25" s="129">
        <v>1.84</v>
      </c>
      <c r="CJ25" s="129">
        <v>1.85</v>
      </c>
      <c r="CK25" s="129">
        <v>1.86</v>
      </c>
      <c r="CL25" s="129">
        <v>1.87</v>
      </c>
      <c r="CM25" s="129">
        <v>1.88</v>
      </c>
      <c r="CN25" s="129">
        <v>1.89</v>
      </c>
      <c r="CO25" s="129">
        <v>1.9</v>
      </c>
      <c r="CP25" s="129">
        <v>1.91</v>
      </c>
      <c r="CQ25" s="129">
        <v>1.92</v>
      </c>
      <c r="CR25" s="129">
        <v>1.93</v>
      </c>
      <c r="CS25" s="129">
        <v>1.94</v>
      </c>
      <c r="CT25" s="129">
        <v>1.95</v>
      </c>
      <c r="CU25" s="129">
        <v>1.96</v>
      </c>
      <c r="CV25" s="129">
        <v>1.98</v>
      </c>
      <c r="CW25" s="129">
        <v>1.99</v>
      </c>
      <c r="CX25" s="129">
        <v>2</v>
      </c>
      <c r="CZ25" s="126">
        <f>SUMIF(MatrixF4[[1]:[2]],MatrixF4[[#This Row],[Столбец1]])/MatrixF4[[#This Row],[Столбец1]]</f>
        <v>44.999999999999979</v>
      </c>
    </row>
    <row r="26" spans="1:104" ht="21" customHeight="1" x14ac:dyDescent="0.25">
      <c r="A26" s="127">
        <v>1.23</v>
      </c>
      <c r="B26" s="129">
        <v>1.23</v>
      </c>
      <c r="C26" s="129">
        <v>1.23</v>
      </c>
      <c r="D26" s="129">
        <v>1.23</v>
      </c>
      <c r="E26" s="129">
        <v>1.23</v>
      </c>
      <c r="F26" s="129">
        <v>1.23</v>
      </c>
      <c r="G26" s="129">
        <v>1.23</v>
      </c>
      <c r="H26" s="129">
        <v>1.23</v>
      </c>
      <c r="I26" s="129">
        <v>1.23</v>
      </c>
      <c r="J26" s="129">
        <v>1.23</v>
      </c>
      <c r="K26" s="129">
        <v>1.23</v>
      </c>
      <c r="L26" s="129">
        <v>1.23</v>
      </c>
      <c r="M26" s="129">
        <v>1.23</v>
      </c>
      <c r="N26" s="129">
        <v>1.23</v>
      </c>
      <c r="O26" s="129">
        <v>1.23</v>
      </c>
      <c r="P26" s="129">
        <v>1.23</v>
      </c>
      <c r="Q26" s="129">
        <v>1.23</v>
      </c>
      <c r="R26" s="129">
        <v>1.23</v>
      </c>
      <c r="S26" s="129">
        <v>1.23</v>
      </c>
      <c r="T26" s="129">
        <v>1.23</v>
      </c>
      <c r="U26" s="129">
        <v>1.23</v>
      </c>
      <c r="V26" s="129">
        <v>1.23</v>
      </c>
      <c r="W26" s="129">
        <v>1.23</v>
      </c>
      <c r="X26" s="129">
        <v>1.23</v>
      </c>
      <c r="Y26" s="129">
        <v>1.23</v>
      </c>
      <c r="Z26" s="129">
        <v>1.24</v>
      </c>
      <c r="AA26" s="129">
        <v>1.25</v>
      </c>
      <c r="AB26" s="129">
        <v>1.26</v>
      </c>
      <c r="AC26" s="129">
        <v>1.27</v>
      </c>
      <c r="AD26" s="129">
        <v>1.28</v>
      </c>
      <c r="AE26" s="129">
        <v>1.29</v>
      </c>
      <c r="AF26" s="129">
        <v>1.3</v>
      </c>
      <c r="AG26" s="129">
        <v>1.31</v>
      </c>
      <c r="AH26" s="129">
        <v>1.32</v>
      </c>
      <c r="AI26" s="129">
        <v>1.33</v>
      </c>
      <c r="AJ26" s="129">
        <v>1.34</v>
      </c>
      <c r="AK26" s="129">
        <v>1.35</v>
      </c>
      <c r="AL26" s="129">
        <v>1.36</v>
      </c>
      <c r="AM26" s="129">
        <v>1.37</v>
      </c>
      <c r="AN26" s="129">
        <v>1.38</v>
      </c>
      <c r="AO26" s="129">
        <v>1.39</v>
      </c>
      <c r="AP26" s="129">
        <v>1.4</v>
      </c>
      <c r="AQ26" s="129">
        <v>1.41</v>
      </c>
      <c r="AR26" s="129">
        <v>1.42</v>
      </c>
      <c r="AS26" s="129">
        <v>1.43</v>
      </c>
      <c r="AT26" s="129">
        <v>1.44</v>
      </c>
      <c r="AU26" s="129">
        <v>1.45</v>
      </c>
      <c r="AV26" s="129">
        <v>1.46</v>
      </c>
      <c r="AW26" s="129">
        <v>1.47</v>
      </c>
      <c r="AX26" s="129">
        <v>1.48</v>
      </c>
      <c r="AY26" s="129">
        <v>1.49</v>
      </c>
      <c r="AZ26" s="129">
        <v>1.5</v>
      </c>
      <c r="BA26" s="129">
        <v>1.51</v>
      </c>
      <c r="BB26" s="129">
        <v>1.52</v>
      </c>
      <c r="BC26" s="129">
        <v>1.53</v>
      </c>
      <c r="BD26" s="129">
        <v>1.54</v>
      </c>
      <c r="BE26" s="129">
        <v>1.55</v>
      </c>
      <c r="BF26" s="129">
        <v>1.56</v>
      </c>
      <c r="BG26" s="129">
        <v>1.57</v>
      </c>
      <c r="BH26" s="129">
        <v>1.58</v>
      </c>
      <c r="BI26" s="129">
        <v>1.59</v>
      </c>
      <c r="BJ26" s="129">
        <v>1.6</v>
      </c>
      <c r="BK26" s="129">
        <v>1.61</v>
      </c>
      <c r="BL26" s="129">
        <v>1.62</v>
      </c>
      <c r="BM26" s="129">
        <v>1.63</v>
      </c>
      <c r="BN26" s="129">
        <v>1.64</v>
      </c>
      <c r="BO26" s="129">
        <v>1.65</v>
      </c>
      <c r="BP26" s="129">
        <v>1.66</v>
      </c>
      <c r="BQ26" s="129">
        <v>1.67</v>
      </c>
      <c r="BR26" s="129">
        <v>1.68</v>
      </c>
      <c r="BS26" s="129">
        <v>1.69</v>
      </c>
      <c r="BT26" s="129">
        <v>1.7</v>
      </c>
      <c r="BU26" s="129">
        <v>1.71</v>
      </c>
      <c r="BV26" s="129">
        <v>1.72</v>
      </c>
      <c r="BW26" s="129">
        <v>1.73</v>
      </c>
      <c r="BX26" s="129">
        <v>1.74</v>
      </c>
      <c r="BY26" s="129">
        <v>1.75</v>
      </c>
      <c r="BZ26" s="129">
        <v>1.76</v>
      </c>
      <c r="CA26" s="129">
        <v>1.77</v>
      </c>
      <c r="CB26" s="129">
        <v>1.78</v>
      </c>
      <c r="CC26" s="129">
        <v>1.79</v>
      </c>
      <c r="CD26" s="129">
        <v>1.79</v>
      </c>
      <c r="CE26" s="129">
        <v>1.8</v>
      </c>
      <c r="CF26" s="129">
        <v>1.81</v>
      </c>
      <c r="CG26" s="129">
        <v>1.82</v>
      </c>
      <c r="CH26" s="129">
        <v>1.83</v>
      </c>
      <c r="CI26" s="129">
        <v>1.84</v>
      </c>
      <c r="CJ26" s="129">
        <v>1.85</v>
      </c>
      <c r="CK26" s="129">
        <v>1.86</v>
      </c>
      <c r="CL26" s="129">
        <v>1.87</v>
      </c>
      <c r="CM26" s="129">
        <v>1.88</v>
      </c>
      <c r="CN26" s="129">
        <v>1.89</v>
      </c>
      <c r="CO26" s="129">
        <v>1.9</v>
      </c>
      <c r="CP26" s="129">
        <v>1.91</v>
      </c>
      <c r="CQ26" s="129">
        <v>1.92</v>
      </c>
      <c r="CR26" s="129">
        <v>1.93</v>
      </c>
      <c r="CS26" s="129">
        <v>1.94</v>
      </c>
      <c r="CT26" s="129">
        <v>1.95</v>
      </c>
      <c r="CU26" s="129">
        <v>1.96</v>
      </c>
      <c r="CV26" s="129">
        <v>1.97</v>
      </c>
      <c r="CW26" s="129">
        <v>1.99</v>
      </c>
      <c r="CX26" s="129">
        <v>2</v>
      </c>
      <c r="CZ26" s="126">
        <f>SUMIF(MatrixF4[[1]:[2]],MatrixF4[[#This Row],[Столбец1]])/MatrixF4[[#This Row],[Столбец1]]</f>
        <v>46.999999999999957</v>
      </c>
    </row>
    <row r="27" spans="1:104" ht="21" customHeight="1" x14ac:dyDescent="0.25">
      <c r="A27" s="127">
        <v>1.24</v>
      </c>
      <c r="B27" s="129">
        <v>1.24</v>
      </c>
      <c r="C27" s="129">
        <v>1.24</v>
      </c>
      <c r="D27" s="129">
        <v>1.24</v>
      </c>
      <c r="E27" s="129">
        <v>1.24</v>
      </c>
      <c r="F27" s="129">
        <v>1.24</v>
      </c>
      <c r="G27" s="129">
        <v>1.24</v>
      </c>
      <c r="H27" s="129">
        <v>1.24</v>
      </c>
      <c r="I27" s="129">
        <v>1.24</v>
      </c>
      <c r="J27" s="129">
        <v>1.24</v>
      </c>
      <c r="K27" s="129">
        <v>1.24</v>
      </c>
      <c r="L27" s="129">
        <v>1.24</v>
      </c>
      <c r="M27" s="129">
        <v>1.24</v>
      </c>
      <c r="N27" s="129">
        <v>1.24</v>
      </c>
      <c r="O27" s="129">
        <v>1.24</v>
      </c>
      <c r="P27" s="129">
        <v>1.24</v>
      </c>
      <c r="Q27" s="129">
        <v>1.24</v>
      </c>
      <c r="R27" s="129">
        <v>1.24</v>
      </c>
      <c r="S27" s="129">
        <v>1.24</v>
      </c>
      <c r="T27" s="129">
        <v>1.24</v>
      </c>
      <c r="U27" s="129">
        <v>1.24</v>
      </c>
      <c r="V27" s="129">
        <v>1.24</v>
      </c>
      <c r="W27" s="129">
        <v>1.24</v>
      </c>
      <c r="X27" s="129">
        <v>1.24</v>
      </c>
      <c r="Y27" s="129">
        <v>1.24</v>
      </c>
      <c r="Z27" s="129">
        <v>1.24</v>
      </c>
      <c r="AA27" s="129">
        <v>1.25</v>
      </c>
      <c r="AB27" s="129">
        <v>1.26</v>
      </c>
      <c r="AC27" s="129">
        <v>1.27</v>
      </c>
      <c r="AD27" s="129">
        <v>1.28</v>
      </c>
      <c r="AE27" s="129">
        <v>1.29</v>
      </c>
      <c r="AF27" s="129">
        <v>1.3</v>
      </c>
      <c r="AG27" s="129">
        <v>1.31</v>
      </c>
      <c r="AH27" s="129">
        <v>1.32</v>
      </c>
      <c r="AI27" s="129">
        <v>1.33</v>
      </c>
      <c r="AJ27" s="129">
        <v>1.34</v>
      </c>
      <c r="AK27" s="129">
        <v>1.35</v>
      </c>
      <c r="AL27" s="129">
        <v>1.36</v>
      </c>
      <c r="AM27" s="129">
        <v>1.37</v>
      </c>
      <c r="AN27" s="129">
        <v>1.38</v>
      </c>
      <c r="AO27" s="129">
        <v>1.39</v>
      </c>
      <c r="AP27" s="129">
        <v>1.4</v>
      </c>
      <c r="AQ27" s="129">
        <v>1.41</v>
      </c>
      <c r="AR27" s="129">
        <v>1.42</v>
      </c>
      <c r="AS27" s="129">
        <v>1.43</v>
      </c>
      <c r="AT27" s="129">
        <v>1.44</v>
      </c>
      <c r="AU27" s="129">
        <v>1.45</v>
      </c>
      <c r="AV27" s="129">
        <v>1.46</v>
      </c>
      <c r="AW27" s="129">
        <v>1.47</v>
      </c>
      <c r="AX27" s="129">
        <v>1.48</v>
      </c>
      <c r="AY27" s="129">
        <v>1.49</v>
      </c>
      <c r="AZ27" s="129">
        <v>1.5</v>
      </c>
      <c r="BA27" s="129">
        <v>1.51</v>
      </c>
      <c r="BB27" s="129">
        <v>1.52</v>
      </c>
      <c r="BC27" s="129">
        <v>1.53</v>
      </c>
      <c r="BD27" s="129">
        <v>1.54</v>
      </c>
      <c r="BE27" s="129">
        <v>1.55</v>
      </c>
      <c r="BF27" s="129">
        <v>1.56</v>
      </c>
      <c r="BG27" s="129">
        <v>1.57</v>
      </c>
      <c r="BH27" s="129">
        <v>1.58</v>
      </c>
      <c r="BI27" s="129">
        <v>1.59</v>
      </c>
      <c r="BJ27" s="129">
        <v>1.6</v>
      </c>
      <c r="BK27" s="129">
        <v>1.61</v>
      </c>
      <c r="BL27" s="129">
        <v>1.62</v>
      </c>
      <c r="BM27" s="129">
        <v>1.63</v>
      </c>
      <c r="BN27" s="129">
        <v>1.64</v>
      </c>
      <c r="BO27" s="129">
        <v>1.65</v>
      </c>
      <c r="BP27" s="129">
        <v>1.66</v>
      </c>
      <c r="BQ27" s="129">
        <v>1.67</v>
      </c>
      <c r="BR27" s="129">
        <v>1.68</v>
      </c>
      <c r="BS27" s="129">
        <v>1.69</v>
      </c>
      <c r="BT27" s="129">
        <v>1.7</v>
      </c>
      <c r="BU27" s="129">
        <v>1.71</v>
      </c>
      <c r="BV27" s="129">
        <v>1.72</v>
      </c>
      <c r="BW27" s="129">
        <v>1.73</v>
      </c>
      <c r="BX27" s="129">
        <v>1.74</v>
      </c>
      <c r="BY27" s="129">
        <v>1.75</v>
      </c>
      <c r="BZ27" s="129">
        <v>1.76</v>
      </c>
      <c r="CA27" s="129">
        <v>1.77</v>
      </c>
      <c r="CB27" s="129">
        <v>1.78</v>
      </c>
      <c r="CC27" s="129">
        <v>1.78</v>
      </c>
      <c r="CD27" s="129">
        <v>1.79</v>
      </c>
      <c r="CE27" s="129">
        <v>1.8</v>
      </c>
      <c r="CF27" s="129">
        <v>1.81</v>
      </c>
      <c r="CG27" s="129">
        <v>1.82</v>
      </c>
      <c r="CH27" s="129">
        <v>1.83</v>
      </c>
      <c r="CI27" s="129">
        <v>1.84</v>
      </c>
      <c r="CJ27" s="129">
        <v>1.84</v>
      </c>
      <c r="CK27" s="129">
        <v>1.85</v>
      </c>
      <c r="CL27" s="129">
        <v>1.86</v>
      </c>
      <c r="CM27" s="129">
        <v>1.87</v>
      </c>
      <c r="CN27" s="129">
        <v>1.88</v>
      </c>
      <c r="CO27" s="129">
        <v>1.89</v>
      </c>
      <c r="CP27" s="129">
        <v>1.9</v>
      </c>
      <c r="CQ27" s="129">
        <v>1.92</v>
      </c>
      <c r="CR27" s="129">
        <v>1.93</v>
      </c>
      <c r="CS27" s="129">
        <v>1.94</v>
      </c>
      <c r="CT27" s="129">
        <v>1.95</v>
      </c>
      <c r="CU27" s="129">
        <v>1.96</v>
      </c>
      <c r="CV27" s="129">
        <v>1.97</v>
      </c>
      <c r="CW27" s="129">
        <v>1.99</v>
      </c>
      <c r="CX27" s="129">
        <v>2</v>
      </c>
      <c r="CZ27" s="126">
        <f>SUMIF(MatrixF4[[1]:[2]],MatrixF4[[#This Row],[Столбец1]])/MatrixF4[[#This Row],[Столбец1]]</f>
        <v>49.000000000000021</v>
      </c>
    </row>
    <row r="28" spans="1:104" ht="21" customHeight="1" x14ac:dyDescent="0.25">
      <c r="A28" s="127">
        <v>1.25</v>
      </c>
      <c r="B28" s="129">
        <v>1.25</v>
      </c>
      <c r="C28" s="129">
        <v>1.25</v>
      </c>
      <c r="D28" s="129">
        <v>1.25</v>
      </c>
      <c r="E28" s="129">
        <v>1.25</v>
      </c>
      <c r="F28" s="129">
        <v>1.25</v>
      </c>
      <c r="G28" s="129">
        <v>1.25</v>
      </c>
      <c r="H28" s="129">
        <v>1.25</v>
      </c>
      <c r="I28" s="129">
        <v>1.25</v>
      </c>
      <c r="J28" s="129">
        <v>1.25</v>
      </c>
      <c r="K28" s="129">
        <v>1.25</v>
      </c>
      <c r="L28" s="129">
        <v>1.25</v>
      </c>
      <c r="M28" s="129">
        <v>1.25</v>
      </c>
      <c r="N28" s="129">
        <v>1.25</v>
      </c>
      <c r="O28" s="129">
        <v>1.25</v>
      </c>
      <c r="P28" s="129">
        <v>1.25</v>
      </c>
      <c r="Q28" s="129">
        <v>1.25</v>
      </c>
      <c r="R28" s="129">
        <v>1.25</v>
      </c>
      <c r="S28" s="129">
        <v>1.25</v>
      </c>
      <c r="T28" s="129">
        <v>1.25</v>
      </c>
      <c r="U28" s="129">
        <v>1.25</v>
      </c>
      <c r="V28" s="129">
        <v>1.25</v>
      </c>
      <c r="W28" s="129">
        <v>1.25</v>
      </c>
      <c r="X28" s="129">
        <v>1.25</v>
      </c>
      <c r="Y28" s="129">
        <v>1.25</v>
      </c>
      <c r="Z28" s="129">
        <v>1.25</v>
      </c>
      <c r="AA28" s="129">
        <v>1.25</v>
      </c>
      <c r="AB28" s="129">
        <v>1.26</v>
      </c>
      <c r="AC28" s="129">
        <v>1.27</v>
      </c>
      <c r="AD28" s="129">
        <v>1.28</v>
      </c>
      <c r="AE28" s="129">
        <v>1.29</v>
      </c>
      <c r="AF28" s="129">
        <v>1.3</v>
      </c>
      <c r="AG28" s="129">
        <v>1.31</v>
      </c>
      <c r="AH28" s="129">
        <v>1.32</v>
      </c>
      <c r="AI28" s="129">
        <v>1.33</v>
      </c>
      <c r="AJ28" s="129">
        <v>1.34</v>
      </c>
      <c r="AK28" s="129">
        <v>1.35</v>
      </c>
      <c r="AL28" s="129">
        <v>1.36</v>
      </c>
      <c r="AM28" s="129">
        <v>1.37</v>
      </c>
      <c r="AN28" s="129">
        <v>1.38</v>
      </c>
      <c r="AO28" s="129">
        <v>1.39</v>
      </c>
      <c r="AP28" s="129">
        <v>1.4</v>
      </c>
      <c r="AQ28" s="129">
        <v>1.41</v>
      </c>
      <c r="AR28" s="129">
        <v>1.42</v>
      </c>
      <c r="AS28" s="129">
        <v>1.43</v>
      </c>
      <c r="AT28" s="129">
        <v>1.44</v>
      </c>
      <c r="AU28" s="129">
        <v>1.45</v>
      </c>
      <c r="AV28" s="129">
        <v>1.46</v>
      </c>
      <c r="AW28" s="129">
        <v>1.47</v>
      </c>
      <c r="AX28" s="129">
        <v>1.48</v>
      </c>
      <c r="AY28" s="129">
        <v>1.49</v>
      </c>
      <c r="AZ28" s="129">
        <v>1.5</v>
      </c>
      <c r="BA28" s="129">
        <v>1.51</v>
      </c>
      <c r="BB28" s="129">
        <v>1.52</v>
      </c>
      <c r="BC28" s="129">
        <v>1.53</v>
      </c>
      <c r="BD28" s="129">
        <v>1.54</v>
      </c>
      <c r="BE28" s="129">
        <v>1.55</v>
      </c>
      <c r="BF28" s="129">
        <v>1.56</v>
      </c>
      <c r="BG28" s="129">
        <v>1.57</v>
      </c>
      <c r="BH28" s="129">
        <v>1.58</v>
      </c>
      <c r="BI28" s="129">
        <v>1.59</v>
      </c>
      <c r="BJ28" s="129">
        <v>1.6</v>
      </c>
      <c r="BK28" s="129">
        <v>1.61</v>
      </c>
      <c r="BL28" s="129">
        <v>1.62</v>
      </c>
      <c r="BM28" s="129">
        <v>1.63</v>
      </c>
      <c r="BN28" s="129">
        <v>1.64</v>
      </c>
      <c r="BO28" s="129">
        <v>1.65</v>
      </c>
      <c r="BP28" s="129">
        <v>1.66</v>
      </c>
      <c r="BQ28" s="129">
        <v>1.67</v>
      </c>
      <c r="BR28" s="129">
        <v>1.68</v>
      </c>
      <c r="BS28" s="129">
        <v>1.69</v>
      </c>
      <c r="BT28" s="129">
        <v>1.7</v>
      </c>
      <c r="BU28" s="129">
        <v>1.71</v>
      </c>
      <c r="BV28" s="129">
        <v>1.72</v>
      </c>
      <c r="BW28" s="129">
        <v>1.73</v>
      </c>
      <c r="BX28" s="129">
        <v>1.74</v>
      </c>
      <c r="BY28" s="129">
        <v>1.75</v>
      </c>
      <c r="BZ28" s="129">
        <v>1.76</v>
      </c>
      <c r="CA28" s="129">
        <v>1.77</v>
      </c>
      <c r="CB28" s="129">
        <v>1.77</v>
      </c>
      <c r="CC28" s="129">
        <v>1.78</v>
      </c>
      <c r="CD28" s="129">
        <v>1.79</v>
      </c>
      <c r="CE28" s="129">
        <v>1.8</v>
      </c>
      <c r="CF28" s="129">
        <v>1.81</v>
      </c>
      <c r="CG28" s="129">
        <v>1.82</v>
      </c>
      <c r="CH28" s="129">
        <v>1.82</v>
      </c>
      <c r="CI28" s="129">
        <v>1.83</v>
      </c>
      <c r="CJ28" s="129">
        <v>1.84</v>
      </c>
      <c r="CK28" s="129">
        <v>1.85</v>
      </c>
      <c r="CL28" s="129">
        <v>1.86</v>
      </c>
      <c r="CM28" s="129">
        <v>1.87</v>
      </c>
      <c r="CN28" s="129">
        <v>1.88</v>
      </c>
      <c r="CO28" s="129">
        <v>1.89</v>
      </c>
      <c r="CP28" s="129">
        <v>1.9</v>
      </c>
      <c r="CQ28" s="129">
        <v>1.91</v>
      </c>
      <c r="CR28" s="129">
        <v>1.93</v>
      </c>
      <c r="CS28" s="129">
        <v>1.94</v>
      </c>
      <c r="CT28" s="129">
        <v>1.95</v>
      </c>
      <c r="CU28" s="129">
        <v>1.96</v>
      </c>
      <c r="CV28" s="129">
        <v>1.97</v>
      </c>
      <c r="CW28" s="129">
        <v>1.99</v>
      </c>
      <c r="CX28" s="129">
        <v>2</v>
      </c>
      <c r="CZ28" s="126">
        <f>SUMIF(MatrixF4[[1]:[2]],MatrixF4[[#This Row],[Столбец1]])/MatrixF4[[#This Row],[Столбец1]]</f>
        <v>51</v>
      </c>
    </row>
    <row r="29" spans="1:104" ht="21" customHeight="1" x14ac:dyDescent="0.25">
      <c r="A29" s="127">
        <v>1.26</v>
      </c>
      <c r="B29" s="129">
        <v>1.26</v>
      </c>
      <c r="C29" s="129">
        <v>1.26</v>
      </c>
      <c r="D29" s="129">
        <v>1.26</v>
      </c>
      <c r="E29" s="129">
        <v>1.26</v>
      </c>
      <c r="F29" s="129">
        <v>1.26</v>
      </c>
      <c r="G29" s="129">
        <v>1.26</v>
      </c>
      <c r="H29" s="129">
        <v>1.26</v>
      </c>
      <c r="I29" s="129">
        <v>1.26</v>
      </c>
      <c r="J29" s="129">
        <v>1.26</v>
      </c>
      <c r="K29" s="129">
        <v>1.26</v>
      </c>
      <c r="L29" s="129">
        <v>1.26</v>
      </c>
      <c r="M29" s="129">
        <v>1.26</v>
      </c>
      <c r="N29" s="129">
        <v>1.26</v>
      </c>
      <c r="O29" s="129">
        <v>1.26</v>
      </c>
      <c r="P29" s="129">
        <v>1.26</v>
      </c>
      <c r="Q29" s="129">
        <v>1.26</v>
      </c>
      <c r="R29" s="129">
        <v>1.26</v>
      </c>
      <c r="S29" s="129">
        <v>1.26</v>
      </c>
      <c r="T29" s="129">
        <v>1.26</v>
      </c>
      <c r="U29" s="129">
        <v>1.26</v>
      </c>
      <c r="V29" s="129">
        <v>1.26</v>
      </c>
      <c r="W29" s="129">
        <v>1.26</v>
      </c>
      <c r="X29" s="129">
        <v>1.26</v>
      </c>
      <c r="Y29" s="129">
        <v>1.26</v>
      </c>
      <c r="Z29" s="129">
        <v>1.26</v>
      </c>
      <c r="AA29" s="129">
        <v>1.26</v>
      </c>
      <c r="AB29" s="129">
        <v>1.26</v>
      </c>
      <c r="AC29" s="129">
        <v>1.27</v>
      </c>
      <c r="AD29" s="129">
        <v>1.28</v>
      </c>
      <c r="AE29" s="129">
        <v>1.29</v>
      </c>
      <c r="AF29" s="129">
        <v>1.3</v>
      </c>
      <c r="AG29" s="129">
        <v>1.31</v>
      </c>
      <c r="AH29" s="129">
        <v>1.32</v>
      </c>
      <c r="AI29" s="129">
        <v>1.33</v>
      </c>
      <c r="AJ29" s="129">
        <v>1.34</v>
      </c>
      <c r="AK29" s="129">
        <v>1.35</v>
      </c>
      <c r="AL29" s="129">
        <v>1.36</v>
      </c>
      <c r="AM29" s="129">
        <v>1.37</v>
      </c>
      <c r="AN29" s="129">
        <v>1.38</v>
      </c>
      <c r="AO29" s="129">
        <v>1.39</v>
      </c>
      <c r="AP29" s="129">
        <v>1.4</v>
      </c>
      <c r="AQ29" s="129">
        <v>1.41</v>
      </c>
      <c r="AR29" s="129">
        <v>1.42</v>
      </c>
      <c r="AS29" s="129">
        <v>1.43</v>
      </c>
      <c r="AT29" s="129">
        <v>1.44</v>
      </c>
      <c r="AU29" s="129">
        <v>1.45</v>
      </c>
      <c r="AV29" s="129">
        <v>1.46</v>
      </c>
      <c r="AW29" s="129">
        <v>1.47</v>
      </c>
      <c r="AX29" s="129">
        <v>1.48</v>
      </c>
      <c r="AY29" s="129">
        <v>1.49</v>
      </c>
      <c r="AZ29" s="129">
        <v>1.5</v>
      </c>
      <c r="BA29" s="129">
        <v>1.51</v>
      </c>
      <c r="BB29" s="129">
        <v>1.52</v>
      </c>
      <c r="BC29" s="129">
        <v>1.53</v>
      </c>
      <c r="BD29" s="129">
        <v>1.54</v>
      </c>
      <c r="BE29" s="129">
        <v>1.55</v>
      </c>
      <c r="BF29" s="129">
        <v>1.56</v>
      </c>
      <c r="BG29" s="129">
        <v>1.57</v>
      </c>
      <c r="BH29" s="129">
        <v>1.58</v>
      </c>
      <c r="BI29" s="129">
        <v>1.59</v>
      </c>
      <c r="BJ29" s="129">
        <v>1.6</v>
      </c>
      <c r="BK29" s="129">
        <v>1.61</v>
      </c>
      <c r="BL29" s="129">
        <v>1.62</v>
      </c>
      <c r="BM29" s="129">
        <v>1.63</v>
      </c>
      <c r="BN29" s="129">
        <v>1.64</v>
      </c>
      <c r="BO29" s="129">
        <v>1.65</v>
      </c>
      <c r="BP29" s="129">
        <v>1.66</v>
      </c>
      <c r="BQ29" s="129">
        <v>1.67</v>
      </c>
      <c r="BR29" s="129">
        <v>1.68</v>
      </c>
      <c r="BS29" s="129">
        <v>1.69</v>
      </c>
      <c r="BT29" s="129">
        <v>1.7</v>
      </c>
      <c r="BU29" s="129">
        <v>1.71</v>
      </c>
      <c r="BV29" s="129">
        <v>1.72</v>
      </c>
      <c r="BW29" s="129">
        <v>1.73</v>
      </c>
      <c r="BX29" s="129">
        <v>1.74</v>
      </c>
      <c r="BY29" s="129">
        <v>1.75</v>
      </c>
      <c r="BZ29" s="129">
        <v>1.76</v>
      </c>
      <c r="CA29" s="129">
        <v>1.76</v>
      </c>
      <c r="CB29" s="129">
        <v>1.77</v>
      </c>
      <c r="CC29" s="129">
        <v>1.78</v>
      </c>
      <c r="CD29" s="129">
        <v>1.79</v>
      </c>
      <c r="CE29" s="129">
        <v>1.8</v>
      </c>
      <c r="CF29" s="129">
        <v>1.8</v>
      </c>
      <c r="CG29" s="129">
        <v>1.81</v>
      </c>
      <c r="CH29" s="129">
        <v>1.82</v>
      </c>
      <c r="CI29" s="129">
        <v>1.83</v>
      </c>
      <c r="CJ29" s="129">
        <v>1.84</v>
      </c>
      <c r="CK29" s="129">
        <v>1.85</v>
      </c>
      <c r="CL29" s="129">
        <v>1.86</v>
      </c>
      <c r="CM29" s="129">
        <v>1.87</v>
      </c>
      <c r="CN29" s="129">
        <v>1.88</v>
      </c>
      <c r="CO29" s="129">
        <v>1.89</v>
      </c>
      <c r="CP29" s="129">
        <v>1.9</v>
      </c>
      <c r="CQ29" s="129">
        <v>1.91</v>
      </c>
      <c r="CR29" s="129">
        <v>1.92</v>
      </c>
      <c r="CS29" s="129">
        <v>1.94</v>
      </c>
      <c r="CT29" s="129">
        <v>1.95</v>
      </c>
      <c r="CU29" s="129">
        <v>1.96</v>
      </c>
      <c r="CV29" s="129">
        <v>1.97</v>
      </c>
      <c r="CW29" s="129">
        <v>1.99</v>
      </c>
      <c r="CX29" s="129">
        <v>2</v>
      </c>
      <c r="CZ29" s="126">
        <f>SUMIF(MatrixF4[[1]:[2]],MatrixF4[[#This Row],[Столбец1]])/MatrixF4[[#This Row],[Столбец1]]</f>
        <v>52.999999999999986</v>
      </c>
    </row>
    <row r="30" spans="1:104" ht="21" customHeight="1" x14ac:dyDescent="0.25">
      <c r="A30" s="127">
        <v>1.27</v>
      </c>
      <c r="B30" s="129">
        <v>1.27</v>
      </c>
      <c r="C30" s="129">
        <v>1.27</v>
      </c>
      <c r="D30" s="129">
        <v>1.27</v>
      </c>
      <c r="E30" s="129">
        <v>1.27</v>
      </c>
      <c r="F30" s="129">
        <v>1.27</v>
      </c>
      <c r="G30" s="129">
        <v>1.27</v>
      </c>
      <c r="H30" s="129">
        <v>1.27</v>
      </c>
      <c r="I30" s="129">
        <v>1.27</v>
      </c>
      <c r="J30" s="129">
        <v>1.27</v>
      </c>
      <c r="K30" s="129">
        <v>1.27</v>
      </c>
      <c r="L30" s="129">
        <v>1.27</v>
      </c>
      <c r="M30" s="129">
        <v>1.27</v>
      </c>
      <c r="N30" s="129">
        <v>1.27</v>
      </c>
      <c r="O30" s="129">
        <v>1.27</v>
      </c>
      <c r="P30" s="129">
        <v>1.27</v>
      </c>
      <c r="Q30" s="129">
        <v>1.27</v>
      </c>
      <c r="R30" s="129">
        <v>1.27</v>
      </c>
      <c r="S30" s="129">
        <v>1.27</v>
      </c>
      <c r="T30" s="129">
        <v>1.27</v>
      </c>
      <c r="U30" s="129">
        <v>1.27</v>
      </c>
      <c r="V30" s="129">
        <v>1.27</v>
      </c>
      <c r="W30" s="129">
        <v>1.27</v>
      </c>
      <c r="X30" s="129">
        <v>1.27</v>
      </c>
      <c r="Y30" s="129">
        <v>1.27</v>
      </c>
      <c r="Z30" s="129">
        <v>1.27</v>
      </c>
      <c r="AA30" s="129">
        <v>1.27</v>
      </c>
      <c r="AB30" s="129">
        <v>1.27</v>
      </c>
      <c r="AC30" s="129">
        <v>1.27</v>
      </c>
      <c r="AD30" s="129">
        <v>1.28</v>
      </c>
      <c r="AE30" s="129">
        <v>1.29</v>
      </c>
      <c r="AF30" s="129">
        <v>1.3</v>
      </c>
      <c r="AG30" s="129">
        <v>1.31</v>
      </c>
      <c r="AH30" s="129">
        <v>1.32</v>
      </c>
      <c r="AI30" s="129">
        <v>1.33</v>
      </c>
      <c r="AJ30" s="129">
        <v>1.34</v>
      </c>
      <c r="AK30" s="129">
        <v>1.35</v>
      </c>
      <c r="AL30" s="129">
        <v>1.36</v>
      </c>
      <c r="AM30" s="129">
        <v>1.37</v>
      </c>
      <c r="AN30" s="129">
        <v>1.38</v>
      </c>
      <c r="AO30" s="129">
        <v>1.39</v>
      </c>
      <c r="AP30" s="129">
        <v>1.4</v>
      </c>
      <c r="AQ30" s="129">
        <v>1.41</v>
      </c>
      <c r="AR30" s="129">
        <v>1.42</v>
      </c>
      <c r="AS30" s="129">
        <v>1.43</v>
      </c>
      <c r="AT30" s="129">
        <v>1.44</v>
      </c>
      <c r="AU30" s="129">
        <v>1.45</v>
      </c>
      <c r="AV30" s="129">
        <v>1.46</v>
      </c>
      <c r="AW30" s="129">
        <v>1.47</v>
      </c>
      <c r="AX30" s="129">
        <v>1.48</v>
      </c>
      <c r="AY30" s="129">
        <v>1.49</v>
      </c>
      <c r="AZ30" s="129">
        <v>1.5</v>
      </c>
      <c r="BA30" s="129">
        <v>1.51</v>
      </c>
      <c r="BB30" s="129">
        <v>1.52</v>
      </c>
      <c r="BC30" s="129">
        <v>1.53</v>
      </c>
      <c r="BD30" s="129">
        <v>1.54</v>
      </c>
      <c r="BE30" s="129">
        <v>1.55</v>
      </c>
      <c r="BF30" s="129">
        <v>1.56</v>
      </c>
      <c r="BG30" s="129">
        <v>1.57</v>
      </c>
      <c r="BH30" s="129">
        <v>1.58</v>
      </c>
      <c r="BI30" s="129">
        <v>1.59</v>
      </c>
      <c r="BJ30" s="129">
        <v>1.6</v>
      </c>
      <c r="BK30" s="129">
        <v>1.61</v>
      </c>
      <c r="BL30" s="129">
        <v>1.62</v>
      </c>
      <c r="BM30" s="129">
        <v>1.63</v>
      </c>
      <c r="BN30" s="129">
        <v>1.64</v>
      </c>
      <c r="BO30" s="129">
        <v>1.65</v>
      </c>
      <c r="BP30" s="129">
        <v>1.66</v>
      </c>
      <c r="BQ30" s="129">
        <v>1.67</v>
      </c>
      <c r="BR30" s="129">
        <v>1.68</v>
      </c>
      <c r="BS30" s="129">
        <v>1.69</v>
      </c>
      <c r="BT30" s="129">
        <v>1.7</v>
      </c>
      <c r="BU30" s="129">
        <v>1.71</v>
      </c>
      <c r="BV30" s="129">
        <v>1.72</v>
      </c>
      <c r="BW30" s="129">
        <v>1.73</v>
      </c>
      <c r="BX30" s="129">
        <v>1.74</v>
      </c>
      <c r="BY30" s="129">
        <v>1.74</v>
      </c>
      <c r="BZ30" s="129">
        <v>1.75</v>
      </c>
      <c r="CA30" s="129">
        <v>1.76</v>
      </c>
      <c r="CB30" s="129">
        <v>1.77</v>
      </c>
      <c r="CC30" s="129">
        <v>1.78</v>
      </c>
      <c r="CD30" s="129">
        <v>1.78</v>
      </c>
      <c r="CE30" s="129">
        <v>1.79</v>
      </c>
      <c r="CF30" s="129">
        <v>1.8</v>
      </c>
      <c r="CG30" s="129">
        <v>1.81</v>
      </c>
      <c r="CH30" s="129">
        <v>1.82</v>
      </c>
      <c r="CI30" s="129">
        <v>1.83</v>
      </c>
      <c r="CJ30" s="129">
        <v>1.84</v>
      </c>
      <c r="CK30" s="129">
        <v>1.85</v>
      </c>
      <c r="CL30" s="129">
        <v>1.86</v>
      </c>
      <c r="CM30" s="129">
        <v>1.87</v>
      </c>
      <c r="CN30" s="129">
        <v>1.88</v>
      </c>
      <c r="CO30" s="129">
        <v>1.89</v>
      </c>
      <c r="CP30" s="129">
        <v>1.9</v>
      </c>
      <c r="CQ30" s="129">
        <v>1.91</v>
      </c>
      <c r="CR30" s="129">
        <v>1.92</v>
      </c>
      <c r="CS30" s="129">
        <v>1.94</v>
      </c>
      <c r="CT30" s="129">
        <v>1.95</v>
      </c>
      <c r="CU30" s="129">
        <v>1.96</v>
      </c>
      <c r="CV30" s="129">
        <v>1.97</v>
      </c>
      <c r="CW30" s="129">
        <v>1.99</v>
      </c>
      <c r="CX30" s="129">
        <v>2</v>
      </c>
      <c r="CZ30" s="126">
        <f>SUMIF(MatrixF4[[1]:[2]],MatrixF4[[#This Row],[Столбец1]])/MatrixF4[[#This Row],[Столбец1]]</f>
        <v>55.000000000000043</v>
      </c>
    </row>
    <row r="31" spans="1:104" ht="21" customHeight="1" x14ac:dyDescent="0.25">
      <c r="A31" s="127">
        <v>1.28</v>
      </c>
      <c r="B31" s="129">
        <v>1.28</v>
      </c>
      <c r="C31" s="129">
        <v>1.28</v>
      </c>
      <c r="D31" s="129">
        <v>1.28</v>
      </c>
      <c r="E31" s="129">
        <v>1.28</v>
      </c>
      <c r="F31" s="129">
        <v>1.28</v>
      </c>
      <c r="G31" s="129">
        <v>1.28</v>
      </c>
      <c r="H31" s="129">
        <v>1.28</v>
      </c>
      <c r="I31" s="129">
        <v>1.28</v>
      </c>
      <c r="J31" s="129">
        <v>1.28</v>
      </c>
      <c r="K31" s="129">
        <v>1.28</v>
      </c>
      <c r="L31" s="129">
        <v>1.28</v>
      </c>
      <c r="M31" s="129">
        <v>1.28</v>
      </c>
      <c r="N31" s="129">
        <v>1.28</v>
      </c>
      <c r="O31" s="129">
        <v>1.28</v>
      </c>
      <c r="P31" s="129">
        <v>1.28</v>
      </c>
      <c r="Q31" s="129">
        <v>1.28</v>
      </c>
      <c r="R31" s="129">
        <v>1.28</v>
      </c>
      <c r="S31" s="129">
        <v>1.28</v>
      </c>
      <c r="T31" s="129">
        <v>1.28</v>
      </c>
      <c r="U31" s="129">
        <v>1.28</v>
      </c>
      <c r="V31" s="129">
        <v>1.28</v>
      </c>
      <c r="W31" s="129">
        <v>1.28</v>
      </c>
      <c r="X31" s="129">
        <v>1.28</v>
      </c>
      <c r="Y31" s="129">
        <v>1.28</v>
      </c>
      <c r="Z31" s="129">
        <v>1.28</v>
      </c>
      <c r="AA31" s="129">
        <v>1.28</v>
      </c>
      <c r="AB31" s="129">
        <v>1.28</v>
      </c>
      <c r="AC31" s="129">
        <v>1.28</v>
      </c>
      <c r="AD31" s="129">
        <v>1.28</v>
      </c>
      <c r="AE31" s="129">
        <v>1.29</v>
      </c>
      <c r="AF31" s="129">
        <v>1.3</v>
      </c>
      <c r="AG31" s="129">
        <v>1.31</v>
      </c>
      <c r="AH31" s="129">
        <v>1.32</v>
      </c>
      <c r="AI31" s="129">
        <v>1.33</v>
      </c>
      <c r="AJ31" s="129">
        <v>1.34</v>
      </c>
      <c r="AK31" s="129">
        <v>1.35</v>
      </c>
      <c r="AL31" s="129">
        <v>1.36</v>
      </c>
      <c r="AM31" s="129">
        <v>1.37</v>
      </c>
      <c r="AN31" s="129">
        <v>1.38</v>
      </c>
      <c r="AO31" s="129">
        <v>1.39</v>
      </c>
      <c r="AP31" s="129">
        <v>1.4</v>
      </c>
      <c r="AQ31" s="129">
        <v>1.41</v>
      </c>
      <c r="AR31" s="129">
        <v>1.42</v>
      </c>
      <c r="AS31" s="129">
        <v>1.43</v>
      </c>
      <c r="AT31" s="129">
        <v>1.44</v>
      </c>
      <c r="AU31" s="129">
        <v>1.45</v>
      </c>
      <c r="AV31" s="129">
        <v>1.46</v>
      </c>
      <c r="AW31" s="129">
        <v>1.47</v>
      </c>
      <c r="AX31" s="129">
        <v>1.48</v>
      </c>
      <c r="AY31" s="129">
        <v>1.49</v>
      </c>
      <c r="AZ31" s="129">
        <v>1.5</v>
      </c>
      <c r="BA31" s="129">
        <v>1.51</v>
      </c>
      <c r="BB31" s="129">
        <v>1.52</v>
      </c>
      <c r="BC31" s="129">
        <v>1.53</v>
      </c>
      <c r="BD31" s="129">
        <v>1.54</v>
      </c>
      <c r="BE31" s="129">
        <v>1.55</v>
      </c>
      <c r="BF31" s="129">
        <v>1.56</v>
      </c>
      <c r="BG31" s="129">
        <v>1.57</v>
      </c>
      <c r="BH31" s="129">
        <v>1.58</v>
      </c>
      <c r="BI31" s="129">
        <v>1.59</v>
      </c>
      <c r="BJ31" s="129">
        <v>1.6</v>
      </c>
      <c r="BK31" s="129">
        <v>1.61</v>
      </c>
      <c r="BL31" s="129">
        <v>1.62</v>
      </c>
      <c r="BM31" s="129">
        <v>1.63</v>
      </c>
      <c r="BN31" s="129">
        <v>1.64</v>
      </c>
      <c r="BO31" s="129">
        <v>1.65</v>
      </c>
      <c r="BP31" s="129">
        <v>1.66</v>
      </c>
      <c r="BQ31" s="129">
        <v>1.67</v>
      </c>
      <c r="BR31" s="129">
        <v>1.68</v>
      </c>
      <c r="BS31" s="129">
        <v>1.69</v>
      </c>
      <c r="BT31" s="129">
        <v>1.7</v>
      </c>
      <c r="BU31" s="129">
        <v>1.71</v>
      </c>
      <c r="BV31" s="129">
        <v>1.72</v>
      </c>
      <c r="BW31" s="129">
        <v>1.73</v>
      </c>
      <c r="BX31" s="129">
        <v>1.73</v>
      </c>
      <c r="BY31" s="129">
        <v>1.74</v>
      </c>
      <c r="BZ31" s="129">
        <v>1.75</v>
      </c>
      <c r="CA31" s="129">
        <v>1.76</v>
      </c>
      <c r="CB31" s="129">
        <v>1.77</v>
      </c>
      <c r="CC31" s="129">
        <v>1.77</v>
      </c>
      <c r="CD31" s="129">
        <v>1.78</v>
      </c>
      <c r="CE31" s="129">
        <v>1.79</v>
      </c>
      <c r="CF31" s="129">
        <v>1.8</v>
      </c>
      <c r="CG31" s="129">
        <v>1.81</v>
      </c>
      <c r="CH31" s="129">
        <v>1.82</v>
      </c>
      <c r="CI31" s="129">
        <v>1.83</v>
      </c>
      <c r="CJ31" s="129">
        <v>1.84</v>
      </c>
      <c r="CK31" s="129">
        <v>1.85</v>
      </c>
      <c r="CL31" s="129">
        <v>1.86</v>
      </c>
      <c r="CM31" s="129">
        <v>1.87</v>
      </c>
      <c r="CN31" s="129">
        <v>1.88</v>
      </c>
      <c r="CO31" s="129">
        <v>1.89</v>
      </c>
      <c r="CP31" s="129">
        <v>1.9</v>
      </c>
      <c r="CQ31" s="129">
        <v>1.91</v>
      </c>
      <c r="CR31" s="129">
        <v>1.92</v>
      </c>
      <c r="CS31" s="129">
        <v>1.94</v>
      </c>
      <c r="CT31" s="129">
        <v>1.95</v>
      </c>
      <c r="CU31" s="129">
        <v>1.96</v>
      </c>
      <c r="CV31" s="129">
        <v>1.97</v>
      </c>
      <c r="CW31" s="129">
        <v>1.99</v>
      </c>
      <c r="CX31" s="129">
        <v>2</v>
      </c>
      <c r="CZ31" s="126">
        <f>SUMIF(MatrixF4[[1]:[2]],MatrixF4[[#This Row],[Столбец1]])/MatrixF4[[#This Row],[Столбец1]]</f>
        <v>57.000000000000028</v>
      </c>
    </row>
    <row r="32" spans="1:104" ht="21" customHeight="1" x14ac:dyDescent="0.25">
      <c r="A32" s="127">
        <v>1.29</v>
      </c>
      <c r="B32" s="129">
        <v>1.29</v>
      </c>
      <c r="C32" s="129">
        <v>1.29</v>
      </c>
      <c r="D32" s="129">
        <v>1.29</v>
      </c>
      <c r="E32" s="129">
        <v>1.29</v>
      </c>
      <c r="F32" s="129">
        <v>1.29</v>
      </c>
      <c r="G32" s="129">
        <v>1.29</v>
      </c>
      <c r="H32" s="129">
        <v>1.29</v>
      </c>
      <c r="I32" s="129">
        <v>1.29</v>
      </c>
      <c r="J32" s="129">
        <v>1.29</v>
      </c>
      <c r="K32" s="129">
        <v>1.29</v>
      </c>
      <c r="L32" s="129">
        <v>1.29</v>
      </c>
      <c r="M32" s="129">
        <v>1.29</v>
      </c>
      <c r="N32" s="129">
        <v>1.29</v>
      </c>
      <c r="O32" s="129">
        <v>1.29</v>
      </c>
      <c r="P32" s="129">
        <v>1.29</v>
      </c>
      <c r="Q32" s="129">
        <v>1.29</v>
      </c>
      <c r="R32" s="129">
        <v>1.29</v>
      </c>
      <c r="S32" s="129">
        <v>1.29</v>
      </c>
      <c r="T32" s="129">
        <v>1.29</v>
      </c>
      <c r="U32" s="129">
        <v>1.29</v>
      </c>
      <c r="V32" s="129">
        <v>1.29</v>
      </c>
      <c r="W32" s="129">
        <v>1.29</v>
      </c>
      <c r="X32" s="129">
        <v>1.29</v>
      </c>
      <c r="Y32" s="129">
        <v>1.29</v>
      </c>
      <c r="Z32" s="129">
        <v>1.29</v>
      </c>
      <c r="AA32" s="129">
        <v>1.29</v>
      </c>
      <c r="AB32" s="129">
        <v>1.29</v>
      </c>
      <c r="AC32" s="129">
        <v>1.29</v>
      </c>
      <c r="AD32" s="129">
        <v>1.29</v>
      </c>
      <c r="AE32" s="129">
        <v>1.29</v>
      </c>
      <c r="AF32" s="129">
        <v>1.3</v>
      </c>
      <c r="AG32" s="129">
        <v>1.31</v>
      </c>
      <c r="AH32" s="129">
        <v>1.32</v>
      </c>
      <c r="AI32" s="129">
        <v>1.33</v>
      </c>
      <c r="AJ32" s="129">
        <v>1.34</v>
      </c>
      <c r="AK32" s="129">
        <v>1.35</v>
      </c>
      <c r="AL32" s="129">
        <v>1.36</v>
      </c>
      <c r="AM32" s="129">
        <v>1.37</v>
      </c>
      <c r="AN32" s="129">
        <v>1.38</v>
      </c>
      <c r="AO32" s="129">
        <v>1.39</v>
      </c>
      <c r="AP32" s="129">
        <v>1.4</v>
      </c>
      <c r="AQ32" s="129">
        <v>1.41</v>
      </c>
      <c r="AR32" s="129">
        <v>1.42</v>
      </c>
      <c r="AS32" s="129">
        <v>1.43</v>
      </c>
      <c r="AT32" s="129">
        <v>1.44</v>
      </c>
      <c r="AU32" s="129">
        <v>1.45</v>
      </c>
      <c r="AV32" s="129">
        <v>1.46</v>
      </c>
      <c r="AW32" s="129">
        <v>1.47</v>
      </c>
      <c r="AX32" s="129">
        <v>1.48</v>
      </c>
      <c r="AY32" s="129">
        <v>1.49</v>
      </c>
      <c r="AZ32" s="129">
        <v>1.5</v>
      </c>
      <c r="BA32" s="129">
        <v>1.51</v>
      </c>
      <c r="BB32" s="129">
        <v>1.52</v>
      </c>
      <c r="BC32" s="129">
        <v>1.53</v>
      </c>
      <c r="BD32" s="129">
        <v>1.54</v>
      </c>
      <c r="BE32" s="129">
        <v>1.55</v>
      </c>
      <c r="BF32" s="129">
        <v>1.56</v>
      </c>
      <c r="BG32" s="129">
        <v>1.57</v>
      </c>
      <c r="BH32" s="129">
        <v>1.58</v>
      </c>
      <c r="BI32" s="129">
        <v>1.59</v>
      </c>
      <c r="BJ32" s="129">
        <v>1.6</v>
      </c>
      <c r="BK32" s="129">
        <v>1.61</v>
      </c>
      <c r="BL32" s="129">
        <v>1.62</v>
      </c>
      <c r="BM32" s="129">
        <v>1.63</v>
      </c>
      <c r="BN32" s="129">
        <v>1.64</v>
      </c>
      <c r="BO32" s="129">
        <v>1.65</v>
      </c>
      <c r="BP32" s="129">
        <v>1.66</v>
      </c>
      <c r="BQ32" s="129">
        <v>1.67</v>
      </c>
      <c r="BR32" s="129">
        <v>1.68</v>
      </c>
      <c r="BS32" s="129">
        <v>1.69</v>
      </c>
      <c r="BT32" s="129">
        <v>1.7</v>
      </c>
      <c r="BU32" s="129">
        <v>1.71</v>
      </c>
      <c r="BV32" s="129">
        <v>1.72</v>
      </c>
      <c r="BW32" s="129">
        <v>1.72</v>
      </c>
      <c r="BX32" s="129">
        <v>1.73</v>
      </c>
      <c r="BY32" s="129">
        <v>1.74</v>
      </c>
      <c r="BZ32" s="129">
        <v>1.75</v>
      </c>
      <c r="CA32" s="129">
        <v>1.76</v>
      </c>
      <c r="CB32" s="129">
        <v>1.76</v>
      </c>
      <c r="CC32" s="129">
        <v>1.77</v>
      </c>
      <c r="CD32" s="129">
        <v>1.78</v>
      </c>
      <c r="CE32" s="129">
        <v>1.79</v>
      </c>
      <c r="CF32" s="129">
        <v>1.8</v>
      </c>
      <c r="CG32" s="129">
        <v>1.81</v>
      </c>
      <c r="CH32" s="129">
        <v>1.82</v>
      </c>
      <c r="CI32" s="129">
        <v>1.83</v>
      </c>
      <c r="CJ32" s="129">
        <v>1.84</v>
      </c>
      <c r="CK32" s="129">
        <v>1.85</v>
      </c>
      <c r="CL32" s="129">
        <v>1.86</v>
      </c>
      <c r="CM32" s="129">
        <v>1.87</v>
      </c>
      <c r="CN32" s="129">
        <v>1.88</v>
      </c>
      <c r="CO32" s="129">
        <v>1.89</v>
      </c>
      <c r="CP32" s="129">
        <v>1.9</v>
      </c>
      <c r="CQ32" s="129">
        <v>1.91</v>
      </c>
      <c r="CR32" s="129">
        <v>1.92</v>
      </c>
      <c r="CS32" s="129">
        <v>1.93</v>
      </c>
      <c r="CT32" s="129">
        <v>1.95</v>
      </c>
      <c r="CU32" s="129">
        <v>1.96</v>
      </c>
      <c r="CV32" s="129">
        <v>1.97</v>
      </c>
      <c r="CW32" s="129">
        <v>1.99</v>
      </c>
      <c r="CX32" s="129">
        <v>2</v>
      </c>
      <c r="CZ32" s="126">
        <f>SUMIF(MatrixF4[[1]:[2]],MatrixF4[[#This Row],[Столбец1]])/MatrixF4[[#This Row],[Столбец1]]</f>
        <v>59.000000000000021</v>
      </c>
    </row>
    <row r="33" spans="1:104" ht="21" customHeight="1" x14ac:dyDescent="0.25">
      <c r="A33" s="127">
        <v>1.3</v>
      </c>
      <c r="B33" s="129">
        <v>1.3</v>
      </c>
      <c r="C33" s="129">
        <v>1.3</v>
      </c>
      <c r="D33" s="129">
        <v>1.3</v>
      </c>
      <c r="E33" s="129">
        <v>1.3</v>
      </c>
      <c r="F33" s="129">
        <v>1.3</v>
      </c>
      <c r="G33" s="129">
        <v>1.3</v>
      </c>
      <c r="H33" s="129">
        <v>1.3</v>
      </c>
      <c r="I33" s="129">
        <v>1.3</v>
      </c>
      <c r="J33" s="129">
        <v>1.3</v>
      </c>
      <c r="K33" s="129">
        <v>1.3</v>
      </c>
      <c r="L33" s="129">
        <v>1.3</v>
      </c>
      <c r="M33" s="129">
        <v>1.3</v>
      </c>
      <c r="N33" s="129">
        <v>1.3</v>
      </c>
      <c r="O33" s="129">
        <v>1.3</v>
      </c>
      <c r="P33" s="129">
        <v>1.3</v>
      </c>
      <c r="Q33" s="129">
        <v>1.3</v>
      </c>
      <c r="R33" s="129">
        <v>1.3</v>
      </c>
      <c r="S33" s="129">
        <v>1.3</v>
      </c>
      <c r="T33" s="129">
        <v>1.3</v>
      </c>
      <c r="U33" s="129">
        <v>1.3</v>
      </c>
      <c r="V33" s="129">
        <v>1.3</v>
      </c>
      <c r="W33" s="129">
        <v>1.3</v>
      </c>
      <c r="X33" s="129">
        <v>1.3</v>
      </c>
      <c r="Y33" s="129">
        <v>1.3</v>
      </c>
      <c r="Z33" s="129">
        <v>1.3</v>
      </c>
      <c r="AA33" s="129">
        <v>1.3</v>
      </c>
      <c r="AB33" s="129">
        <v>1.3</v>
      </c>
      <c r="AC33" s="129">
        <v>1.3</v>
      </c>
      <c r="AD33" s="129">
        <v>1.3</v>
      </c>
      <c r="AE33" s="129">
        <v>1.3</v>
      </c>
      <c r="AF33" s="129">
        <v>1.3</v>
      </c>
      <c r="AG33" s="129">
        <v>1.31</v>
      </c>
      <c r="AH33" s="129">
        <v>1.32</v>
      </c>
      <c r="AI33" s="129">
        <v>1.33</v>
      </c>
      <c r="AJ33" s="129">
        <v>1.34</v>
      </c>
      <c r="AK33" s="129">
        <v>1.35</v>
      </c>
      <c r="AL33" s="129">
        <v>1.36</v>
      </c>
      <c r="AM33" s="129">
        <v>1.37</v>
      </c>
      <c r="AN33" s="129">
        <v>1.38</v>
      </c>
      <c r="AO33" s="129">
        <v>1.39</v>
      </c>
      <c r="AP33" s="129">
        <v>1.4</v>
      </c>
      <c r="AQ33" s="129">
        <v>1.41</v>
      </c>
      <c r="AR33" s="129">
        <v>1.42</v>
      </c>
      <c r="AS33" s="129">
        <v>1.43</v>
      </c>
      <c r="AT33" s="129">
        <v>1.44</v>
      </c>
      <c r="AU33" s="129">
        <v>1.45</v>
      </c>
      <c r="AV33" s="129">
        <v>1.46</v>
      </c>
      <c r="AW33" s="129">
        <v>1.47</v>
      </c>
      <c r="AX33" s="129">
        <v>1.48</v>
      </c>
      <c r="AY33" s="129">
        <v>1.49</v>
      </c>
      <c r="AZ33" s="129">
        <v>1.5</v>
      </c>
      <c r="BA33" s="129">
        <v>1.51</v>
      </c>
      <c r="BB33" s="129">
        <v>1.52</v>
      </c>
      <c r="BC33" s="129">
        <v>1.53</v>
      </c>
      <c r="BD33" s="129">
        <v>1.54</v>
      </c>
      <c r="BE33" s="129">
        <v>1.55</v>
      </c>
      <c r="BF33" s="129">
        <v>1.56</v>
      </c>
      <c r="BG33" s="129">
        <v>1.57</v>
      </c>
      <c r="BH33" s="129">
        <v>1.58</v>
      </c>
      <c r="BI33" s="129">
        <v>1.59</v>
      </c>
      <c r="BJ33" s="129">
        <v>1.6</v>
      </c>
      <c r="BK33" s="129">
        <v>1.61</v>
      </c>
      <c r="BL33" s="129">
        <v>1.62</v>
      </c>
      <c r="BM33" s="129">
        <v>1.63</v>
      </c>
      <c r="BN33" s="129">
        <v>1.64</v>
      </c>
      <c r="BO33" s="129">
        <v>1.65</v>
      </c>
      <c r="BP33" s="129">
        <v>1.66</v>
      </c>
      <c r="BQ33" s="129">
        <v>1.67</v>
      </c>
      <c r="BR33" s="129">
        <v>1.68</v>
      </c>
      <c r="BS33" s="129">
        <v>1.69</v>
      </c>
      <c r="BT33" s="129">
        <v>1.7</v>
      </c>
      <c r="BU33" s="129">
        <v>1.71</v>
      </c>
      <c r="BV33" s="129">
        <v>1.71</v>
      </c>
      <c r="BW33" s="129">
        <v>1.72</v>
      </c>
      <c r="BX33" s="129">
        <v>1.73</v>
      </c>
      <c r="BY33" s="129">
        <v>1.74</v>
      </c>
      <c r="BZ33" s="129">
        <v>1.74</v>
      </c>
      <c r="CA33" s="129">
        <v>1.75</v>
      </c>
      <c r="CB33" s="129">
        <v>1.76</v>
      </c>
      <c r="CC33" s="129">
        <v>1.77</v>
      </c>
      <c r="CD33" s="129">
        <v>1.78</v>
      </c>
      <c r="CE33" s="129">
        <v>1.79</v>
      </c>
      <c r="CF33" s="129">
        <v>1.8</v>
      </c>
      <c r="CG33" s="129">
        <v>1.8</v>
      </c>
      <c r="CH33" s="129">
        <v>1.81</v>
      </c>
      <c r="CI33" s="129">
        <v>1.82</v>
      </c>
      <c r="CJ33" s="129">
        <v>1.83</v>
      </c>
      <c r="CK33" s="129">
        <v>1.84</v>
      </c>
      <c r="CL33" s="129">
        <v>1.85</v>
      </c>
      <c r="CM33" s="129">
        <v>1.86</v>
      </c>
      <c r="CN33" s="129">
        <v>1.88</v>
      </c>
      <c r="CO33" s="129">
        <v>1.89</v>
      </c>
      <c r="CP33" s="129">
        <v>1.9</v>
      </c>
      <c r="CQ33" s="129">
        <v>1.91</v>
      </c>
      <c r="CR33" s="129">
        <v>1.92</v>
      </c>
      <c r="CS33" s="129">
        <v>1.93</v>
      </c>
      <c r="CT33" s="129">
        <v>1.95</v>
      </c>
      <c r="CU33" s="129">
        <v>1.96</v>
      </c>
      <c r="CV33" s="129">
        <v>1.97</v>
      </c>
      <c r="CW33" s="129">
        <v>1.99</v>
      </c>
      <c r="CX33" s="129">
        <v>2</v>
      </c>
      <c r="CZ33" s="126">
        <f>SUMIF(MatrixF4[[1]:[2]],MatrixF4[[#This Row],[Столбец1]])/MatrixF4[[#This Row],[Столбец1]]</f>
        <v>60.999999999999929</v>
      </c>
    </row>
    <row r="34" spans="1:104" ht="21" customHeight="1" x14ac:dyDescent="0.25">
      <c r="A34" s="127">
        <v>1.31</v>
      </c>
      <c r="B34" s="129">
        <v>1.31</v>
      </c>
      <c r="C34" s="129">
        <v>1.31</v>
      </c>
      <c r="D34" s="129">
        <v>1.31</v>
      </c>
      <c r="E34" s="129">
        <v>1.31</v>
      </c>
      <c r="F34" s="129">
        <v>1.31</v>
      </c>
      <c r="G34" s="129">
        <v>1.31</v>
      </c>
      <c r="H34" s="129">
        <v>1.31</v>
      </c>
      <c r="I34" s="129">
        <v>1.31</v>
      </c>
      <c r="J34" s="129">
        <v>1.31</v>
      </c>
      <c r="K34" s="129">
        <v>1.31</v>
      </c>
      <c r="L34" s="129">
        <v>1.31</v>
      </c>
      <c r="M34" s="129">
        <v>1.31</v>
      </c>
      <c r="N34" s="129">
        <v>1.31</v>
      </c>
      <c r="O34" s="129">
        <v>1.31</v>
      </c>
      <c r="P34" s="129">
        <v>1.31</v>
      </c>
      <c r="Q34" s="129">
        <v>1.31</v>
      </c>
      <c r="R34" s="129">
        <v>1.31</v>
      </c>
      <c r="S34" s="129">
        <v>1.31</v>
      </c>
      <c r="T34" s="129">
        <v>1.31</v>
      </c>
      <c r="U34" s="129">
        <v>1.31</v>
      </c>
      <c r="V34" s="129">
        <v>1.31</v>
      </c>
      <c r="W34" s="129">
        <v>1.31</v>
      </c>
      <c r="X34" s="129">
        <v>1.31</v>
      </c>
      <c r="Y34" s="129">
        <v>1.31</v>
      </c>
      <c r="Z34" s="129">
        <v>1.31</v>
      </c>
      <c r="AA34" s="129">
        <v>1.31</v>
      </c>
      <c r="AB34" s="129">
        <v>1.31</v>
      </c>
      <c r="AC34" s="129">
        <v>1.31</v>
      </c>
      <c r="AD34" s="129">
        <v>1.31</v>
      </c>
      <c r="AE34" s="129">
        <v>1.31</v>
      </c>
      <c r="AF34" s="129">
        <v>1.31</v>
      </c>
      <c r="AG34" s="129">
        <v>1.31</v>
      </c>
      <c r="AH34" s="129">
        <v>1.32</v>
      </c>
      <c r="AI34" s="129">
        <v>1.33</v>
      </c>
      <c r="AJ34" s="129">
        <v>1.34</v>
      </c>
      <c r="AK34" s="129">
        <v>1.35</v>
      </c>
      <c r="AL34" s="129">
        <v>1.36</v>
      </c>
      <c r="AM34" s="129">
        <v>1.37</v>
      </c>
      <c r="AN34" s="129">
        <v>1.38</v>
      </c>
      <c r="AO34" s="129">
        <v>1.39</v>
      </c>
      <c r="AP34" s="129">
        <v>1.4</v>
      </c>
      <c r="AQ34" s="129">
        <v>1.41</v>
      </c>
      <c r="AR34" s="129">
        <v>1.42</v>
      </c>
      <c r="AS34" s="129">
        <v>1.43</v>
      </c>
      <c r="AT34" s="129">
        <v>1.44</v>
      </c>
      <c r="AU34" s="129">
        <v>1.45</v>
      </c>
      <c r="AV34" s="129">
        <v>1.46</v>
      </c>
      <c r="AW34" s="129">
        <v>1.47</v>
      </c>
      <c r="AX34" s="129">
        <v>1.48</v>
      </c>
      <c r="AY34" s="129">
        <v>1.49</v>
      </c>
      <c r="AZ34" s="129">
        <v>1.5</v>
      </c>
      <c r="BA34" s="129">
        <v>1.51</v>
      </c>
      <c r="BB34" s="129">
        <v>1.52</v>
      </c>
      <c r="BC34" s="129">
        <v>1.53</v>
      </c>
      <c r="BD34" s="129">
        <v>1.54</v>
      </c>
      <c r="BE34" s="129">
        <v>1.55</v>
      </c>
      <c r="BF34" s="129">
        <v>1.56</v>
      </c>
      <c r="BG34" s="129">
        <v>1.57</v>
      </c>
      <c r="BH34" s="129">
        <v>1.58</v>
      </c>
      <c r="BI34" s="129">
        <v>1.59</v>
      </c>
      <c r="BJ34" s="129">
        <v>1.6</v>
      </c>
      <c r="BK34" s="129">
        <v>1.61</v>
      </c>
      <c r="BL34" s="129">
        <v>1.62</v>
      </c>
      <c r="BM34" s="129">
        <v>1.63</v>
      </c>
      <c r="BN34" s="129">
        <v>1.64</v>
      </c>
      <c r="BO34" s="129">
        <v>1.65</v>
      </c>
      <c r="BP34" s="129">
        <v>1.66</v>
      </c>
      <c r="BQ34" s="129">
        <v>1.67</v>
      </c>
      <c r="BR34" s="129">
        <v>1.68</v>
      </c>
      <c r="BS34" s="129">
        <v>1.69</v>
      </c>
      <c r="BT34" s="129">
        <v>1.7</v>
      </c>
      <c r="BU34" s="129">
        <v>1.7</v>
      </c>
      <c r="BV34" s="129">
        <v>1.71</v>
      </c>
      <c r="BW34" s="129">
        <v>1.72</v>
      </c>
      <c r="BX34" s="129">
        <v>1.73</v>
      </c>
      <c r="BY34" s="129">
        <v>1.73</v>
      </c>
      <c r="BZ34" s="129">
        <v>1.74</v>
      </c>
      <c r="CA34" s="129">
        <v>1.75</v>
      </c>
      <c r="CB34" s="129">
        <v>1.76</v>
      </c>
      <c r="CC34" s="129">
        <v>1.77</v>
      </c>
      <c r="CD34" s="129">
        <v>1.78</v>
      </c>
      <c r="CE34" s="129">
        <v>1.78</v>
      </c>
      <c r="CF34" s="129">
        <v>1.79</v>
      </c>
      <c r="CG34" s="129">
        <v>1.8</v>
      </c>
      <c r="CH34" s="129">
        <v>1.81</v>
      </c>
      <c r="CI34" s="129">
        <v>1.82</v>
      </c>
      <c r="CJ34" s="129">
        <v>1.83</v>
      </c>
      <c r="CK34" s="129">
        <v>1.84</v>
      </c>
      <c r="CL34" s="129">
        <v>1.85</v>
      </c>
      <c r="CM34" s="129">
        <v>1.86</v>
      </c>
      <c r="CN34" s="129">
        <v>1.87</v>
      </c>
      <c r="CO34" s="129">
        <v>1.88</v>
      </c>
      <c r="CP34" s="129">
        <v>1.9</v>
      </c>
      <c r="CQ34" s="129">
        <v>1.91</v>
      </c>
      <c r="CR34" s="129">
        <v>1.92</v>
      </c>
      <c r="CS34" s="129">
        <v>1.93</v>
      </c>
      <c r="CT34" s="129">
        <v>1.95</v>
      </c>
      <c r="CU34" s="129">
        <v>1.96</v>
      </c>
      <c r="CV34" s="129">
        <v>1.97</v>
      </c>
      <c r="CW34" s="129">
        <v>1.99</v>
      </c>
      <c r="CX34" s="129">
        <v>2</v>
      </c>
      <c r="CZ34" s="126">
        <f>SUMIF(MatrixF4[[1]:[2]],MatrixF4[[#This Row],[Столбец1]])/MatrixF4[[#This Row],[Столбец1]]</f>
        <v>63.00000000000005</v>
      </c>
    </row>
    <row r="35" spans="1:104" ht="21" customHeight="1" x14ac:dyDescent="0.25">
      <c r="A35" s="127">
        <v>1.32</v>
      </c>
      <c r="B35" s="129">
        <v>1.32</v>
      </c>
      <c r="C35" s="129">
        <v>1.32</v>
      </c>
      <c r="D35" s="129">
        <v>1.32</v>
      </c>
      <c r="E35" s="129">
        <v>1.32</v>
      </c>
      <c r="F35" s="129">
        <v>1.32</v>
      </c>
      <c r="G35" s="129">
        <v>1.32</v>
      </c>
      <c r="H35" s="129">
        <v>1.32</v>
      </c>
      <c r="I35" s="129">
        <v>1.32</v>
      </c>
      <c r="J35" s="129">
        <v>1.32</v>
      </c>
      <c r="K35" s="129">
        <v>1.32</v>
      </c>
      <c r="L35" s="129">
        <v>1.32</v>
      </c>
      <c r="M35" s="129">
        <v>1.32</v>
      </c>
      <c r="N35" s="129">
        <v>1.32</v>
      </c>
      <c r="O35" s="129">
        <v>1.32</v>
      </c>
      <c r="P35" s="129">
        <v>1.32</v>
      </c>
      <c r="Q35" s="129">
        <v>1.32</v>
      </c>
      <c r="R35" s="129">
        <v>1.32</v>
      </c>
      <c r="S35" s="129">
        <v>1.32</v>
      </c>
      <c r="T35" s="129">
        <v>1.32</v>
      </c>
      <c r="U35" s="129">
        <v>1.32</v>
      </c>
      <c r="V35" s="129">
        <v>1.32</v>
      </c>
      <c r="W35" s="129">
        <v>1.32</v>
      </c>
      <c r="X35" s="129">
        <v>1.32</v>
      </c>
      <c r="Y35" s="129">
        <v>1.32</v>
      </c>
      <c r="Z35" s="129">
        <v>1.32</v>
      </c>
      <c r="AA35" s="129">
        <v>1.32</v>
      </c>
      <c r="AB35" s="129">
        <v>1.32</v>
      </c>
      <c r="AC35" s="129">
        <v>1.32</v>
      </c>
      <c r="AD35" s="129">
        <v>1.32</v>
      </c>
      <c r="AE35" s="129">
        <v>1.32</v>
      </c>
      <c r="AF35" s="129">
        <v>1.32</v>
      </c>
      <c r="AG35" s="129">
        <v>1.32</v>
      </c>
      <c r="AH35" s="129">
        <v>1.32</v>
      </c>
      <c r="AI35" s="129">
        <v>1.33</v>
      </c>
      <c r="AJ35" s="129">
        <v>1.34</v>
      </c>
      <c r="AK35" s="129">
        <v>1.35</v>
      </c>
      <c r="AL35" s="129">
        <v>1.36</v>
      </c>
      <c r="AM35" s="129">
        <v>1.37</v>
      </c>
      <c r="AN35" s="129">
        <v>1.38</v>
      </c>
      <c r="AO35" s="129">
        <v>1.39</v>
      </c>
      <c r="AP35" s="129">
        <v>1.4</v>
      </c>
      <c r="AQ35" s="129">
        <v>1.41</v>
      </c>
      <c r="AR35" s="129">
        <v>1.42</v>
      </c>
      <c r="AS35" s="129">
        <v>1.43</v>
      </c>
      <c r="AT35" s="129">
        <v>1.44</v>
      </c>
      <c r="AU35" s="129">
        <v>1.45</v>
      </c>
      <c r="AV35" s="129">
        <v>1.46</v>
      </c>
      <c r="AW35" s="129">
        <v>1.47</v>
      </c>
      <c r="AX35" s="129">
        <v>1.48</v>
      </c>
      <c r="AY35" s="129">
        <v>1.49</v>
      </c>
      <c r="AZ35" s="129">
        <v>1.5</v>
      </c>
      <c r="BA35" s="129">
        <v>1.51</v>
      </c>
      <c r="BB35" s="129">
        <v>1.52</v>
      </c>
      <c r="BC35" s="129">
        <v>1.53</v>
      </c>
      <c r="BD35" s="129">
        <v>1.54</v>
      </c>
      <c r="BE35" s="129">
        <v>1.55</v>
      </c>
      <c r="BF35" s="129">
        <v>1.56</v>
      </c>
      <c r="BG35" s="129">
        <v>1.57</v>
      </c>
      <c r="BH35" s="129">
        <v>1.58</v>
      </c>
      <c r="BI35" s="129">
        <v>1.59</v>
      </c>
      <c r="BJ35" s="129">
        <v>1.6</v>
      </c>
      <c r="BK35" s="129">
        <v>1.61</v>
      </c>
      <c r="BL35" s="129">
        <v>1.62</v>
      </c>
      <c r="BM35" s="129">
        <v>1.63</v>
      </c>
      <c r="BN35" s="129">
        <v>1.64</v>
      </c>
      <c r="BO35" s="129">
        <v>1.65</v>
      </c>
      <c r="BP35" s="129">
        <v>1.66</v>
      </c>
      <c r="BQ35" s="129">
        <v>1.67</v>
      </c>
      <c r="BR35" s="129">
        <v>1.68</v>
      </c>
      <c r="BS35" s="129">
        <v>1.69</v>
      </c>
      <c r="BT35" s="129">
        <v>1.69</v>
      </c>
      <c r="BU35" s="129">
        <v>1.7</v>
      </c>
      <c r="BV35" s="129">
        <v>1.71</v>
      </c>
      <c r="BW35" s="129">
        <v>1.72</v>
      </c>
      <c r="BX35" s="129">
        <v>1.72</v>
      </c>
      <c r="BY35" s="129">
        <v>1.73</v>
      </c>
      <c r="BZ35" s="129">
        <v>1.74</v>
      </c>
      <c r="CA35" s="129">
        <v>1.75</v>
      </c>
      <c r="CB35" s="129">
        <v>1.76</v>
      </c>
      <c r="CC35" s="129">
        <v>1.76</v>
      </c>
      <c r="CD35" s="129">
        <v>1.77</v>
      </c>
      <c r="CE35" s="129">
        <v>1.78</v>
      </c>
      <c r="CF35" s="129">
        <v>1.79</v>
      </c>
      <c r="CG35" s="129">
        <v>1.8</v>
      </c>
      <c r="CH35" s="129">
        <v>1.81</v>
      </c>
      <c r="CI35" s="129">
        <v>1.82</v>
      </c>
      <c r="CJ35" s="129">
        <v>1.83</v>
      </c>
      <c r="CK35" s="129">
        <v>1.84</v>
      </c>
      <c r="CL35" s="129">
        <v>1.85</v>
      </c>
      <c r="CM35" s="129">
        <v>1.86</v>
      </c>
      <c r="CN35" s="129">
        <v>1.87</v>
      </c>
      <c r="CO35" s="129">
        <v>1.88</v>
      </c>
      <c r="CP35" s="129">
        <v>1.89</v>
      </c>
      <c r="CQ35" s="129">
        <v>1.91</v>
      </c>
      <c r="CR35" s="129">
        <v>1.92</v>
      </c>
      <c r="CS35" s="129">
        <v>1.93</v>
      </c>
      <c r="CT35" s="129">
        <v>1.94</v>
      </c>
      <c r="CU35" s="129">
        <v>1.96</v>
      </c>
      <c r="CV35" s="129">
        <v>1.97</v>
      </c>
      <c r="CW35" s="129">
        <v>1.99</v>
      </c>
      <c r="CX35" s="129">
        <v>2</v>
      </c>
      <c r="CZ35" s="126">
        <f>SUMIF(MatrixF4[[1]:[2]],MatrixF4[[#This Row],[Столбец1]])/MatrixF4[[#This Row],[Столбец1]]</f>
        <v>64.999999999999915</v>
      </c>
    </row>
    <row r="36" spans="1:104" ht="21" customHeight="1" x14ac:dyDescent="0.25">
      <c r="A36" s="127">
        <v>1.33</v>
      </c>
      <c r="B36" s="129">
        <v>1.33</v>
      </c>
      <c r="C36" s="129">
        <v>1.33</v>
      </c>
      <c r="D36" s="129">
        <v>1.33</v>
      </c>
      <c r="E36" s="129">
        <v>1.33</v>
      </c>
      <c r="F36" s="129">
        <v>1.33</v>
      </c>
      <c r="G36" s="129">
        <v>1.33</v>
      </c>
      <c r="H36" s="129">
        <v>1.33</v>
      </c>
      <c r="I36" s="129">
        <v>1.33</v>
      </c>
      <c r="J36" s="129">
        <v>1.33</v>
      </c>
      <c r="K36" s="129">
        <v>1.33</v>
      </c>
      <c r="L36" s="129">
        <v>1.33</v>
      </c>
      <c r="M36" s="129">
        <v>1.33</v>
      </c>
      <c r="N36" s="129">
        <v>1.33</v>
      </c>
      <c r="O36" s="129">
        <v>1.33</v>
      </c>
      <c r="P36" s="129">
        <v>1.33</v>
      </c>
      <c r="Q36" s="129">
        <v>1.33</v>
      </c>
      <c r="R36" s="129">
        <v>1.33</v>
      </c>
      <c r="S36" s="129">
        <v>1.33</v>
      </c>
      <c r="T36" s="129">
        <v>1.33</v>
      </c>
      <c r="U36" s="129">
        <v>1.33</v>
      </c>
      <c r="V36" s="129">
        <v>1.33</v>
      </c>
      <c r="W36" s="129">
        <v>1.33</v>
      </c>
      <c r="X36" s="129">
        <v>1.33</v>
      </c>
      <c r="Y36" s="129">
        <v>1.33</v>
      </c>
      <c r="Z36" s="129">
        <v>1.33</v>
      </c>
      <c r="AA36" s="129">
        <v>1.33</v>
      </c>
      <c r="AB36" s="129">
        <v>1.33</v>
      </c>
      <c r="AC36" s="129">
        <v>1.33</v>
      </c>
      <c r="AD36" s="129">
        <v>1.33</v>
      </c>
      <c r="AE36" s="129">
        <v>1.33</v>
      </c>
      <c r="AF36" s="129">
        <v>1.33</v>
      </c>
      <c r="AG36" s="129">
        <v>1.33</v>
      </c>
      <c r="AH36" s="129">
        <v>1.33</v>
      </c>
      <c r="AI36" s="129">
        <v>1.33</v>
      </c>
      <c r="AJ36" s="129">
        <v>1.34</v>
      </c>
      <c r="AK36" s="129">
        <v>1.35</v>
      </c>
      <c r="AL36" s="129">
        <v>1.36</v>
      </c>
      <c r="AM36" s="129">
        <v>1.37</v>
      </c>
      <c r="AN36" s="129">
        <v>1.38</v>
      </c>
      <c r="AO36" s="129">
        <v>1.39</v>
      </c>
      <c r="AP36" s="129">
        <v>1.4</v>
      </c>
      <c r="AQ36" s="129">
        <v>1.41</v>
      </c>
      <c r="AR36" s="129">
        <v>1.42</v>
      </c>
      <c r="AS36" s="129">
        <v>1.43</v>
      </c>
      <c r="AT36" s="129">
        <v>1.44</v>
      </c>
      <c r="AU36" s="129">
        <v>1.45</v>
      </c>
      <c r="AV36" s="129">
        <v>1.46</v>
      </c>
      <c r="AW36" s="129">
        <v>1.47</v>
      </c>
      <c r="AX36" s="129">
        <v>1.48</v>
      </c>
      <c r="AY36" s="129">
        <v>1.49</v>
      </c>
      <c r="AZ36" s="129">
        <v>1.5</v>
      </c>
      <c r="BA36" s="129">
        <v>1.51</v>
      </c>
      <c r="BB36" s="129">
        <v>1.52</v>
      </c>
      <c r="BC36" s="129">
        <v>1.53</v>
      </c>
      <c r="BD36" s="129">
        <v>1.54</v>
      </c>
      <c r="BE36" s="129">
        <v>1.55</v>
      </c>
      <c r="BF36" s="129">
        <v>1.56</v>
      </c>
      <c r="BG36" s="129">
        <v>1.57</v>
      </c>
      <c r="BH36" s="129">
        <v>1.58</v>
      </c>
      <c r="BI36" s="129">
        <v>1.59</v>
      </c>
      <c r="BJ36" s="129">
        <v>1.6</v>
      </c>
      <c r="BK36" s="129">
        <v>1.61</v>
      </c>
      <c r="BL36" s="129">
        <v>1.62</v>
      </c>
      <c r="BM36" s="129">
        <v>1.63</v>
      </c>
      <c r="BN36" s="129">
        <v>1.64</v>
      </c>
      <c r="BO36" s="129">
        <v>1.65</v>
      </c>
      <c r="BP36" s="129">
        <v>1.66</v>
      </c>
      <c r="BQ36" s="129">
        <v>1.67</v>
      </c>
      <c r="BR36" s="129">
        <v>1.68</v>
      </c>
      <c r="BS36" s="129">
        <v>1.68</v>
      </c>
      <c r="BT36" s="129">
        <v>1.69</v>
      </c>
      <c r="BU36" s="129">
        <v>1.7</v>
      </c>
      <c r="BV36" s="129">
        <v>1.71</v>
      </c>
      <c r="BW36" s="129">
        <v>1.71</v>
      </c>
      <c r="BX36" s="129">
        <v>1.72</v>
      </c>
      <c r="BY36" s="129">
        <v>1.73</v>
      </c>
      <c r="BZ36" s="129">
        <v>1.74</v>
      </c>
      <c r="CA36" s="129">
        <v>1.74</v>
      </c>
      <c r="CB36" s="129">
        <v>1.75</v>
      </c>
      <c r="CC36" s="129">
        <v>1.76</v>
      </c>
      <c r="CD36" s="129">
        <v>1.77</v>
      </c>
      <c r="CE36" s="129">
        <v>1.78</v>
      </c>
      <c r="CF36" s="129">
        <v>1.79</v>
      </c>
      <c r="CG36" s="129">
        <v>1.8</v>
      </c>
      <c r="CH36" s="129">
        <v>1.81</v>
      </c>
      <c r="CI36" s="129">
        <v>1.82</v>
      </c>
      <c r="CJ36" s="129">
        <v>1.83</v>
      </c>
      <c r="CK36" s="129">
        <v>1.84</v>
      </c>
      <c r="CL36" s="129">
        <v>1.85</v>
      </c>
      <c r="CM36" s="129">
        <v>1.86</v>
      </c>
      <c r="CN36" s="129">
        <v>1.87</v>
      </c>
      <c r="CO36" s="129">
        <v>1.88</v>
      </c>
      <c r="CP36" s="129">
        <v>1.89</v>
      </c>
      <c r="CQ36" s="129">
        <v>1.91</v>
      </c>
      <c r="CR36" s="129">
        <v>1.92</v>
      </c>
      <c r="CS36" s="129">
        <v>1.93</v>
      </c>
      <c r="CT36" s="129">
        <v>1.94</v>
      </c>
      <c r="CU36" s="129">
        <v>1.96</v>
      </c>
      <c r="CV36" s="129">
        <v>1.97</v>
      </c>
      <c r="CW36" s="129">
        <v>1.99</v>
      </c>
      <c r="CX36" s="129">
        <v>2</v>
      </c>
      <c r="CZ36" s="126">
        <f>SUMIF(MatrixF4[[1]:[2]],MatrixF4[[#This Row],[Столбец1]])/MatrixF4[[#This Row],[Столбец1]]</f>
        <v>66.999999999999929</v>
      </c>
    </row>
    <row r="37" spans="1:104" ht="21" customHeight="1" x14ac:dyDescent="0.25">
      <c r="A37" s="127">
        <v>1.34</v>
      </c>
      <c r="B37" s="129">
        <v>1.34</v>
      </c>
      <c r="C37" s="129">
        <v>1.34</v>
      </c>
      <c r="D37" s="129">
        <v>1.34</v>
      </c>
      <c r="E37" s="129">
        <v>1.34</v>
      </c>
      <c r="F37" s="129">
        <v>1.34</v>
      </c>
      <c r="G37" s="129">
        <v>1.34</v>
      </c>
      <c r="H37" s="129">
        <v>1.34</v>
      </c>
      <c r="I37" s="129">
        <v>1.34</v>
      </c>
      <c r="J37" s="129">
        <v>1.34</v>
      </c>
      <c r="K37" s="129">
        <v>1.34</v>
      </c>
      <c r="L37" s="129">
        <v>1.34</v>
      </c>
      <c r="M37" s="129">
        <v>1.34</v>
      </c>
      <c r="N37" s="129">
        <v>1.34</v>
      </c>
      <c r="O37" s="129">
        <v>1.34</v>
      </c>
      <c r="P37" s="129">
        <v>1.34</v>
      </c>
      <c r="Q37" s="129">
        <v>1.34</v>
      </c>
      <c r="R37" s="129">
        <v>1.34</v>
      </c>
      <c r="S37" s="129">
        <v>1.34</v>
      </c>
      <c r="T37" s="129">
        <v>1.34</v>
      </c>
      <c r="U37" s="129">
        <v>1.34</v>
      </c>
      <c r="V37" s="129">
        <v>1.34</v>
      </c>
      <c r="W37" s="129">
        <v>1.34</v>
      </c>
      <c r="X37" s="129">
        <v>1.34</v>
      </c>
      <c r="Y37" s="129">
        <v>1.34</v>
      </c>
      <c r="Z37" s="129">
        <v>1.34</v>
      </c>
      <c r="AA37" s="129">
        <v>1.34</v>
      </c>
      <c r="AB37" s="129">
        <v>1.34</v>
      </c>
      <c r="AC37" s="129">
        <v>1.34</v>
      </c>
      <c r="AD37" s="129">
        <v>1.34</v>
      </c>
      <c r="AE37" s="129">
        <v>1.34</v>
      </c>
      <c r="AF37" s="129">
        <v>1.34</v>
      </c>
      <c r="AG37" s="129">
        <v>1.34</v>
      </c>
      <c r="AH37" s="129">
        <v>1.34</v>
      </c>
      <c r="AI37" s="129">
        <v>1.34</v>
      </c>
      <c r="AJ37" s="129">
        <v>1.34</v>
      </c>
      <c r="AK37" s="129">
        <v>1.35</v>
      </c>
      <c r="AL37" s="129">
        <v>1.36</v>
      </c>
      <c r="AM37" s="129">
        <v>1.37</v>
      </c>
      <c r="AN37" s="129">
        <v>1.38</v>
      </c>
      <c r="AO37" s="129">
        <v>1.39</v>
      </c>
      <c r="AP37" s="129">
        <v>1.4</v>
      </c>
      <c r="AQ37" s="129">
        <v>1.41</v>
      </c>
      <c r="AR37" s="129">
        <v>1.42</v>
      </c>
      <c r="AS37" s="129">
        <v>1.43</v>
      </c>
      <c r="AT37" s="129">
        <v>1.44</v>
      </c>
      <c r="AU37" s="129">
        <v>1.45</v>
      </c>
      <c r="AV37" s="129">
        <v>1.46</v>
      </c>
      <c r="AW37" s="129">
        <v>1.47</v>
      </c>
      <c r="AX37" s="129">
        <v>1.48</v>
      </c>
      <c r="AY37" s="129">
        <v>1.49</v>
      </c>
      <c r="AZ37" s="129">
        <v>1.5</v>
      </c>
      <c r="BA37" s="129">
        <v>1.51</v>
      </c>
      <c r="BB37" s="129">
        <v>1.52</v>
      </c>
      <c r="BC37" s="129">
        <v>1.53</v>
      </c>
      <c r="BD37" s="129">
        <v>1.54</v>
      </c>
      <c r="BE37" s="129">
        <v>1.55</v>
      </c>
      <c r="BF37" s="129">
        <v>1.56</v>
      </c>
      <c r="BG37" s="129">
        <v>1.57</v>
      </c>
      <c r="BH37" s="129">
        <v>1.58</v>
      </c>
      <c r="BI37" s="129">
        <v>1.59</v>
      </c>
      <c r="BJ37" s="129">
        <v>1.6</v>
      </c>
      <c r="BK37" s="129">
        <v>1.61</v>
      </c>
      <c r="BL37" s="129">
        <v>1.62</v>
      </c>
      <c r="BM37" s="129">
        <v>1.63</v>
      </c>
      <c r="BN37" s="129">
        <v>1.64</v>
      </c>
      <c r="BO37" s="129">
        <v>1.65</v>
      </c>
      <c r="BP37" s="129">
        <v>1.66</v>
      </c>
      <c r="BQ37" s="129">
        <v>1.67</v>
      </c>
      <c r="BR37" s="129">
        <v>1.67</v>
      </c>
      <c r="BS37" s="129">
        <v>1.68</v>
      </c>
      <c r="BT37" s="129">
        <v>1.69</v>
      </c>
      <c r="BU37" s="129">
        <v>1.69</v>
      </c>
      <c r="BV37" s="129">
        <v>1.7</v>
      </c>
      <c r="BW37" s="129">
        <v>1.71</v>
      </c>
      <c r="BX37" s="129">
        <v>1.72</v>
      </c>
      <c r="BY37" s="129">
        <v>1.73</v>
      </c>
      <c r="BZ37" s="129">
        <v>1.73</v>
      </c>
      <c r="CA37" s="129">
        <v>1.74</v>
      </c>
      <c r="CB37" s="129">
        <v>1.75</v>
      </c>
      <c r="CC37" s="129">
        <v>1.76</v>
      </c>
      <c r="CD37" s="129">
        <v>1.77</v>
      </c>
      <c r="CE37" s="129">
        <v>1.78</v>
      </c>
      <c r="CF37" s="129">
        <v>1.79</v>
      </c>
      <c r="CG37" s="129">
        <v>1.8</v>
      </c>
      <c r="CH37" s="129">
        <v>1.8</v>
      </c>
      <c r="CI37" s="129">
        <v>1.81</v>
      </c>
      <c r="CJ37" s="129">
        <v>1.82</v>
      </c>
      <c r="CK37" s="129">
        <v>1.84</v>
      </c>
      <c r="CL37" s="129">
        <v>1.85</v>
      </c>
      <c r="CM37" s="129">
        <v>1.86</v>
      </c>
      <c r="CN37" s="129">
        <v>1.87</v>
      </c>
      <c r="CO37" s="129">
        <v>1.88</v>
      </c>
      <c r="CP37" s="129">
        <v>1.89</v>
      </c>
      <c r="CQ37" s="129">
        <v>1.9</v>
      </c>
      <c r="CR37" s="129">
        <v>1.92</v>
      </c>
      <c r="CS37" s="129">
        <v>1.93</v>
      </c>
      <c r="CT37" s="129">
        <v>1.94</v>
      </c>
      <c r="CU37" s="129">
        <v>1.96</v>
      </c>
      <c r="CV37" s="129">
        <v>1.97</v>
      </c>
      <c r="CW37" s="129">
        <v>1.99</v>
      </c>
      <c r="CX37" s="129">
        <v>2</v>
      </c>
      <c r="CZ37" s="126">
        <f>SUMIF(MatrixF4[[1]:[2]],MatrixF4[[#This Row],[Столбец1]])/MatrixF4[[#This Row],[Столбец1]]</f>
        <v>69.000000000000114</v>
      </c>
    </row>
    <row r="38" spans="1:104" ht="21" customHeight="1" x14ac:dyDescent="0.25">
      <c r="A38" s="127">
        <v>1.35</v>
      </c>
      <c r="B38" s="129">
        <v>1.35</v>
      </c>
      <c r="C38" s="129">
        <v>1.35</v>
      </c>
      <c r="D38" s="129">
        <v>1.35</v>
      </c>
      <c r="E38" s="129">
        <v>1.35</v>
      </c>
      <c r="F38" s="129">
        <v>1.35</v>
      </c>
      <c r="G38" s="129">
        <v>1.35</v>
      </c>
      <c r="H38" s="129">
        <v>1.35</v>
      </c>
      <c r="I38" s="129">
        <v>1.35</v>
      </c>
      <c r="J38" s="129">
        <v>1.35</v>
      </c>
      <c r="K38" s="129">
        <v>1.35</v>
      </c>
      <c r="L38" s="129">
        <v>1.35</v>
      </c>
      <c r="M38" s="129">
        <v>1.35</v>
      </c>
      <c r="N38" s="129">
        <v>1.35</v>
      </c>
      <c r="O38" s="129">
        <v>1.35</v>
      </c>
      <c r="P38" s="129">
        <v>1.35</v>
      </c>
      <c r="Q38" s="129">
        <v>1.35</v>
      </c>
      <c r="R38" s="129">
        <v>1.35</v>
      </c>
      <c r="S38" s="129">
        <v>1.35</v>
      </c>
      <c r="T38" s="129">
        <v>1.35</v>
      </c>
      <c r="U38" s="129">
        <v>1.35</v>
      </c>
      <c r="V38" s="129">
        <v>1.35</v>
      </c>
      <c r="W38" s="129">
        <v>1.35</v>
      </c>
      <c r="X38" s="129">
        <v>1.35</v>
      </c>
      <c r="Y38" s="129">
        <v>1.35</v>
      </c>
      <c r="Z38" s="129">
        <v>1.35</v>
      </c>
      <c r="AA38" s="129">
        <v>1.35</v>
      </c>
      <c r="AB38" s="129">
        <v>1.35</v>
      </c>
      <c r="AC38" s="129">
        <v>1.35</v>
      </c>
      <c r="AD38" s="129">
        <v>1.35</v>
      </c>
      <c r="AE38" s="129">
        <v>1.35</v>
      </c>
      <c r="AF38" s="129">
        <v>1.35</v>
      </c>
      <c r="AG38" s="129">
        <v>1.35</v>
      </c>
      <c r="AH38" s="129">
        <v>1.35</v>
      </c>
      <c r="AI38" s="129">
        <v>1.35</v>
      </c>
      <c r="AJ38" s="129">
        <v>1.35</v>
      </c>
      <c r="AK38" s="129">
        <v>1.35</v>
      </c>
      <c r="AL38" s="129">
        <v>1.36</v>
      </c>
      <c r="AM38" s="129">
        <v>1.37</v>
      </c>
      <c r="AN38" s="129">
        <v>1.38</v>
      </c>
      <c r="AO38" s="129">
        <v>1.39</v>
      </c>
      <c r="AP38" s="129">
        <v>1.4</v>
      </c>
      <c r="AQ38" s="129">
        <v>1.41</v>
      </c>
      <c r="AR38" s="129">
        <v>1.42</v>
      </c>
      <c r="AS38" s="129">
        <v>1.43</v>
      </c>
      <c r="AT38" s="129">
        <v>1.44</v>
      </c>
      <c r="AU38" s="129">
        <v>1.45</v>
      </c>
      <c r="AV38" s="129">
        <v>1.46</v>
      </c>
      <c r="AW38" s="129">
        <v>1.47</v>
      </c>
      <c r="AX38" s="129">
        <v>1.48</v>
      </c>
      <c r="AY38" s="129">
        <v>1.49</v>
      </c>
      <c r="AZ38" s="129">
        <v>1.5</v>
      </c>
      <c r="BA38" s="129">
        <v>1.51</v>
      </c>
      <c r="BB38" s="129">
        <v>1.52</v>
      </c>
      <c r="BC38" s="129">
        <v>1.53</v>
      </c>
      <c r="BD38" s="129">
        <v>1.54</v>
      </c>
      <c r="BE38" s="129">
        <v>1.55</v>
      </c>
      <c r="BF38" s="129">
        <v>1.56</v>
      </c>
      <c r="BG38" s="129">
        <v>1.57</v>
      </c>
      <c r="BH38" s="129">
        <v>1.58</v>
      </c>
      <c r="BI38" s="129">
        <v>1.59</v>
      </c>
      <c r="BJ38" s="129">
        <v>1.6</v>
      </c>
      <c r="BK38" s="129">
        <v>1.61</v>
      </c>
      <c r="BL38" s="129">
        <v>1.62</v>
      </c>
      <c r="BM38" s="129">
        <v>1.63</v>
      </c>
      <c r="BN38" s="129">
        <v>1.64</v>
      </c>
      <c r="BO38" s="129">
        <v>1.65</v>
      </c>
      <c r="BP38" s="129">
        <v>1.66</v>
      </c>
      <c r="BQ38" s="129">
        <v>1.66</v>
      </c>
      <c r="BR38" s="129">
        <v>1.67</v>
      </c>
      <c r="BS38" s="129">
        <v>1.68</v>
      </c>
      <c r="BT38" s="129">
        <v>1.68</v>
      </c>
      <c r="BU38" s="129">
        <v>1.69</v>
      </c>
      <c r="BV38" s="129">
        <v>1.7</v>
      </c>
      <c r="BW38" s="129">
        <v>1.71</v>
      </c>
      <c r="BX38" s="129">
        <v>1.71</v>
      </c>
      <c r="BY38" s="129">
        <v>1.72</v>
      </c>
      <c r="BZ38" s="129">
        <v>1.73</v>
      </c>
      <c r="CA38" s="129">
        <v>1.74</v>
      </c>
      <c r="CB38" s="129">
        <v>1.75</v>
      </c>
      <c r="CC38" s="129">
        <v>1.76</v>
      </c>
      <c r="CD38" s="129">
        <v>1.76</v>
      </c>
      <c r="CE38" s="129">
        <v>1.77</v>
      </c>
      <c r="CF38" s="129">
        <v>1.78</v>
      </c>
      <c r="CG38" s="129">
        <v>1.79</v>
      </c>
      <c r="CH38" s="129">
        <v>1.8</v>
      </c>
      <c r="CI38" s="129">
        <v>1.81</v>
      </c>
      <c r="CJ38" s="129">
        <v>1.82</v>
      </c>
      <c r="CK38" s="129">
        <v>1.83</v>
      </c>
      <c r="CL38" s="129">
        <v>1.84</v>
      </c>
      <c r="CM38" s="129">
        <v>1.86</v>
      </c>
      <c r="CN38" s="129">
        <v>1.87</v>
      </c>
      <c r="CO38" s="129">
        <v>1.88</v>
      </c>
      <c r="CP38" s="129">
        <v>1.89</v>
      </c>
      <c r="CQ38" s="129">
        <v>1.9</v>
      </c>
      <c r="CR38" s="129">
        <v>1.92</v>
      </c>
      <c r="CS38" s="129">
        <v>1.93</v>
      </c>
      <c r="CT38" s="129">
        <v>1.94</v>
      </c>
      <c r="CU38" s="129">
        <v>1.96</v>
      </c>
      <c r="CV38" s="129">
        <v>1.97</v>
      </c>
      <c r="CW38" s="129">
        <v>1.98</v>
      </c>
      <c r="CX38" s="129">
        <v>2</v>
      </c>
      <c r="CZ38" s="126">
        <f>SUMIF(MatrixF4[[1]:[2]],MatrixF4[[#This Row],[Столбец1]])/MatrixF4[[#This Row],[Столбец1]]</f>
        <v>70.999999999999929</v>
      </c>
    </row>
    <row r="39" spans="1:104" ht="21" customHeight="1" x14ac:dyDescent="0.25">
      <c r="A39" s="127">
        <v>1.36</v>
      </c>
      <c r="B39" s="129">
        <v>1.36</v>
      </c>
      <c r="C39" s="129">
        <v>1.36</v>
      </c>
      <c r="D39" s="129">
        <v>1.36</v>
      </c>
      <c r="E39" s="129">
        <v>1.36</v>
      </c>
      <c r="F39" s="129">
        <v>1.36</v>
      </c>
      <c r="G39" s="129">
        <v>1.36</v>
      </c>
      <c r="H39" s="129">
        <v>1.36</v>
      </c>
      <c r="I39" s="129">
        <v>1.36</v>
      </c>
      <c r="J39" s="129">
        <v>1.36</v>
      </c>
      <c r="K39" s="129">
        <v>1.36</v>
      </c>
      <c r="L39" s="129">
        <v>1.36</v>
      </c>
      <c r="M39" s="129">
        <v>1.36</v>
      </c>
      <c r="N39" s="129">
        <v>1.36</v>
      </c>
      <c r="O39" s="129">
        <v>1.36</v>
      </c>
      <c r="P39" s="129">
        <v>1.36</v>
      </c>
      <c r="Q39" s="129">
        <v>1.36</v>
      </c>
      <c r="R39" s="129">
        <v>1.36</v>
      </c>
      <c r="S39" s="129">
        <v>1.36</v>
      </c>
      <c r="T39" s="129">
        <v>1.36</v>
      </c>
      <c r="U39" s="129">
        <v>1.36</v>
      </c>
      <c r="V39" s="129">
        <v>1.36</v>
      </c>
      <c r="W39" s="129">
        <v>1.36</v>
      </c>
      <c r="X39" s="129">
        <v>1.36</v>
      </c>
      <c r="Y39" s="129">
        <v>1.36</v>
      </c>
      <c r="Z39" s="129">
        <v>1.36</v>
      </c>
      <c r="AA39" s="129">
        <v>1.36</v>
      </c>
      <c r="AB39" s="129">
        <v>1.36</v>
      </c>
      <c r="AC39" s="129">
        <v>1.36</v>
      </c>
      <c r="AD39" s="129">
        <v>1.36</v>
      </c>
      <c r="AE39" s="129">
        <v>1.36</v>
      </c>
      <c r="AF39" s="129">
        <v>1.36</v>
      </c>
      <c r="AG39" s="129">
        <v>1.36</v>
      </c>
      <c r="AH39" s="129">
        <v>1.36</v>
      </c>
      <c r="AI39" s="129">
        <v>1.36</v>
      </c>
      <c r="AJ39" s="129">
        <v>1.36</v>
      </c>
      <c r="AK39" s="129">
        <v>1.36</v>
      </c>
      <c r="AL39" s="129">
        <v>1.36</v>
      </c>
      <c r="AM39" s="129">
        <v>1.37</v>
      </c>
      <c r="AN39" s="129">
        <v>1.38</v>
      </c>
      <c r="AO39" s="129">
        <v>1.39</v>
      </c>
      <c r="AP39" s="129">
        <v>1.4</v>
      </c>
      <c r="AQ39" s="129">
        <v>1.41</v>
      </c>
      <c r="AR39" s="129">
        <v>1.42</v>
      </c>
      <c r="AS39" s="129">
        <v>1.43</v>
      </c>
      <c r="AT39" s="129">
        <v>1.44</v>
      </c>
      <c r="AU39" s="129">
        <v>1.45</v>
      </c>
      <c r="AV39" s="129">
        <v>1.46</v>
      </c>
      <c r="AW39" s="129">
        <v>1.47</v>
      </c>
      <c r="AX39" s="129">
        <v>1.48</v>
      </c>
      <c r="AY39" s="129">
        <v>1.49</v>
      </c>
      <c r="AZ39" s="129">
        <v>1.5</v>
      </c>
      <c r="BA39" s="129">
        <v>1.51</v>
      </c>
      <c r="BB39" s="129">
        <v>1.52</v>
      </c>
      <c r="BC39" s="129">
        <v>1.53</v>
      </c>
      <c r="BD39" s="129">
        <v>1.54</v>
      </c>
      <c r="BE39" s="129">
        <v>1.55</v>
      </c>
      <c r="BF39" s="129">
        <v>1.56</v>
      </c>
      <c r="BG39" s="129">
        <v>1.57</v>
      </c>
      <c r="BH39" s="129">
        <v>1.58</v>
      </c>
      <c r="BI39" s="129">
        <v>1.59</v>
      </c>
      <c r="BJ39" s="129">
        <v>1.6</v>
      </c>
      <c r="BK39" s="129">
        <v>1.61</v>
      </c>
      <c r="BL39" s="129">
        <v>1.62</v>
      </c>
      <c r="BM39" s="129">
        <v>1.63</v>
      </c>
      <c r="BN39" s="129">
        <v>1.64</v>
      </c>
      <c r="BO39" s="129">
        <v>1.65</v>
      </c>
      <c r="BP39" s="129">
        <v>1.65</v>
      </c>
      <c r="BQ39" s="129">
        <v>1.66</v>
      </c>
      <c r="BR39" s="129">
        <v>1.67</v>
      </c>
      <c r="BS39" s="129">
        <v>1.67</v>
      </c>
      <c r="BT39" s="129">
        <v>1.68</v>
      </c>
      <c r="BU39" s="129">
        <v>1.69</v>
      </c>
      <c r="BV39" s="129">
        <v>1.7</v>
      </c>
      <c r="BW39" s="129">
        <v>1.7</v>
      </c>
      <c r="BX39" s="129">
        <v>1.71</v>
      </c>
      <c r="BY39" s="129">
        <v>1.72</v>
      </c>
      <c r="BZ39" s="129">
        <v>1.73</v>
      </c>
      <c r="CA39" s="129">
        <v>1.74</v>
      </c>
      <c r="CB39" s="129">
        <v>1.74</v>
      </c>
      <c r="CC39" s="129">
        <v>1.75</v>
      </c>
      <c r="CD39" s="129">
        <v>1.76</v>
      </c>
      <c r="CE39" s="129">
        <v>1.77</v>
      </c>
      <c r="CF39" s="129">
        <v>1.78</v>
      </c>
      <c r="CG39" s="129">
        <v>1.79</v>
      </c>
      <c r="CH39" s="129">
        <v>1.8</v>
      </c>
      <c r="CI39" s="129">
        <v>1.81</v>
      </c>
      <c r="CJ39" s="129">
        <v>1.82</v>
      </c>
      <c r="CK39" s="129">
        <v>1.83</v>
      </c>
      <c r="CL39" s="129">
        <v>1.84</v>
      </c>
      <c r="CM39" s="129">
        <v>1.85</v>
      </c>
      <c r="CN39" s="129">
        <v>1.86</v>
      </c>
      <c r="CO39" s="129">
        <v>1.88</v>
      </c>
      <c r="CP39" s="129">
        <v>1.89</v>
      </c>
      <c r="CQ39" s="129">
        <v>1.9</v>
      </c>
      <c r="CR39" s="129">
        <v>1.91</v>
      </c>
      <c r="CS39" s="129">
        <v>1.93</v>
      </c>
      <c r="CT39" s="129">
        <v>1.94</v>
      </c>
      <c r="CU39" s="129">
        <v>1.96</v>
      </c>
      <c r="CV39" s="129">
        <v>1.97</v>
      </c>
      <c r="CW39" s="129">
        <v>1.98</v>
      </c>
      <c r="CX39" s="129">
        <v>2</v>
      </c>
      <c r="CZ39" s="126">
        <f>SUMIF(MatrixF4[[1]:[2]],MatrixF4[[#This Row],[Столбец1]])/MatrixF4[[#This Row],[Столбец1]]</f>
        <v>72.999999999999972</v>
      </c>
    </row>
    <row r="40" spans="1:104" ht="21" customHeight="1" x14ac:dyDescent="0.25">
      <c r="A40" s="127">
        <v>1.37</v>
      </c>
      <c r="B40" s="129">
        <v>1.37</v>
      </c>
      <c r="C40" s="129">
        <v>1.37</v>
      </c>
      <c r="D40" s="129">
        <v>1.37</v>
      </c>
      <c r="E40" s="129">
        <v>1.37</v>
      </c>
      <c r="F40" s="129">
        <v>1.37</v>
      </c>
      <c r="G40" s="129">
        <v>1.37</v>
      </c>
      <c r="H40" s="129">
        <v>1.37</v>
      </c>
      <c r="I40" s="129">
        <v>1.37</v>
      </c>
      <c r="J40" s="129">
        <v>1.37</v>
      </c>
      <c r="K40" s="129">
        <v>1.37</v>
      </c>
      <c r="L40" s="129">
        <v>1.37</v>
      </c>
      <c r="M40" s="129">
        <v>1.37</v>
      </c>
      <c r="N40" s="129">
        <v>1.37</v>
      </c>
      <c r="O40" s="129">
        <v>1.37</v>
      </c>
      <c r="P40" s="129">
        <v>1.37</v>
      </c>
      <c r="Q40" s="129">
        <v>1.37</v>
      </c>
      <c r="R40" s="129">
        <v>1.37</v>
      </c>
      <c r="S40" s="129">
        <v>1.37</v>
      </c>
      <c r="T40" s="129">
        <v>1.37</v>
      </c>
      <c r="U40" s="129">
        <v>1.37</v>
      </c>
      <c r="V40" s="129">
        <v>1.37</v>
      </c>
      <c r="W40" s="129">
        <v>1.37</v>
      </c>
      <c r="X40" s="129">
        <v>1.37</v>
      </c>
      <c r="Y40" s="129">
        <v>1.37</v>
      </c>
      <c r="Z40" s="129">
        <v>1.37</v>
      </c>
      <c r="AA40" s="129">
        <v>1.37</v>
      </c>
      <c r="AB40" s="129">
        <v>1.37</v>
      </c>
      <c r="AC40" s="129">
        <v>1.37</v>
      </c>
      <c r="AD40" s="129">
        <v>1.37</v>
      </c>
      <c r="AE40" s="129">
        <v>1.37</v>
      </c>
      <c r="AF40" s="129">
        <v>1.37</v>
      </c>
      <c r="AG40" s="129">
        <v>1.37</v>
      </c>
      <c r="AH40" s="129">
        <v>1.37</v>
      </c>
      <c r="AI40" s="129">
        <v>1.37</v>
      </c>
      <c r="AJ40" s="129">
        <v>1.37</v>
      </c>
      <c r="AK40" s="129">
        <v>1.37</v>
      </c>
      <c r="AL40" s="129">
        <v>1.37</v>
      </c>
      <c r="AM40" s="129">
        <v>1.37</v>
      </c>
      <c r="AN40" s="129">
        <v>1.38</v>
      </c>
      <c r="AO40" s="129">
        <v>1.39</v>
      </c>
      <c r="AP40" s="129">
        <v>1.4</v>
      </c>
      <c r="AQ40" s="129">
        <v>1.41</v>
      </c>
      <c r="AR40" s="129">
        <v>1.42</v>
      </c>
      <c r="AS40" s="129">
        <v>1.43</v>
      </c>
      <c r="AT40" s="129">
        <v>1.44</v>
      </c>
      <c r="AU40" s="129">
        <v>1.45</v>
      </c>
      <c r="AV40" s="129">
        <v>1.46</v>
      </c>
      <c r="AW40" s="129">
        <v>1.47</v>
      </c>
      <c r="AX40" s="129">
        <v>1.48</v>
      </c>
      <c r="AY40" s="129">
        <v>1.49</v>
      </c>
      <c r="AZ40" s="129">
        <v>1.5</v>
      </c>
      <c r="BA40" s="129">
        <v>1.51</v>
      </c>
      <c r="BB40" s="129">
        <v>1.52</v>
      </c>
      <c r="BC40" s="129">
        <v>1.53</v>
      </c>
      <c r="BD40" s="129">
        <v>1.54</v>
      </c>
      <c r="BE40" s="129">
        <v>1.55</v>
      </c>
      <c r="BF40" s="129">
        <v>1.56</v>
      </c>
      <c r="BG40" s="129">
        <v>1.57</v>
      </c>
      <c r="BH40" s="129">
        <v>1.58</v>
      </c>
      <c r="BI40" s="129">
        <v>1.59</v>
      </c>
      <c r="BJ40" s="129">
        <v>1.6</v>
      </c>
      <c r="BK40" s="129">
        <v>1.61</v>
      </c>
      <c r="BL40" s="129">
        <v>1.62</v>
      </c>
      <c r="BM40" s="129">
        <v>1.63</v>
      </c>
      <c r="BN40" s="129">
        <v>1.64</v>
      </c>
      <c r="BO40" s="129">
        <v>1.64</v>
      </c>
      <c r="BP40" s="129">
        <v>1.65</v>
      </c>
      <c r="BQ40" s="129">
        <v>1.66</v>
      </c>
      <c r="BR40" s="129">
        <v>1.66</v>
      </c>
      <c r="BS40" s="129">
        <v>1.67</v>
      </c>
      <c r="BT40" s="129">
        <v>1.68</v>
      </c>
      <c r="BU40" s="129">
        <v>1.68</v>
      </c>
      <c r="BV40" s="129">
        <v>1.69</v>
      </c>
      <c r="BW40" s="129">
        <v>1.7</v>
      </c>
      <c r="BX40" s="129">
        <v>1.71</v>
      </c>
      <c r="BY40" s="129">
        <v>1.72</v>
      </c>
      <c r="BZ40" s="129">
        <v>1.72</v>
      </c>
      <c r="CA40" s="129">
        <v>1.73</v>
      </c>
      <c r="CB40" s="129">
        <v>1.74</v>
      </c>
      <c r="CC40" s="129">
        <v>1.75</v>
      </c>
      <c r="CD40" s="129">
        <v>1.76</v>
      </c>
      <c r="CE40" s="129">
        <v>1.77</v>
      </c>
      <c r="CF40" s="129">
        <v>1.78</v>
      </c>
      <c r="CG40" s="129">
        <v>1.79</v>
      </c>
      <c r="CH40" s="129">
        <v>1.8</v>
      </c>
      <c r="CI40" s="129">
        <v>1.81</v>
      </c>
      <c r="CJ40" s="129">
        <v>1.82</v>
      </c>
      <c r="CK40" s="129">
        <v>1.83</v>
      </c>
      <c r="CL40" s="129">
        <v>1.84</v>
      </c>
      <c r="CM40" s="129">
        <v>1.85</v>
      </c>
      <c r="CN40" s="129">
        <v>1.86</v>
      </c>
      <c r="CO40" s="129">
        <v>1.88</v>
      </c>
      <c r="CP40" s="129">
        <v>1.89</v>
      </c>
      <c r="CQ40" s="129">
        <v>1.9</v>
      </c>
      <c r="CR40" s="129">
        <v>1.91</v>
      </c>
      <c r="CS40" s="129">
        <v>1.93</v>
      </c>
      <c r="CT40" s="129">
        <v>1.94</v>
      </c>
      <c r="CU40" s="129">
        <v>1.95</v>
      </c>
      <c r="CV40" s="129">
        <v>1.97</v>
      </c>
      <c r="CW40" s="129">
        <v>1.98</v>
      </c>
      <c r="CX40" s="129">
        <v>2</v>
      </c>
      <c r="CZ40" s="126">
        <f>SUMIF(MatrixF4[[1]:[2]],MatrixF4[[#This Row],[Столбец1]])/MatrixF4[[#This Row],[Столбец1]]</f>
        <v>75.000000000000057</v>
      </c>
    </row>
    <row r="41" spans="1:104" ht="21" customHeight="1" x14ac:dyDescent="0.25">
      <c r="A41" s="127">
        <v>1.38</v>
      </c>
      <c r="B41" s="129">
        <v>1.38</v>
      </c>
      <c r="C41" s="129">
        <v>1.38</v>
      </c>
      <c r="D41" s="129">
        <v>1.38</v>
      </c>
      <c r="E41" s="129">
        <v>1.38</v>
      </c>
      <c r="F41" s="129">
        <v>1.38</v>
      </c>
      <c r="G41" s="129">
        <v>1.38</v>
      </c>
      <c r="H41" s="129">
        <v>1.38</v>
      </c>
      <c r="I41" s="129">
        <v>1.38</v>
      </c>
      <c r="J41" s="129">
        <v>1.38</v>
      </c>
      <c r="K41" s="129">
        <v>1.38</v>
      </c>
      <c r="L41" s="129">
        <v>1.38</v>
      </c>
      <c r="M41" s="129">
        <v>1.38</v>
      </c>
      <c r="N41" s="129">
        <v>1.38</v>
      </c>
      <c r="O41" s="129">
        <v>1.38</v>
      </c>
      <c r="P41" s="129">
        <v>1.38</v>
      </c>
      <c r="Q41" s="129">
        <v>1.38</v>
      </c>
      <c r="R41" s="129">
        <v>1.38</v>
      </c>
      <c r="S41" s="129">
        <v>1.38</v>
      </c>
      <c r="T41" s="129">
        <v>1.38</v>
      </c>
      <c r="U41" s="129">
        <v>1.38</v>
      </c>
      <c r="V41" s="129">
        <v>1.38</v>
      </c>
      <c r="W41" s="129">
        <v>1.38</v>
      </c>
      <c r="X41" s="129">
        <v>1.38</v>
      </c>
      <c r="Y41" s="129">
        <v>1.38</v>
      </c>
      <c r="Z41" s="129">
        <v>1.38</v>
      </c>
      <c r="AA41" s="129">
        <v>1.38</v>
      </c>
      <c r="AB41" s="129">
        <v>1.38</v>
      </c>
      <c r="AC41" s="129">
        <v>1.38</v>
      </c>
      <c r="AD41" s="129">
        <v>1.38</v>
      </c>
      <c r="AE41" s="129">
        <v>1.38</v>
      </c>
      <c r="AF41" s="129">
        <v>1.38</v>
      </c>
      <c r="AG41" s="129">
        <v>1.38</v>
      </c>
      <c r="AH41" s="129">
        <v>1.38</v>
      </c>
      <c r="AI41" s="129">
        <v>1.38</v>
      </c>
      <c r="AJ41" s="129">
        <v>1.38</v>
      </c>
      <c r="AK41" s="129">
        <v>1.38</v>
      </c>
      <c r="AL41" s="129">
        <v>1.38</v>
      </c>
      <c r="AM41" s="129">
        <v>1.38</v>
      </c>
      <c r="AN41" s="129">
        <v>1.38</v>
      </c>
      <c r="AO41" s="129">
        <v>1.39</v>
      </c>
      <c r="AP41" s="129">
        <v>1.4</v>
      </c>
      <c r="AQ41" s="129">
        <v>1.41</v>
      </c>
      <c r="AR41" s="129">
        <v>1.42</v>
      </c>
      <c r="AS41" s="129">
        <v>1.43</v>
      </c>
      <c r="AT41" s="129">
        <v>1.44</v>
      </c>
      <c r="AU41" s="129">
        <v>1.45</v>
      </c>
      <c r="AV41" s="129">
        <v>1.46</v>
      </c>
      <c r="AW41" s="129">
        <v>1.47</v>
      </c>
      <c r="AX41" s="129">
        <v>1.48</v>
      </c>
      <c r="AY41" s="129">
        <v>1.49</v>
      </c>
      <c r="AZ41" s="129">
        <v>1.5</v>
      </c>
      <c r="BA41" s="129">
        <v>1.51</v>
      </c>
      <c r="BB41" s="129">
        <v>1.52</v>
      </c>
      <c r="BC41" s="129">
        <v>1.53</v>
      </c>
      <c r="BD41" s="129">
        <v>1.54</v>
      </c>
      <c r="BE41" s="129">
        <v>1.55</v>
      </c>
      <c r="BF41" s="129">
        <v>1.56</v>
      </c>
      <c r="BG41" s="129">
        <v>1.57</v>
      </c>
      <c r="BH41" s="129">
        <v>1.58</v>
      </c>
      <c r="BI41" s="129">
        <v>1.59</v>
      </c>
      <c r="BJ41" s="129">
        <v>1.6</v>
      </c>
      <c r="BK41" s="129">
        <v>1.61</v>
      </c>
      <c r="BL41" s="129">
        <v>1.62</v>
      </c>
      <c r="BM41" s="129">
        <v>1.63</v>
      </c>
      <c r="BN41" s="129">
        <v>1.63</v>
      </c>
      <c r="BO41" s="129">
        <v>1.64</v>
      </c>
      <c r="BP41" s="129">
        <v>1.65</v>
      </c>
      <c r="BQ41" s="129">
        <v>1.65</v>
      </c>
      <c r="BR41" s="129">
        <v>1.66</v>
      </c>
      <c r="BS41" s="129">
        <v>1.67</v>
      </c>
      <c r="BT41" s="129">
        <v>1.67</v>
      </c>
      <c r="BU41" s="129">
        <v>1.68</v>
      </c>
      <c r="BV41" s="129">
        <v>1.69</v>
      </c>
      <c r="BW41" s="129">
        <v>1.7</v>
      </c>
      <c r="BX41" s="129">
        <v>1.7</v>
      </c>
      <c r="BY41" s="129">
        <v>1.71</v>
      </c>
      <c r="BZ41" s="129">
        <v>1.72</v>
      </c>
      <c r="CA41" s="129">
        <v>1.73</v>
      </c>
      <c r="CB41" s="129">
        <v>1.74</v>
      </c>
      <c r="CC41" s="129">
        <v>1.75</v>
      </c>
      <c r="CD41" s="129">
        <v>1.76</v>
      </c>
      <c r="CE41" s="129">
        <v>1.77</v>
      </c>
      <c r="CF41" s="129">
        <v>1.78</v>
      </c>
      <c r="CG41" s="129">
        <v>1.78</v>
      </c>
      <c r="CH41" s="129">
        <v>1.79</v>
      </c>
      <c r="CI41" s="129">
        <v>1.81</v>
      </c>
      <c r="CJ41" s="129">
        <v>1.82</v>
      </c>
      <c r="CK41" s="129">
        <v>1.83</v>
      </c>
      <c r="CL41" s="129">
        <v>1.84</v>
      </c>
      <c r="CM41" s="129">
        <v>1.85</v>
      </c>
      <c r="CN41" s="129">
        <v>1.86</v>
      </c>
      <c r="CO41" s="129">
        <v>1.87</v>
      </c>
      <c r="CP41" s="129">
        <v>1.89</v>
      </c>
      <c r="CQ41" s="129">
        <v>1.9</v>
      </c>
      <c r="CR41" s="129">
        <v>1.91</v>
      </c>
      <c r="CS41" s="129">
        <v>1.93</v>
      </c>
      <c r="CT41" s="129">
        <v>1.94</v>
      </c>
      <c r="CU41" s="129">
        <v>1.95</v>
      </c>
      <c r="CV41" s="129">
        <v>1.97</v>
      </c>
      <c r="CW41" s="129">
        <v>1.98</v>
      </c>
      <c r="CX41" s="129">
        <v>2</v>
      </c>
      <c r="CZ41" s="126">
        <f>SUMIF(MatrixF4[[1]:[2]],MatrixF4[[#This Row],[Столбец1]])/MatrixF4[[#This Row],[Столбец1]]</f>
        <v>76.999999999999943</v>
      </c>
    </row>
    <row r="42" spans="1:104" ht="21" customHeight="1" x14ac:dyDescent="0.25">
      <c r="A42" s="127">
        <v>1.39</v>
      </c>
      <c r="B42" s="129">
        <v>1.39</v>
      </c>
      <c r="C42" s="129">
        <v>1.39</v>
      </c>
      <c r="D42" s="129">
        <v>1.39</v>
      </c>
      <c r="E42" s="129">
        <v>1.39</v>
      </c>
      <c r="F42" s="129">
        <v>1.39</v>
      </c>
      <c r="G42" s="129">
        <v>1.39</v>
      </c>
      <c r="H42" s="129">
        <v>1.39</v>
      </c>
      <c r="I42" s="129">
        <v>1.39</v>
      </c>
      <c r="J42" s="129">
        <v>1.39</v>
      </c>
      <c r="K42" s="129">
        <v>1.39</v>
      </c>
      <c r="L42" s="129">
        <v>1.39</v>
      </c>
      <c r="M42" s="129">
        <v>1.39</v>
      </c>
      <c r="N42" s="129">
        <v>1.39</v>
      </c>
      <c r="O42" s="129">
        <v>1.39</v>
      </c>
      <c r="P42" s="129">
        <v>1.39</v>
      </c>
      <c r="Q42" s="129">
        <v>1.39</v>
      </c>
      <c r="R42" s="129">
        <v>1.39</v>
      </c>
      <c r="S42" s="129">
        <v>1.39</v>
      </c>
      <c r="T42" s="129">
        <v>1.39</v>
      </c>
      <c r="U42" s="129">
        <v>1.39</v>
      </c>
      <c r="V42" s="129">
        <v>1.39</v>
      </c>
      <c r="W42" s="129">
        <v>1.39</v>
      </c>
      <c r="X42" s="129">
        <v>1.39</v>
      </c>
      <c r="Y42" s="129">
        <v>1.39</v>
      </c>
      <c r="Z42" s="129">
        <v>1.39</v>
      </c>
      <c r="AA42" s="129">
        <v>1.39</v>
      </c>
      <c r="AB42" s="129">
        <v>1.39</v>
      </c>
      <c r="AC42" s="129">
        <v>1.39</v>
      </c>
      <c r="AD42" s="129">
        <v>1.39</v>
      </c>
      <c r="AE42" s="129">
        <v>1.39</v>
      </c>
      <c r="AF42" s="129">
        <v>1.39</v>
      </c>
      <c r="AG42" s="129">
        <v>1.39</v>
      </c>
      <c r="AH42" s="129">
        <v>1.39</v>
      </c>
      <c r="AI42" s="129">
        <v>1.39</v>
      </c>
      <c r="AJ42" s="129">
        <v>1.39</v>
      </c>
      <c r="AK42" s="129">
        <v>1.39</v>
      </c>
      <c r="AL42" s="129">
        <v>1.39</v>
      </c>
      <c r="AM42" s="129">
        <v>1.39</v>
      </c>
      <c r="AN42" s="129">
        <v>1.39</v>
      </c>
      <c r="AO42" s="129">
        <v>1.39</v>
      </c>
      <c r="AP42" s="129">
        <v>1.4</v>
      </c>
      <c r="AQ42" s="129">
        <v>1.41</v>
      </c>
      <c r="AR42" s="129">
        <v>1.42</v>
      </c>
      <c r="AS42" s="129">
        <v>1.43</v>
      </c>
      <c r="AT42" s="129">
        <v>1.44</v>
      </c>
      <c r="AU42" s="129">
        <v>1.45</v>
      </c>
      <c r="AV42" s="129">
        <v>1.46</v>
      </c>
      <c r="AW42" s="129">
        <v>1.47</v>
      </c>
      <c r="AX42" s="129">
        <v>1.48</v>
      </c>
      <c r="AY42" s="129">
        <v>1.49</v>
      </c>
      <c r="AZ42" s="129">
        <v>1.5</v>
      </c>
      <c r="BA42" s="129">
        <v>1.51</v>
      </c>
      <c r="BB42" s="129">
        <v>1.52</v>
      </c>
      <c r="BC42" s="129">
        <v>1.53</v>
      </c>
      <c r="BD42" s="129">
        <v>1.54</v>
      </c>
      <c r="BE42" s="129">
        <v>1.55</v>
      </c>
      <c r="BF42" s="129">
        <v>1.56</v>
      </c>
      <c r="BG42" s="129">
        <v>1.57</v>
      </c>
      <c r="BH42" s="129">
        <v>1.58</v>
      </c>
      <c r="BI42" s="129">
        <v>1.59</v>
      </c>
      <c r="BJ42" s="129">
        <v>1.6</v>
      </c>
      <c r="BK42" s="129">
        <v>1.61</v>
      </c>
      <c r="BL42" s="129">
        <v>1.62</v>
      </c>
      <c r="BM42" s="129">
        <v>1.62</v>
      </c>
      <c r="BN42" s="129">
        <v>1.63</v>
      </c>
      <c r="BO42" s="129">
        <v>1.64</v>
      </c>
      <c r="BP42" s="129">
        <v>1.64</v>
      </c>
      <c r="BQ42" s="129">
        <v>1.65</v>
      </c>
      <c r="BR42" s="129">
        <v>1.66</v>
      </c>
      <c r="BS42" s="129">
        <v>1.66</v>
      </c>
      <c r="BT42" s="129">
        <v>1.67</v>
      </c>
      <c r="BU42" s="129">
        <v>1.68</v>
      </c>
      <c r="BV42" s="129">
        <v>1.69</v>
      </c>
      <c r="BW42" s="129">
        <v>1.69</v>
      </c>
      <c r="BX42" s="129">
        <v>1.7</v>
      </c>
      <c r="BY42" s="129">
        <v>1.71</v>
      </c>
      <c r="BZ42" s="129">
        <v>1.72</v>
      </c>
      <c r="CA42" s="129">
        <v>1.73</v>
      </c>
      <c r="CB42" s="129">
        <v>1.73</v>
      </c>
      <c r="CC42" s="129">
        <v>1.74</v>
      </c>
      <c r="CD42" s="129">
        <v>1.75</v>
      </c>
      <c r="CE42" s="129">
        <v>1.76</v>
      </c>
      <c r="CF42" s="129">
        <v>1.77</v>
      </c>
      <c r="CG42" s="129">
        <v>1.78</v>
      </c>
      <c r="CH42" s="129">
        <v>1.79</v>
      </c>
      <c r="CI42" s="129">
        <v>1.8</v>
      </c>
      <c r="CJ42" s="129">
        <v>1.81</v>
      </c>
      <c r="CK42" s="129">
        <v>1.82</v>
      </c>
      <c r="CL42" s="129">
        <v>1.84</v>
      </c>
      <c r="CM42" s="129">
        <v>1.85</v>
      </c>
      <c r="CN42" s="129">
        <v>1.86</v>
      </c>
      <c r="CO42" s="129">
        <v>1.87</v>
      </c>
      <c r="CP42" s="129">
        <v>1.88</v>
      </c>
      <c r="CQ42" s="129">
        <v>1.9</v>
      </c>
      <c r="CR42" s="129">
        <v>1.91</v>
      </c>
      <c r="CS42" s="129">
        <v>1.92</v>
      </c>
      <c r="CT42" s="129">
        <v>1.94</v>
      </c>
      <c r="CU42" s="129">
        <v>1.95</v>
      </c>
      <c r="CV42" s="129">
        <v>1.97</v>
      </c>
      <c r="CW42" s="129">
        <v>1.98</v>
      </c>
      <c r="CX42" s="129">
        <v>2</v>
      </c>
      <c r="CZ42" s="126">
        <f>SUMIF(MatrixF4[[1]:[2]],MatrixF4[[#This Row],[Столбец1]])/MatrixF4[[#This Row],[Столбец1]]</f>
        <v>79.000000000000028</v>
      </c>
    </row>
    <row r="43" spans="1:104" ht="21" customHeight="1" x14ac:dyDescent="0.25">
      <c r="A43" s="127">
        <v>1.4</v>
      </c>
      <c r="B43" s="129">
        <v>1.4</v>
      </c>
      <c r="C43" s="129">
        <v>1.4</v>
      </c>
      <c r="D43" s="129">
        <v>1.4</v>
      </c>
      <c r="E43" s="129">
        <v>1.4</v>
      </c>
      <c r="F43" s="129">
        <v>1.4</v>
      </c>
      <c r="G43" s="129">
        <v>1.4</v>
      </c>
      <c r="H43" s="129">
        <v>1.4</v>
      </c>
      <c r="I43" s="129">
        <v>1.4</v>
      </c>
      <c r="J43" s="129">
        <v>1.4</v>
      </c>
      <c r="K43" s="129">
        <v>1.4</v>
      </c>
      <c r="L43" s="129">
        <v>1.4</v>
      </c>
      <c r="M43" s="129">
        <v>1.4</v>
      </c>
      <c r="N43" s="129">
        <v>1.4</v>
      </c>
      <c r="O43" s="129">
        <v>1.4</v>
      </c>
      <c r="P43" s="129">
        <v>1.4</v>
      </c>
      <c r="Q43" s="129">
        <v>1.4</v>
      </c>
      <c r="R43" s="129">
        <v>1.4</v>
      </c>
      <c r="S43" s="129">
        <v>1.4</v>
      </c>
      <c r="T43" s="129">
        <v>1.4</v>
      </c>
      <c r="U43" s="129">
        <v>1.4</v>
      </c>
      <c r="V43" s="129">
        <v>1.4</v>
      </c>
      <c r="W43" s="129">
        <v>1.4</v>
      </c>
      <c r="X43" s="129">
        <v>1.4</v>
      </c>
      <c r="Y43" s="129">
        <v>1.4</v>
      </c>
      <c r="Z43" s="129">
        <v>1.4</v>
      </c>
      <c r="AA43" s="129">
        <v>1.4</v>
      </c>
      <c r="AB43" s="129">
        <v>1.4</v>
      </c>
      <c r="AC43" s="129">
        <v>1.4</v>
      </c>
      <c r="AD43" s="129">
        <v>1.4</v>
      </c>
      <c r="AE43" s="129">
        <v>1.4</v>
      </c>
      <c r="AF43" s="129">
        <v>1.4</v>
      </c>
      <c r="AG43" s="129">
        <v>1.4</v>
      </c>
      <c r="AH43" s="129">
        <v>1.4</v>
      </c>
      <c r="AI43" s="129">
        <v>1.4</v>
      </c>
      <c r="AJ43" s="129">
        <v>1.4</v>
      </c>
      <c r="AK43" s="129">
        <v>1.4</v>
      </c>
      <c r="AL43" s="129">
        <v>1.4</v>
      </c>
      <c r="AM43" s="129">
        <v>1.4</v>
      </c>
      <c r="AN43" s="129">
        <v>1.4</v>
      </c>
      <c r="AO43" s="129">
        <v>1.4</v>
      </c>
      <c r="AP43" s="129">
        <v>1.4</v>
      </c>
      <c r="AQ43" s="129">
        <v>1.41</v>
      </c>
      <c r="AR43" s="129">
        <v>1.42</v>
      </c>
      <c r="AS43" s="129">
        <v>1.43</v>
      </c>
      <c r="AT43" s="129">
        <v>1.44</v>
      </c>
      <c r="AU43" s="129">
        <v>1.45</v>
      </c>
      <c r="AV43" s="129">
        <v>1.46</v>
      </c>
      <c r="AW43" s="129">
        <v>1.47</v>
      </c>
      <c r="AX43" s="129">
        <v>1.48</v>
      </c>
      <c r="AY43" s="129">
        <v>1.49</v>
      </c>
      <c r="AZ43" s="129">
        <v>1.5</v>
      </c>
      <c r="BA43" s="129">
        <v>1.51</v>
      </c>
      <c r="BB43" s="129">
        <v>1.52</v>
      </c>
      <c r="BC43" s="129">
        <v>1.53</v>
      </c>
      <c r="BD43" s="129">
        <v>1.54</v>
      </c>
      <c r="BE43" s="129">
        <v>1.55</v>
      </c>
      <c r="BF43" s="129">
        <v>1.56</v>
      </c>
      <c r="BG43" s="129">
        <v>1.57</v>
      </c>
      <c r="BH43" s="129">
        <v>1.58</v>
      </c>
      <c r="BI43" s="129">
        <v>1.59</v>
      </c>
      <c r="BJ43" s="129">
        <v>1.6</v>
      </c>
      <c r="BK43" s="129">
        <v>1.61</v>
      </c>
      <c r="BL43" s="129">
        <v>1.61</v>
      </c>
      <c r="BM43" s="129">
        <v>1.62</v>
      </c>
      <c r="BN43" s="129">
        <v>1.62</v>
      </c>
      <c r="BO43" s="129">
        <v>1.63</v>
      </c>
      <c r="BP43" s="129">
        <v>1.64</v>
      </c>
      <c r="BQ43" s="129">
        <v>1.65</v>
      </c>
      <c r="BR43" s="129">
        <v>1.65</v>
      </c>
      <c r="BS43" s="129">
        <v>1.66</v>
      </c>
      <c r="BT43" s="129">
        <v>1.67</v>
      </c>
      <c r="BU43" s="129">
        <v>1.67</v>
      </c>
      <c r="BV43" s="129">
        <v>1.68</v>
      </c>
      <c r="BW43" s="129">
        <v>1.69</v>
      </c>
      <c r="BX43" s="129">
        <v>1.7</v>
      </c>
      <c r="BY43" s="129">
        <v>1.71</v>
      </c>
      <c r="BZ43" s="129">
        <v>1.71</v>
      </c>
      <c r="CA43" s="129">
        <v>1.72</v>
      </c>
      <c r="CB43" s="129">
        <v>1.73</v>
      </c>
      <c r="CC43" s="129">
        <v>1.74</v>
      </c>
      <c r="CD43" s="129">
        <v>1.75</v>
      </c>
      <c r="CE43" s="129">
        <v>1.76</v>
      </c>
      <c r="CF43" s="129">
        <v>1.77</v>
      </c>
      <c r="CG43" s="129">
        <v>1.78</v>
      </c>
      <c r="CH43" s="129">
        <v>1.79</v>
      </c>
      <c r="CI43" s="129">
        <v>1.8</v>
      </c>
      <c r="CJ43" s="129">
        <v>1.81</v>
      </c>
      <c r="CK43" s="129">
        <v>1.82</v>
      </c>
      <c r="CL43" s="129">
        <v>1.83</v>
      </c>
      <c r="CM43" s="129">
        <v>1.85</v>
      </c>
      <c r="CN43" s="129">
        <v>1.86</v>
      </c>
      <c r="CO43" s="129">
        <v>1.87</v>
      </c>
      <c r="CP43" s="129">
        <v>1.88</v>
      </c>
      <c r="CQ43" s="129">
        <v>1.9</v>
      </c>
      <c r="CR43" s="129">
        <v>1.91</v>
      </c>
      <c r="CS43" s="129">
        <v>1.92</v>
      </c>
      <c r="CT43" s="129">
        <v>1.94</v>
      </c>
      <c r="CU43" s="129">
        <v>1.95</v>
      </c>
      <c r="CV43" s="129">
        <v>1.97</v>
      </c>
      <c r="CW43" s="129">
        <v>1.98</v>
      </c>
      <c r="CX43" s="129">
        <v>2</v>
      </c>
      <c r="CZ43" s="126">
        <f>SUMIF(MatrixF4[[1]:[2]],MatrixF4[[#This Row],[Столбец1]])/MatrixF4[[#This Row],[Столбец1]]</f>
        <v>81.000000000000128</v>
      </c>
    </row>
    <row r="44" spans="1:104" ht="21" customHeight="1" x14ac:dyDescent="0.25">
      <c r="A44" s="127">
        <v>1.41</v>
      </c>
      <c r="B44" s="129">
        <v>1.41</v>
      </c>
      <c r="C44" s="129">
        <v>1.41</v>
      </c>
      <c r="D44" s="129">
        <v>1.41</v>
      </c>
      <c r="E44" s="129">
        <v>1.41</v>
      </c>
      <c r="F44" s="129">
        <v>1.41</v>
      </c>
      <c r="G44" s="129">
        <v>1.41</v>
      </c>
      <c r="H44" s="129">
        <v>1.41</v>
      </c>
      <c r="I44" s="129">
        <v>1.41</v>
      </c>
      <c r="J44" s="129">
        <v>1.41</v>
      </c>
      <c r="K44" s="129">
        <v>1.41</v>
      </c>
      <c r="L44" s="129">
        <v>1.41</v>
      </c>
      <c r="M44" s="129">
        <v>1.41</v>
      </c>
      <c r="N44" s="129">
        <v>1.41</v>
      </c>
      <c r="O44" s="129">
        <v>1.41</v>
      </c>
      <c r="P44" s="129">
        <v>1.41</v>
      </c>
      <c r="Q44" s="129">
        <v>1.41</v>
      </c>
      <c r="R44" s="129">
        <v>1.41</v>
      </c>
      <c r="S44" s="129">
        <v>1.41</v>
      </c>
      <c r="T44" s="129">
        <v>1.41</v>
      </c>
      <c r="U44" s="129">
        <v>1.41</v>
      </c>
      <c r="V44" s="129">
        <v>1.41</v>
      </c>
      <c r="W44" s="129">
        <v>1.41</v>
      </c>
      <c r="X44" s="129">
        <v>1.41</v>
      </c>
      <c r="Y44" s="129">
        <v>1.41</v>
      </c>
      <c r="Z44" s="129">
        <v>1.41</v>
      </c>
      <c r="AA44" s="129">
        <v>1.41</v>
      </c>
      <c r="AB44" s="129">
        <v>1.41</v>
      </c>
      <c r="AC44" s="129">
        <v>1.41</v>
      </c>
      <c r="AD44" s="129">
        <v>1.41</v>
      </c>
      <c r="AE44" s="129">
        <v>1.41</v>
      </c>
      <c r="AF44" s="129">
        <v>1.41</v>
      </c>
      <c r="AG44" s="129">
        <v>1.41</v>
      </c>
      <c r="AH44" s="129">
        <v>1.41</v>
      </c>
      <c r="AI44" s="129">
        <v>1.41</v>
      </c>
      <c r="AJ44" s="129">
        <v>1.41</v>
      </c>
      <c r="AK44" s="129">
        <v>1.41</v>
      </c>
      <c r="AL44" s="129">
        <v>1.41</v>
      </c>
      <c r="AM44" s="129">
        <v>1.41</v>
      </c>
      <c r="AN44" s="129">
        <v>1.41</v>
      </c>
      <c r="AO44" s="129">
        <v>1.41</v>
      </c>
      <c r="AP44" s="129">
        <v>1.41</v>
      </c>
      <c r="AQ44" s="129">
        <v>1.41</v>
      </c>
      <c r="AR44" s="129">
        <v>1.42</v>
      </c>
      <c r="AS44" s="129">
        <v>1.43</v>
      </c>
      <c r="AT44" s="129">
        <v>1.44</v>
      </c>
      <c r="AU44" s="129">
        <v>1.45</v>
      </c>
      <c r="AV44" s="129">
        <v>1.46</v>
      </c>
      <c r="AW44" s="129">
        <v>1.47</v>
      </c>
      <c r="AX44" s="129">
        <v>1.48</v>
      </c>
      <c r="AY44" s="129">
        <v>1.49</v>
      </c>
      <c r="AZ44" s="129">
        <v>1.5</v>
      </c>
      <c r="BA44" s="129">
        <v>1.51</v>
      </c>
      <c r="BB44" s="129">
        <v>1.52</v>
      </c>
      <c r="BC44" s="129">
        <v>1.53</v>
      </c>
      <c r="BD44" s="129">
        <v>1.54</v>
      </c>
      <c r="BE44" s="129">
        <v>1.55</v>
      </c>
      <c r="BF44" s="129">
        <v>1.56</v>
      </c>
      <c r="BG44" s="129">
        <v>1.57</v>
      </c>
      <c r="BH44" s="129">
        <v>1.58</v>
      </c>
      <c r="BI44" s="129">
        <v>1.59</v>
      </c>
      <c r="BJ44" s="129">
        <v>1.6</v>
      </c>
      <c r="BK44" s="129">
        <v>1.6</v>
      </c>
      <c r="BL44" s="129">
        <v>1.61</v>
      </c>
      <c r="BM44" s="129">
        <v>1.61</v>
      </c>
      <c r="BN44" s="129">
        <v>1.62</v>
      </c>
      <c r="BO44" s="129">
        <v>1.63</v>
      </c>
      <c r="BP44" s="129">
        <v>1.63</v>
      </c>
      <c r="BQ44" s="129">
        <v>1.64</v>
      </c>
      <c r="BR44" s="129">
        <v>1.65</v>
      </c>
      <c r="BS44" s="129">
        <v>1.66</v>
      </c>
      <c r="BT44" s="129">
        <v>1.66</v>
      </c>
      <c r="BU44" s="129">
        <v>1.67</v>
      </c>
      <c r="BV44" s="129">
        <v>1.68</v>
      </c>
      <c r="BW44" s="129">
        <v>1.69</v>
      </c>
      <c r="BX44" s="129">
        <v>1.69</v>
      </c>
      <c r="BY44" s="129">
        <v>1.7</v>
      </c>
      <c r="BZ44" s="129">
        <v>1.71</v>
      </c>
      <c r="CA44" s="129">
        <v>1.72</v>
      </c>
      <c r="CB44" s="129">
        <v>1.73</v>
      </c>
      <c r="CC44" s="129">
        <v>1.74</v>
      </c>
      <c r="CD44" s="129">
        <v>1.75</v>
      </c>
      <c r="CE44" s="129">
        <v>1.76</v>
      </c>
      <c r="CF44" s="129">
        <v>1.77</v>
      </c>
      <c r="CG44" s="129">
        <v>1.78</v>
      </c>
      <c r="CH44" s="129">
        <v>1.79</v>
      </c>
      <c r="CI44" s="129">
        <v>1.8</v>
      </c>
      <c r="CJ44" s="129">
        <v>1.81</v>
      </c>
      <c r="CK44" s="129">
        <v>1.82</v>
      </c>
      <c r="CL44" s="129">
        <v>1.83</v>
      </c>
      <c r="CM44" s="129">
        <v>1.84</v>
      </c>
      <c r="CN44" s="129">
        <v>1.86</v>
      </c>
      <c r="CO44" s="129">
        <v>1.87</v>
      </c>
      <c r="CP44" s="129">
        <v>1.88</v>
      </c>
      <c r="CQ44" s="129">
        <v>1.89</v>
      </c>
      <c r="CR44" s="129">
        <v>1.91</v>
      </c>
      <c r="CS44" s="129">
        <v>1.92</v>
      </c>
      <c r="CT44" s="129">
        <v>1.94</v>
      </c>
      <c r="CU44" s="129">
        <v>1.95</v>
      </c>
      <c r="CV44" s="129">
        <v>1.97</v>
      </c>
      <c r="CW44" s="129">
        <v>1.98</v>
      </c>
      <c r="CX44" s="129">
        <v>2</v>
      </c>
      <c r="CZ44" s="126">
        <f>SUMIF(MatrixF4[[1]:[2]],MatrixF4[[#This Row],[Столбец1]])/MatrixF4[[#This Row],[Столбец1]]</f>
        <v>82.999999999999858</v>
      </c>
    </row>
    <row r="45" spans="1:104" ht="21" customHeight="1" x14ac:dyDescent="0.25">
      <c r="A45" s="127">
        <v>1.42</v>
      </c>
      <c r="B45" s="129">
        <v>1.42</v>
      </c>
      <c r="C45" s="129">
        <v>1.42</v>
      </c>
      <c r="D45" s="129">
        <v>1.42</v>
      </c>
      <c r="E45" s="129">
        <v>1.42</v>
      </c>
      <c r="F45" s="129">
        <v>1.42</v>
      </c>
      <c r="G45" s="129">
        <v>1.42</v>
      </c>
      <c r="H45" s="129">
        <v>1.42</v>
      </c>
      <c r="I45" s="129">
        <v>1.42</v>
      </c>
      <c r="J45" s="129">
        <v>1.42</v>
      </c>
      <c r="K45" s="129">
        <v>1.42</v>
      </c>
      <c r="L45" s="129">
        <v>1.42</v>
      </c>
      <c r="M45" s="129">
        <v>1.42</v>
      </c>
      <c r="N45" s="129">
        <v>1.42</v>
      </c>
      <c r="O45" s="129">
        <v>1.42</v>
      </c>
      <c r="P45" s="129">
        <v>1.42</v>
      </c>
      <c r="Q45" s="129">
        <v>1.42</v>
      </c>
      <c r="R45" s="129">
        <v>1.42</v>
      </c>
      <c r="S45" s="129">
        <v>1.42</v>
      </c>
      <c r="T45" s="129">
        <v>1.42</v>
      </c>
      <c r="U45" s="129">
        <v>1.42</v>
      </c>
      <c r="V45" s="129">
        <v>1.42</v>
      </c>
      <c r="W45" s="129">
        <v>1.42</v>
      </c>
      <c r="X45" s="129">
        <v>1.42</v>
      </c>
      <c r="Y45" s="129">
        <v>1.42</v>
      </c>
      <c r="Z45" s="129">
        <v>1.42</v>
      </c>
      <c r="AA45" s="129">
        <v>1.42</v>
      </c>
      <c r="AB45" s="129">
        <v>1.42</v>
      </c>
      <c r="AC45" s="129">
        <v>1.42</v>
      </c>
      <c r="AD45" s="129">
        <v>1.42</v>
      </c>
      <c r="AE45" s="129">
        <v>1.42</v>
      </c>
      <c r="AF45" s="129">
        <v>1.42</v>
      </c>
      <c r="AG45" s="129">
        <v>1.42</v>
      </c>
      <c r="AH45" s="129">
        <v>1.42</v>
      </c>
      <c r="AI45" s="129">
        <v>1.42</v>
      </c>
      <c r="AJ45" s="129">
        <v>1.42</v>
      </c>
      <c r="AK45" s="129">
        <v>1.42</v>
      </c>
      <c r="AL45" s="129">
        <v>1.42</v>
      </c>
      <c r="AM45" s="129">
        <v>1.42</v>
      </c>
      <c r="AN45" s="129">
        <v>1.42</v>
      </c>
      <c r="AO45" s="129">
        <v>1.42</v>
      </c>
      <c r="AP45" s="129">
        <v>1.42</v>
      </c>
      <c r="AQ45" s="129">
        <v>1.42</v>
      </c>
      <c r="AR45" s="129">
        <v>1.42</v>
      </c>
      <c r="AS45" s="129">
        <v>1.43</v>
      </c>
      <c r="AT45" s="129">
        <v>1.44</v>
      </c>
      <c r="AU45" s="129">
        <v>1.45</v>
      </c>
      <c r="AV45" s="129">
        <v>1.46</v>
      </c>
      <c r="AW45" s="129">
        <v>1.47</v>
      </c>
      <c r="AX45" s="129">
        <v>1.48</v>
      </c>
      <c r="AY45" s="129">
        <v>1.49</v>
      </c>
      <c r="AZ45" s="129">
        <v>1.5</v>
      </c>
      <c r="BA45" s="129">
        <v>1.51</v>
      </c>
      <c r="BB45" s="129">
        <v>1.52</v>
      </c>
      <c r="BC45" s="129">
        <v>1.53</v>
      </c>
      <c r="BD45" s="129">
        <v>1.54</v>
      </c>
      <c r="BE45" s="129">
        <v>1.55</v>
      </c>
      <c r="BF45" s="129">
        <v>1.56</v>
      </c>
      <c r="BG45" s="129">
        <v>1.57</v>
      </c>
      <c r="BH45" s="129">
        <v>1.58</v>
      </c>
      <c r="BI45" s="129">
        <v>1.59</v>
      </c>
      <c r="BJ45" s="129">
        <v>1.59</v>
      </c>
      <c r="BK45" s="129">
        <v>1.6</v>
      </c>
      <c r="BL45" s="129">
        <v>1.6</v>
      </c>
      <c r="BM45" s="129">
        <v>1.61</v>
      </c>
      <c r="BN45" s="129">
        <v>1.62</v>
      </c>
      <c r="BO45" s="129">
        <v>1.62</v>
      </c>
      <c r="BP45" s="129">
        <v>1.63</v>
      </c>
      <c r="BQ45" s="129">
        <v>1.64</v>
      </c>
      <c r="BR45" s="129">
        <v>1.64</v>
      </c>
      <c r="BS45" s="129">
        <v>1.65</v>
      </c>
      <c r="BT45" s="129">
        <v>1.66</v>
      </c>
      <c r="BU45" s="129">
        <v>1.67</v>
      </c>
      <c r="BV45" s="129">
        <v>1.67</v>
      </c>
      <c r="BW45" s="129">
        <v>1.68</v>
      </c>
      <c r="BX45" s="129">
        <v>1.69</v>
      </c>
      <c r="BY45" s="129">
        <v>1.7</v>
      </c>
      <c r="BZ45" s="129">
        <v>1.71</v>
      </c>
      <c r="CA45" s="129">
        <v>1.72</v>
      </c>
      <c r="CB45" s="129">
        <v>1.73</v>
      </c>
      <c r="CC45" s="129">
        <v>1.73</v>
      </c>
      <c r="CD45" s="129">
        <v>1.74</v>
      </c>
      <c r="CE45" s="129">
        <v>1.75</v>
      </c>
      <c r="CF45" s="129">
        <v>1.76</v>
      </c>
      <c r="CG45" s="129">
        <v>1.77</v>
      </c>
      <c r="CH45" s="129">
        <v>1.78</v>
      </c>
      <c r="CI45" s="129">
        <v>1.79</v>
      </c>
      <c r="CJ45" s="129">
        <v>1.81</v>
      </c>
      <c r="CK45" s="129">
        <v>1.82</v>
      </c>
      <c r="CL45" s="129">
        <v>1.83</v>
      </c>
      <c r="CM45" s="129">
        <v>1.84</v>
      </c>
      <c r="CN45" s="129">
        <v>1.85</v>
      </c>
      <c r="CO45" s="129">
        <v>1.87</v>
      </c>
      <c r="CP45" s="129">
        <v>1.88</v>
      </c>
      <c r="CQ45" s="129">
        <v>1.89</v>
      </c>
      <c r="CR45" s="129">
        <v>1.91</v>
      </c>
      <c r="CS45" s="129">
        <v>1.92</v>
      </c>
      <c r="CT45" s="129">
        <v>1.94</v>
      </c>
      <c r="CU45" s="129">
        <v>1.95</v>
      </c>
      <c r="CV45" s="129">
        <v>1.97</v>
      </c>
      <c r="CW45" s="129">
        <v>1.98</v>
      </c>
      <c r="CX45" s="129">
        <v>2</v>
      </c>
      <c r="CZ45" s="126">
        <f>SUMIF(MatrixF4[[1]:[2]],MatrixF4[[#This Row],[Столбец1]])/MatrixF4[[#This Row],[Столбец1]]</f>
        <v>85.000000000000085</v>
      </c>
    </row>
    <row r="46" spans="1:104" ht="21" customHeight="1" x14ac:dyDescent="0.25">
      <c r="A46" s="127">
        <v>1.43</v>
      </c>
      <c r="B46" s="129">
        <v>1.43</v>
      </c>
      <c r="C46" s="129">
        <v>1.43</v>
      </c>
      <c r="D46" s="129">
        <v>1.43</v>
      </c>
      <c r="E46" s="129">
        <v>1.43</v>
      </c>
      <c r="F46" s="129">
        <v>1.43</v>
      </c>
      <c r="G46" s="129">
        <v>1.43</v>
      </c>
      <c r="H46" s="129">
        <v>1.43</v>
      </c>
      <c r="I46" s="129">
        <v>1.43</v>
      </c>
      <c r="J46" s="129">
        <v>1.43</v>
      </c>
      <c r="K46" s="129">
        <v>1.43</v>
      </c>
      <c r="L46" s="129">
        <v>1.43</v>
      </c>
      <c r="M46" s="129">
        <v>1.43</v>
      </c>
      <c r="N46" s="129">
        <v>1.43</v>
      </c>
      <c r="O46" s="129">
        <v>1.43</v>
      </c>
      <c r="P46" s="129">
        <v>1.43</v>
      </c>
      <c r="Q46" s="129">
        <v>1.43</v>
      </c>
      <c r="R46" s="129">
        <v>1.43</v>
      </c>
      <c r="S46" s="129">
        <v>1.43</v>
      </c>
      <c r="T46" s="129">
        <v>1.43</v>
      </c>
      <c r="U46" s="129">
        <v>1.43</v>
      </c>
      <c r="V46" s="129">
        <v>1.43</v>
      </c>
      <c r="W46" s="129">
        <v>1.43</v>
      </c>
      <c r="X46" s="129">
        <v>1.43</v>
      </c>
      <c r="Y46" s="129">
        <v>1.43</v>
      </c>
      <c r="Z46" s="129">
        <v>1.43</v>
      </c>
      <c r="AA46" s="129">
        <v>1.43</v>
      </c>
      <c r="AB46" s="129">
        <v>1.43</v>
      </c>
      <c r="AC46" s="129">
        <v>1.43</v>
      </c>
      <c r="AD46" s="129">
        <v>1.43</v>
      </c>
      <c r="AE46" s="129">
        <v>1.43</v>
      </c>
      <c r="AF46" s="129">
        <v>1.43</v>
      </c>
      <c r="AG46" s="129">
        <v>1.43</v>
      </c>
      <c r="AH46" s="129">
        <v>1.43</v>
      </c>
      <c r="AI46" s="129">
        <v>1.43</v>
      </c>
      <c r="AJ46" s="129">
        <v>1.43</v>
      </c>
      <c r="AK46" s="129">
        <v>1.43</v>
      </c>
      <c r="AL46" s="129">
        <v>1.43</v>
      </c>
      <c r="AM46" s="129">
        <v>1.43</v>
      </c>
      <c r="AN46" s="129">
        <v>1.43</v>
      </c>
      <c r="AO46" s="129">
        <v>1.43</v>
      </c>
      <c r="AP46" s="129">
        <v>1.43</v>
      </c>
      <c r="AQ46" s="129">
        <v>1.43</v>
      </c>
      <c r="AR46" s="129">
        <v>1.43</v>
      </c>
      <c r="AS46" s="129">
        <v>1.43</v>
      </c>
      <c r="AT46" s="129">
        <v>1.44</v>
      </c>
      <c r="AU46" s="129">
        <v>1.45</v>
      </c>
      <c r="AV46" s="129">
        <v>1.46</v>
      </c>
      <c r="AW46" s="129">
        <v>1.47</v>
      </c>
      <c r="AX46" s="129">
        <v>1.48</v>
      </c>
      <c r="AY46" s="129">
        <v>1.49</v>
      </c>
      <c r="AZ46" s="129">
        <v>1.5</v>
      </c>
      <c r="BA46" s="129">
        <v>1.51</v>
      </c>
      <c r="BB46" s="129">
        <v>1.52</v>
      </c>
      <c r="BC46" s="129">
        <v>1.53</v>
      </c>
      <c r="BD46" s="129">
        <v>1.54</v>
      </c>
      <c r="BE46" s="129">
        <v>1.55</v>
      </c>
      <c r="BF46" s="129">
        <v>1.56</v>
      </c>
      <c r="BG46" s="129">
        <v>1.57</v>
      </c>
      <c r="BH46" s="129">
        <v>1.58</v>
      </c>
      <c r="BI46" s="129">
        <v>1.58</v>
      </c>
      <c r="BJ46" s="129">
        <v>1.59</v>
      </c>
      <c r="BK46" s="129">
        <v>1.59</v>
      </c>
      <c r="BL46" s="129">
        <v>1.6</v>
      </c>
      <c r="BM46" s="129">
        <v>1.61</v>
      </c>
      <c r="BN46" s="129">
        <v>1.61</v>
      </c>
      <c r="BO46" s="129">
        <v>1.62</v>
      </c>
      <c r="BP46" s="129">
        <v>1.63</v>
      </c>
      <c r="BQ46" s="129">
        <v>1.63</v>
      </c>
      <c r="BR46" s="129">
        <v>1.64</v>
      </c>
      <c r="BS46" s="129">
        <v>1.65</v>
      </c>
      <c r="BT46" s="129">
        <v>1.66</v>
      </c>
      <c r="BU46" s="129">
        <v>1.66</v>
      </c>
      <c r="BV46" s="129">
        <v>1.67</v>
      </c>
      <c r="BW46" s="129">
        <v>1.68</v>
      </c>
      <c r="BX46" s="129">
        <v>1.69</v>
      </c>
      <c r="BY46" s="129">
        <v>1.7</v>
      </c>
      <c r="BZ46" s="129">
        <v>1.7</v>
      </c>
      <c r="CA46" s="129">
        <v>1.71</v>
      </c>
      <c r="CB46" s="129">
        <v>1.72</v>
      </c>
      <c r="CC46" s="129">
        <v>1.73</v>
      </c>
      <c r="CD46" s="129">
        <v>1.74</v>
      </c>
      <c r="CE46" s="129">
        <v>1.75</v>
      </c>
      <c r="CF46" s="129">
        <v>1.76</v>
      </c>
      <c r="CG46" s="129">
        <v>1.77</v>
      </c>
      <c r="CH46" s="129">
        <v>1.78</v>
      </c>
      <c r="CI46" s="129">
        <v>1.79</v>
      </c>
      <c r="CJ46" s="129">
        <v>1.8</v>
      </c>
      <c r="CK46" s="129">
        <v>1.81</v>
      </c>
      <c r="CL46" s="129">
        <v>1.83</v>
      </c>
      <c r="CM46" s="129">
        <v>1.84</v>
      </c>
      <c r="CN46" s="129">
        <v>1.85</v>
      </c>
      <c r="CO46" s="129">
        <v>1.86</v>
      </c>
      <c r="CP46" s="129">
        <v>1.88</v>
      </c>
      <c r="CQ46" s="129">
        <v>1.89</v>
      </c>
      <c r="CR46" s="129">
        <v>1.9</v>
      </c>
      <c r="CS46" s="129">
        <v>1.92</v>
      </c>
      <c r="CT46" s="129">
        <v>1.93</v>
      </c>
      <c r="CU46" s="129">
        <v>1.95</v>
      </c>
      <c r="CV46" s="129">
        <v>1.97</v>
      </c>
      <c r="CW46" s="129">
        <v>1.98</v>
      </c>
      <c r="CX46" s="129">
        <v>2</v>
      </c>
      <c r="CZ46" s="126">
        <f>SUMIF(MatrixF4[[1]:[2]],MatrixF4[[#This Row],[Столбец1]])/MatrixF4[[#This Row],[Столбец1]]</f>
        <v>87.000000000000199</v>
      </c>
    </row>
    <row r="47" spans="1:104" ht="21" customHeight="1" x14ac:dyDescent="0.25">
      <c r="A47" s="127">
        <v>1.44</v>
      </c>
      <c r="B47" s="129">
        <v>1.44</v>
      </c>
      <c r="C47" s="129">
        <v>1.44</v>
      </c>
      <c r="D47" s="129">
        <v>1.44</v>
      </c>
      <c r="E47" s="129">
        <v>1.44</v>
      </c>
      <c r="F47" s="129">
        <v>1.44</v>
      </c>
      <c r="G47" s="129">
        <v>1.44</v>
      </c>
      <c r="H47" s="129">
        <v>1.44</v>
      </c>
      <c r="I47" s="129">
        <v>1.44</v>
      </c>
      <c r="J47" s="129">
        <v>1.44</v>
      </c>
      <c r="K47" s="129">
        <v>1.44</v>
      </c>
      <c r="L47" s="129">
        <v>1.44</v>
      </c>
      <c r="M47" s="129">
        <v>1.44</v>
      </c>
      <c r="N47" s="129">
        <v>1.44</v>
      </c>
      <c r="O47" s="129">
        <v>1.44</v>
      </c>
      <c r="P47" s="129">
        <v>1.44</v>
      </c>
      <c r="Q47" s="129">
        <v>1.44</v>
      </c>
      <c r="R47" s="129">
        <v>1.44</v>
      </c>
      <c r="S47" s="129">
        <v>1.44</v>
      </c>
      <c r="T47" s="129">
        <v>1.44</v>
      </c>
      <c r="U47" s="129">
        <v>1.44</v>
      </c>
      <c r="V47" s="129">
        <v>1.44</v>
      </c>
      <c r="W47" s="129">
        <v>1.44</v>
      </c>
      <c r="X47" s="129">
        <v>1.44</v>
      </c>
      <c r="Y47" s="129">
        <v>1.44</v>
      </c>
      <c r="Z47" s="129">
        <v>1.44</v>
      </c>
      <c r="AA47" s="129">
        <v>1.44</v>
      </c>
      <c r="AB47" s="129">
        <v>1.44</v>
      </c>
      <c r="AC47" s="129">
        <v>1.44</v>
      </c>
      <c r="AD47" s="129">
        <v>1.44</v>
      </c>
      <c r="AE47" s="129">
        <v>1.44</v>
      </c>
      <c r="AF47" s="129">
        <v>1.44</v>
      </c>
      <c r="AG47" s="129">
        <v>1.44</v>
      </c>
      <c r="AH47" s="129">
        <v>1.44</v>
      </c>
      <c r="AI47" s="129">
        <v>1.44</v>
      </c>
      <c r="AJ47" s="129">
        <v>1.44</v>
      </c>
      <c r="AK47" s="129">
        <v>1.44</v>
      </c>
      <c r="AL47" s="129">
        <v>1.44</v>
      </c>
      <c r="AM47" s="129">
        <v>1.44</v>
      </c>
      <c r="AN47" s="129">
        <v>1.44</v>
      </c>
      <c r="AO47" s="129">
        <v>1.44</v>
      </c>
      <c r="AP47" s="129">
        <v>1.44</v>
      </c>
      <c r="AQ47" s="129">
        <v>1.44</v>
      </c>
      <c r="AR47" s="129">
        <v>1.44</v>
      </c>
      <c r="AS47" s="129">
        <v>1.44</v>
      </c>
      <c r="AT47" s="129">
        <v>1.44</v>
      </c>
      <c r="AU47" s="129">
        <v>1.45</v>
      </c>
      <c r="AV47" s="129">
        <v>1.46</v>
      </c>
      <c r="AW47" s="129">
        <v>1.47</v>
      </c>
      <c r="AX47" s="129">
        <v>1.48</v>
      </c>
      <c r="AY47" s="129">
        <v>1.49</v>
      </c>
      <c r="AZ47" s="129">
        <v>1.5</v>
      </c>
      <c r="BA47" s="129">
        <v>1.51</v>
      </c>
      <c r="BB47" s="129">
        <v>1.52</v>
      </c>
      <c r="BC47" s="129">
        <v>1.53</v>
      </c>
      <c r="BD47" s="129">
        <v>1.54</v>
      </c>
      <c r="BE47" s="129">
        <v>1.55</v>
      </c>
      <c r="BF47" s="129">
        <v>1.56</v>
      </c>
      <c r="BG47" s="129">
        <v>1.57</v>
      </c>
      <c r="BH47" s="129">
        <v>1.57</v>
      </c>
      <c r="BI47" s="129">
        <v>1.58</v>
      </c>
      <c r="BJ47" s="129">
        <v>1.58</v>
      </c>
      <c r="BK47" s="129">
        <v>1.59</v>
      </c>
      <c r="BL47" s="129">
        <v>1.6</v>
      </c>
      <c r="BM47" s="129">
        <v>1.6</v>
      </c>
      <c r="BN47" s="129">
        <v>1.61</v>
      </c>
      <c r="BO47" s="129">
        <v>1.62</v>
      </c>
      <c r="BP47" s="129">
        <v>1.62</v>
      </c>
      <c r="BQ47" s="129">
        <v>1.63</v>
      </c>
      <c r="BR47" s="129">
        <v>1.64</v>
      </c>
      <c r="BS47" s="129">
        <v>1.64</v>
      </c>
      <c r="BT47" s="129">
        <v>1.65</v>
      </c>
      <c r="BU47" s="129">
        <v>1.66</v>
      </c>
      <c r="BV47" s="129">
        <v>1.67</v>
      </c>
      <c r="BW47" s="129">
        <v>1.67</v>
      </c>
      <c r="BX47" s="129">
        <v>1.68</v>
      </c>
      <c r="BY47" s="129">
        <v>1.69</v>
      </c>
      <c r="BZ47" s="129">
        <v>1.7</v>
      </c>
      <c r="CA47" s="129">
        <v>1.71</v>
      </c>
      <c r="CB47" s="129">
        <v>1.72</v>
      </c>
      <c r="CC47" s="129">
        <v>1.73</v>
      </c>
      <c r="CD47" s="129">
        <v>1.74</v>
      </c>
      <c r="CE47" s="129">
        <v>1.75</v>
      </c>
      <c r="CF47" s="129">
        <v>1.76</v>
      </c>
      <c r="CG47" s="129">
        <v>1.77</v>
      </c>
      <c r="CH47" s="129">
        <v>1.78</v>
      </c>
      <c r="CI47" s="129">
        <v>1.79</v>
      </c>
      <c r="CJ47" s="129">
        <v>1.8</v>
      </c>
      <c r="CK47" s="129">
        <v>1.81</v>
      </c>
      <c r="CL47" s="129">
        <v>1.82</v>
      </c>
      <c r="CM47" s="129">
        <v>1.84</v>
      </c>
      <c r="CN47" s="129">
        <v>1.85</v>
      </c>
      <c r="CO47" s="129">
        <v>1.86</v>
      </c>
      <c r="CP47" s="129">
        <v>1.88</v>
      </c>
      <c r="CQ47" s="129">
        <v>1.89</v>
      </c>
      <c r="CR47" s="129">
        <v>1.9</v>
      </c>
      <c r="CS47" s="129">
        <v>1.92</v>
      </c>
      <c r="CT47" s="129">
        <v>1.93</v>
      </c>
      <c r="CU47" s="129">
        <v>1.95</v>
      </c>
      <c r="CV47" s="129">
        <v>1.97</v>
      </c>
      <c r="CW47" s="129">
        <v>1.98</v>
      </c>
      <c r="CX47" s="129">
        <v>2</v>
      </c>
      <c r="CZ47" s="126">
        <f>SUMIF(MatrixF4[[1]:[2]],MatrixF4[[#This Row],[Столбец1]])/MatrixF4[[#This Row],[Столбец1]]</f>
        <v>88.999999999999929</v>
      </c>
    </row>
    <row r="48" spans="1:104" ht="21" customHeight="1" x14ac:dyDescent="0.25">
      <c r="A48" s="127">
        <v>1.45</v>
      </c>
      <c r="B48" s="129">
        <v>1.45</v>
      </c>
      <c r="C48" s="129">
        <v>1.45</v>
      </c>
      <c r="D48" s="129">
        <v>1.45</v>
      </c>
      <c r="E48" s="129">
        <v>1.45</v>
      </c>
      <c r="F48" s="129">
        <v>1.45</v>
      </c>
      <c r="G48" s="129">
        <v>1.45</v>
      </c>
      <c r="H48" s="129">
        <v>1.45</v>
      </c>
      <c r="I48" s="129">
        <v>1.45</v>
      </c>
      <c r="J48" s="129">
        <v>1.45</v>
      </c>
      <c r="K48" s="129">
        <v>1.45</v>
      </c>
      <c r="L48" s="129">
        <v>1.45</v>
      </c>
      <c r="M48" s="129">
        <v>1.45</v>
      </c>
      <c r="N48" s="129">
        <v>1.45</v>
      </c>
      <c r="O48" s="129">
        <v>1.45</v>
      </c>
      <c r="P48" s="129">
        <v>1.45</v>
      </c>
      <c r="Q48" s="129">
        <v>1.45</v>
      </c>
      <c r="R48" s="129">
        <v>1.45</v>
      </c>
      <c r="S48" s="129">
        <v>1.45</v>
      </c>
      <c r="T48" s="129">
        <v>1.45</v>
      </c>
      <c r="U48" s="129">
        <v>1.45</v>
      </c>
      <c r="V48" s="129">
        <v>1.45</v>
      </c>
      <c r="W48" s="129">
        <v>1.45</v>
      </c>
      <c r="X48" s="129">
        <v>1.45</v>
      </c>
      <c r="Y48" s="129">
        <v>1.45</v>
      </c>
      <c r="Z48" s="129">
        <v>1.45</v>
      </c>
      <c r="AA48" s="129">
        <v>1.45</v>
      </c>
      <c r="AB48" s="129">
        <v>1.45</v>
      </c>
      <c r="AC48" s="129">
        <v>1.45</v>
      </c>
      <c r="AD48" s="129">
        <v>1.45</v>
      </c>
      <c r="AE48" s="129">
        <v>1.45</v>
      </c>
      <c r="AF48" s="129">
        <v>1.45</v>
      </c>
      <c r="AG48" s="129">
        <v>1.45</v>
      </c>
      <c r="AH48" s="129">
        <v>1.45</v>
      </c>
      <c r="AI48" s="129">
        <v>1.45</v>
      </c>
      <c r="AJ48" s="129">
        <v>1.45</v>
      </c>
      <c r="AK48" s="129">
        <v>1.45</v>
      </c>
      <c r="AL48" s="129">
        <v>1.45</v>
      </c>
      <c r="AM48" s="129">
        <v>1.45</v>
      </c>
      <c r="AN48" s="129">
        <v>1.45</v>
      </c>
      <c r="AO48" s="129">
        <v>1.45</v>
      </c>
      <c r="AP48" s="129">
        <v>1.45</v>
      </c>
      <c r="AQ48" s="129">
        <v>1.45</v>
      </c>
      <c r="AR48" s="129">
        <v>1.45</v>
      </c>
      <c r="AS48" s="129">
        <v>1.45</v>
      </c>
      <c r="AT48" s="129">
        <v>1.45</v>
      </c>
      <c r="AU48" s="129">
        <v>1.45</v>
      </c>
      <c r="AV48" s="129">
        <v>1.46</v>
      </c>
      <c r="AW48" s="129">
        <v>1.47</v>
      </c>
      <c r="AX48" s="129">
        <v>1.48</v>
      </c>
      <c r="AY48" s="129">
        <v>1.49</v>
      </c>
      <c r="AZ48" s="129">
        <v>1.5</v>
      </c>
      <c r="BA48" s="129">
        <v>1.51</v>
      </c>
      <c r="BB48" s="129">
        <v>1.52</v>
      </c>
      <c r="BC48" s="129">
        <v>1.53</v>
      </c>
      <c r="BD48" s="129">
        <v>1.54</v>
      </c>
      <c r="BE48" s="129">
        <v>1.55</v>
      </c>
      <c r="BF48" s="129">
        <v>1.56</v>
      </c>
      <c r="BG48" s="129">
        <v>1.56</v>
      </c>
      <c r="BH48" s="129">
        <v>1.57</v>
      </c>
      <c r="BI48" s="129">
        <v>1.57</v>
      </c>
      <c r="BJ48" s="129">
        <v>1.58</v>
      </c>
      <c r="BK48" s="129">
        <v>1.59</v>
      </c>
      <c r="BL48" s="129">
        <v>1.59</v>
      </c>
      <c r="BM48" s="129">
        <v>1.6</v>
      </c>
      <c r="BN48" s="129">
        <v>1.6</v>
      </c>
      <c r="BO48" s="129">
        <v>1.61</v>
      </c>
      <c r="BP48" s="129">
        <v>1.62</v>
      </c>
      <c r="BQ48" s="129">
        <v>1.63</v>
      </c>
      <c r="BR48" s="129">
        <v>1.63</v>
      </c>
      <c r="BS48" s="129">
        <v>1.64</v>
      </c>
      <c r="BT48" s="129">
        <v>1.65</v>
      </c>
      <c r="BU48" s="129">
        <v>1.65</v>
      </c>
      <c r="BV48" s="129">
        <v>1.66</v>
      </c>
      <c r="BW48" s="129">
        <v>1.67</v>
      </c>
      <c r="BX48" s="129">
        <v>1.68</v>
      </c>
      <c r="BY48" s="129">
        <v>1.69</v>
      </c>
      <c r="BZ48" s="129">
        <v>1.7</v>
      </c>
      <c r="CA48" s="129">
        <v>1.71</v>
      </c>
      <c r="CB48" s="129">
        <v>1.71</v>
      </c>
      <c r="CC48" s="129">
        <v>1.72</v>
      </c>
      <c r="CD48" s="129">
        <v>1.73</v>
      </c>
      <c r="CE48" s="129">
        <v>1.74</v>
      </c>
      <c r="CF48" s="129">
        <v>1.75</v>
      </c>
      <c r="CG48" s="129">
        <v>1.76</v>
      </c>
      <c r="CH48" s="129">
        <v>1.77</v>
      </c>
      <c r="CI48" s="129">
        <v>1.79</v>
      </c>
      <c r="CJ48" s="129">
        <v>1.8</v>
      </c>
      <c r="CK48" s="129">
        <v>1.81</v>
      </c>
      <c r="CL48" s="129">
        <v>1.82</v>
      </c>
      <c r="CM48" s="129">
        <v>1.83</v>
      </c>
      <c r="CN48" s="129">
        <v>1.85</v>
      </c>
      <c r="CO48" s="129">
        <v>1.86</v>
      </c>
      <c r="CP48" s="129">
        <v>1.87</v>
      </c>
      <c r="CQ48" s="129">
        <v>1.89</v>
      </c>
      <c r="CR48" s="129">
        <v>1.9</v>
      </c>
      <c r="CS48" s="129">
        <v>1.92</v>
      </c>
      <c r="CT48" s="129">
        <v>1.93</v>
      </c>
      <c r="CU48" s="129">
        <v>1.95</v>
      </c>
      <c r="CV48" s="129">
        <v>1.96</v>
      </c>
      <c r="CW48" s="129">
        <v>1.98</v>
      </c>
      <c r="CX48" s="129">
        <v>2</v>
      </c>
      <c r="CZ48" s="126">
        <f>SUMIF(MatrixF4[[1]:[2]],MatrixF4[[#This Row],[Столбец1]])/MatrixF4[[#This Row],[Столбец1]]</f>
        <v>91.000000000000099</v>
      </c>
    </row>
    <row r="49" spans="1:104" ht="21" customHeight="1" x14ac:dyDescent="0.25">
      <c r="A49" s="127">
        <v>1.46</v>
      </c>
      <c r="B49" s="129">
        <v>1.46</v>
      </c>
      <c r="C49" s="129">
        <v>1.46</v>
      </c>
      <c r="D49" s="129">
        <v>1.46</v>
      </c>
      <c r="E49" s="129">
        <v>1.46</v>
      </c>
      <c r="F49" s="129">
        <v>1.46</v>
      </c>
      <c r="G49" s="129">
        <v>1.46</v>
      </c>
      <c r="H49" s="129">
        <v>1.46</v>
      </c>
      <c r="I49" s="129">
        <v>1.46</v>
      </c>
      <c r="J49" s="129">
        <v>1.46</v>
      </c>
      <c r="K49" s="129">
        <v>1.46</v>
      </c>
      <c r="L49" s="129">
        <v>1.46</v>
      </c>
      <c r="M49" s="129">
        <v>1.46</v>
      </c>
      <c r="N49" s="129">
        <v>1.46</v>
      </c>
      <c r="O49" s="129">
        <v>1.46</v>
      </c>
      <c r="P49" s="129">
        <v>1.46</v>
      </c>
      <c r="Q49" s="129">
        <v>1.46</v>
      </c>
      <c r="R49" s="129">
        <v>1.46</v>
      </c>
      <c r="S49" s="129">
        <v>1.46</v>
      </c>
      <c r="T49" s="129">
        <v>1.46</v>
      </c>
      <c r="U49" s="129">
        <v>1.46</v>
      </c>
      <c r="V49" s="129">
        <v>1.46</v>
      </c>
      <c r="W49" s="129">
        <v>1.46</v>
      </c>
      <c r="X49" s="129">
        <v>1.46</v>
      </c>
      <c r="Y49" s="129">
        <v>1.46</v>
      </c>
      <c r="Z49" s="129">
        <v>1.46</v>
      </c>
      <c r="AA49" s="129">
        <v>1.46</v>
      </c>
      <c r="AB49" s="129">
        <v>1.46</v>
      </c>
      <c r="AC49" s="129">
        <v>1.46</v>
      </c>
      <c r="AD49" s="129">
        <v>1.46</v>
      </c>
      <c r="AE49" s="129">
        <v>1.46</v>
      </c>
      <c r="AF49" s="129">
        <v>1.46</v>
      </c>
      <c r="AG49" s="129">
        <v>1.46</v>
      </c>
      <c r="AH49" s="129">
        <v>1.46</v>
      </c>
      <c r="AI49" s="129">
        <v>1.46</v>
      </c>
      <c r="AJ49" s="129">
        <v>1.46</v>
      </c>
      <c r="AK49" s="129">
        <v>1.46</v>
      </c>
      <c r="AL49" s="129">
        <v>1.46</v>
      </c>
      <c r="AM49" s="129">
        <v>1.46</v>
      </c>
      <c r="AN49" s="129">
        <v>1.46</v>
      </c>
      <c r="AO49" s="129">
        <v>1.46</v>
      </c>
      <c r="AP49" s="129">
        <v>1.46</v>
      </c>
      <c r="AQ49" s="129">
        <v>1.46</v>
      </c>
      <c r="AR49" s="129">
        <v>1.46</v>
      </c>
      <c r="AS49" s="129">
        <v>1.46</v>
      </c>
      <c r="AT49" s="129">
        <v>1.46</v>
      </c>
      <c r="AU49" s="129">
        <v>1.46</v>
      </c>
      <c r="AV49" s="129">
        <v>1.46</v>
      </c>
      <c r="AW49" s="129">
        <v>1.47</v>
      </c>
      <c r="AX49" s="129">
        <v>1.48</v>
      </c>
      <c r="AY49" s="129">
        <v>1.49</v>
      </c>
      <c r="AZ49" s="129">
        <v>1.5</v>
      </c>
      <c r="BA49" s="129">
        <v>1.51</v>
      </c>
      <c r="BB49" s="129">
        <v>1.52</v>
      </c>
      <c r="BC49" s="129">
        <v>1.53</v>
      </c>
      <c r="BD49" s="129">
        <v>1.54</v>
      </c>
      <c r="BE49" s="129">
        <v>1.55</v>
      </c>
      <c r="BF49" s="129">
        <v>1.55</v>
      </c>
      <c r="BG49" s="129">
        <v>1.56</v>
      </c>
      <c r="BH49" s="129">
        <v>1.56</v>
      </c>
      <c r="BI49" s="129">
        <v>1.57</v>
      </c>
      <c r="BJ49" s="129">
        <v>1.57</v>
      </c>
      <c r="BK49" s="129">
        <v>1.58</v>
      </c>
      <c r="BL49" s="129">
        <v>1.59</v>
      </c>
      <c r="BM49" s="129">
        <v>1.59</v>
      </c>
      <c r="BN49" s="129">
        <v>1.6</v>
      </c>
      <c r="BO49" s="129">
        <v>1.61</v>
      </c>
      <c r="BP49" s="129">
        <v>1.61</v>
      </c>
      <c r="BQ49" s="129">
        <v>1.62</v>
      </c>
      <c r="BR49" s="129">
        <v>1.63</v>
      </c>
      <c r="BS49" s="129">
        <v>1.64</v>
      </c>
      <c r="BT49" s="129">
        <v>1.64</v>
      </c>
      <c r="BU49" s="129">
        <v>1.65</v>
      </c>
      <c r="BV49" s="129">
        <v>1.66</v>
      </c>
      <c r="BW49" s="129">
        <v>1.67</v>
      </c>
      <c r="BX49" s="129">
        <v>1.68</v>
      </c>
      <c r="BY49" s="129">
        <v>1.68</v>
      </c>
      <c r="BZ49" s="129">
        <v>1.69</v>
      </c>
      <c r="CA49" s="129">
        <v>1.7</v>
      </c>
      <c r="CB49" s="129">
        <v>1.71</v>
      </c>
      <c r="CC49" s="129">
        <v>1.72</v>
      </c>
      <c r="CD49" s="129">
        <v>1.73</v>
      </c>
      <c r="CE49" s="129">
        <v>1.74</v>
      </c>
      <c r="CF49" s="129">
        <v>1.75</v>
      </c>
      <c r="CG49" s="129">
        <v>1.76</v>
      </c>
      <c r="CH49" s="129">
        <v>1.77</v>
      </c>
      <c r="CI49" s="129">
        <v>1.78</v>
      </c>
      <c r="CJ49" s="129">
        <v>1.79</v>
      </c>
      <c r="CK49" s="129">
        <v>1.81</v>
      </c>
      <c r="CL49" s="129">
        <v>1.82</v>
      </c>
      <c r="CM49" s="129">
        <v>1.83</v>
      </c>
      <c r="CN49" s="129">
        <v>1.84</v>
      </c>
      <c r="CO49" s="129">
        <v>1.86</v>
      </c>
      <c r="CP49" s="129">
        <v>1.87</v>
      </c>
      <c r="CQ49" s="129">
        <v>1.89</v>
      </c>
      <c r="CR49" s="129">
        <v>1.9</v>
      </c>
      <c r="CS49" s="129">
        <v>1.92</v>
      </c>
      <c r="CT49" s="129">
        <v>1.93</v>
      </c>
      <c r="CU49" s="129">
        <v>1.95</v>
      </c>
      <c r="CV49" s="129">
        <v>1.96</v>
      </c>
      <c r="CW49" s="129">
        <v>1.98</v>
      </c>
      <c r="CX49" s="129">
        <v>2</v>
      </c>
      <c r="CZ49" s="126">
        <f>SUMIF(MatrixF4[[1]:[2]],MatrixF4[[#This Row],[Столбец1]])/MatrixF4[[#This Row],[Столбец1]]</f>
        <v>92.999999999999872</v>
      </c>
    </row>
    <row r="50" spans="1:104" ht="21" customHeight="1" x14ac:dyDescent="0.25">
      <c r="A50" s="127">
        <v>1.47</v>
      </c>
      <c r="B50" s="129">
        <v>1.47</v>
      </c>
      <c r="C50" s="129">
        <v>1.47</v>
      </c>
      <c r="D50" s="129">
        <v>1.47</v>
      </c>
      <c r="E50" s="129">
        <v>1.47</v>
      </c>
      <c r="F50" s="129">
        <v>1.47</v>
      </c>
      <c r="G50" s="129">
        <v>1.47</v>
      </c>
      <c r="H50" s="129">
        <v>1.47</v>
      </c>
      <c r="I50" s="129">
        <v>1.47</v>
      </c>
      <c r="J50" s="129">
        <v>1.47</v>
      </c>
      <c r="K50" s="129">
        <v>1.47</v>
      </c>
      <c r="L50" s="129">
        <v>1.47</v>
      </c>
      <c r="M50" s="129">
        <v>1.47</v>
      </c>
      <c r="N50" s="129">
        <v>1.47</v>
      </c>
      <c r="O50" s="129">
        <v>1.47</v>
      </c>
      <c r="P50" s="129">
        <v>1.47</v>
      </c>
      <c r="Q50" s="129">
        <v>1.47</v>
      </c>
      <c r="R50" s="129">
        <v>1.47</v>
      </c>
      <c r="S50" s="129">
        <v>1.47</v>
      </c>
      <c r="T50" s="129">
        <v>1.47</v>
      </c>
      <c r="U50" s="129">
        <v>1.47</v>
      </c>
      <c r="V50" s="129">
        <v>1.47</v>
      </c>
      <c r="W50" s="129">
        <v>1.47</v>
      </c>
      <c r="X50" s="129">
        <v>1.47</v>
      </c>
      <c r="Y50" s="129">
        <v>1.47</v>
      </c>
      <c r="Z50" s="129">
        <v>1.47</v>
      </c>
      <c r="AA50" s="129">
        <v>1.47</v>
      </c>
      <c r="AB50" s="129">
        <v>1.47</v>
      </c>
      <c r="AC50" s="129">
        <v>1.47</v>
      </c>
      <c r="AD50" s="129">
        <v>1.47</v>
      </c>
      <c r="AE50" s="129">
        <v>1.47</v>
      </c>
      <c r="AF50" s="129">
        <v>1.47</v>
      </c>
      <c r="AG50" s="129">
        <v>1.47</v>
      </c>
      <c r="AH50" s="129">
        <v>1.47</v>
      </c>
      <c r="AI50" s="129">
        <v>1.47</v>
      </c>
      <c r="AJ50" s="129">
        <v>1.47</v>
      </c>
      <c r="AK50" s="129">
        <v>1.47</v>
      </c>
      <c r="AL50" s="129">
        <v>1.47</v>
      </c>
      <c r="AM50" s="129">
        <v>1.47</v>
      </c>
      <c r="AN50" s="129">
        <v>1.47</v>
      </c>
      <c r="AO50" s="129">
        <v>1.47</v>
      </c>
      <c r="AP50" s="129">
        <v>1.47</v>
      </c>
      <c r="AQ50" s="129">
        <v>1.47</v>
      </c>
      <c r="AR50" s="129">
        <v>1.47</v>
      </c>
      <c r="AS50" s="129">
        <v>1.47</v>
      </c>
      <c r="AT50" s="129">
        <v>1.47</v>
      </c>
      <c r="AU50" s="129">
        <v>1.47</v>
      </c>
      <c r="AV50" s="129">
        <v>1.47</v>
      </c>
      <c r="AW50" s="129">
        <v>1.47</v>
      </c>
      <c r="AX50" s="129">
        <v>1.48</v>
      </c>
      <c r="AY50" s="129">
        <v>1.49</v>
      </c>
      <c r="AZ50" s="129">
        <v>1.5</v>
      </c>
      <c r="BA50" s="129">
        <v>1.51</v>
      </c>
      <c r="BB50" s="129">
        <v>1.52</v>
      </c>
      <c r="BC50" s="129">
        <v>1.53</v>
      </c>
      <c r="BD50" s="129">
        <v>1.54</v>
      </c>
      <c r="BE50" s="129">
        <v>1.54</v>
      </c>
      <c r="BF50" s="129">
        <v>1.55</v>
      </c>
      <c r="BG50" s="129">
        <v>1.55</v>
      </c>
      <c r="BH50" s="129">
        <v>1.56</v>
      </c>
      <c r="BI50" s="129">
        <v>1.56</v>
      </c>
      <c r="BJ50" s="129">
        <v>1.57</v>
      </c>
      <c r="BK50" s="129">
        <v>1.58</v>
      </c>
      <c r="BL50" s="129">
        <v>1.58</v>
      </c>
      <c r="BM50" s="129">
        <v>1.59</v>
      </c>
      <c r="BN50" s="129">
        <v>1.6</v>
      </c>
      <c r="BO50" s="129">
        <v>1.6</v>
      </c>
      <c r="BP50" s="129">
        <v>1.61</v>
      </c>
      <c r="BQ50" s="129">
        <v>1.62</v>
      </c>
      <c r="BR50" s="129">
        <v>1.62</v>
      </c>
      <c r="BS50" s="129">
        <v>1.63</v>
      </c>
      <c r="BT50" s="129">
        <v>1.64</v>
      </c>
      <c r="BU50" s="129">
        <v>1.65</v>
      </c>
      <c r="BV50" s="129">
        <v>1.65</v>
      </c>
      <c r="BW50" s="129">
        <v>1.66</v>
      </c>
      <c r="BX50" s="129">
        <v>1.67</v>
      </c>
      <c r="BY50" s="129">
        <v>1.68</v>
      </c>
      <c r="BZ50" s="129">
        <v>1.69</v>
      </c>
      <c r="CA50" s="129">
        <v>1.7</v>
      </c>
      <c r="CB50" s="129">
        <v>1.71</v>
      </c>
      <c r="CC50" s="129">
        <v>1.72</v>
      </c>
      <c r="CD50" s="129">
        <v>1.73</v>
      </c>
      <c r="CE50" s="129">
        <v>1.74</v>
      </c>
      <c r="CF50" s="129">
        <v>1.75</v>
      </c>
      <c r="CG50" s="129">
        <v>1.76</v>
      </c>
      <c r="CH50" s="129">
        <v>1.77</v>
      </c>
      <c r="CI50" s="129">
        <v>1.78</v>
      </c>
      <c r="CJ50" s="129">
        <v>1.79</v>
      </c>
      <c r="CK50" s="129">
        <v>1.8</v>
      </c>
      <c r="CL50" s="129">
        <v>1.82</v>
      </c>
      <c r="CM50" s="129">
        <v>1.83</v>
      </c>
      <c r="CN50" s="129">
        <v>1.84</v>
      </c>
      <c r="CO50" s="129">
        <v>1.85</v>
      </c>
      <c r="CP50" s="129">
        <v>1.87</v>
      </c>
      <c r="CQ50" s="129">
        <v>1.88</v>
      </c>
      <c r="CR50" s="129">
        <v>1.9</v>
      </c>
      <c r="CS50" s="129">
        <v>1.91</v>
      </c>
      <c r="CT50" s="129">
        <v>1.93</v>
      </c>
      <c r="CU50" s="129">
        <v>1.95</v>
      </c>
      <c r="CV50" s="129">
        <v>1.96</v>
      </c>
      <c r="CW50" s="129">
        <v>1.98</v>
      </c>
      <c r="CX50" s="129">
        <v>2</v>
      </c>
      <c r="CZ50" s="126">
        <f>SUMIF(MatrixF4[[1]:[2]],MatrixF4[[#This Row],[Столбец1]])/MatrixF4[[#This Row],[Столбец1]]</f>
        <v>94.999999999999943</v>
      </c>
    </row>
    <row r="51" spans="1:104" ht="21" customHeight="1" x14ac:dyDescent="0.25">
      <c r="A51" s="127">
        <v>1.48</v>
      </c>
      <c r="B51" s="129">
        <v>1.48</v>
      </c>
      <c r="C51" s="129">
        <v>1.48</v>
      </c>
      <c r="D51" s="129">
        <v>1.48</v>
      </c>
      <c r="E51" s="129">
        <v>1.48</v>
      </c>
      <c r="F51" s="129">
        <v>1.48</v>
      </c>
      <c r="G51" s="129">
        <v>1.48</v>
      </c>
      <c r="H51" s="129">
        <v>1.48</v>
      </c>
      <c r="I51" s="129">
        <v>1.48</v>
      </c>
      <c r="J51" s="129">
        <v>1.48</v>
      </c>
      <c r="K51" s="129">
        <v>1.48</v>
      </c>
      <c r="L51" s="129">
        <v>1.48</v>
      </c>
      <c r="M51" s="129">
        <v>1.48</v>
      </c>
      <c r="N51" s="129">
        <v>1.48</v>
      </c>
      <c r="O51" s="129">
        <v>1.48</v>
      </c>
      <c r="P51" s="129">
        <v>1.48</v>
      </c>
      <c r="Q51" s="129">
        <v>1.48</v>
      </c>
      <c r="R51" s="129">
        <v>1.48</v>
      </c>
      <c r="S51" s="129">
        <v>1.48</v>
      </c>
      <c r="T51" s="129">
        <v>1.48</v>
      </c>
      <c r="U51" s="129">
        <v>1.48</v>
      </c>
      <c r="V51" s="129">
        <v>1.48</v>
      </c>
      <c r="W51" s="129">
        <v>1.48</v>
      </c>
      <c r="X51" s="129">
        <v>1.48</v>
      </c>
      <c r="Y51" s="129">
        <v>1.48</v>
      </c>
      <c r="Z51" s="129">
        <v>1.48</v>
      </c>
      <c r="AA51" s="129">
        <v>1.48</v>
      </c>
      <c r="AB51" s="129">
        <v>1.48</v>
      </c>
      <c r="AC51" s="129">
        <v>1.48</v>
      </c>
      <c r="AD51" s="129">
        <v>1.48</v>
      </c>
      <c r="AE51" s="129">
        <v>1.48</v>
      </c>
      <c r="AF51" s="129">
        <v>1.48</v>
      </c>
      <c r="AG51" s="129">
        <v>1.48</v>
      </c>
      <c r="AH51" s="129">
        <v>1.48</v>
      </c>
      <c r="AI51" s="129">
        <v>1.48</v>
      </c>
      <c r="AJ51" s="129">
        <v>1.48</v>
      </c>
      <c r="AK51" s="129">
        <v>1.48</v>
      </c>
      <c r="AL51" s="129">
        <v>1.48</v>
      </c>
      <c r="AM51" s="129">
        <v>1.48</v>
      </c>
      <c r="AN51" s="129">
        <v>1.48</v>
      </c>
      <c r="AO51" s="129">
        <v>1.48</v>
      </c>
      <c r="AP51" s="129">
        <v>1.48</v>
      </c>
      <c r="AQ51" s="129">
        <v>1.48</v>
      </c>
      <c r="AR51" s="129">
        <v>1.48</v>
      </c>
      <c r="AS51" s="129">
        <v>1.48</v>
      </c>
      <c r="AT51" s="129">
        <v>1.48</v>
      </c>
      <c r="AU51" s="129">
        <v>1.48</v>
      </c>
      <c r="AV51" s="129">
        <v>1.48</v>
      </c>
      <c r="AW51" s="129">
        <v>1.48</v>
      </c>
      <c r="AX51" s="129">
        <v>1.48</v>
      </c>
      <c r="AY51" s="129">
        <v>1.49</v>
      </c>
      <c r="AZ51" s="129">
        <v>1.5</v>
      </c>
      <c r="BA51" s="129">
        <v>1.51</v>
      </c>
      <c r="BB51" s="129">
        <v>1.52</v>
      </c>
      <c r="BC51" s="129">
        <v>1.53</v>
      </c>
      <c r="BD51" s="129">
        <v>1.53</v>
      </c>
      <c r="BE51" s="129">
        <v>1.54</v>
      </c>
      <c r="BF51" s="129">
        <v>1.54</v>
      </c>
      <c r="BG51" s="129">
        <v>1.55</v>
      </c>
      <c r="BH51" s="129">
        <v>1.55</v>
      </c>
      <c r="BI51" s="129">
        <v>1.56</v>
      </c>
      <c r="BJ51" s="129">
        <v>1.57</v>
      </c>
      <c r="BK51" s="129">
        <v>1.57</v>
      </c>
      <c r="BL51" s="129">
        <v>1.58</v>
      </c>
      <c r="BM51" s="129">
        <v>1.58</v>
      </c>
      <c r="BN51" s="129">
        <v>1.59</v>
      </c>
      <c r="BO51" s="129">
        <v>1.6</v>
      </c>
      <c r="BP51" s="129">
        <v>1.6</v>
      </c>
      <c r="BQ51" s="129">
        <v>1.61</v>
      </c>
      <c r="BR51" s="129">
        <v>1.62</v>
      </c>
      <c r="BS51" s="129">
        <v>1.63</v>
      </c>
      <c r="BT51" s="129">
        <v>1.63</v>
      </c>
      <c r="BU51" s="129">
        <v>1.64</v>
      </c>
      <c r="BV51" s="129">
        <v>1.65</v>
      </c>
      <c r="BW51" s="129">
        <v>1.66</v>
      </c>
      <c r="BX51" s="129">
        <v>1.67</v>
      </c>
      <c r="BY51" s="129">
        <v>1.68</v>
      </c>
      <c r="BZ51" s="129">
        <v>1.68</v>
      </c>
      <c r="CA51" s="129">
        <v>1.69</v>
      </c>
      <c r="CB51" s="129">
        <v>1.7</v>
      </c>
      <c r="CC51" s="129">
        <v>1.71</v>
      </c>
      <c r="CD51" s="129">
        <v>1.72</v>
      </c>
      <c r="CE51" s="129">
        <v>1.73</v>
      </c>
      <c r="CF51" s="129">
        <v>1.74</v>
      </c>
      <c r="CG51" s="129">
        <v>1.75</v>
      </c>
      <c r="CH51" s="129">
        <v>1.76</v>
      </c>
      <c r="CI51" s="129">
        <v>1.78</v>
      </c>
      <c r="CJ51" s="129">
        <v>1.79</v>
      </c>
      <c r="CK51" s="129">
        <v>1.8</v>
      </c>
      <c r="CL51" s="129">
        <v>1.81</v>
      </c>
      <c r="CM51" s="129">
        <v>1.83</v>
      </c>
      <c r="CN51" s="129">
        <v>1.84</v>
      </c>
      <c r="CO51" s="129">
        <v>1.85</v>
      </c>
      <c r="CP51" s="129">
        <v>1.87</v>
      </c>
      <c r="CQ51" s="129">
        <v>1.88</v>
      </c>
      <c r="CR51" s="129">
        <v>1.9</v>
      </c>
      <c r="CS51" s="129">
        <v>1.91</v>
      </c>
      <c r="CT51" s="129">
        <v>1.93</v>
      </c>
      <c r="CU51" s="129">
        <v>1.95</v>
      </c>
      <c r="CV51" s="129">
        <v>1.96</v>
      </c>
      <c r="CW51" s="129">
        <v>1.98</v>
      </c>
      <c r="CX51" s="129">
        <v>2</v>
      </c>
      <c r="CZ51" s="126">
        <f>SUMIF(MatrixF4[[1]:[2]],MatrixF4[[#This Row],[Столбец1]])/MatrixF4[[#This Row],[Столбец1]]</f>
        <v>97</v>
      </c>
    </row>
    <row r="52" spans="1:104" ht="21" customHeight="1" x14ac:dyDescent="0.25">
      <c r="A52" s="127">
        <v>1.49</v>
      </c>
      <c r="B52" s="129">
        <v>1.49</v>
      </c>
      <c r="C52" s="129">
        <v>1.49</v>
      </c>
      <c r="D52" s="129">
        <v>1.49</v>
      </c>
      <c r="E52" s="129">
        <v>1.49</v>
      </c>
      <c r="F52" s="129">
        <v>1.49</v>
      </c>
      <c r="G52" s="129">
        <v>1.49</v>
      </c>
      <c r="H52" s="129">
        <v>1.49</v>
      </c>
      <c r="I52" s="129">
        <v>1.49</v>
      </c>
      <c r="J52" s="129">
        <v>1.49</v>
      </c>
      <c r="K52" s="129">
        <v>1.49</v>
      </c>
      <c r="L52" s="129">
        <v>1.49</v>
      </c>
      <c r="M52" s="129">
        <v>1.49</v>
      </c>
      <c r="N52" s="129">
        <v>1.49</v>
      </c>
      <c r="O52" s="129">
        <v>1.49</v>
      </c>
      <c r="P52" s="129">
        <v>1.49</v>
      </c>
      <c r="Q52" s="129">
        <v>1.49</v>
      </c>
      <c r="R52" s="129">
        <v>1.49</v>
      </c>
      <c r="S52" s="129">
        <v>1.49</v>
      </c>
      <c r="T52" s="129">
        <v>1.49</v>
      </c>
      <c r="U52" s="129">
        <v>1.49</v>
      </c>
      <c r="V52" s="129">
        <v>1.49</v>
      </c>
      <c r="W52" s="129">
        <v>1.49</v>
      </c>
      <c r="X52" s="129">
        <v>1.49</v>
      </c>
      <c r="Y52" s="129">
        <v>1.49</v>
      </c>
      <c r="Z52" s="129">
        <v>1.49</v>
      </c>
      <c r="AA52" s="129">
        <v>1.49</v>
      </c>
      <c r="AB52" s="129">
        <v>1.49</v>
      </c>
      <c r="AC52" s="129">
        <v>1.49</v>
      </c>
      <c r="AD52" s="129">
        <v>1.49</v>
      </c>
      <c r="AE52" s="129">
        <v>1.49</v>
      </c>
      <c r="AF52" s="129">
        <v>1.49</v>
      </c>
      <c r="AG52" s="129">
        <v>1.49</v>
      </c>
      <c r="AH52" s="129">
        <v>1.49</v>
      </c>
      <c r="AI52" s="129">
        <v>1.49</v>
      </c>
      <c r="AJ52" s="129">
        <v>1.49</v>
      </c>
      <c r="AK52" s="129">
        <v>1.49</v>
      </c>
      <c r="AL52" s="129">
        <v>1.49</v>
      </c>
      <c r="AM52" s="129">
        <v>1.49</v>
      </c>
      <c r="AN52" s="129">
        <v>1.49</v>
      </c>
      <c r="AO52" s="129">
        <v>1.49</v>
      </c>
      <c r="AP52" s="129">
        <v>1.49</v>
      </c>
      <c r="AQ52" s="129">
        <v>1.49</v>
      </c>
      <c r="AR52" s="129">
        <v>1.49</v>
      </c>
      <c r="AS52" s="129">
        <v>1.49</v>
      </c>
      <c r="AT52" s="129">
        <v>1.49</v>
      </c>
      <c r="AU52" s="129">
        <v>1.49</v>
      </c>
      <c r="AV52" s="129">
        <v>1.49</v>
      </c>
      <c r="AW52" s="129">
        <v>1.49</v>
      </c>
      <c r="AX52" s="129">
        <v>1.49</v>
      </c>
      <c r="AY52" s="129">
        <v>1.49</v>
      </c>
      <c r="AZ52" s="129">
        <v>1.5</v>
      </c>
      <c r="BA52" s="129">
        <v>1.51</v>
      </c>
      <c r="BB52" s="129">
        <v>1.52</v>
      </c>
      <c r="BC52" s="129">
        <v>1.52</v>
      </c>
      <c r="BD52" s="129">
        <v>1.53</v>
      </c>
      <c r="BE52" s="129">
        <v>1.53</v>
      </c>
      <c r="BF52" s="129">
        <v>1.54</v>
      </c>
      <c r="BG52" s="129">
        <v>1.54</v>
      </c>
      <c r="BH52" s="129">
        <v>1.55</v>
      </c>
      <c r="BI52" s="129">
        <v>1.55</v>
      </c>
      <c r="BJ52" s="129">
        <v>1.56</v>
      </c>
      <c r="BK52" s="129">
        <v>1.57</v>
      </c>
      <c r="BL52" s="129">
        <v>1.57</v>
      </c>
      <c r="BM52" s="129">
        <v>1.58</v>
      </c>
      <c r="BN52" s="129">
        <v>1.59</v>
      </c>
      <c r="BO52" s="129">
        <v>1.59</v>
      </c>
      <c r="BP52" s="129">
        <v>1.6</v>
      </c>
      <c r="BQ52" s="129">
        <v>1.61</v>
      </c>
      <c r="BR52" s="129">
        <v>1.61</v>
      </c>
      <c r="BS52" s="129">
        <v>1.62</v>
      </c>
      <c r="BT52" s="129">
        <v>1.63</v>
      </c>
      <c r="BU52" s="129">
        <v>1.64</v>
      </c>
      <c r="BV52" s="129">
        <v>1.65</v>
      </c>
      <c r="BW52" s="129">
        <v>1.65</v>
      </c>
      <c r="BX52" s="129">
        <v>1.66</v>
      </c>
      <c r="BY52" s="129">
        <v>1.67</v>
      </c>
      <c r="BZ52" s="129">
        <v>1.68</v>
      </c>
      <c r="CA52" s="129">
        <v>1.69</v>
      </c>
      <c r="CB52" s="129">
        <v>1.7</v>
      </c>
      <c r="CC52" s="129">
        <v>1.71</v>
      </c>
      <c r="CD52" s="129">
        <v>1.72</v>
      </c>
      <c r="CE52" s="129">
        <v>1.73</v>
      </c>
      <c r="CF52" s="129">
        <v>1.74</v>
      </c>
      <c r="CG52" s="129">
        <v>1.75</v>
      </c>
      <c r="CH52" s="129">
        <v>1.76</v>
      </c>
      <c r="CI52" s="129">
        <v>1.77</v>
      </c>
      <c r="CJ52" s="129">
        <v>1.78</v>
      </c>
      <c r="CK52" s="129">
        <v>1.8</v>
      </c>
      <c r="CL52" s="129">
        <v>1.81</v>
      </c>
      <c r="CM52" s="129">
        <v>1.82</v>
      </c>
      <c r="CN52" s="129">
        <v>1.84</v>
      </c>
      <c r="CO52" s="129">
        <v>1.85</v>
      </c>
      <c r="CP52" s="129">
        <v>1.86</v>
      </c>
      <c r="CQ52" s="129">
        <v>1.88</v>
      </c>
      <c r="CR52" s="129">
        <v>1.89</v>
      </c>
      <c r="CS52" s="129">
        <v>1.91</v>
      </c>
      <c r="CT52" s="129">
        <v>1.93</v>
      </c>
      <c r="CU52" s="129">
        <v>1.94</v>
      </c>
      <c r="CV52" s="129">
        <v>1.96</v>
      </c>
      <c r="CW52" s="129">
        <v>1.98</v>
      </c>
      <c r="CX52" s="129">
        <v>2</v>
      </c>
      <c r="CZ52" s="126">
        <f>SUMIF(MatrixF4[[1]:[2]],MatrixF4[[#This Row],[Столбец1]])/MatrixF4[[#This Row],[Столбец1]]</f>
        <v>98.999999999999957</v>
      </c>
    </row>
    <row r="53" spans="1:104" ht="21" customHeight="1" x14ac:dyDescent="0.25">
      <c r="A53" s="127">
        <v>1.5</v>
      </c>
      <c r="B53" s="129">
        <v>1.5</v>
      </c>
      <c r="C53" s="129">
        <v>1.5</v>
      </c>
      <c r="D53" s="129">
        <v>1.5</v>
      </c>
      <c r="E53" s="129">
        <v>1.5</v>
      </c>
      <c r="F53" s="129">
        <v>1.5</v>
      </c>
      <c r="G53" s="129">
        <v>1.5</v>
      </c>
      <c r="H53" s="129">
        <v>1.5</v>
      </c>
      <c r="I53" s="129">
        <v>1.5</v>
      </c>
      <c r="J53" s="129">
        <v>1.5</v>
      </c>
      <c r="K53" s="129">
        <v>1.5</v>
      </c>
      <c r="L53" s="129">
        <v>1.5</v>
      </c>
      <c r="M53" s="129">
        <v>1.5</v>
      </c>
      <c r="N53" s="129">
        <v>1.5</v>
      </c>
      <c r="O53" s="129">
        <v>1.5</v>
      </c>
      <c r="P53" s="129">
        <v>1.5</v>
      </c>
      <c r="Q53" s="129">
        <v>1.5</v>
      </c>
      <c r="R53" s="129">
        <v>1.5</v>
      </c>
      <c r="S53" s="129">
        <v>1.5</v>
      </c>
      <c r="T53" s="129">
        <v>1.5</v>
      </c>
      <c r="U53" s="129">
        <v>1.5</v>
      </c>
      <c r="V53" s="129">
        <v>1.5</v>
      </c>
      <c r="W53" s="129">
        <v>1.5</v>
      </c>
      <c r="X53" s="129">
        <v>1.5</v>
      </c>
      <c r="Y53" s="129">
        <v>1.5</v>
      </c>
      <c r="Z53" s="129">
        <v>1.5</v>
      </c>
      <c r="AA53" s="129">
        <v>1.5</v>
      </c>
      <c r="AB53" s="129">
        <v>1.5</v>
      </c>
      <c r="AC53" s="129">
        <v>1.5</v>
      </c>
      <c r="AD53" s="129">
        <v>1.5</v>
      </c>
      <c r="AE53" s="129">
        <v>1.5</v>
      </c>
      <c r="AF53" s="129">
        <v>1.5</v>
      </c>
      <c r="AG53" s="129">
        <v>1.5</v>
      </c>
      <c r="AH53" s="129">
        <v>1.5</v>
      </c>
      <c r="AI53" s="129">
        <v>1.5</v>
      </c>
      <c r="AJ53" s="129">
        <v>1.5</v>
      </c>
      <c r="AK53" s="129">
        <v>1.5</v>
      </c>
      <c r="AL53" s="129">
        <v>1.5</v>
      </c>
      <c r="AM53" s="129">
        <v>1.5</v>
      </c>
      <c r="AN53" s="129">
        <v>1.5</v>
      </c>
      <c r="AO53" s="129">
        <v>1.5</v>
      </c>
      <c r="AP53" s="129">
        <v>1.5</v>
      </c>
      <c r="AQ53" s="129">
        <v>1.5</v>
      </c>
      <c r="AR53" s="129">
        <v>1.5</v>
      </c>
      <c r="AS53" s="129">
        <v>1.5</v>
      </c>
      <c r="AT53" s="129">
        <v>1.5</v>
      </c>
      <c r="AU53" s="129">
        <v>1.5</v>
      </c>
      <c r="AV53" s="129">
        <v>1.5</v>
      </c>
      <c r="AW53" s="129">
        <v>1.5</v>
      </c>
      <c r="AX53" s="129">
        <v>1.5</v>
      </c>
      <c r="AY53" s="129">
        <v>1.5</v>
      </c>
      <c r="AZ53" s="129">
        <v>1.5</v>
      </c>
      <c r="BA53" s="129">
        <v>1.51</v>
      </c>
      <c r="BB53" s="129">
        <v>1.51</v>
      </c>
      <c r="BC53" s="129">
        <v>1.52</v>
      </c>
      <c r="BD53" s="129">
        <v>1.52</v>
      </c>
      <c r="BE53" s="129">
        <v>1.53</v>
      </c>
      <c r="BF53" s="129">
        <v>1.53</v>
      </c>
      <c r="BG53" s="129">
        <v>1.54</v>
      </c>
      <c r="BH53" s="129">
        <v>1.54</v>
      </c>
      <c r="BI53" s="129">
        <v>1.55</v>
      </c>
      <c r="BJ53" s="129">
        <v>1.56</v>
      </c>
      <c r="BK53" s="129">
        <v>1.56</v>
      </c>
      <c r="BL53" s="129">
        <v>1.57</v>
      </c>
      <c r="BM53" s="129">
        <v>1.57</v>
      </c>
      <c r="BN53" s="129">
        <v>1.58</v>
      </c>
      <c r="BO53" s="129">
        <v>1.59</v>
      </c>
      <c r="BP53" s="129">
        <v>1.6</v>
      </c>
      <c r="BQ53" s="129">
        <v>1.6</v>
      </c>
      <c r="BR53" s="129">
        <v>1.61</v>
      </c>
      <c r="BS53" s="129">
        <v>1.62</v>
      </c>
      <c r="BT53" s="129">
        <v>1.62</v>
      </c>
      <c r="BU53" s="129">
        <v>1.63</v>
      </c>
      <c r="BV53" s="129">
        <v>1.64</v>
      </c>
      <c r="BW53" s="129">
        <v>1.65</v>
      </c>
      <c r="BX53" s="129">
        <v>1.66</v>
      </c>
      <c r="BY53" s="129">
        <v>1.67</v>
      </c>
      <c r="BZ53" s="129">
        <v>1.68</v>
      </c>
      <c r="CA53" s="129">
        <v>1.68</v>
      </c>
      <c r="CB53" s="129">
        <v>1.69</v>
      </c>
      <c r="CC53" s="129">
        <v>1.7</v>
      </c>
      <c r="CD53" s="129">
        <v>1.71</v>
      </c>
      <c r="CE53" s="129">
        <v>1.72</v>
      </c>
      <c r="CF53" s="129">
        <v>1.74</v>
      </c>
      <c r="CG53" s="129">
        <v>1.75</v>
      </c>
      <c r="CH53" s="129">
        <v>1.76</v>
      </c>
      <c r="CI53" s="129">
        <v>1.77</v>
      </c>
      <c r="CJ53" s="129">
        <v>1.78</v>
      </c>
      <c r="CK53" s="129">
        <v>1.79</v>
      </c>
      <c r="CL53" s="129">
        <v>1.81</v>
      </c>
      <c r="CM53" s="129">
        <v>1.82</v>
      </c>
      <c r="CN53" s="129">
        <v>1.83</v>
      </c>
      <c r="CO53" s="129">
        <v>1.85</v>
      </c>
      <c r="CP53" s="129">
        <v>1.86</v>
      </c>
      <c r="CQ53" s="129">
        <v>1.88</v>
      </c>
      <c r="CR53" s="129">
        <v>1.89</v>
      </c>
      <c r="CS53" s="129">
        <v>1.91</v>
      </c>
      <c r="CT53" s="129">
        <v>1.93</v>
      </c>
      <c r="CU53" s="129">
        <v>1.94</v>
      </c>
      <c r="CV53" s="129">
        <v>1.96</v>
      </c>
      <c r="CW53" s="129">
        <v>1.98</v>
      </c>
      <c r="CX53" s="129">
        <v>2</v>
      </c>
      <c r="CZ53" s="126">
        <f>SUMIF(MatrixF4[[1]:[2]],MatrixF4[[#This Row],[Столбец1]])/MatrixF4[[#This Row],[Столбец1]]</f>
        <v>101</v>
      </c>
    </row>
    <row r="54" spans="1:104" ht="21" customHeight="1" x14ac:dyDescent="0.25">
      <c r="A54" s="127">
        <v>1.51</v>
      </c>
      <c r="B54" s="129">
        <v>1.51</v>
      </c>
      <c r="C54" s="129">
        <v>1.51</v>
      </c>
      <c r="D54" s="129">
        <v>1.51</v>
      </c>
      <c r="E54" s="129">
        <v>1.51</v>
      </c>
      <c r="F54" s="129">
        <v>1.51</v>
      </c>
      <c r="G54" s="129">
        <v>1.51</v>
      </c>
      <c r="H54" s="129">
        <v>1.51</v>
      </c>
      <c r="I54" s="129">
        <v>1.51</v>
      </c>
      <c r="J54" s="129">
        <v>1.51</v>
      </c>
      <c r="K54" s="129">
        <v>1.51</v>
      </c>
      <c r="L54" s="129">
        <v>1.51</v>
      </c>
      <c r="M54" s="129">
        <v>1.51</v>
      </c>
      <c r="N54" s="129">
        <v>1.51</v>
      </c>
      <c r="O54" s="129">
        <v>1.51</v>
      </c>
      <c r="P54" s="129">
        <v>1.51</v>
      </c>
      <c r="Q54" s="129">
        <v>1.51</v>
      </c>
      <c r="R54" s="129">
        <v>1.51</v>
      </c>
      <c r="S54" s="129">
        <v>1.51</v>
      </c>
      <c r="T54" s="129">
        <v>1.51</v>
      </c>
      <c r="U54" s="129">
        <v>1.51</v>
      </c>
      <c r="V54" s="129">
        <v>1.51</v>
      </c>
      <c r="W54" s="129">
        <v>1.51</v>
      </c>
      <c r="X54" s="129">
        <v>1.51</v>
      </c>
      <c r="Y54" s="129">
        <v>1.51</v>
      </c>
      <c r="Z54" s="129">
        <v>1.51</v>
      </c>
      <c r="AA54" s="129">
        <v>1.51</v>
      </c>
      <c r="AB54" s="129">
        <v>1.51</v>
      </c>
      <c r="AC54" s="129">
        <v>1.51</v>
      </c>
      <c r="AD54" s="129">
        <v>1.51</v>
      </c>
      <c r="AE54" s="129">
        <v>1.51</v>
      </c>
      <c r="AF54" s="129">
        <v>1.51</v>
      </c>
      <c r="AG54" s="129">
        <v>1.51</v>
      </c>
      <c r="AH54" s="129">
        <v>1.51</v>
      </c>
      <c r="AI54" s="129">
        <v>1.51</v>
      </c>
      <c r="AJ54" s="129">
        <v>1.51</v>
      </c>
      <c r="AK54" s="129">
        <v>1.51</v>
      </c>
      <c r="AL54" s="129">
        <v>1.51</v>
      </c>
      <c r="AM54" s="129">
        <v>1.51</v>
      </c>
      <c r="AN54" s="129">
        <v>1.51</v>
      </c>
      <c r="AO54" s="129">
        <v>1.51</v>
      </c>
      <c r="AP54" s="129">
        <v>1.51</v>
      </c>
      <c r="AQ54" s="129">
        <v>1.51</v>
      </c>
      <c r="AR54" s="129">
        <v>1.51</v>
      </c>
      <c r="AS54" s="129">
        <v>1.51</v>
      </c>
      <c r="AT54" s="129">
        <v>1.51</v>
      </c>
      <c r="AU54" s="129">
        <v>1.51</v>
      </c>
      <c r="AV54" s="129">
        <v>1.51</v>
      </c>
      <c r="AW54" s="129">
        <v>1.51</v>
      </c>
      <c r="AX54" s="129">
        <v>1.51</v>
      </c>
      <c r="AY54" s="129">
        <v>1.51</v>
      </c>
      <c r="AZ54" s="129">
        <v>1.51</v>
      </c>
      <c r="BA54" s="129">
        <v>1.51</v>
      </c>
      <c r="BB54" s="129">
        <v>1.52</v>
      </c>
      <c r="BC54" s="129">
        <v>1.52</v>
      </c>
      <c r="BD54" s="129">
        <v>1.53</v>
      </c>
      <c r="BE54" s="129">
        <v>1.53</v>
      </c>
      <c r="BF54" s="129">
        <v>1.54</v>
      </c>
      <c r="BG54" s="129">
        <v>1.54</v>
      </c>
      <c r="BH54" s="129">
        <v>1.55</v>
      </c>
      <c r="BI54" s="129">
        <v>1.55</v>
      </c>
      <c r="BJ54" s="129">
        <v>1.56</v>
      </c>
      <c r="BK54" s="129">
        <v>1.57</v>
      </c>
      <c r="BL54" s="129">
        <v>1.57</v>
      </c>
      <c r="BM54" s="129">
        <v>1.58</v>
      </c>
      <c r="BN54" s="129">
        <v>1.59</v>
      </c>
      <c r="BO54" s="129">
        <v>1.59</v>
      </c>
      <c r="BP54" s="129">
        <v>1.6</v>
      </c>
      <c r="BQ54" s="129">
        <v>1.61</v>
      </c>
      <c r="BR54" s="129">
        <v>1.61</v>
      </c>
      <c r="BS54" s="129">
        <v>1.62</v>
      </c>
      <c r="BT54" s="129">
        <v>1.63</v>
      </c>
      <c r="BU54" s="129">
        <v>1.64</v>
      </c>
      <c r="BV54" s="129">
        <v>1.65</v>
      </c>
      <c r="BW54" s="129">
        <v>1.65</v>
      </c>
      <c r="BX54" s="129">
        <v>1.66</v>
      </c>
      <c r="BY54" s="129">
        <v>1.67</v>
      </c>
      <c r="BZ54" s="129">
        <v>1.68</v>
      </c>
      <c r="CA54" s="129">
        <v>1.69</v>
      </c>
      <c r="CB54" s="129">
        <v>1.7</v>
      </c>
      <c r="CC54" s="129">
        <v>1.71</v>
      </c>
      <c r="CD54" s="129">
        <v>1.72</v>
      </c>
      <c r="CE54" s="129">
        <v>1.73</v>
      </c>
      <c r="CF54" s="129">
        <v>1.74</v>
      </c>
      <c r="CG54" s="129">
        <v>1.75</v>
      </c>
      <c r="CH54" s="129">
        <v>1.76</v>
      </c>
      <c r="CI54" s="129">
        <v>1.77</v>
      </c>
      <c r="CJ54" s="129">
        <v>1.78</v>
      </c>
      <c r="CK54" s="129">
        <v>1.8</v>
      </c>
      <c r="CL54" s="129">
        <v>1.81</v>
      </c>
      <c r="CM54" s="129">
        <v>1.82</v>
      </c>
      <c r="CN54" s="129">
        <v>1.84</v>
      </c>
      <c r="CO54" s="129">
        <v>1.85</v>
      </c>
      <c r="CP54" s="129">
        <v>1.86</v>
      </c>
      <c r="CQ54" s="129">
        <v>1.88</v>
      </c>
      <c r="CR54" s="129">
        <v>1.89</v>
      </c>
      <c r="CS54" s="129">
        <v>1.91</v>
      </c>
      <c r="CT54" s="129">
        <v>1.93</v>
      </c>
      <c r="CU54" s="129">
        <v>1.94</v>
      </c>
      <c r="CV54" s="129">
        <v>1.96</v>
      </c>
      <c r="CW54" s="129">
        <v>1.98</v>
      </c>
      <c r="CX54" s="129">
        <v>2</v>
      </c>
      <c r="CZ54" s="126">
        <f>SUMIF(MatrixF4[[1]:[2]],MatrixF4[[#This Row],[Столбец1]])/MatrixF4[[#This Row],[Столбец1]]</f>
        <v>105</v>
      </c>
    </row>
    <row r="55" spans="1:104" ht="21" customHeight="1" x14ac:dyDescent="0.25">
      <c r="A55" s="127">
        <v>1.52</v>
      </c>
      <c r="B55" s="129">
        <v>1.52</v>
      </c>
      <c r="C55" s="129">
        <v>1.52</v>
      </c>
      <c r="D55" s="129">
        <v>1.52</v>
      </c>
      <c r="E55" s="129">
        <v>1.52</v>
      </c>
      <c r="F55" s="129">
        <v>1.52</v>
      </c>
      <c r="G55" s="129">
        <v>1.52</v>
      </c>
      <c r="H55" s="129">
        <v>1.52</v>
      </c>
      <c r="I55" s="129">
        <v>1.52</v>
      </c>
      <c r="J55" s="129">
        <v>1.52</v>
      </c>
      <c r="K55" s="129">
        <v>1.52</v>
      </c>
      <c r="L55" s="129">
        <v>1.52</v>
      </c>
      <c r="M55" s="129">
        <v>1.52</v>
      </c>
      <c r="N55" s="129">
        <v>1.52</v>
      </c>
      <c r="O55" s="129">
        <v>1.52</v>
      </c>
      <c r="P55" s="129">
        <v>1.52</v>
      </c>
      <c r="Q55" s="129">
        <v>1.52</v>
      </c>
      <c r="R55" s="129">
        <v>1.52</v>
      </c>
      <c r="S55" s="129">
        <v>1.52</v>
      </c>
      <c r="T55" s="129">
        <v>1.52</v>
      </c>
      <c r="U55" s="129">
        <v>1.52</v>
      </c>
      <c r="V55" s="129">
        <v>1.52</v>
      </c>
      <c r="W55" s="129">
        <v>1.52</v>
      </c>
      <c r="X55" s="129">
        <v>1.52</v>
      </c>
      <c r="Y55" s="129">
        <v>1.52</v>
      </c>
      <c r="Z55" s="129">
        <v>1.52</v>
      </c>
      <c r="AA55" s="129">
        <v>1.52</v>
      </c>
      <c r="AB55" s="129">
        <v>1.52</v>
      </c>
      <c r="AC55" s="129">
        <v>1.52</v>
      </c>
      <c r="AD55" s="129">
        <v>1.52</v>
      </c>
      <c r="AE55" s="129">
        <v>1.52</v>
      </c>
      <c r="AF55" s="129">
        <v>1.52</v>
      </c>
      <c r="AG55" s="129">
        <v>1.52</v>
      </c>
      <c r="AH55" s="129">
        <v>1.52</v>
      </c>
      <c r="AI55" s="129">
        <v>1.52</v>
      </c>
      <c r="AJ55" s="129">
        <v>1.52</v>
      </c>
      <c r="AK55" s="129">
        <v>1.52</v>
      </c>
      <c r="AL55" s="129">
        <v>1.52</v>
      </c>
      <c r="AM55" s="129">
        <v>1.52</v>
      </c>
      <c r="AN55" s="129">
        <v>1.52</v>
      </c>
      <c r="AO55" s="129">
        <v>1.52</v>
      </c>
      <c r="AP55" s="129">
        <v>1.52</v>
      </c>
      <c r="AQ55" s="129">
        <v>1.52</v>
      </c>
      <c r="AR55" s="129">
        <v>1.52</v>
      </c>
      <c r="AS55" s="129">
        <v>1.52</v>
      </c>
      <c r="AT55" s="129">
        <v>1.52</v>
      </c>
      <c r="AU55" s="129">
        <v>1.52</v>
      </c>
      <c r="AV55" s="129">
        <v>1.52</v>
      </c>
      <c r="AW55" s="129">
        <v>1.52</v>
      </c>
      <c r="AX55" s="129">
        <v>1.52</v>
      </c>
      <c r="AY55" s="129">
        <v>1.52</v>
      </c>
      <c r="AZ55" s="129">
        <v>1.51</v>
      </c>
      <c r="BA55" s="129">
        <v>1.52</v>
      </c>
      <c r="BB55" s="129">
        <v>1.52</v>
      </c>
      <c r="BC55" s="129">
        <v>1.53</v>
      </c>
      <c r="BD55" s="129">
        <v>1.53</v>
      </c>
      <c r="BE55" s="129">
        <v>1.54</v>
      </c>
      <c r="BF55" s="129">
        <v>1.54</v>
      </c>
      <c r="BG55" s="129">
        <v>1.55</v>
      </c>
      <c r="BH55" s="129">
        <v>1.55</v>
      </c>
      <c r="BI55" s="129">
        <v>1.56</v>
      </c>
      <c r="BJ55" s="129">
        <v>1.57</v>
      </c>
      <c r="BK55" s="129">
        <v>1.57</v>
      </c>
      <c r="BL55" s="129">
        <v>1.58</v>
      </c>
      <c r="BM55" s="129">
        <v>1.58</v>
      </c>
      <c r="BN55" s="129">
        <v>1.59</v>
      </c>
      <c r="BO55" s="129">
        <v>1.6</v>
      </c>
      <c r="BP55" s="129">
        <v>1.6</v>
      </c>
      <c r="BQ55" s="129">
        <v>1.61</v>
      </c>
      <c r="BR55" s="129">
        <v>1.62</v>
      </c>
      <c r="BS55" s="129">
        <v>1.63</v>
      </c>
      <c r="BT55" s="129">
        <v>1.63</v>
      </c>
      <c r="BU55" s="129">
        <v>1.64</v>
      </c>
      <c r="BV55" s="129">
        <v>1.65</v>
      </c>
      <c r="BW55" s="129">
        <v>1.66</v>
      </c>
      <c r="BX55" s="129">
        <v>1.67</v>
      </c>
      <c r="BY55" s="129">
        <v>1.68</v>
      </c>
      <c r="BZ55" s="129">
        <v>1.68</v>
      </c>
      <c r="CA55" s="129">
        <v>1.69</v>
      </c>
      <c r="CB55" s="129">
        <v>1.7</v>
      </c>
      <c r="CC55" s="129">
        <v>1.71</v>
      </c>
      <c r="CD55" s="129">
        <v>1.72</v>
      </c>
      <c r="CE55" s="129">
        <v>1.73</v>
      </c>
      <c r="CF55" s="129">
        <v>1.74</v>
      </c>
      <c r="CG55" s="129">
        <v>1.75</v>
      </c>
      <c r="CH55" s="129">
        <v>1.76</v>
      </c>
      <c r="CI55" s="129">
        <v>1.78</v>
      </c>
      <c r="CJ55" s="129">
        <v>1.79</v>
      </c>
      <c r="CK55" s="129">
        <v>1.8</v>
      </c>
      <c r="CL55" s="129">
        <v>1.81</v>
      </c>
      <c r="CM55" s="129">
        <v>1.83</v>
      </c>
      <c r="CN55" s="129">
        <v>1.84</v>
      </c>
      <c r="CO55" s="129">
        <v>1.85</v>
      </c>
      <c r="CP55" s="129">
        <v>1.87</v>
      </c>
      <c r="CQ55" s="129">
        <v>1.88</v>
      </c>
      <c r="CR55" s="129">
        <v>1.9</v>
      </c>
      <c r="CS55" s="129">
        <v>1.91</v>
      </c>
      <c r="CT55" s="129">
        <v>1.93</v>
      </c>
      <c r="CU55" s="129">
        <v>1.95</v>
      </c>
      <c r="CV55" s="129">
        <v>1.96</v>
      </c>
      <c r="CW55" s="129">
        <v>1.98</v>
      </c>
      <c r="CX55" s="129">
        <v>2</v>
      </c>
      <c r="CZ55" s="126">
        <f>SUMIF(MatrixF4[[1]:[2]],MatrixF4[[#This Row],[Столбец1]])/MatrixF4[[#This Row],[Столбец1]]</f>
        <v>111.00000000000011</v>
      </c>
    </row>
    <row r="56" spans="1:104" ht="21" customHeight="1" x14ac:dyDescent="0.25">
      <c r="A56" s="127">
        <v>1.53</v>
      </c>
      <c r="B56" s="129">
        <v>1.53</v>
      </c>
      <c r="C56" s="129">
        <v>1.53</v>
      </c>
      <c r="D56" s="129">
        <v>1.53</v>
      </c>
      <c r="E56" s="129">
        <v>1.53</v>
      </c>
      <c r="F56" s="129">
        <v>1.53</v>
      </c>
      <c r="G56" s="129">
        <v>1.53</v>
      </c>
      <c r="H56" s="129">
        <v>1.53</v>
      </c>
      <c r="I56" s="129">
        <v>1.53</v>
      </c>
      <c r="J56" s="129">
        <v>1.53</v>
      </c>
      <c r="K56" s="129">
        <v>1.53</v>
      </c>
      <c r="L56" s="129">
        <v>1.53</v>
      </c>
      <c r="M56" s="129">
        <v>1.53</v>
      </c>
      <c r="N56" s="129">
        <v>1.53</v>
      </c>
      <c r="O56" s="129">
        <v>1.53</v>
      </c>
      <c r="P56" s="129">
        <v>1.53</v>
      </c>
      <c r="Q56" s="129">
        <v>1.53</v>
      </c>
      <c r="R56" s="129">
        <v>1.53</v>
      </c>
      <c r="S56" s="129">
        <v>1.53</v>
      </c>
      <c r="T56" s="129">
        <v>1.53</v>
      </c>
      <c r="U56" s="129">
        <v>1.53</v>
      </c>
      <c r="V56" s="129">
        <v>1.53</v>
      </c>
      <c r="W56" s="129">
        <v>1.53</v>
      </c>
      <c r="X56" s="129">
        <v>1.53</v>
      </c>
      <c r="Y56" s="129">
        <v>1.53</v>
      </c>
      <c r="Z56" s="129">
        <v>1.53</v>
      </c>
      <c r="AA56" s="129">
        <v>1.53</v>
      </c>
      <c r="AB56" s="129">
        <v>1.53</v>
      </c>
      <c r="AC56" s="129">
        <v>1.53</v>
      </c>
      <c r="AD56" s="129">
        <v>1.53</v>
      </c>
      <c r="AE56" s="129">
        <v>1.53</v>
      </c>
      <c r="AF56" s="129">
        <v>1.53</v>
      </c>
      <c r="AG56" s="129">
        <v>1.53</v>
      </c>
      <c r="AH56" s="129">
        <v>1.53</v>
      </c>
      <c r="AI56" s="129">
        <v>1.53</v>
      </c>
      <c r="AJ56" s="129">
        <v>1.53</v>
      </c>
      <c r="AK56" s="129">
        <v>1.53</v>
      </c>
      <c r="AL56" s="129">
        <v>1.53</v>
      </c>
      <c r="AM56" s="129">
        <v>1.53</v>
      </c>
      <c r="AN56" s="129">
        <v>1.53</v>
      </c>
      <c r="AO56" s="129">
        <v>1.53</v>
      </c>
      <c r="AP56" s="129">
        <v>1.53</v>
      </c>
      <c r="AQ56" s="129">
        <v>1.53</v>
      </c>
      <c r="AR56" s="129">
        <v>1.53</v>
      </c>
      <c r="AS56" s="129">
        <v>1.53</v>
      </c>
      <c r="AT56" s="129">
        <v>1.53</v>
      </c>
      <c r="AU56" s="129">
        <v>1.53</v>
      </c>
      <c r="AV56" s="129">
        <v>1.53</v>
      </c>
      <c r="AW56" s="129">
        <v>1.53</v>
      </c>
      <c r="AX56" s="129">
        <v>1.53</v>
      </c>
      <c r="AY56" s="129">
        <v>1.52</v>
      </c>
      <c r="AZ56" s="129">
        <v>1.52</v>
      </c>
      <c r="BA56" s="129">
        <v>1.52</v>
      </c>
      <c r="BB56" s="129">
        <v>1.53</v>
      </c>
      <c r="BC56" s="129">
        <v>1.53</v>
      </c>
      <c r="BD56" s="129">
        <v>1.54</v>
      </c>
      <c r="BE56" s="129">
        <v>1.54</v>
      </c>
      <c r="BF56" s="129">
        <v>1.55</v>
      </c>
      <c r="BG56" s="129">
        <v>1.55</v>
      </c>
      <c r="BH56" s="129">
        <v>1.56</v>
      </c>
      <c r="BI56" s="129">
        <v>1.56</v>
      </c>
      <c r="BJ56" s="129">
        <v>1.57</v>
      </c>
      <c r="BK56" s="129">
        <v>1.58</v>
      </c>
      <c r="BL56" s="129">
        <v>1.58</v>
      </c>
      <c r="BM56" s="129">
        <v>1.59</v>
      </c>
      <c r="BN56" s="129">
        <v>1.6</v>
      </c>
      <c r="BO56" s="129">
        <v>1.6</v>
      </c>
      <c r="BP56" s="129">
        <v>1.61</v>
      </c>
      <c r="BQ56" s="129">
        <v>1.62</v>
      </c>
      <c r="BR56" s="129">
        <v>1.62</v>
      </c>
      <c r="BS56" s="129">
        <v>1.63</v>
      </c>
      <c r="BT56" s="129">
        <v>1.64</v>
      </c>
      <c r="BU56" s="129">
        <v>1.65</v>
      </c>
      <c r="BV56" s="129">
        <v>1.65</v>
      </c>
      <c r="BW56" s="129">
        <v>1.66</v>
      </c>
      <c r="BX56" s="129">
        <v>1.67</v>
      </c>
      <c r="BY56" s="129">
        <v>1.68</v>
      </c>
      <c r="BZ56" s="129">
        <v>1.69</v>
      </c>
      <c r="CA56" s="129">
        <v>1.7</v>
      </c>
      <c r="CB56" s="129">
        <v>1.71</v>
      </c>
      <c r="CC56" s="129">
        <v>1.72</v>
      </c>
      <c r="CD56" s="129">
        <v>1.73</v>
      </c>
      <c r="CE56" s="129">
        <v>1.74</v>
      </c>
      <c r="CF56" s="129">
        <v>1.75</v>
      </c>
      <c r="CG56" s="129">
        <v>1.76</v>
      </c>
      <c r="CH56" s="129">
        <v>1.77</v>
      </c>
      <c r="CI56" s="129">
        <v>1.78</v>
      </c>
      <c r="CJ56" s="129">
        <v>1.79</v>
      </c>
      <c r="CK56" s="129">
        <v>1.8</v>
      </c>
      <c r="CL56" s="129">
        <v>1.82</v>
      </c>
      <c r="CM56" s="129">
        <v>1.83</v>
      </c>
      <c r="CN56" s="129">
        <v>1.84</v>
      </c>
      <c r="CO56" s="129">
        <v>1.85</v>
      </c>
      <c r="CP56" s="129">
        <v>1.87</v>
      </c>
      <c r="CQ56" s="129">
        <v>1.88</v>
      </c>
      <c r="CR56" s="129">
        <v>1.9</v>
      </c>
      <c r="CS56" s="129">
        <v>1.91</v>
      </c>
      <c r="CT56" s="129">
        <v>1.93</v>
      </c>
      <c r="CU56" s="129">
        <v>1.95</v>
      </c>
      <c r="CV56" s="129">
        <v>1.96</v>
      </c>
      <c r="CW56" s="129">
        <v>1.98</v>
      </c>
      <c r="CX56" s="129">
        <v>2</v>
      </c>
      <c r="CZ56" s="126">
        <f>SUMIF(MatrixF4[[1]:[2]],MatrixF4[[#This Row],[Столбец1]])/MatrixF4[[#This Row],[Столбец1]]</f>
        <v>117.00000000000007</v>
      </c>
    </row>
    <row r="57" spans="1:104" ht="21" customHeight="1" x14ac:dyDescent="0.25">
      <c r="A57" s="127">
        <v>1.54</v>
      </c>
      <c r="B57" s="129">
        <v>1.54</v>
      </c>
      <c r="C57" s="129">
        <v>1.54</v>
      </c>
      <c r="D57" s="129">
        <v>1.54</v>
      </c>
      <c r="E57" s="129">
        <v>1.54</v>
      </c>
      <c r="F57" s="129">
        <v>1.54</v>
      </c>
      <c r="G57" s="129">
        <v>1.54</v>
      </c>
      <c r="H57" s="129">
        <v>1.54</v>
      </c>
      <c r="I57" s="129">
        <v>1.54</v>
      </c>
      <c r="J57" s="129">
        <v>1.54</v>
      </c>
      <c r="K57" s="129">
        <v>1.54</v>
      </c>
      <c r="L57" s="129">
        <v>1.54</v>
      </c>
      <c r="M57" s="129">
        <v>1.54</v>
      </c>
      <c r="N57" s="129">
        <v>1.54</v>
      </c>
      <c r="O57" s="129">
        <v>1.54</v>
      </c>
      <c r="P57" s="129">
        <v>1.54</v>
      </c>
      <c r="Q57" s="129">
        <v>1.54</v>
      </c>
      <c r="R57" s="129">
        <v>1.54</v>
      </c>
      <c r="S57" s="129">
        <v>1.54</v>
      </c>
      <c r="T57" s="129">
        <v>1.54</v>
      </c>
      <c r="U57" s="129">
        <v>1.54</v>
      </c>
      <c r="V57" s="129">
        <v>1.54</v>
      </c>
      <c r="W57" s="129">
        <v>1.54</v>
      </c>
      <c r="X57" s="129">
        <v>1.54</v>
      </c>
      <c r="Y57" s="129">
        <v>1.54</v>
      </c>
      <c r="Z57" s="129">
        <v>1.54</v>
      </c>
      <c r="AA57" s="129">
        <v>1.54</v>
      </c>
      <c r="AB57" s="129">
        <v>1.54</v>
      </c>
      <c r="AC57" s="129">
        <v>1.54</v>
      </c>
      <c r="AD57" s="129">
        <v>1.54</v>
      </c>
      <c r="AE57" s="129">
        <v>1.54</v>
      </c>
      <c r="AF57" s="129">
        <v>1.54</v>
      </c>
      <c r="AG57" s="129">
        <v>1.54</v>
      </c>
      <c r="AH57" s="129">
        <v>1.54</v>
      </c>
      <c r="AI57" s="129">
        <v>1.54</v>
      </c>
      <c r="AJ57" s="129">
        <v>1.54</v>
      </c>
      <c r="AK57" s="129">
        <v>1.54</v>
      </c>
      <c r="AL57" s="129">
        <v>1.54</v>
      </c>
      <c r="AM57" s="129">
        <v>1.54</v>
      </c>
      <c r="AN57" s="129">
        <v>1.54</v>
      </c>
      <c r="AO57" s="129">
        <v>1.54</v>
      </c>
      <c r="AP57" s="129">
        <v>1.54</v>
      </c>
      <c r="AQ57" s="129">
        <v>1.54</v>
      </c>
      <c r="AR57" s="129">
        <v>1.54</v>
      </c>
      <c r="AS57" s="129">
        <v>1.54</v>
      </c>
      <c r="AT57" s="129">
        <v>1.54</v>
      </c>
      <c r="AU57" s="129">
        <v>1.54</v>
      </c>
      <c r="AV57" s="129">
        <v>1.54</v>
      </c>
      <c r="AW57" s="129">
        <v>1.54</v>
      </c>
      <c r="AX57" s="129">
        <v>1.53</v>
      </c>
      <c r="AY57" s="129">
        <v>1.53</v>
      </c>
      <c r="AZ57" s="129">
        <v>1.52</v>
      </c>
      <c r="BA57" s="129">
        <v>1.53</v>
      </c>
      <c r="BB57" s="129">
        <v>1.53</v>
      </c>
      <c r="BC57" s="129">
        <v>1.54</v>
      </c>
      <c r="BD57" s="129">
        <v>1.54</v>
      </c>
      <c r="BE57" s="129">
        <v>1.55</v>
      </c>
      <c r="BF57" s="129">
        <v>1.55</v>
      </c>
      <c r="BG57" s="129">
        <v>1.56</v>
      </c>
      <c r="BH57" s="129">
        <v>1.56</v>
      </c>
      <c r="BI57" s="129">
        <v>1.57</v>
      </c>
      <c r="BJ57" s="129">
        <v>1.57</v>
      </c>
      <c r="BK57" s="129">
        <v>1.58</v>
      </c>
      <c r="BL57" s="129">
        <v>1.59</v>
      </c>
      <c r="BM57" s="129">
        <v>1.59</v>
      </c>
      <c r="BN57" s="129">
        <v>1.6</v>
      </c>
      <c r="BO57" s="129">
        <v>1.61</v>
      </c>
      <c r="BP57" s="129">
        <v>1.61</v>
      </c>
      <c r="BQ57" s="129">
        <v>1.62</v>
      </c>
      <c r="BR57" s="129">
        <v>1.63</v>
      </c>
      <c r="BS57" s="129">
        <v>1.64</v>
      </c>
      <c r="BT57" s="129">
        <v>1.64</v>
      </c>
      <c r="BU57" s="129">
        <v>1.65</v>
      </c>
      <c r="BV57" s="129">
        <v>1.66</v>
      </c>
      <c r="BW57" s="129">
        <v>1.67</v>
      </c>
      <c r="BX57" s="129">
        <v>1.68</v>
      </c>
      <c r="BY57" s="129">
        <v>1.68</v>
      </c>
      <c r="BZ57" s="129">
        <v>1.69</v>
      </c>
      <c r="CA57" s="129">
        <v>1.7</v>
      </c>
      <c r="CB57" s="129">
        <v>1.71</v>
      </c>
      <c r="CC57" s="129">
        <v>1.72</v>
      </c>
      <c r="CD57" s="129">
        <v>1.73</v>
      </c>
      <c r="CE57" s="129">
        <v>1.74</v>
      </c>
      <c r="CF57" s="129">
        <v>1.75</v>
      </c>
      <c r="CG57" s="129">
        <v>1.76</v>
      </c>
      <c r="CH57" s="129">
        <v>1.77</v>
      </c>
      <c r="CI57" s="129">
        <v>1.78</v>
      </c>
      <c r="CJ57" s="129">
        <v>1.79</v>
      </c>
      <c r="CK57" s="129">
        <v>1.81</v>
      </c>
      <c r="CL57" s="129">
        <v>1.82</v>
      </c>
      <c r="CM57" s="129">
        <v>1.83</v>
      </c>
      <c r="CN57" s="129">
        <v>1.84</v>
      </c>
      <c r="CO57" s="129">
        <v>1.86</v>
      </c>
      <c r="CP57" s="129">
        <v>1.87</v>
      </c>
      <c r="CQ57" s="129">
        <v>1.89</v>
      </c>
      <c r="CR57" s="129">
        <v>1.9</v>
      </c>
      <c r="CS57" s="129">
        <v>1.92</v>
      </c>
      <c r="CT57" s="129">
        <v>1.93</v>
      </c>
      <c r="CU57" s="129">
        <v>1.95</v>
      </c>
      <c r="CV57" s="129">
        <v>1.96</v>
      </c>
      <c r="CW57" s="129">
        <v>1.98</v>
      </c>
      <c r="CX57" s="129">
        <v>2</v>
      </c>
      <c r="CZ57" s="126">
        <f>SUMIF(MatrixF4[[1]:[2]],MatrixF4[[#This Row],[Столбец1]])/MatrixF4[[#This Row],[Столбец1]]</f>
        <v>122.99999999999996</v>
      </c>
    </row>
    <row r="58" spans="1:104" ht="21" customHeight="1" x14ac:dyDescent="0.25">
      <c r="A58" s="127">
        <v>1.55</v>
      </c>
      <c r="B58" s="129">
        <v>1.55</v>
      </c>
      <c r="C58" s="129">
        <v>1.55</v>
      </c>
      <c r="D58" s="129">
        <v>1.55</v>
      </c>
      <c r="E58" s="129">
        <v>1.55</v>
      </c>
      <c r="F58" s="129">
        <v>1.55</v>
      </c>
      <c r="G58" s="129">
        <v>1.55</v>
      </c>
      <c r="H58" s="129">
        <v>1.55</v>
      </c>
      <c r="I58" s="129">
        <v>1.55</v>
      </c>
      <c r="J58" s="129">
        <v>1.55</v>
      </c>
      <c r="K58" s="129">
        <v>1.55</v>
      </c>
      <c r="L58" s="129">
        <v>1.55</v>
      </c>
      <c r="M58" s="129">
        <v>1.55</v>
      </c>
      <c r="N58" s="129">
        <v>1.55</v>
      </c>
      <c r="O58" s="129">
        <v>1.55</v>
      </c>
      <c r="P58" s="129">
        <v>1.55</v>
      </c>
      <c r="Q58" s="129">
        <v>1.55</v>
      </c>
      <c r="R58" s="129">
        <v>1.55</v>
      </c>
      <c r="S58" s="129">
        <v>1.55</v>
      </c>
      <c r="T58" s="129">
        <v>1.55</v>
      </c>
      <c r="U58" s="129">
        <v>1.55</v>
      </c>
      <c r="V58" s="129">
        <v>1.55</v>
      </c>
      <c r="W58" s="129">
        <v>1.55</v>
      </c>
      <c r="X58" s="129">
        <v>1.55</v>
      </c>
      <c r="Y58" s="129">
        <v>1.55</v>
      </c>
      <c r="Z58" s="129">
        <v>1.55</v>
      </c>
      <c r="AA58" s="129">
        <v>1.55</v>
      </c>
      <c r="AB58" s="129">
        <v>1.55</v>
      </c>
      <c r="AC58" s="129">
        <v>1.55</v>
      </c>
      <c r="AD58" s="129">
        <v>1.55</v>
      </c>
      <c r="AE58" s="129">
        <v>1.55</v>
      </c>
      <c r="AF58" s="129">
        <v>1.55</v>
      </c>
      <c r="AG58" s="129">
        <v>1.55</v>
      </c>
      <c r="AH58" s="129">
        <v>1.55</v>
      </c>
      <c r="AI58" s="129">
        <v>1.55</v>
      </c>
      <c r="AJ58" s="129">
        <v>1.55</v>
      </c>
      <c r="AK58" s="129">
        <v>1.55</v>
      </c>
      <c r="AL58" s="129">
        <v>1.55</v>
      </c>
      <c r="AM58" s="129">
        <v>1.55</v>
      </c>
      <c r="AN58" s="129">
        <v>1.55</v>
      </c>
      <c r="AO58" s="129">
        <v>1.55</v>
      </c>
      <c r="AP58" s="129">
        <v>1.55</v>
      </c>
      <c r="AQ58" s="129">
        <v>1.55</v>
      </c>
      <c r="AR58" s="129">
        <v>1.55</v>
      </c>
      <c r="AS58" s="129">
        <v>1.55</v>
      </c>
      <c r="AT58" s="129">
        <v>1.55</v>
      </c>
      <c r="AU58" s="129">
        <v>1.55</v>
      </c>
      <c r="AV58" s="129">
        <v>1.55</v>
      </c>
      <c r="AW58" s="129">
        <v>1.54</v>
      </c>
      <c r="AX58" s="129">
        <v>1.54</v>
      </c>
      <c r="AY58" s="129">
        <v>1.53</v>
      </c>
      <c r="AZ58" s="129">
        <v>1.53</v>
      </c>
      <c r="BA58" s="129">
        <v>1.53</v>
      </c>
      <c r="BB58" s="129">
        <v>1.54</v>
      </c>
      <c r="BC58" s="129">
        <v>1.54</v>
      </c>
      <c r="BD58" s="129">
        <v>1.55</v>
      </c>
      <c r="BE58" s="129">
        <v>1.55</v>
      </c>
      <c r="BF58" s="129">
        <v>1.56</v>
      </c>
      <c r="BG58" s="129">
        <v>1.56</v>
      </c>
      <c r="BH58" s="129">
        <v>1.57</v>
      </c>
      <c r="BI58" s="129">
        <v>1.57</v>
      </c>
      <c r="BJ58" s="129">
        <v>1.58</v>
      </c>
      <c r="BK58" s="129">
        <v>1.59</v>
      </c>
      <c r="BL58" s="129">
        <v>1.59</v>
      </c>
      <c r="BM58" s="129">
        <v>1.6</v>
      </c>
      <c r="BN58" s="129">
        <v>1.6</v>
      </c>
      <c r="BO58" s="129">
        <v>1.61</v>
      </c>
      <c r="BP58" s="129">
        <v>1.62</v>
      </c>
      <c r="BQ58" s="129">
        <v>1.63</v>
      </c>
      <c r="BR58" s="129">
        <v>1.63</v>
      </c>
      <c r="BS58" s="129">
        <v>1.64</v>
      </c>
      <c r="BT58" s="129">
        <v>1.65</v>
      </c>
      <c r="BU58" s="129">
        <v>1.65</v>
      </c>
      <c r="BV58" s="129">
        <v>1.66</v>
      </c>
      <c r="BW58" s="129">
        <v>1.67</v>
      </c>
      <c r="BX58" s="129">
        <v>1.68</v>
      </c>
      <c r="BY58" s="129">
        <v>1.69</v>
      </c>
      <c r="BZ58" s="129">
        <v>1.7</v>
      </c>
      <c r="CA58" s="129">
        <v>1.71</v>
      </c>
      <c r="CB58" s="129">
        <v>1.71</v>
      </c>
      <c r="CC58" s="129">
        <v>1.72</v>
      </c>
      <c r="CD58" s="129">
        <v>1.73</v>
      </c>
      <c r="CE58" s="129">
        <v>1.74</v>
      </c>
      <c r="CF58" s="129">
        <v>1.75</v>
      </c>
      <c r="CG58" s="129">
        <v>1.76</v>
      </c>
      <c r="CH58" s="129">
        <v>1.77</v>
      </c>
      <c r="CI58" s="129">
        <v>1.79</v>
      </c>
      <c r="CJ58" s="129">
        <v>1.8</v>
      </c>
      <c r="CK58" s="129">
        <v>1.81</v>
      </c>
      <c r="CL58" s="129">
        <v>1.82</v>
      </c>
      <c r="CM58" s="129">
        <v>1.83</v>
      </c>
      <c r="CN58" s="129">
        <v>1.85</v>
      </c>
      <c r="CO58" s="129">
        <v>1.86</v>
      </c>
      <c r="CP58" s="129">
        <v>1.87</v>
      </c>
      <c r="CQ58" s="129">
        <v>1.89</v>
      </c>
      <c r="CR58" s="129">
        <v>1.9</v>
      </c>
      <c r="CS58" s="129">
        <v>1.92</v>
      </c>
      <c r="CT58" s="129">
        <v>1.93</v>
      </c>
      <c r="CU58" s="129">
        <v>1.95</v>
      </c>
      <c r="CV58" s="129">
        <v>1.96</v>
      </c>
      <c r="CW58" s="129">
        <v>1.98</v>
      </c>
      <c r="CX58" s="129">
        <v>2</v>
      </c>
      <c r="CZ58" s="126">
        <f>SUMIF(MatrixF4[[1]:[2]],MatrixF4[[#This Row],[Столбец1]])/MatrixF4[[#This Row],[Столбец1]]</f>
        <v>127.00000000000021</v>
      </c>
    </row>
    <row r="59" spans="1:104" ht="21" customHeight="1" x14ac:dyDescent="0.25">
      <c r="A59" s="127">
        <v>1.56</v>
      </c>
      <c r="B59" s="129">
        <v>1.56</v>
      </c>
      <c r="C59" s="129">
        <v>1.56</v>
      </c>
      <c r="D59" s="129">
        <v>1.56</v>
      </c>
      <c r="E59" s="129">
        <v>1.56</v>
      </c>
      <c r="F59" s="129">
        <v>1.56</v>
      </c>
      <c r="G59" s="129">
        <v>1.56</v>
      </c>
      <c r="H59" s="129">
        <v>1.56</v>
      </c>
      <c r="I59" s="129">
        <v>1.56</v>
      </c>
      <c r="J59" s="129">
        <v>1.56</v>
      </c>
      <c r="K59" s="129">
        <v>1.56</v>
      </c>
      <c r="L59" s="129">
        <v>1.56</v>
      </c>
      <c r="M59" s="129">
        <v>1.56</v>
      </c>
      <c r="N59" s="129">
        <v>1.56</v>
      </c>
      <c r="O59" s="129">
        <v>1.56</v>
      </c>
      <c r="P59" s="129">
        <v>1.56</v>
      </c>
      <c r="Q59" s="129">
        <v>1.56</v>
      </c>
      <c r="R59" s="129">
        <v>1.56</v>
      </c>
      <c r="S59" s="129">
        <v>1.56</v>
      </c>
      <c r="T59" s="129">
        <v>1.56</v>
      </c>
      <c r="U59" s="129">
        <v>1.56</v>
      </c>
      <c r="V59" s="129">
        <v>1.56</v>
      </c>
      <c r="W59" s="129">
        <v>1.56</v>
      </c>
      <c r="X59" s="129">
        <v>1.56</v>
      </c>
      <c r="Y59" s="129">
        <v>1.56</v>
      </c>
      <c r="Z59" s="129">
        <v>1.56</v>
      </c>
      <c r="AA59" s="129">
        <v>1.56</v>
      </c>
      <c r="AB59" s="129">
        <v>1.56</v>
      </c>
      <c r="AC59" s="129">
        <v>1.56</v>
      </c>
      <c r="AD59" s="129">
        <v>1.56</v>
      </c>
      <c r="AE59" s="129">
        <v>1.56</v>
      </c>
      <c r="AF59" s="129">
        <v>1.56</v>
      </c>
      <c r="AG59" s="129">
        <v>1.56</v>
      </c>
      <c r="AH59" s="129">
        <v>1.56</v>
      </c>
      <c r="AI59" s="129">
        <v>1.56</v>
      </c>
      <c r="AJ59" s="129">
        <v>1.56</v>
      </c>
      <c r="AK59" s="129">
        <v>1.56</v>
      </c>
      <c r="AL59" s="129">
        <v>1.56</v>
      </c>
      <c r="AM59" s="129">
        <v>1.56</v>
      </c>
      <c r="AN59" s="129">
        <v>1.56</v>
      </c>
      <c r="AO59" s="129">
        <v>1.56</v>
      </c>
      <c r="AP59" s="129">
        <v>1.56</v>
      </c>
      <c r="AQ59" s="129">
        <v>1.56</v>
      </c>
      <c r="AR59" s="129">
        <v>1.56</v>
      </c>
      <c r="AS59" s="129">
        <v>1.56</v>
      </c>
      <c r="AT59" s="129">
        <v>1.56</v>
      </c>
      <c r="AU59" s="129">
        <v>1.56</v>
      </c>
      <c r="AV59" s="129">
        <v>1.55</v>
      </c>
      <c r="AW59" s="129">
        <v>1.55</v>
      </c>
      <c r="AX59" s="129">
        <v>1.54</v>
      </c>
      <c r="AY59" s="129">
        <v>1.54</v>
      </c>
      <c r="AZ59" s="129">
        <v>1.53</v>
      </c>
      <c r="BA59" s="129">
        <v>1.54</v>
      </c>
      <c r="BB59" s="129">
        <v>1.54</v>
      </c>
      <c r="BC59" s="129">
        <v>1.55</v>
      </c>
      <c r="BD59" s="129">
        <v>1.55</v>
      </c>
      <c r="BE59" s="129">
        <v>1.56</v>
      </c>
      <c r="BF59" s="129">
        <v>1.56</v>
      </c>
      <c r="BG59" s="129">
        <v>1.57</v>
      </c>
      <c r="BH59" s="129">
        <v>1.57</v>
      </c>
      <c r="BI59" s="129">
        <v>1.58</v>
      </c>
      <c r="BJ59" s="129">
        <v>1.58</v>
      </c>
      <c r="BK59" s="129">
        <v>1.59</v>
      </c>
      <c r="BL59" s="129">
        <v>1.6</v>
      </c>
      <c r="BM59" s="129">
        <v>1.6</v>
      </c>
      <c r="BN59" s="129">
        <v>1.61</v>
      </c>
      <c r="BO59" s="129">
        <v>1.62</v>
      </c>
      <c r="BP59" s="129">
        <v>1.62</v>
      </c>
      <c r="BQ59" s="129">
        <v>1.63</v>
      </c>
      <c r="BR59" s="129">
        <v>1.64</v>
      </c>
      <c r="BS59" s="129">
        <v>1.64</v>
      </c>
      <c r="BT59" s="129">
        <v>1.65</v>
      </c>
      <c r="BU59" s="129">
        <v>1.66</v>
      </c>
      <c r="BV59" s="129">
        <v>1.67</v>
      </c>
      <c r="BW59" s="129">
        <v>1.67</v>
      </c>
      <c r="BX59" s="129">
        <v>1.68</v>
      </c>
      <c r="BY59" s="129">
        <v>1.69</v>
      </c>
      <c r="BZ59" s="129">
        <v>1.7</v>
      </c>
      <c r="CA59" s="129">
        <v>1.71</v>
      </c>
      <c r="CB59" s="129">
        <v>1.72</v>
      </c>
      <c r="CC59" s="129">
        <v>1.73</v>
      </c>
      <c r="CD59" s="129">
        <v>1.74</v>
      </c>
      <c r="CE59" s="129">
        <v>1.75</v>
      </c>
      <c r="CF59" s="129">
        <v>1.76</v>
      </c>
      <c r="CG59" s="129">
        <v>1.77</v>
      </c>
      <c r="CH59" s="129">
        <v>1.78</v>
      </c>
      <c r="CI59" s="129">
        <v>1.79</v>
      </c>
      <c r="CJ59" s="129">
        <v>1.8</v>
      </c>
      <c r="CK59" s="129">
        <v>1.81</v>
      </c>
      <c r="CL59" s="129">
        <v>1.82</v>
      </c>
      <c r="CM59" s="129">
        <v>1.84</v>
      </c>
      <c r="CN59" s="129">
        <v>1.85</v>
      </c>
      <c r="CO59" s="129">
        <v>1.86</v>
      </c>
      <c r="CP59" s="129">
        <v>1.88</v>
      </c>
      <c r="CQ59" s="129">
        <v>1.89</v>
      </c>
      <c r="CR59" s="129">
        <v>1.9</v>
      </c>
      <c r="CS59" s="129">
        <v>1.92</v>
      </c>
      <c r="CT59" s="129">
        <v>1.93</v>
      </c>
      <c r="CU59" s="129">
        <v>1.95</v>
      </c>
      <c r="CV59" s="129">
        <v>1.97</v>
      </c>
      <c r="CW59" s="129">
        <v>1.98</v>
      </c>
      <c r="CX59" s="129">
        <v>2</v>
      </c>
      <c r="CZ59" s="126">
        <f>SUMIF(MatrixF4[[1]:[2]],MatrixF4[[#This Row],[Столбец1]])/MatrixF4[[#This Row],[Столбец1]]</f>
        <v>127.00000000000014</v>
      </c>
    </row>
    <row r="60" spans="1:104" ht="21" customHeight="1" x14ac:dyDescent="0.25">
      <c r="A60" s="127">
        <v>1.57</v>
      </c>
      <c r="B60" s="129">
        <v>1.57</v>
      </c>
      <c r="C60" s="129">
        <v>1.57</v>
      </c>
      <c r="D60" s="129">
        <v>1.57</v>
      </c>
      <c r="E60" s="129">
        <v>1.57</v>
      </c>
      <c r="F60" s="129">
        <v>1.57</v>
      </c>
      <c r="G60" s="129">
        <v>1.57</v>
      </c>
      <c r="H60" s="129">
        <v>1.57</v>
      </c>
      <c r="I60" s="129">
        <v>1.57</v>
      </c>
      <c r="J60" s="129">
        <v>1.57</v>
      </c>
      <c r="K60" s="129">
        <v>1.57</v>
      </c>
      <c r="L60" s="129">
        <v>1.57</v>
      </c>
      <c r="M60" s="129">
        <v>1.57</v>
      </c>
      <c r="N60" s="129">
        <v>1.57</v>
      </c>
      <c r="O60" s="129">
        <v>1.57</v>
      </c>
      <c r="P60" s="129">
        <v>1.57</v>
      </c>
      <c r="Q60" s="129">
        <v>1.57</v>
      </c>
      <c r="R60" s="129">
        <v>1.57</v>
      </c>
      <c r="S60" s="129">
        <v>1.57</v>
      </c>
      <c r="T60" s="129">
        <v>1.57</v>
      </c>
      <c r="U60" s="129">
        <v>1.57</v>
      </c>
      <c r="V60" s="129">
        <v>1.57</v>
      </c>
      <c r="W60" s="129">
        <v>1.57</v>
      </c>
      <c r="X60" s="129">
        <v>1.57</v>
      </c>
      <c r="Y60" s="129">
        <v>1.57</v>
      </c>
      <c r="Z60" s="129">
        <v>1.57</v>
      </c>
      <c r="AA60" s="129">
        <v>1.57</v>
      </c>
      <c r="AB60" s="129">
        <v>1.57</v>
      </c>
      <c r="AC60" s="129">
        <v>1.57</v>
      </c>
      <c r="AD60" s="129">
        <v>1.57</v>
      </c>
      <c r="AE60" s="129">
        <v>1.57</v>
      </c>
      <c r="AF60" s="129">
        <v>1.57</v>
      </c>
      <c r="AG60" s="129">
        <v>1.57</v>
      </c>
      <c r="AH60" s="129">
        <v>1.57</v>
      </c>
      <c r="AI60" s="129">
        <v>1.57</v>
      </c>
      <c r="AJ60" s="129">
        <v>1.57</v>
      </c>
      <c r="AK60" s="129">
        <v>1.57</v>
      </c>
      <c r="AL60" s="129">
        <v>1.57</v>
      </c>
      <c r="AM60" s="129">
        <v>1.57</v>
      </c>
      <c r="AN60" s="129">
        <v>1.57</v>
      </c>
      <c r="AO60" s="129">
        <v>1.57</v>
      </c>
      <c r="AP60" s="129">
        <v>1.57</v>
      </c>
      <c r="AQ60" s="129">
        <v>1.57</v>
      </c>
      <c r="AR60" s="129">
        <v>1.57</v>
      </c>
      <c r="AS60" s="129">
        <v>1.57</v>
      </c>
      <c r="AT60" s="129">
        <v>1.57</v>
      </c>
      <c r="AU60" s="129">
        <v>1.56</v>
      </c>
      <c r="AV60" s="129">
        <v>1.56</v>
      </c>
      <c r="AW60" s="129">
        <v>1.55</v>
      </c>
      <c r="AX60" s="129">
        <v>1.55</v>
      </c>
      <c r="AY60" s="129">
        <v>1.54</v>
      </c>
      <c r="AZ60" s="129">
        <v>1.54</v>
      </c>
      <c r="BA60" s="129">
        <v>1.54</v>
      </c>
      <c r="BB60" s="129">
        <v>1.55</v>
      </c>
      <c r="BC60" s="129">
        <v>1.55</v>
      </c>
      <c r="BD60" s="129">
        <v>1.56</v>
      </c>
      <c r="BE60" s="129">
        <v>1.56</v>
      </c>
      <c r="BF60" s="129">
        <v>1.57</v>
      </c>
      <c r="BG60" s="129">
        <v>1.57</v>
      </c>
      <c r="BH60" s="129">
        <v>1.58</v>
      </c>
      <c r="BI60" s="129">
        <v>1.58</v>
      </c>
      <c r="BJ60" s="129">
        <v>1.59</v>
      </c>
      <c r="BK60" s="129">
        <v>1.59</v>
      </c>
      <c r="BL60" s="129">
        <v>1.6</v>
      </c>
      <c r="BM60" s="129">
        <v>1.61</v>
      </c>
      <c r="BN60" s="129">
        <v>1.61</v>
      </c>
      <c r="BO60" s="129">
        <v>1.62</v>
      </c>
      <c r="BP60" s="129">
        <v>1.63</v>
      </c>
      <c r="BQ60" s="129">
        <v>1.63</v>
      </c>
      <c r="BR60" s="129">
        <v>1.64</v>
      </c>
      <c r="BS60" s="129">
        <v>1.65</v>
      </c>
      <c r="BT60" s="129">
        <v>1.66</v>
      </c>
      <c r="BU60" s="129">
        <v>1.66</v>
      </c>
      <c r="BV60" s="129">
        <v>1.67</v>
      </c>
      <c r="BW60" s="129">
        <v>1.68</v>
      </c>
      <c r="BX60" s="129">
        <v>1.69</v>
      </c>
      <c r="BY60" s="129">
        <v>1.7</v>
      </c>
      <c r="BZ60" s="129">
        <v>1.7</v>
      </c>
      <c r="CA60" s="129">
        <v>1.71</v>
      </c>
      <c r="CB60" s="129">
        <v>1.72</v>
      </c>
      <c r="CC60" s="129">
        <v>1.73</v>
      </c>
      <c r="CD60" s="129">
        <v>1.74</v>
      </c>
      <c r="CE60" s="129">
        <v>1.75</v>
      </c>
      <c r="CF60" s="129">
        <v>1.76</v>
      </c>
      <c r="CG60" s="129">
        <v>1.77</v>
      </c>
      <c r="CH60" s="129">
        <v>1.78</v>
      </c>
      <c r="CI60" s="129">
        <v>1.79</v>
      </c>
      <c r="CJ60" s="129">
        <v>1.8</v>
      </c>
      <c r="CK60" s="129">
        <v>1.81</v>
      </c>
      <c r="CL60" s="129">
        <v>1.83</v>
      </c>
      <c r="CM60" s="129">
        <v>1.84</v>
      </c>
      <c r="CN60" s="129">
        <v>1.85</v>
      </c>
      <c r="CO60" s="129">
        <v>1.86</v>
      </c>
      <c r="CP60" s="129">
        <v>1.88</v>
      </c>
      <c r="CQ60" s="129">
        <v>1.89</v>
      </c>
      <c r="CR60" s="129">
        <v>1.9</v>
      </c>
      <c r="CS60" s="129">
        <v>1.92</v>
      </c>
      <c r="CT60" s="129">
        <v>1.93</v>
      </c>
      <c r="CU60" s="129">
        <v>1.95</v>
      </c>
      <c r="CV60" s="129">
        <v>1.97</v>
      </c>
      <c r="CW60" s="129">
        <v>1.98</v>
      </c>
      <c r="CX60" s="129">
        <v>2</v>
      </c>
      <c r="CZ60" s="126">
        <f>SUMIF(MatrixF4[[1]:[2]],MatrixF4[[#This Row],[Столбец1]])/MatrixF4[[#This Row],[Столбец1]]</f>
        <v>136.99999999999957</v>
      </c>
    </row>
    <row r="61" spans="1:104" ht="21" customHeight="1" x14ac:dyDescent="0.25">
      <c r="A61" s="127">
        <v>1.58</v>
      </c>
      <c r="B61" s="129">
        <v>1.58</v>
      </c>
      <c r="C61" s="129">
        <v>1.58</v>
      </c>
      <c r="D61" s="129">
        <v>1.58</v>
      </c>
      <c r="E61" s="129">
        <v>1.58</v>
      </c>
      <c r="F61" s="129">
        <v>1.58</v>
      </c>
      <c r="G61" s="129">
        <v>1.58</v>
      </c>
      <c r="H61" s="129">
        <v>1.58</v>
      </c>
      <c r="I61" s="129">
        <v>1.58</v>
      </c>
      <c r="J61" s="129">
        <v>1.58</v>
      </c>
      <c r="K61" s="129">
        <v>1.58</v>
      </c>
      <c r="L61" s="129">
        <v>1.58</v>
      </c>
      <c r="M61" s="129">
        <v>1.58</v>
      </c>
      <c r="N61" s="129">
        <v>1.58</v>
      </c>
      <c r="O61" s="129">
        <v>1.58</v>
      </c>
      <c r="P61" s="129">
        <v>1.58</v>
      </c>
      <c r="Q61" s="129">
        <v>1.58</v>
      </c>
      <c r="R61" s="129">
        <v>1.58</v>
      </c>
      <c r="S61" s="129">
        <v>1.58</v>
      </c>
      <c r="T61" s="129">
        <v>1.58</v>
      </c>
      <c r="U61" s="129">
        <v>1.58</v>
      </c>
      <c r="V61" s="129">
        <v>1.58</v>
      </c>
      <c r="W61" s="129">
        <v>1.58</v>
      </c>
      <c r="X61" s="129">
        <v>1.58</v>
      </c>
      <c r="Y61" s="129">
        <v>1.58</v>
      </c>
      <c r="Z61" s="129">
        <v>1.58</v>
      </c>
      <c r="AA61" s="129">
        <v>1.58</v>
      </c>
      <c r="AB61" s="129">
        <v>1.58</v>
      </c>
      <c r="AC61" s="129">
        <v>1.58</v>
      </c>
      <c r="AD61" s="129">
        <v>1.58</v>
      </c>
      <c r="AE61" s="129">
        <v>1.58</v>
      </c>
      <c r="AF61" s="129">
        <v>1.58</v>
      </c>
      <c r="AG61" s="129">
        <v>1.58</v>
      </c>
      <c r="AH61" s="129">
        <v>1.58</v>
      </c>
      <c r="AI61" s="129">
        <v>1.58</v>
      </c>
      <c r="AJ61" s="129">
        <v>1.58</v>
      </c>
      <c r="AK61" s="129">
        <v>1.58</v>
      </c>
      <c r="AL61" s="129">
        <v>1.58</v>
      </c>
      <c r="AM61" s="129">
        <v>1.58</v>
      </c>
      <c r="AN61" s="129">
        <v>1.58</v>
      </c>
      <c r="AO61" s="129">
        <v>1.58</v>
      </c>
      <c r="AP61" s="129">
        <v>1.58</v>
      </c>
      <c r="AQ61" s="129">
        <v>1.58</v>
      </c>
      <c r="AR61" s="129">
        <v>1.58</v>
      </c>
      <c r="AS61" s="129">
        <v>1.58</v>
      </c>
      <c r="AT61" s="129">
        <v>1.57</v>
      </c>
      <c r="AU61" s="129">
        <v>1.57</v>
      </c>
      <c r="AV61" s="129">
        <v>1.56</v>
      </c>
      <c r="AW61" s="129">
        <v>1.56</v>
      </c>
      <c r="AX61" s="129">
        <v>1.55</v>
      </c>
      <c r="AY61" s="129">
        <v>1.55</v>
      </c>
      <c r="AZ61" s="129">
        <v>1.54</v>
      </c>
      <c r="BA61" s="129">
        <v>1.55</v>
      </c>
      <c r="BB61" s="129">
        <v>1.55</v>
      </c>
      <c r="BC61" s="129">
        <v>1.56</v>
      </c>
      <c r="BD61" s="129">
        <v>1.56</v>
      </c>
      <c r="BE61" s="129">
        <v>1.57</v>
      </c>
      <c r="BF61" s="129">
        <v>1.57</v>
      </c>
      <c r="BG61" s="129">
        <v>1.58</v>
      </c>
      <c r="BH61" s="129">
        <v>1.58</v>
      </c>
      <c r="BI61" s="129">
        <v>1.59</v>
      </c>
      <c r="BJ61" s="129">
        <v>1.59</v>
      </c>
      <c r="BK61" s="129">
        <v>1.6</v>
      </c>
      <c r="BL61" s="129">
        <v>1.6</v>
      </c>
      <c r="BM61" s="129">
        <v>1.61</v>
      </c>
      <c r="BN61" s="129">
        <v>1.62</v>
      </c>
      <c r="BO61" s="129">
        <v>1.62</v>
      </c>
      <c r="BP61" s="129">
        <v>1.63</v>
      </c>
      <c r="BQ61" s="129">
        <v>1.64</v>
      </c>
      <c r="BR61" s="129">
        <v>1.64</v>
      </c>
      <c r="BS61" s="129">
        <v>1.65</v>
      </c>
      <c r="BT61" s="129">
        <v>1.66</v>
      </c>
      <c r="BU61" s="129">
        <v>1.67</v>
      </c>
      <c r="BV61" s="129">
        <v>1.67</v>
      </c>
      <c r="BW61" s="129">
        <v>1.68</v>
      </c>
      <c r="BX61" s="129">
        <v>1.69</v>
      </c>
      <c r="BY61" s="129">
        <v>1.7</v>
      </c>
      <c r="BZ61" s="129">
        <v>1.71</v>
      </c>
      <c r="CA61" s="129">
        <v>1.72</v>
      </c>
      <c r="CB61" s="129">
        <v>1.73</v>
      </c>
      <c r="CC61" s="129">
        <v>1.73</v>
      </c>
      <c r="CD61" s="129">
        <v>1.74</v>
      </c>
      <c r="CE61" s="129">
        <v>1.75</v>
      </c>
      <c r="CF61" s="129">
        <v>1.76</v>
      </c>
      <c r="CG61" s="129">
        <v>1.77</v>
      </c>
      <c r="CH61" s="129">
        <v>1.78</v>
      </c>
      <c r="CI61" s="129">
        <v>1.79</v>
      </c>
      <c r="CJ61" s="129">
        <v>1.81</v>
      </c>
      <c r="CK61" s="129">
        <v>1.82</v>
      </c>
      <c r="CL61" s="129">
        <v>1.83</v>
      </c>
      <c r="CM61" s="129">
        <v>1.84</v>
      </c>
      <c r="CN61" s="129">
        <v>1.85</v>
      </c>
      <c r="CO61" s="129">
        <v>1.87</v>
      </c>
      <c r="CP61" s="129">
        <v>1.88</v>
      </c>
      <c r="CQ61" s="129">
        <v>1.89</v>
      </c>
      <c r="CR61" s="129">
        <v>1.91</v>
      </c>
      <c r="CS61" s="129">
        <v>1.92</v>
      </c>
      <c r="CT61" s="129">
        <v>1.94</v>
      </c>
      <c r="CU61" s="129">
        <v>1.95</v>
      </c>
      <c r="CV61" s="129">
        <v>1.97</v>
      </c>
      <c r="CW61" s="129">
        <v>1.98</v>
      </c>
      <c r="CX61" s="129">
        <v>2</v>
      </c>
      <c r="CZ61" s="126">
        <f>SUMIF(MatrixF4[[1]:[2]],MatrixF4[[#This Row],[Столбец1]])/MatrixF4[[#This Row],[Столбец1]]</f>
        <v>133.00000000000034</v>
      </c>
    </row>
    <row r="62" spans="1:104" ht="21" customHeight="1" x14ac:dyDescent="0.25">
      <c r="A62" s="127">
        <v>1.59</v>
      </c>
      <c r="B62" s="129">
        <v>1.59</v>
      </c>
      <c r="C62" s="129">
        <v>1.59</v>
      </c>
      <c r="D62" s="129">
        <v>1.59</v>
      </c>
      <c r="E62" s="129">
        <v>1.59</v>
      </c>
      <c r="F62" s="129">
        <v>1.59</v>
      </c>
      <c r="G62" s="129">
        <v>1.59</v>
      </c>
      <c r="H62" s="129">
        <v>1.59</v>
      </c>
      <c r="I62" s="129">
        <v>1.59</v>
      </c>
      <c r="J62" s="129">
        <v>1.59</v>
      </c>
      <c r="K62" s="129">
        <v>1.59</v>
      </c>
      <c r="L62" s="129">
        <v>1.59</v>
      </c>
      <c r="M62" s="129">
        <v>1.59</v>
      </c>
      <c r="N62" s="129">
        <v>1.59</v>
      </c>
      <c r="O62" s="129">
        <v>1.59</v>
      </c>
      <c r="P62" s="129">
        <v>1.59</v>
      </c>
      <c r="Q62" s="129">
        <v>1.59</v>
      </c>
      <c r="R62" s="129">
        <v>1.59</v>
      </c>
      <c r="S62" s="129">
        <v>1.59</v>
      </c>
      <c r="T62" s="129">
        <v>1.59</v>
      </c>
      <c r="U62" s="129">
        <v>1.59</v>
      </c>
      <c r="V62" s="129">
        <v>1.59</v>
      </c>
      <c r="W62" s="129">
        <v>1.59</v>
      </c>
      <c r="X62" s="129">
        <v>1.59</v>
      </c>
      <c r="Y62" s="129">
        <v>1.59</v>
      </c>
      <c r="Z62" s="129">
        <v>1.59</v>
      </c>
      <c r="AA62" s="129">
        <v>1.59</v>
      </c>
      <c r="AB62" s="129">
        <v>1.59</v>
      </c>
      <c r="AC62" s="129">
        <v>1.59</v>
      </c>
      <c r="AD62" s="129">
        <v>1.59</v>
      </c>
      <c r="AE62" s="129">
        <v>1.59</v>
      </c>
      <c r="AF62" s="129">
        <v>1.59</v>
      </c>
      <c r="AG62" s="129">
        <v>1.59</v>
      </c>
      <c r="AH62" s="129">
        <v>1.59</v>
      </c>
      <c r="AI62" s="129">
        <v>1.59</v>
      </c>
      <c r="AJ62" s="129">
        <v>1.59</v>
      </c>
      <c r="AK62" s="129">
        <v>1.59</v>
      </c>
      <c r="AL62" s="129">
        <v>1.59</v>
      </c>
      <c r="AM62" s="129">
        <v>1.59</v>
      </c>
      <c r="AN62" s="129">
        <v>1.59</v>
      </c>
      <c r="AO62" s="129">
        <v>1.59</v>
      </c>
      <c r="AP62" s="129">
        <v>1.59</v>
      </c>
      <c r="AQ62" s="129">
        <v>1.59</v>
      </c>
      <c r="AR62" s="129">
        <v>1.59</v>
      </c>
      <c r="AS62" s="129">
        <v>1.58</v>
      </c>
      <c r="AT62" s="129">
        <v>1.58</v>
      </c>
      <c r="AU62" s="129">
        <v>1.57</v>
      </c>
      <c r="AV62" s="129">
        <v>1.57</v>
      </c>
      <c r="AW62" s="129">
        <v>1.56</v>
      </c>
      <c r="AX62" s="129">
        <v>1.56</v>
      </c>
      <c r="AY62" s="129">
        <v>1.55</v>
      </c>
      <c r="AZ62" s="129">
        <v>1.55</v>
      </c>
      <c r="BA62" s="129">
        <v>1.55</v>
      </c>
      <c r="BB62" s="129">
        <v>1.56</v>
      </c>
      <c r="BC62" s="129">
        <v>1.56</v>
      </c>
      <c r="BD62" s="129">
        <v>1.57</v>
      </c>
      <c r="BE62" s="129">
        <v>1.57</v>
      </c>
      <c r="BF62" s="129">
        <v>1.58</v>
      </c>
      <c r="BG62" s="129">
        <v>1.58</v>
      </c>
      <c r="BH62" s="129">
        <v>1.59</v>
      </c>
      <c r="BI62" s="129">
        <v>1.59</v>
      </c>
      <c r="BJ62" s="129">
        <v>1.6</v>
      </c>
      <c r="BK62" s="129">
        <v>1.6</v>
      </c>
      <c r="BL62" s="129">
        <v>1.61</v>
      </c>
      <c r="BM62" s="129">
        <v>1.61</v>
      </c>
      <c r="BN62" s="129">
        <v>1.62</v>
      </c>
      <c r="BO62" s="129">
        <v>1.63</v>
      </c>
      <c r="BP62" s="129">
        <v>1.63</v>
      </c>
      <c r="BQ62" s="129">
        <v>1.64</v>
      </c>
      <c r="BR62" s="129">
        <v>1.65</v>
      </c>
      <c r="BS62" s="129">
        <v>1.66</v>
      </c>
      <c r="BT62" s="129">
        <v>1.66</v>
      </c>
      <c r="BU62" s="129">
        <v>1.67</v>
      </c>
      <c r="BV62" s="129">
        <v>1.68</v>
      </c>
      <c r="BW62" s="129">
        <v>1.69</v>
      </c>
      <c r="BX62" s="129">
        <v>1.69</v>
      </c>
      <c r="BY62" s="129">
        <v>1.7</v>
      </c>
      <c r="BZ62" s="129">
        <v>1.71</v>
      </c>
      <c r="CA62" s="129">
        <v>1.72</v>
      </c>
      <c r="CB62" s="129">
        <v>1.73</v>
      </c>
      <c r="CC62" s="129">
        <v>1.74</v>
      </c>
      <c r="CD62" s="129">
        <v>1.75</v>
      </c>
      <c r="CE62" s="129">
        <v>1.76</v>
      </c>
      <c r="CF62" s="129">
        <v>1.77</v>
      </c>
      <c r="CG62" s="129">
        <v>1.78</v>
      </c>
      <c r="CH62" s="129">
        <v>1.79</v>
      </c>
      <c r="CI62" s="129">
        <v>1.8</v>
      </c>
      <c r="CJ62" s="129">
        <v>1.81</v>
      </c>
      <c r="CK62" s="129">
        <v>1.82</v>
      </c>
      <c r="CL62" s="129">
        <v>1.83</v>
      </c>
      <c r="CM62" s="129">
        <v>1.84</v>
      </c>
      <c r="CN62" s="129">
        <v>1.86</v>
      </c>
      <c r="CO62" s="129">
        <v>1.87</v>
      </c>
      <c r="CP62" s="129">
        <v>1.88</v>
      </c>
      <c r="CQ62" s="129">
        <v>1.89</v>
      </c>
      <c r="CR62" s="129">
        <v>1.91</v>
      </c>
      <c r="CS62" s="129">
        <v>1.92</v>
      </c>
      <c r="CT62" s="129">
        <v>1.94</v>
      </c>
      <c r="CU62" s="129">
        <v>1.95</v>
      </c>
      <c r="CV62" s="129">
        <v>1.97</v>
      </c>
      <c r="CW62" s="129">
        <v>1.98</v>
      </c>
      <c r="CX62" s="129">
        <v>2</v>
      </c>
      <c r="CZ62" s="126">
        <f>SUMIF(MatrixF4[[1]:[2]],MatrixF4[[#This Row],[Столбец1]])/MatrixF4[[#This Row],[Столбец1]]</f>
        <v>139.00000000000023</v>
      </c>
    </row>
    <row r="63" spans="1:104" ht="21" customHeight="1" x14ac:dyDescent="0.25">
      <c r="A63" s="127">
        <v>1.6</v>
      </c>
      <c r="B63" s="129">
        <v>1.6</v>
      </c>
      <c r="C63" s="129">
        <v>1.6</v>
      </c>
      <c r="D63" s="129">
        <v>1.6</v>
      </c>
      <c r="E63" s="129">
        <v>1.6</v>
      </c>
      <c r="F63" s="129">
        <v>1.6</v>
      </c>
      <c r="G63" s="129">
        <v>1.6</v>
      </c>
      <c r="H63" s="129">
        <v>1.6</v>
      </c>
      <c r="I63" s="129">
        <v>1.6</v>
      </c>
      <c r="J63" s="129">
        <v>1.6</v>
      </c>
      <c r="K63" s="129">
        <v>1.6</v>
      </c>
      <c r="L63" s="129">
        <v>1.6</v>
      </c>
      <c r="M63" s="129">
        <v>1.6</v>
      </c>
      <c r="N63" s="129">
        <v>1.6</v>
      </c>
      <c r="O63" s="129">
        <v>1.6</v>
      </c>
      <c r="P63" s="129">
        <v>1.6</v>
      </c>
      <c r="Q63" s="129">
        <v>1.6</v>
      </c>
      <c r="R63" s="129">
        <v>1.6</v>
      </c>
      <c r="S63" s="129">
        <v>1.6</v>
      </c>
      <c r="T63" s="129">
        <v>1.6</v>
      </c>
      <c r="U63" s="129">
        <v>1.6</v>
      </c>
      <c r="V63" s="129">
        <v>1.6</v>
      </c>
      <c r="W63" s="129">
        <v>1.6</v>
      </c>
      <c r="X63" s="129">
        <v>1.6</v>
      </c>
      <c r="Y63" s="129">
        <v>1.6</v>
      </c>
      <c r="Z63" s="129">
        <v>1.6</v>
      </c>
      <c r="AA63" s="129">
        <v>1.6</v>
      </c>
      <c r="AB63" s="129">
        <v>1.6</v>
      </c>
      <c r="AC63" s="129">
        <v>1.6</v>
      </c>
      <c r="AD63" s="129">
        <v>1.6</v>
      </c>
      <c r="AE63" s="129">
        <v>1.6</v>
      </c>
      <c r="AF63" s="129">
        <v>1.6</v>
      </c>
      <c r="AG63" s="129">
        <v>1.6</v>
      </c>
      <c r="AH63" s="129">
        <v>1.6</v>
      </c>
      <c r="AI63" s="129">
        <v>1.6</v>
      </c>
      <c r="AJ63" s="129">
        <v>1.6</v>
      </c>
      <c r="AK63" s="129">
        <v>1.6</v>
      </c>
      <c r="AL63" s="129">
        <v>1.6</v>
      </c>
      <c r="AM63" s="129">
        <v>1.6</v>
      </c>
      <c r="AN63" s="129">
        <v>1.6</v>
      </c>
      <c r="AO63" s="129">
        <v>1.6</v>
      </c>
      <c r="AP63" s="129">
        <v>1.6</v>
      </c>
      <c r="AQ63" s="129">
        <v>1.6</v>
      </c>
      <c r="AR63" s="129">
        <v>1.59</v>
      </c>
      <c r="AS63" s="129">
        <v>1.59</v>
      </c>
      <c r="AT63" s="129">
        <v>1.58</v>
      </c>
      <c r="AU63" s="129">
        <v>1.58</v>
      </c>
      <c r="AV63" s="129">
        <v>1.57</v>
      </c>
      <c r="AW63" s="129">
        <v>1.57</v>
      </c>
      <c r="AX63" s="129">
        <v>1.57</v>
      </c>
      <c r="AY63" s="129">
        <v>1.56</v>
      </c>
      <c r="AZ63" s="129">
        <v>1.56</v>
      </c>
      <c r="BA63" s="129">
        <v>1.56</v>
      </c>
      <c r="BB63" s="129">
        <v>1.57</v>
      </c>
      <c r="BC63" s="129">
        <v>1.57</v>
      </c>
      <c r="BD63" s="129">
        <v>1.57</v>
      </c>
      <c r="BE63" s="129">
        <v>1.58</v>
      </c>
      <c r="BF63" s="129">
        <v>1.58</v>
      </c>
      <c r="BG63" s="129">
        <v>1.59</v>
      </c>
      <c r="BH63" s="129">
        <v>1.59</v>
      </c>
      <c r="BI63" s="129">
        <v>1.6</v>
      </c>
      <c r="BJ63" s="129">
        <v>1.6</v>
      </c>
      <c r="BK63" s="129">
        <v>1.61</v>
      </c>
      <c r="BL63" s="129">
        <v>1.61</v>
      </c>
      <c r="BM63" s="129">
        <v>1.62</v>
      </c>
      <c r="BN63" s="129">
        <v>1.62</v>
      </c>
      <c r="BO63" s="129">
        <v>1.63</v>
      </c>
      <c r="BP63" s="129">
        <v>1.64</v>
      </c>
      <c r="BQ63" s="129">
        <v>1.65</v>
      </c>
      <c r="BR63" s="129">
        <v>1.65</v>
      </c>
      <c r="BS63" s="129">
        <v>1.66</v>
      </c>
      <c r="BT63" s="129">
        <v>1.67</v>
      </c>
      <c r="BU63" s="129">
        <v>1.67</v>
      </c>
      <c r="BV63" s="129">
        <v>1.68</v>
      </c>
      <c r="BW63" s="129">
        <v>1.69</v>
      </c>
      <c r="BX63" s="129">
        <v>1.7</v>
      </c>
      <c r="BY63" s="129">
        <v>1.71</v>
      </c>
      <c r="BZ63" s="129">
        <v>1.71</v>
      </c>
      <c r="CA63" s="129">
        <v>1.72</v>
      </c>
      <c r="CB63" s="129">
        <v>1.73</v>
      </c>
      <c r="CC63" s="129">
        <v>1.74</v>
      </c>
      <c r="CD63" s="129">
        <v>1.75</v>
      </c>
      <c r="CE63" s="129">
        <v>1.76</v>
      </c>
      <c r="CF63" s="129">
        <v>1.77</v>
      </c>
      <c r="CG63" s="129">
        <v>1.78</v>
      </c>
      <c r="CH63" s="129">
        <v>1.79</v>
      </c>
      <c r="CI63" s="129">
        <v>1.8</v>
      </c>
      <c r="CJ63" s="129">
        <v>1.81</v>
      </c>
      <c r="CK63" s="129">
        <v>1.82</v>
      </c>
      <c r="CL63" s="129">
        <v>1.83</v>
      </c>
      <c r="CM63" s="129">
        <v>1.85</v>
      </c>
      <c r="CN63" s="129">
        <v>1.86</v>
      </c>
      <c r="CO63" s="129">
        <v>1.87</v>
      </c>
      <c r="CP63" s="129">
        <v>1.88</v>
      </c>
      <c r="CQ63" s="129">
        <v>1.9</v>
      </c>
      <c r="CR63" s="129">
        <v>1.91</v>
      </c>
      <c r="CS63" s="129">
        <v>1.92</v>
      </c>
      <c r="CT63" s="129">
        <v>1.94</v>
      </c>
      <c r="CU63" s="129">
        <v>1.95</v>
      </c>
      <c r="CV63" s="129">
        <v>1.97</v>
      </c>
      <c r="CW63" s="129">
        <v>1.98</v>
      </c>
      <c r="CX63" s="129">
        <v>2</v>
      </c>
      <c r="CZ63" s="126">
        <f>SUMIF(MatrixF4[[1]:[2]],MatrixF4[[#This Row],[Столбец1]])/MatrixF4[[#This Row],[Столбец1]]</f>
        <v>146.99999999999963</v>
      </c>
    </row>
    <row r="64" spans="1:104" ht="21" customHeight="1" x14ac:dyDescent="0.25">
      <c r="A64" s="127">
        <v>1.61</v>
      </c>
      <c r="B64" s="129">
        <v>1.61</v>
      </c>
      <c r="C64" s="129">
        <v>1.61</v>
      </c>
      <c r="D64" s="129">
        <v>1.61</v>
      </c>
      <c r="E64" s="129">
        <v>1.61</v>
      </c>
      <c r="F64" s="129">
        <v>1.61</v>
      </c>
      <c r="G64" s="129">
        <v>1.61</v>
      </c>
      <c r="H64" s="129">
        <v>1.61</v>
      </c>
      <c r="I64" s="129">
        <v>1.61</v>
      </c>
      <c r="J64" s="129">
        <v>1.61</v>
      </c>
      <c r="K64" s="129">
        <v>1.61</v>
      </c>
      <c r="L64" s="129">
        <v>1.61</v>
      </c>
      <c r="M64" s="129">
        <v>1.61</v>
      </c>
      <c r="N64" s="129">
        <v>1.61</v>
      </c>
      <c r="O64" s="129">
        <v>1.61</v>
      </c>
      <c r="P64" s="129">
        <v>1.61</v>
      </c>
      <c r="Q64" s="129">
        <v>1.61</v>
      </c>
      <c r="R64" s="129">
        <v>1.61</v>
      </c>
      <c r="S64" s="129">
        <v>1.61</v>
      </c>
      <c r="T64" s="129">
        <v>1.61</v>
      </c>
      <c r="U64" s="129">
        <v>1.61</v>
      </c>
      <c r="V64" s="129">
        <v>1.61</v>
      </c>
      <c r="W64" s="129">
        <v>1.61</v>
      </c>
      <c r="X64" s="129">
        <v>1.61</v>
      </c>
      <c r="Y64" s="129">
        <v>1.61</v>
      </c>
      <c r="Z64" s="129">
        <v>1.61</v>
      </c>
      <c r="AA64" s="129">
        <v>1.61</v>
      </c>
      <c r="AB64" s="129">
        <v>1.61</v>
      </c>
      <c r="AC64" s="129">
        <v>1.61</v>
      </c>
      <c r="AD64" s="129">
        <v>1.61</v>
      </c>
      <c r="AE64" s="129">
        <v>1.61</v>
      </c>
      <c r="AF64" s="129">
        <v>1.61</v>
      </c>
      <c r="AG64" s="129">
        <v>1.61</v>
      </c>
      <c r="AH64" s="129">
        <v>1.61</v>
      </c>
      <c r="AI64" s="129">
        <v>1.61</v>
      </c>
      <c r="AJ64" s="129">
        <v>1.61</v>
      </c>
      <c r="AK64" s="129">
        <v>1.61</v>
      </c>
      <c r="AL64" s="129">
        <v>1.61</v>
      </c>
      <c r="AM64" s="129">
        <v>1.61</v>
      </c>
      <c r="AN64" s="129">
        <v>1.61</v>
      </c>
      <c r="AO64" s="129">
        <v>1.61</v>
      </c>
      <c r="AP64" s="129">
        <v>1.61</v>
      </c>
      <c r="AQ64" s="129">
        <v>1.6</v>
      </c>
      <c r="AR64" s="129">
        <v>1.6</v>
      </c>
      <c r="AS64" s="129">
        <v>1.59</v>
      </c>
      <c r="AT64" s="129">
        <v>1.59</v>
      </c>
      <c r="AU64" s="129">
        <v>1.59</v>
      </c>
      <c r="AV64" s="129">
        <v>1.58</v>
      </c>
      <c r="AW64" s="129">
        <v>1.58</v>
      </c>
      <c r="AX64" s="129">
        <v>1.57</v>
      </c>
      <c r="AY64" s="129">
        <v>1.57</v>
      </c>
      <c r="AZ64" s="129">
        <v>1.56</v>
      </c>
      <c r="BA64" s="129">
        <v>1.57</v>
      </c>
      <c r="BB64" s="129">
        <v>1.57</v>
      </c>
      <c r="BC64" s="129">
        <v>1.58</v>
      </c>
      <c r="BD64" s="129">
        <v>1.58</v>
      </c>
      <c r="BE64" s="129">
        <v>1.59</v>
      </c>
      <c r="BF64" s="129">
        <v>1.59</v>
      </c>
      <c r="BG64" s="129">
        <v>1.59</v>
      </c>
      <c r="BH64" s="129">
        <v>1.6</v>
      </c>
      <c r="BI64" s="129">
        <v>1.6</v>
      </c>
      <c r="BJ64" s="129">
        <v>1.61</v>
      </c>
      <c r="BK64" s="129">
        <v>1.61</v>
      </c>
      <c r="BL64" s="129">
        <v>1.62</v>
      </c>
      <c r="BM64" s="129">
        <v>1.62</v>
      </c>
      <c r="BN64" s="129">
        <v>1.63</v>
      </c>
      <c r="BO64" s="129">
        <v>1.64</v>
      </c>
      <c r="BP64" s="129">
        <v>1.64</v>
      </c>
      <c r="BQ64" s="129">
        <v>1.65</v>
      </c>
      <c r="BR64" s="129">
        <v>1.66</v>
      </c>
      <c r="BS64" s="129">
        <v>1.66</v>
      </c>
      <c r="BT64" s="129">
        <v>1.67</v>
      </c>
      <c r="BU64" s="129">
        <v>1.68</v>
      </c>
      <c r="BV64" s="129">
        <v>1.69</v>
      </c>
      <c r="BW64" s="129">
        <v>1.69</v>
      </c>
      <c r="BX64" s="129">
        <v>1.7</v>
      </c>
      <c r="BY64" s="129">
        <v>1.71</v>
      </c>
      <c r="BZ64" s="129">
        <v>1.72</v>
      </c>
      <c r="CA64" s="129">
        <v>1.73</v>
      </c>
      <c r="CB64" s="129">
        <v>1.73</v>
      </c>
      <c r="CC64" s="129">
        <v>1.74</v>
      </c>
      <c r="CD64" s="129">
        <v>1.75</v>
      </c>
      <c r="CE64" s="129">
        <v>1.76</v>
      </c>
      <c r="CF64" s="129">
        <v>1.77</v>
      </c>
      <c r="CG64" s="129">
        <v>1.78</v>
      </c>
      <c r="CH64" s="129">
        <v>1.79</v>
      </c>
      <c r="CI64" s="129">
        <v>1.8</v>
      </c>
      <c r="CJ64" s="129">
        <v>1.81</v>
      </c>
      <c r="CK64" s="129">
        <v>1.82</v>
      </c>
      <c r="CL64" s="129">
        <v>1.84</v>
      </c>
      <c r="CM64" s="129">
        <v>1.85</v>
      </c>
      <c r="CN64" s="129">
        <v>1.86</v>
      </c>
      <c r="CO64" s="129">
        <v>1.87</v>
      </c>
      <c r="CP64" s="129">
        <v>1.88</v>
      </c>
      <c r="CQ64" s="129">
        <v>1.9</v>
      </c>
      <c r="CR64" s="129">
        <v>1.91</v>
      </c>
      <c r="CS64" s="129">
        <v>1.92</v>
      </c>
      <c r="CT64" s="129">
        <v>1.94</v>
      </c>
      <c r="CU64" s="129">
        <v>1.95</v>
      </c>
      <c r="CV64" s="129">
        <v>1.97</v>
      </c>
      <c r="CW64" s="129">
        <v>1.98</v>
      </c>
      <c r="CX64" s="129">
        <v>2</v>
      </c>
      <c r="CZ64" s="126">
        <f>SUMIF(MatrixF4[[1]:[2]],MatrixF4[[#This Row],[Столбец1]])/MatrixF4[[#This Row],[Столбец1]]</f>
        <v>143.00000000000051</v>
      </c>
    </row>
    <row r="65" spans="1:104" ht="21" customHeight="1" x14ac:dyDescent="0.25">
      <c r="A65" s="127">
        <v>1.62</v>
      </c>
      <c r="B65" s="129">
        <v>1.62</v>
      </c>
      <c r="C65" s="129">
        <v>1.62</v>
      </c>
      <c r="D65" s="129">
        <v>1.62</v>
      </c>
      <c r="E65" s="129">
        <v>1.62</v>
      </c>
      <c r="F65" s="129">
        <v>1.62</v>
      </c>
      <c r="G65" s="129">
        <v>1.62</v>
      </c>
      <c r="H65" s="129">
        <v>1.62</v>
      </c>
      <c r="I65" s="129">
        <v>1.62</v>
      </c>
      <c r="J65" s="129">
        <v>1.62</v>
      </c>
      <c r="K65" s="129">
        <v>1.62</v>
      </c>
      <c r="L65" s="129">
        <v>1.62</v>
      </c>
      <c r="M65" s="129">
        <v>1.62</v>
      </c>
      <c r="N65" s="129">
        <v>1.62</v>
      </c>
      <c r="O65" s="129">
        <v>1.62</v>
      </c>
      <c r="P65" s="129">
        <v>1.62</v>
      </c>
      <c r="Q65" s="129">
        <v>1.62</v>
      </c>
      <c r="R65" s="129">
        <v>1.62</v>
      </c>
      <c r="S65" s="129">
        <v>1.62</v>
      </c>
      <c r="T65" s="129">
        <v>1.62</v>
      </c>
      <c r="U65" s="129">
        <v>1.62</v>
      </c>
      <c r="V65" s="129">
        <v>1.62</v>
      </c>
      <c r="W65" s="129">
        <v>1.62</v>
      </c>
      <c r="X65" s="129">
        <v>1.62</v>
      </c>
      <c r="Y65" s="129">
        <v>1.62</v>
      </c>
      <c r="Z65" s="129">
        <v>1.62</v>
      </c>
      <c r="AA65" s="129">
        <v>1.62</v>
      </c>
      <c r="AB65" s="129">
        <v>1.62</v>
      </c>
      <c r="AC65" s="129">
        <v>1.62</v>
      </c>
      <c r="AD65" s="129">
        <v>1.62</v>
      </c>
      <c r="AE65" s="129">
        <v>1.62</v>
      </c>
      <c r="AF65" s="129">
        <v>1.62</v>
      </c>
      <c r="AG65" s="129">
        <v>1.62</v>
      </c>
      <c r="AH65" s="129">
        <v>1.62</v>
      </c>
      <c r="AI65" s="129">
        <v>1.62</v>
      </c>
      <c r="AJ65" s="129">
        <v>1.62</v>
      </c>
      <c r="AK65" s="129">
        <v>1.62</v>
      </c>
      <c r="AL65" s="129">
        <v>1.62</v>
      </c>
      <c r="AM65" s="129">
        <v>1.62</v>
      </c>
      <c r="AN65" s="129">
        <v>1.62</v>
      </c>
      <c r="AO65" s="129">
        <v>1.62</v>
      </c>
      <c r="AP65" s="129">
        <v>1.61</v>
      </c>
      <c r="AQ65" s="129">
        <v>1.61</v>
      </c>
      <c r="AR65" s="129">
        <v>1.6</v>
      </c>
      <c r="AS65" s="129">
        <v>1.6</v>
      </c>
      <c r="AT65" s="129">
        <v>1.6</v>
      </c>
      <c r="AU65" s="129">
        <v>1.59</v>
      </c>
      <c r="AV65" s="129">
        <v>1.59</v>
      </c>
      <c r="AW65" s="129">
        <v>1.58</v>
      </c>
      <c r="AX65" s="129">
        <v>1.58</v>
      </c>
      <c r="AY65" s="129">
        <v>1.57</v>
      </c>
      <c r="AZ65" s="129">
        <v>1.57</v>
      </c>
      <c r="BA65" s="129">
        <v>1.57</v>
      </c>
      <c r="BB65" s="129">
        <v>1.58</v>
      </c>
      <c r="BC65" s="129">
        <v>1.58</v>
      </c>
      <c r="BD65" s="129">
        <v>1.59</v>
      </c>
      <c r="BE65" s="129">
        <v>1.59</v>
      </c>
      <c r="BF65" s="129">
        <v>1.6</v>
      </c>
      <c r="BG65" s="129">
        <v>1.6</v>
      </c>
      <c r="BH65" s="129">
        <v>1.6</v>
      </c>
      <c r="BI65" s="129">
        <v>1.61</v>
      </c>
      <c r="BJ65" s="129">
        <v>1.61</v>
      </c>
      <c r="BK65" s="129">
        <v>1.62</v>
      </c>
      <c r="BL65" s="129">
        <v>1.62</v>
      </c>
      <c r="BM65" s="129">
        <v>1.63</v>
      </c>
      <c r="BN65" s="129">
        <v>1.63</v>
      </c>
      <c r="BO65" s="129">
        <v>1.64</v>
      </c>
      <c r="BP65" s="129">
        <v>1.65</v>
      </c>
      <c r="BQ65" s="129">
        <v>1.65</v>
      </c>
      <c r="BR65" s="129">
        <v>1.66</v>
      </c>
      <c r="BS65" s="129">
        <v>1.67</v>
      </c>
      <c r="BT65" s="129">
        <v>1.67</v>
      </c>
      <c r="BU65" s="129">
        <v>1.68</v>
      </c>
      <c r="BV65" s="129">
        <v>1.69</v>
      </c>
      <c r="BW65" s="129">
        <v>1.7</v>
      </c>
      <c r="BX65" s="129">
        <v>1.7</v>
      </c>
      <c r="BY65" s="129">
        <v>1.71</v>
      </c>
      <c r="BZ65" s="129">
        <v>1.72</v>
      </c>
      <c r="CA65" s="129">
        <v>1.73</v>
      </c>
      <c r="CB65" s="129">
        <v>1.74</v>
      </c>
      <c r="CC65" s="129">
        <v>1.75</v>
      </c>
      <c r="CD65" s="129">
        <v>1.76</v>
      </c>
      <c r="CE65" s="129">
        <v>1.77</v>
      </c>
      <c r="CF65" s="129">
        <v>1.78</v>
      </c>
      <c r="CG65" s="129">
        <v>1.78</v>
      </c>
      <c r="CH65" s="129">
        <v>1.79</v>
      </c>
      <c r="CI65" s="129">
        <v>1.81</v>
      </c>
      <c r="CJ65" s="129">
        <v>1.82</v>
      </c>
      <c r="CK65" s="129">
        <v>1.83</v>
      </c>
      <c r="CL65" s="129">
        <v>1.84</v>
      </c>
      <c r="CM65" s="129">
        <v>1.85</v>
      </c>
      <c r="CN65" s="129">
        <v>1.86</v>
      </c>
      <c r="CO65" s="129">
        <v>1.87</v>
      </c>
      <c r="CP65" s="129">
        <v>1.89</v>
      </c>
      <c r="CQ65" s="129">
        <v>1.9</v>
      </c>
      <c r="CR65" s="129">
        <v>1.91</v>
      </c>
      <c r="CS65" s="129">
        <v>1.93</v>
      </c>
      <c r="CT65" s="129">
        <v>1.94</v>
      </c>
      <c r="CU65" s="129">
        <v>1.95</v>
      </c>
      <c r="CV65" s="129">
        <v>1.97</v>
      </c>
      <c r="CW65" s="129">
        <v>1.98</v>
      </c>
      <c r="CX65" s="129">
        <v>2</v>
      </c>
      <c r="CZ65" s="126">
        <f>SUMIF(MatrixF4[[1]:[2]],MatrixF4[[#This Row],[Столбец1]])/MatrixF4[[#This Row],[Столбец1]]</f>
        <v>147.00000000000026</v>
      </c>
    </row>
    <row r="66" spans="1:104" ht="21" customHeight="1" x14ac:dyDescent="0.25">
      <c r="A66" s="127">
        <v>1.63</v>
      </c>
      <c r="B66" s="129">
        <v>1.63</v>
      </c>
      <c r="C66" s="129">
        <v>1.63</v>
      </c>
      <c r="D66" s="129">
        <v>1.63</v>
      </c>
      <c r="E66" s="129">
        <v>1.63</v>
      </c>
      <c r="F66" s="129">
        <v>1.63</v>
      </c>
      <c r="G66" s="129">
        <v>1.63</v>
      </c>
      <c r="H66" s="129">
        <v>1.63</v>
      </c>
      <c r="I66" s="129">
        <v>1.63</v>
      </c>
      <c r="J66" s="129">
        <v>1.63</v>
      </c>
      <c r="K66" s="129">
        <v>1.63</v>
      </c>
      <c r="L66" s="129">
        <v>1.63</v>
      </c>
      <c r="M66" s="129">
        <v>1.63</v>
      </c>
      <c r="N66" s="129">
        <v>1.63</v>
      </c>
      <c r="O66" s="129">
        <v>1.63</v>
      </c>
      <c r="P66" s="129">
        <v>1.63</v>
      </c>
      <c r="Q66" s="129">
        <v>1.63</v>
      </c>
      <c r="R66" s="129">
        <v>1.63</v>
      </c>
      <c r="S66" s="129">
        <v>1.63</v>
      </c>
      <c r="T66" s="129">
        <v>1.63</v>
      </c>
      <c r="U66" s="129">
        <v>1.63</v>
      </c>
      <c r="V66" s="129">
        <v>1.63</v>
      </c>
      <c r="W66" s="129">
        <v>1.63</v>
      </c>
      <c r="X66" s="129">
        <v>1.63</v>
      </c>
      <c r="Y66" s="129">
        <v>1.63</v>
      </c>
      <c r="Z66" s="129">
        <v>1.63</v>
      </c>
      <c r="AA66" s="129">
        <v>1.63</v>
      </c>
      <c r="AB66" s="129">
        <v>1.63</v>
      </c>
      <c r="AC66" s="129">
        <v>1.63</v>
      </c>
      <c r="AD66" s="129">
        <v>1.63</v>
      </c>
      <c r="AE66" s="129">
        <v>1.63</v>
      </c>
      <c r="AF66" s="129">
        <v>1.63</v>
      </c>
      <c r="AG66" s="129">
        <v>1.63</v>
      </c>
      <c r="AH66" s="129">
        <v>1.63</v>
      </c>
      <c r="AI66" s="129">
        <v>1.63</v>
      </c>
      <c r="AJ66" s="129">
        <v>1.63</v>
      </c>
      <c r="AK66" s="129">
        <v>1.63</v>
      </c>
      <c r="AL66" s="129">
        <v>1.63</v>
      </c>
      <c r="AM66" s="129">
        <v>1.63</v>
      </c>
      <c r="AN66" s="129">
        <v>1.63</v>
      </c>
      <c r="AO66" s="129">
        <v>1.62</v>
      </c>
      <c r="AP66" s="129">
        <v>1.62</v>
      </c>
      <c r="AQ66" s="129">
        <v>1.61</v>
      </c>
      <c r="AR66" s="129">
        <v>1.61</v>
      </c>
      <c r="AS66" s="129">
        <v>1.61</v>
      </c>
      <c r="AT66" s="129">
        <v>1.6</v>
      </c>
      <c r="AU66" s="129">
        <v>1.6</v>
      </c>
      <c r="AV66" s="129">
        <v>1.59</v>
      </c>
      <c r="AW66" s="129">
        <v>1.59</v>
      </c>
      <c r="AX66" s="129">
        <v>1.58</v>
      </c>
      <c r="AY66" s="129">
        <v>1.58</v>
      </c>
      <c r="AZ66" s="129">
        <v>1.57</v>
      </c>
      <c r="BA66" s="129">
        <v>1.58</v>
      </c>
      <c r="BB66" s="129">
        <v>1.58</v>
      </c>
      <c r="BC66" s="129">
        <v>1.59</v>
      </c>
      <c r="BD66" s="129">
        <v>1.59</v>
      </c>
      <c r="BE66" s="129">
        <v>1.6</v>
      </c>
      <c r="BF66" s="129">
        <v>1.6</v>
      </c>
      <c r="BG66" s="129">
        <v>1.61</v>
      </c>
      <c r="BH66" s="129">
        <v>1.61</v>
      </c>
      <c r="BI66" s="129">
        <v>1.61</v>
      </c>
      <c r="BJ66" s="129">
        <v>1.62</v>
      </c>
      <c r="BK66" s="129">
        <v>1.62</v>
      </c>
      <c r="BL66" s="129">
        <v>1.63</v>
      </c>
      <c r="BM66" s="129">
        <v>1.63</v>
      </c>
      <c r="BN66" s="129">
        <v>1.64</v>
      </c>
      <c r="BO66" s="129">
        <v>1.64</v>
      </c>
      <c r="BP66" s="129">
        <v>1.65</v>
      </c>
      <c r="BQ66" s="129">
        <v>1.66</v>
      </c>
      <c r="BR66" s="129">
        <v>1.66</v>
      </c>
      <c r="BS66" s="129">
        <v>1.67</v>
      </c>
      <c r="BT66" s="129">
        <v>1.68</v>
      </c>
      <c r="BU66" s="129">
        <v>1.68</v>
      </c>
      <c r="BV66" s="129">
        <v>1.69</v>
      </c>
      <c r="BW66" s="129">
        <v>1.7</v>
      </c>
      <c r="BX66" s="129">
        <v>1.71</v>
      </c>
      <c r="BY66" s="129">
        <v>1.72</v>
      </c>
      <c r="BZ66" s="129">
        <v>1.72</v>
      </c>
      <c r="CA66" s="129">
        <v>1.73</v>
      </c>
      <c r="CB66" s="129">
        <v>1.74</v>
      </c>
      <c r="CC66" s="129">
        <v>1.75</v>
      </c>
      <c r="CD66" s="129">
        <v>1.76</v>
      </c>
      <c r="CE66" s="129">
        <v>1.77</v>
      </c>
      <c r="CF66" s="129">
        <v>1.78</v>
      </c>
      <c r="CG66" s="129">
        <v>1.79</v>
      </c>
      <c r="CH66" s="129">
        <v>1.8</v>
      </c>
      <c r="CI66" s="129">
        <v>1.81</v>
      </c>
      <c r="CJ66" s="129">
        <v>1.82</v>
      </c>
      <c r="CK66" s="129">
        <v>1.83</v>
      </c>
      <c r="CL66" s="129">
        <v>1.84</v>
      </c>
      <c r="CM66" s="129">
        <v>1.85</v>
      </c>
      <c r="CN66" s="129">
        <v>1.86</v>
      </c>
      <c r="CO66" s="129">
        <v>1.88</v>
      </c>
      <c r="CP66" s="129">
        <v>1.89</v>
      </c>
      <c r="CQ66" s="129">
        <v>1.9</v>
      </c>
      <c r="CR66" s="129">
        <v>1.91</v>
      </c>
      <c r="CS66" s="129">
        <v>1.93</v>
      </c>
      <c r="CT66" s="129">
        <v>1.94</v>
      </c>
      <c r="CU66" s="129">
        <v>1.95</v>
      </c>
      <c r="CV66" s="129">
        <v>1.97</v>
      </c>
      <c r="CW66" s="129">
        <v>1.98</v>
      </c>
      <c r="CX66" s="129">
        <v>2</v>
      </c>
      <c r="CZ66" s="126">
        <f>SUMIF(MatrixF4[[1]:[2]],MatrixF4[[#This Row],[Столбец1]])/MatrixF4[[#This Row],[Столбец1]]</f>
        <v>146.99999999999974</v>
      </c>
    </row>
    <row r="67" spans="1:104" ht="21" customHeight="1" x14ac:dyDescent="0.25">
      <c r="A67" s="127">
        <v>1.64</v>
      </c>
      <c r="B67" s="129">
        <v>1.64</v>
      </c>
      <c r="C67" s="129">
        <v>1.64</v>
      </c>
      <c r="D67" s="129">
        <v>1.64</v>
      </c>
      <c r="E67" s="129">
        <v>1.64</v>
      </c>
      <c r="F67" s="129">
        <v>1.64</v>
      </c>
      <c r="G67" s="129">
        <v>1.64</v>
      </c>
      <c r="H67" s="129">
        <v>1.64</v>
      </c>
      <c r="I67" s="129">
        <v>1.64</v>
      </c>
      <c r="J67" s="129">
        <v>1.64</v>
      </c>
      <c r="K67" s="129">
        <v>1.64</v>
      </c>
      <c r="L67" s="129">
        <v>1.64</v>
      </c>
      <c r="M67" s="129">
        <v>1.64</v>
      </c>
      <c r="N67" s="129">
        <v>1.64</v>
      </c>
      <c r="O67" s="129">
        <v>1.64</v>
      </c>
      <c r="P67" s="129">
        <v>1.64</v>
      </c>
      <c r="Q67" s="129">
        <v>1.64</v>
      </c>
      <c r="R67" s="129">
        <v>1.64</v>
      </c>
      <c r="S67" s="129">
        <v>1.64</v>
      </c>
      <c r="T67" s="129">
        <v>1.64</v>
      </c>
      <c r="U67" s="129">
        <v>1.64</v>
      </c>
      <c r="V67" s="129">
        <v>1.64</v>
      </c>
      <c r="W67" s="129">
        <v>1.64</v>
      </c>
      <c r="X67" s="129">
        <v>1.64</v>
      </c>
      <c r="Y67" s="129">
        <v>1.64</v>
      </c>
      <c r="Z67" s="129">
        <v>1.64</v>
      </c>
      <c r="AA67" s="129">
        <v>1.64</v>
      </c>
      <c r="AB67" s="129">
        <v>1.64</v>
      </c>
      <c r="AC67" s="129">
        <v>1.64</v>
      </c>
      <c r="AD67" s="129">
        <v>1.64</v>
      </c>
      <c r="AE67" s="129">
        <v>1.64</v>
      </c>
      <c r="AF67" s="129">
        <v>1.64</v>
      </c>
      <c r="AG67" s="129">
        <v>1.64</v>
      </c>
      <c r="AH67" s="129">
        <v>1.64</v>
      </c>
      <c r="AI67" s="129">
        <v>1.64</v>
      </c>
      <c r="AJ67" s="129">
        <v>1.64</v>
      </c>
      <c r="AK67" s="129">
        <v>1.64</v>
      </c>
      <c r="AL67" s="129">
        <v>1.64</v>
      </c>
      <c r="AM67" s="129">
        <v>1.64</v>
      </c>
      <c r="AN67" s="129">
        <v>1.63</v>
      </c>
      <c r="AO67" s="129">
        <v>1.63</v>
      </c>
      <c r="AP67" s="129">
        <v>1.62</v>
      </c>
      <c r="AQ67" s="129">
        <v>1.62</v>
      </c>
      <c r="AR67" s="129">
        <v>1.62</v>
      </c>
      <c r="AS67" s="129">
        <v>1.61</v>
      </c>
      <c r="AT67" s="129">
        <v>1.61</v>
      </c>
      <c r="AU67" s="129">
        <v>1.6</v>
      </c>
      <c r="AV67" s="129">
        <v>1.6</v>
      </c>
      <c r="AW67" s="129">
        <v>1.6</v>
      </c>
      <c r="AX67" s="129">
        <v>1.59</v>
      </c>
      <c r="AY67" s="129">
        <v>1.59</v>
      </c>
      <c r="AZ67" s="129">
        <v>1.58</v>
      </c>
      <c r="BA67" s="129">
        <v>1.59</v>
      </c>
      <c r="BB67" s="129">
        <v>1.59</v>
      </c>
      <c r="BC67" s="129">
        <v>1.6</v>
      </c>
      <c r="BD67" s="129">
        <v>1.6</v>
      </c>
      <c r="BE67" s="129">
        <v>1.6</v>
      </c>
      <c r="BF67" s="129">
        <v>1.61</v>
      </c>
      <c r="BG67" s="129">
        <v>1.61</v>
      </c>
      <c r="BH67" s="129">
        <v>1.62</v>
      </c>
      <c r="BI67" s="129">
        <v>1.62</v>
      </c>
      <c r="BJ67" s="129">
        <v>1.62</v>
      </c>
      <c r="BK67" s="129">
        <v>1.63</v>
      </c>
      <c r="BL67" s="129">
        <v>1.63</v>
      </c>
      <c r="BM67" s="129">
        <v>1.64</v>
      </c>
      <c r="BN67" s="129">
        <v>1.64</v>
      </c>
      <c r="BO67" s="129">
        <v>1.65</v>
      </c>
      <c r="BP67" s="129">
        <v>1.65</v>
      </c>
      <c r="BQ67" s="129">
        <v>1.66</v>
      </c>
      <c r="BR67" s="129">
        <v>1.67</v>
      </c>
      <c r="BS67" s="129">
        <v>1.67</v>
      </c>
      <c r="BT67" s="129">
        <v>1.68</v>
      </c>
      <c r="BU67" s="129">
        <v>1.69</v>
      </c>
      <c r="BV67" s="129">
        <v>1.7</v>
      </c>
      <c r="BW67" s="129">
        <v>1.7</v>
      </c>
      <c r="BX67" s="129">
        <v>1.71</v>
      </c>
      <c r="BY67" s="129">
        <v>1.72</v>
      </c>
      <c r="BZ67" s="129">
        <v>1.73</v>
      </c>
      <c r="CA67" s="129">
        <v>1.74</v>
      </c>
      <c r="CB67" s="129">
        <v>1.74</v>
      </c>
      <c r="CC67" s="129">
        <v>1.75</v>
      </c>
      <c r="CD67" s="129">
        <v>1.76</v>
      </c>
      <c r="CE67" s="129">
        <v>1.77</v>
      </c>
      <c r="CF67" s="129">
        <v>1.78</v>
      </c>
      <c r="CG67" s="129">
        <v>1.79</v>
      </c>
      <c r="CH67" s="129">
        <v>1.8</v>
      </c>
      <c r="CI67" s="129">
        <v>1.81</v>
      </c>
      <c r="CJ67" s="129">
        <v>1.82</v>
      </c>
      <c r="CK67" s="129">
        <v>1.83</v>
      </c>
      <c r="CL67" s="129">
        <v>1.84</v>
      </c>
      <c r="CM67" s="129">
        <v>1.85</v>
      </c>
      <c r="CN67" s="129">
        <v>1.86</v>
      </c>
      <c r="CO67" s="129">
        <v>1.88</v>
      </c>
      <c r="CP67" s="129">
        <v>1.89</v>
      </c>
      <c r="CQ67" s="129">
        <v>1.9</v>
      </c>
      <c r="CR67" s="129">
        <v>1.91</v>
      </c>
      <c r="CS67" s="129">
        <v>1.93</v>
      </c>
      <c r="CT67" s="129">
        <v>1.94</v>
      </c>
      <c r="CU67" s="129">
        <v>1.96</v>
      </c>
      <c r="CV67" s="129">
        <v>1.97</v>
      </c>
      <c r="CW67" s="129">
        <v>1.98</v>
      </c>
      <c r="CX67" s="129">
        <v>2</v>
      </c>
      <c r="CZ67" s="126">
        <f>SUMIF(MatrixF4[[1]:[2]],MatrixF4[[#This Row],[Столбец1]])/MatrixF4[[#This Row],[Столбец1]]</f>
        <v>148.99999999999943</v>
      </c>
    </row>
    <row r="68" spans="1:104" ht="21" customHeight="1" x14ac:dyDescent="0.25">
      <c r="A68" s="127">
        <v>1.65</v>
      </c>
      <c r="B68" s="129">
        <v>1.65</v>
      </c>
      <c r="C68" s="129">
        <v>1.65</v>
      </c>
      <c r="D68" s="129">
        <v>1.65</v>
      </c>
      <c r="E68" s="129">
        <v>1.65</v>
      </c>
      <c r="F68" s="129">
        <v>1.65</v>
      </c>
      <c r="G68" s="129">
        <v>1.65</v>
      </c>
      <c r="H68" s="129">
        <v>1.65</v>
      </c>
      <c r="I68" s="129">
        <v>1.65</v>
      </c>
      <c r="J68" s="129">
        <v>1.65</v>
      </c>
      <c r="K68" s="129">
        <v>1.65</v>
      </c>
      <c r="L68" s="129">
        <v>1.65</v>
      </c>
      <c r="M68" s="129">
        <v>1.65</v>
      </c>
      <c r="N68" s="129">
        <v>1.65</v>
      </c>
      <c r="O68" s="129">
        <v>1.65</v>
      </c>
      <c r="P68" s="129">
        <v>1.65</v>
      </c>
      <c r="Q68" s="129">
        <v>1.65</v>
      </c>
      <c r="R68" s="129">
        <v>1.65</v>
      </c>
      <c r="S68" s="129">
        <v>1.65</v>
      </c>
      <c r="T68" s="129">
        <v>1.65</v>
      </c>
      <c r="U68" s="129">
        <v>1.65</v>
      </c>
      <c r="V68" s="129">
        <v>1.65</v>
      </c>
      <c r="W68" s="129">
        <v>1.65</v>
      </c>
      <c r="X68" s="129">
        <v>1.65</v>
      </c>
      <c r="Y68" s="129">
        <v>1.65</v>
      </c>
      <c r="Z68" s="129">
        <v>1.65</v>
      </c>
      <c r="AA68" s="129">
        <v>1.65</v>
      </c>
      <c r="AB68" s="129">
        <v>1.65</v>
      </c>
      <c r="AC68" s="129">
        <v>1.65</v>
      </c>
      <c r="AD68" s="129">
        <v>1.65</v>
      </c>
      <c r="AE68" s="129">
        <v>1.65</v>
      </c>
      <c r="AF68" s="129">
        <v>1.65</v>
      </c>
      <c r="AG68" s="129">
        <v>1.65</v>
      </c>
      <c r="AH68" s="129">
        <v>1.65</v>
      </c>
      <c r="AI68" s="129">
        <v>1.65</v>
      </c>
      <c r="AJ68" s="129">
        <v>1.65</v>
      </c>
      <c r="AK68" s="129">
        <v>1.65</v>
      </c>
      <c r="AL68" s="129">
        <v>1.65</v>
      </c>
      <c r="AM68" s="129">
        <v>1.64</v>
      </c>
      <c r="AN68" s="129">
        <v>1.64</v>
      </c>
      <c r="AO68" s="129">
        <v>1.64</v>
      </c>
      <c r="AP68" s="129">
        <v>1.63</v>
      </c>
      <c r="AQ68" s="129">
        <v>1.63</v>
      </c>
      <c r="AR68" s="129">
        <v>1.62</v>
      </c>
      <c r="AS68" s="129">
        <v>1.62</v>
      </c>
      <c r="AT68" s="129">
        <v>1.62</v>
      </c>
      <c r="AU68" s="129">
        <v>1.61</v>
      </c>
      <c r="AV68" s="129">
        <v>1.61</v>
      </c>
      <c r="AW68" s="129">
        <v>1.6</v>
      </c>
      <c r="AX68" s="129">
        <v>1.6</v>
      </c>
      <c r="AY68" s="129">
        <v>1.59</v>
      </c>
      <c r="AZ68" s="129">
        <v>1.59</v>
      </c>
      <c r="BA68" s="129">
        <v>1.59</v>
      </c>
      <c r="BB68" s="129">
        <v>1.6</v>
      </c>
      <c r="BC68" s="129">
        <v>1.6</v>
      </c>
      <c r="BD68" s="129">
        <v>1.61</v>
      </c>
      <c r="BE68" s="129">
        <v>1.61</v>
      </c>
      <c r="BF68" s="129">
        <v>1.62</v>
      </c>
      <c r="BG68" s="129">
        <v>1.62</v>
      </c>
      <c r="BH68" s="129">
        <v>1.62</v>
      </c>
      <c r="BI68" s="129">
        <v>1.63</v>
      </c>
      <c r="BJ68" s="129">
        <v>1.63</v>
      </c>
      <c r="BK68" s="129">
        <v>1.64</v>
      </c>
      <c r="BL68" s="129">
        <v>1.64</v>
      </c>
      <c r="BM68" s="129">
        <v>1.64</v>
      </c>
      <c r="BN68" s="129">
        <v>1.65</v>
      </c>
      <c r="BO68" s="129">
        <v>1.65</v>
      </c>
      <c r="BP68" s="129">
        <v>1.66</v>
      </c>
      <c r="BQ68" s="129">
        <v>1.66</v>
      </c>
      <c r="BR68" s="129">
        <v>1.67</v>
      </c>
      <c r="BS68" s="129">
        <v>1.68</v>
      </c>
      <c r="BT68" s="129">
        <v>1.68</v>
      </c>
      <c r="BU68" s="129">
        <v>1.69</v>
      </c>
      <c r="BV68" s="129">
        <v>1.7</v>
      </c>
      <c r="BW68" s="129">
        <v>1.71</v>
      </c>
      <c r="BX68" s="129">
        <v>1.71</v>
      </c>
      <c r="BY68" s="129">
        <v>1.72</v>
      </c>
      <c r="BZ68" s="129">
        <v>1.73</v>
      </c>
      <c r="CA68" s="129">
        <v>1.74</v>
      </c>
      <c r="CB68" s="129">
        <v>1.75</v>
      </c>
      <c r="CC68" s="129">
        <v>1.76</v>
      </c>
      <c r="CD68" s="129">
        <v>1.76</v>
      </c>
      <c r="CE68" s="129">
        <v>1.77</v>
      </c>
      <c r="CF68" s="129">
        <v>1.78</v>
      </c>
      <c r="CG68" s="129">
        <v>1.79</v>
      </c>
      <c r="CH68" s="129">
        <v>1.8</v>
      </c>
      <c r="CI68" s="129">
        <v>1.81</v>
      </c>
      <c r="CJ68" s="129">
        <v>1.82</v>
      </c>
      <c r="CK68" s="129">
        <v>1.83</v>
      </c>
      <c r="CL68" s="129">
        <v>1.84</v>
      </c>
      <c r="CM68" s="129">
        <v>1.86</v>
      </c>
      <c r="CN68" s="129">
        <v>1.87</v>
      </c>
      <c r="CO68" s="129">
        <v>1.88</v>
      </c>
      <c r="CP68" s="129">
        <v>1.89</v>
      </c>
      <c r="CQ68" s="129">
        <v>1.9</v>
      </c>
      <c r="CR68" s="129">
        <v>1.92</v>
      </c>
      <c r="CS68" s="129">
        <v>1.93</v>
      </c>
      <c r="CT68" s="129">
        <v>1.94</v>
      </c>
      <c r="CU68" s="129">
        <v>1.96</v>
      </c>
      <c r="CV68" s="129">
        <v>1.97</v>
      </c>
      <c r="CW68" s="129">
        <v>1.98</v>
      </c>
      <c r="CX68" s="129">
        <v>2</v>
      </c>
      <c r="CZ68" s="126">
        <f>SUMIF(MatrixF4[[1]:[2]],MatrixF4[[#This Row],[Столбец1]])/MatrixF4[[#This Row],[Столбец1]]</f>
        <v>155.0000000000004</v>
      </c>
    </row>
    <row r="69" spans="1:104" ht="21" customHeight="1" x14ac:dyDescent="0.25">
      <c r="A69" s="127">
        <v>1.66</v>
      </c>
      <c r="B69" s="129">
        <v>1.66</v>
      </c>
      <c r="C69" s="129">
        <v>1.66</v>
      </c>
      <c r="D69" s="129">
        <v>1.66</v>
      </c>
      <c r="E69" s="129">
        <v>1.66</v>
      </c>
      <c r="F69" s="129">
        <v>1.66</v>
      </c>
      <c r="G69" s="129">
        <v>1.66</v>
      </c>
      <c r="H69" s="129">
        <v>1.66</v>
      </c>
      <c r="I69" s="129">
        <v>1.66</v>
      </c>
      <c r="J69" s="129">
        <v>1.66</v>
      </c>
      <c r="K69" s="129">
        <v>1.66</v>
      </c>
      <c r="L69" s="129">
        <v>1.66</v>
      </c>
      <c r="M69" s="129">
        <v>1.66</v>
      </c>
      <c r="N69" s="129">
        <v>1.66</v>
      </c>
      <c r="O69" s="129">
        <v>1.66</v>
      </c>
      <c r="P69" s="129">
        <v>1.66</v>
      </c>
      <c r="Q69" s="129">
        <v>1.66</v>
      </c>
      <c r="R69" s="129">
        <v>1.66</v>
      </c>
      <c r="S69" s="129">
        <v>1.66</v>
      </c>
      <c r="T69" s="129">
        <v>1.66</v>
      </c>
      <c r="U69" s="129">
        <v>1.66</v>
      </c>
      <c r="V69" s="129">
        <v>1.66</v>
      </c>
      <c r="W69" s="129">
        <v>1.66</v>
      </c>
      <c r="X69" s="129">
        <v>1.66</v>
      </c>
      <c r="Y69" s="129">
        <v>1.66</v>
      </c>
      <c r="Z69" s="129">
        <v>1.66</v>
      </c>
      <c r="AA69" s="129">
        <v>1.66</v>
      </c>
      <c r="AB69" s="129">
        <v>1.66</v>
      </c>
      <c r="AC69" s="129">
        <v>1.66</v>
      </c>
      <c r="AD69" s="129">
        <v>1.66</v>
      </c>
      <c r="AE69" s="129">
        <v>1.66</v>
      </c>
      <c r="AF69" s="129">
        <v>1.66</v>
      </c>
      <c r="AG69" s="129">
        <v>1.66</v>
      </c>
      <c r="AH69" s="129">
        <v>1.66</v>
      </c>
      <c r="AI69" s="129">
        <v>1.66</v>
      </c>
      <c r="AJ69" s="129">
        <v>1.66</v>
      </c>
      <c r="AK69" s="129">
        <v>1.66</v>
      </c>
      <c r="AL69" s="129">
        <v>1.65</v>
      </c>
      <c r="AM69" s="129">
        <v>1.65</v>
      </c>
      <c r="AN69" s="129">
        <v>1.65</v>
      </c>
      <c r="AO69" s="129">
        <v>1.64</v>
      </c>
      <c r="AP69" s="129">
        <v>1.64</v>
      </c>
      <c r="AQ69" s="129">
        <v>1.63</v>
      </c>
      <c r="AR69" s="129">
        <v>1.63</v>
      </c>
      <c r="AS69" s="129">
        <v>1.63</v>
      </c>
      <c r="AT69" s="129">
        <v>1.62</v>
      </c>
      <c r="AU69" s="129">
        <v>1.62</v>
      </c>
      <c r="AV69" s="129">
        <v>1.61</v>
      </c>
      <c r="AW69" s="129">
        <v>1.61</v>
      </c>
      <c r="AX69" s="129">
        <v>1.6</v>
      </c>
      <c r="AY69" s="129">
        <v>1.6</v>
      </c>
      <c r="AZ69" s="129">
        <v>1.6</v>
      </c>
      <c r="BA69" s="129">
        <v>1.6</v>
      </c>
      <c r="BB69" s="129">
        <v>1.6</v>
      </c>
      <c r="BC69" s="129">
        <v>1.61</v>
      </c>
      <c r="BD69" s="129">
        <v>1.61</v>
      </c>
      <c r="BE69" s="129">
        <v>1.62</v>
      </c>
      <c r="BF69" s="129">
        <v>1.62</v>
      </c>
      <c r="BG69" s="129">
        <v>1.63</v>
      </c>
      <c r="BH69" s="129">
        <v>1.63</v>
      </c>
      <c r="BI69" s="129">
        <v>1.63</v>
      </c>
      <c r="BJ69" s="129">
        <v>1.64</v>
      </c>
      <c r="BK69" s="129">
        <v>1.64</v>
      </c>
      <c r="BL69" s="129">
        <v>1.65</v>
      </c>
      <c r="BM69" s="129">
        <v>1.65</v>
      </c>
      <c r="BN69" s="129">
        <v>1.65</v>
      </c>
      <c r="BO69" s="129">
        <v>1.66</v>
      </c>
      <c r="BP69" s="129">
        <v>1.66</v>
      </c>
      <c r="BQ69" s="129">
        <v>1.67</v>
      </c>
      <c r="BR69" s="129">
        <v>1.67</v>
      </c>
      <c r="BS69" s="129">
        <v>1.68</v>
      </c>
      <c r="BT69" s="129">
        <v>1.69</v>
      </c>
      <c r="BU69" s="129">
        <v>1.69</v>
      </c>
      <c r="BV69" s="129">
        <v>1.7</v>
      </c>
      <c r="BW69" s="129">
        <v>1.71</v>
      </c>
      <c r="BX69" s="129">
        <v>1.72</v>
      </c>
      <c r="BY69" s="129">
        <v>1.73</v>
      </c>
      <c r="BZ69" s="129">
        <v>1.73</v>
      </c>
      <c r="CA69" s="129">
        <v>1.74</v>
      </c>
      <c r="CB69" s="129">
        <v>1.75</v>
      </c>
      <c r="CC69" s="129">
        <v>1.76</v>
      </c>
      <c r="CD69" s="129">
        <v>1.77</v>
      </c>
      <c r="CE69" s="129">
        <v>1.78</v>
      </c>
      <c r="CF69" s="129">
        <v>1.79</v>
      </c>
      <c r="CG69" s="129">
        <v>1.8</v>
      </c>
      <c r="CH69" s="129">
        <v>1.8</v>
      </c>
      <c r="CI69" s="129">
        <v>1.81</v>
      </c>
      <c r="CJ69" s="129">
        <v>1.82</v>
      </c>
      <c r="CK69" s="129">
        <v>1.84</v>
      </c>
      <c r="CL69" s="129">
        <v>1.85</v>
      </c>
      <c r="CM69" s="129">
        <v>1.86</v>
      </c>
      <c r="CN69" s="129">
        <v>1.87</v>
      </c>
      <c r="CO69" s="129">
        <v>1.88</v>
      </c>
      <c r="CP69" s="129">
        <v>1.89</v>
      </c>
      <c r="CQ69" s="129">
        <v>1.9</v>
      </c>
      <c r="CR69" s="129">
        <v>1.92</v>
      </c>
      <c r="CS69" s="129">
        <v>1.93</v>
      </c>
      <c r="CT69" s="129">
        <v>1.94</v>
      </c>
      <c r="CU69" s="129">
        <v>1.96</v>
      </c>
      <c r="CV69" s="129">
        <v>1.97</v>
      </c>
      <c r="CW69" s="129">
        <v>1.99</v>
      </c>
      <c r="CX69" s="129">
        <v>2</v>
      </c>
      <c r="CZ69" s="126">
        <f>SUMIF(MatrixF4[[1]:[2]],MatrixF4[[#This Row],[Столбец1]])/MatrixF4[[#This Row],[Столбец1]]</f>
        <v>152.99999999999974</v>
      </c>
    </row>
    <row r="70" spans="1:104" ht="21" customHeight="1" x14ac:dyDescent="0.25">
      <c r="A70" s="127">
        <v>1.67</v>
      </c>
      <c r="B70" s="129">
        <v>1.67</v>
      </c>
      <c r="C70" s="129">
        <v>1.67</v>
      </c>
      <c r="D70" s="129">
        <v>1.67</v>
      </c>
      <c r="E70" s="129">
        <v>1.67</v>
      </c>
      <c r="F70" s="129">
        <v>1.67</v>
      </c>
      <c r="G70" s="129">
        <v>1.67</v>
      </c>
      <c r="H70" s="129">
        <v>1.67</v>
      </c>
      <c r="I70" s="129">
        <v>1.67</v>
      </c>
      <c r="J70" s="129">
        <v>1.67</v>
      </c>
      <c r="K70" s="129">
        <v>1.67</v>
      </c>
      <c r="L70" s="129">
        <v>1.67</v>
      </c>
      <c r="M70" s="129">
        <v>1.67</v>
      </c>
      <c r="N70" s="129">
        <v>1.67</v>
      </c>
      <c r="O70" s="129">
        <v>1.67</v>
      </c>
      <c r="P70" s="129">
        <v>1.67</v>
      </c>
      <c r="Q70" s="129">
        <v>1.67</v>
      </c>
      <c r="R70" s="129">
        <v>1.67</v>
      </c>
      <c r="S70" s="129">
        <v>1.67</v>
      </c>
      <c r="T70" s="129">
        <v>1.67</v>
      </c>
      <c r="U70" s="129">
        <v>1.67</v>
      </c>
      <c r="V70" s="129">
        <v>1.67</v>
      </c>
      <c r="W70" s="129">
        <v>1.67</v>
      </c>
      <c r="X70" s="129">
        <v>1.67</v>
      </c>
      <c r="Y70" s="129">
        <v>1.67</v>
      </c>
      <c r="Z70" s="129">
        <v>1.67</v>
      </c>
      <c r="AA70" s="129">
        <v>1.67</v>
      </c>
      <c r="AB70" s="129">
        <v>1.67</v>
      </c>
      <c r="AC70" s="129">
        <v>1.67</v>
      </c>
      <c r="AD70" s="129">
        <v>1.67</v>
      </c>
      <c r="AE70" s="129">
        <v>1.67</v>
      </c>
      <c r="AF70" s="129">
        <v>1.67</v>
      </c>
      <c r="AG70" s="129">
        <v>1.67</v>
      </c>
      <c r="AH70" s="129">
        <v>1.67</v>
      </c>
      <c r="AI70" s="129">
        <v>1.67</v>
      </c>
      <c r="AJ70" s="129">
        <v>1.67</v>
      </c>
      <c r="AK70" s="129">
        <v>1.66</v>
      </c>
      <c r="AL70" s="129">
        <v>1.66</v>
      </c>
      <c r="AM70" s="129">
        <v>1.66</v>
      </c>
      <c r="AN70" s="129">
        <v>1.65</v>
      </c>
      <c r="AO70" s="129">
        <v>1.65</v>
      </c>
      <c r="AP70" s="129">
        <v>1.65</v>
      </c>
      <c r="AQ70" s="129">
        <v>1.64</v>
      </c>
      <c r="AR70" s="129">
        <v>1.64</v>
      </c>
      <c r="AS70" s="129">
        <v>1.63</v>
      </c>
      <c r="AT70" s="129">
        <v>1.63</v>
      </c>
      <c r="AU70" s="129">
        <v>1.63</v>
      </c>
      <c r="AV70" s="129">
        <v>1.62</v>
      </c>
      <c r="AW70" s="129">
        <v>1.62</v>
      </c>
      <c r="AX70" s="129">
        <v>1.61</v>
      </c>
      <c r="AY70" s="129">
        <v>1.61</v>
      </c>
      <c r="AZ70" s="129">
        <v>1.6</v>
      </c>
      <c r="BA70" s="129">
        <v>1.61</v>
      </c>
      <c r="BB70" s="129">
        <v>1.61</v>
      </c>
      <c r="BC70" s="129">
        <v>1.62</v>
      </c>
      <c r="BD70" s="129">
        <v>1.62</v>
      </c>
      <c r="BE70" s="129">
        <v>1.63</v>
      </c>
      <c r="BF70" s="129">
        <v>1.63</v>
      </c>
      <c r="BG70" s="129">
        <v>1.63</v>
      </c>
      <c r="BH70" s="129">
        <v>1.64</v>
      </c>
      <c r="BI70" s="129">
        <v>1.64</v>
      </c>
      <c r="BJ70" s="129">
        <v>1.65</v>
      </c>
      <c r="BK70" s="129">
        <v>1.65</v>
      </c>
      <c r="BL70" s="129">
        <v>1.65</v>
      </c>
      <c r="BM70" s="129">
        <v>1.66</v>
      </c>
      <c r="BN70" s="129">
        <v>1.66</v>
      </c>
      <c r="BO70" s="129">
        <v>1.66</v>
      </c>
      <c r="BP70" s="129">
        <v>1.67</v>
      </c>
      <c r="BQ70" s="129">
        <v>1.67</v>
      </c>
      <c r="BR70" s="129">
        <v>1.68</v>
      </c>
      <c r="BS70" s="129">
        <v>1.68</v>
      </c>
      <c r="BT70" s="129">
        <v>1.69</v>
      </c>
      <c r="BU70" s="129">
        <v>1.7</v>
      </c>
      <c r="BV70" s="129">
        <v>1.71</v>
      </c>
      <c r="BW70" s="129">
        <v>1.71</v>
      </c>
      <c r="BX70" s="129">
        <v>1.72</v>
      </c>
      <c r="BY70" s="129">
        <v>1.73</v>
      </c>
      <c r="BZ70" s="129">
        <v>1.74</v>
      </c>
      <c r="CA70" s="129">
        <v>1.74</v>
      </c>
      <c r="CB70" s="129">
        <v>1.75</v>
      </c>
      <c r="CC70" s="129">
        <v>1.76</v>
      </c>
      <c r="CD70" s="129">
        <v>1.77</v>
      </c>
      <c r="CE70" s="129">
        <v>1.78</v>
      </c>
      <c r="CF70" s="129">
        <v>1.79</v>
      </c>
      <c r="CG70" s="129">
        <v>1.8</v>
      </c>
      <c r="CH70" s="129">
        <v>1.81</v>
      </c>
      <c r="CI70" s="129">
        <v>1.82</v>
      </c>
      <c r="CJ70" s="129">
        <v>1.83</v>
      </c>
      <c r="CK70" s="129">
        <v>1.84</v>
      </c>
      <c r="CL70" s="129">
        <v>1.85</v>
      </c>
      <c r="CM70" s="129">
        <v>1.86</v>
      </c>
      <c r="CN70" s="129">
        <v>1.87</v>
      </c>
      <c r="CO70" s="129">
        <v>1.88</v>
      </c>
      <c r="CP70" s="129">
        <v>1.89</v>
      </c>
      <c r="CQ70" s="129">
        <v>1.91</v>
      </c>
      <c r="CR70" s="129">
        <v>1.92</v>
      </c>
      <c r="CS70" s="129">
        <v>1.93</v>
      </c>
      <c r="CT70" s="129">
        <v>1.94</v>
      </c>
      <c r="CU70" s="129">
        <v>1.96</v>
      </c>
      <c r="CV70" s="129">
        <v>1.97</v>
      </c>
      <c r="CW70" s="129">
        <v>1.99</v>
      </c>
      <c r="CX70" s="129">
        <v>2</v>
      </c>
      <c r="CZ70" s="126">
        <f>SUMIF(MatrixF4[[1]:[2]],MatrixF4[[#This Row],[Столбец1]])/MatrixF4[[#This Row],[Столбец1]]</f>
        <v>158.99999999999955</v>
      </c>
    </row>
    <row r="71" spans="1:104" ht="21" customHeight="1" x14ac:dyDescent="0.25">
      <c r="A71" s="127">
        <v>1.68</v>
      </c>
      <c r="B71" s="129">
        <v>1.68</v>
      </c>
      <c r="C71" s="129">
        <v>1.68</v>
      </c>
      <c r="D71" s="129">
        <v>1.68</v>
      </c>
      <c r="E71" s="129">
        <v>1.68</v>
      </c>
      <c r="F71" s="129">
        <v>1.68</v>
      </c>
      <c r="G71" s="129">
        <v>1.68</v>
      </c>
      <c r="H71" s="129">
        <v>1.68</v>
      </c>
      <c r="I71" s="129">
        <v>1.68</v>
      </c>
      <c r="J71" s="129">
        <v>1.68</v>
      </c>
      <c r="K71" s="129">
        <v>1.68</v>
      </c>
      <c r="L71" s="129">
        <v>1.68</v>
      </c>
      <c r="M71" s="129">
        <v>1.68</v>
      </c>
      <c r="N71" s="129">
        <v>1.68</v>
      </c>
      <c r="O71" s="129">
        <v>1.68</v>
      </c>
      <c r="P71" s="129">
        <v>1.68</v>
      </c>
      <c r="Q71" s="129">
        <v>1.68</v>
      </c>
      <c r="R71" s="129">
        <v>1.68</v>
      </c>
      <c r="S71" s="129">
        <v>1.68</v>
      </c>
      <c r="T71" s="129">
        <v>1.68</v>
      </c>
      <c r="U71" s="129">
        <v>1.68</v>
      </c>
      <c r="V71" s="129">
        <v>1.68</v>
      </c>
      <c r="W71" s="129">
        <v>1.68</v>
      </c>
      <c r="X71" s="129">
        <v>1.68</v>
      </c>
      <c r="Y71" s="129">
        <v>1.68</v>
      </c>
      <c r="Z71" s="129">
        <v>1.68</v>
      </c>
      <c r="AA71" s="129">
        <v>1.68</v>
      </c>
      <c r="AB71" s="129">
        <v>1.68</v>
      </c>
      <c r="AC71" s="129">
        <v>1.68</v>
      </c>
      <c r="AD71" s="129">
        <v>1.68</v>
      </c>
      <c r="AE71" s="129">
        <v>1.68</v>
      </c>
      <c r="AF71" s="129">
        <v>1.68</v>
      </c>
      <c r="AG71" s="129">
        <v>1.68</v>
      </c>
      <c r="AH71" s="129">
        <v>1.68</v>
      </c>
      <c r="AI71" s="129">
        <v>1.68</v>
      </c>
      <c r="AJ71" s="129">
        <v>1.67</v>
      </c>
      <c r="AK71" s="129">
        <v>1.67</v>
      </c>
      <c r="AL71" s="129">
        <v>1.67</v>
      </c>
      <c r="AM71" s="129">
        <v>1.66</v>
      </c>
      <c r="AN71" s="129">
        <v>1.66</v>
      </c>
      <c r="AO71" s="129">
        <v>1.66</v>
      </c>
      <c r="AP71" s="129">
        <v>1.65</v>
      </c>
      <c r="AQ71" s="129">
        <v>1.65</v>
      </c>
      <c r="AR71" s="129">
        <v>1.64</v>
      </c>
      <c r="AS71" s="129">
        <v>1.64</v>
      </c>
      <c r="AT71" s="129">
        <v>1.64</v>
      </c>
      <c r="AU71" s="129">
        <v>1.63</v>
      </c>
      <c r="AV71" s="129">
        <v>1.63</v>
      </c>
      <c r="AW71" s="129">
        <v>1.62</v>
      </c>
      <c r="AX71" s="129">
        <v>1.62</v>
      </c>
      <c r="AY71" s="129">
        <v>1.61</v>
      </c>
      <c r="AZ71" s="129">
        <v>1.61</v>
      </c>
      <c r="BA71" s="129">
        <v>1.61</v>
      </c>
      <c r="BB71" s="129">
        <v>1.62</v>
      </c>
      <c r="BC71" s="129">
        <v>1.62</v>
      </c>
      <c r="BD71" s="129">
        <v>1.63</v>
      </c>
      <c r="BE71" s="129">
        <v>1.63</v>
      </c>
      <c r="BF71" s="129">
        <v>1.64</v>
      </c>
      <c r="BG71" s="129">
        <v>1.64</v>
      </c>
      <c r="BH71" s="129">
        <v>1.64</v>
      </c>
      <c r="BI71" s="129">
        <v>1.65</v>
      </c>
      <c r="BJ71" s="129">
        <v>1.65</v>
      </c>
      <c r="BK71" s="129">
        <v>1.66</v>
      </c>
      <c r="BL71" s="129">
        <v>1.66</v>
      </c>
      <c r="BM71" s="129">
        <v>1.66</v>
      </c>
      <c r="BN71" s="129">
        <v>1.67</v>
      </c>
      <c r="BO71" s="129">
        <v>1.67</v>
      </c>
      <c r="BP71" s="129">
        <v>1.67</v>
      </c>
      <c r="BQ71" s="129">
        <v>1.68</v>
      </c>
      <c r="BR71" s="129">
        <v>1.68</v>
      </c>
      <c r="BS71" s="129">
        <v>1.69</v>
      </c>
      <c r="BT71" s="129">
        <v>1.69</v>
      </c>
      <c r="BU71" s="129">
        <v>1.7</v>
      </c>
      <c r="BV71" s="129">
        <v>1.71</v>
      </c>
      <c r="BW71" s="129">
        <v>1.72</v>
      </c>
      <c r="BX71" s="129">
        <v>1.72</v>
      </c>
      <c r="BY71" s="129">
        <v>1.73</v>
      </c>
      <c r="BZ71" s="129">
        <v>1.74</v>
      </c>
      <c r="CA71" s="129">
        <v>1.75</v>
      </c>
      <c r="CB71" s="129">
        <v>1.76</v>
      </c>
      <c r="CC71" s="129">
        <v>1.76</v>
      </c>
      <c r="CD71" s="129">
        <v>1.77</v>
      </c>
      <c r="CE71" s="129">
        <v>1.78</v>
      </c>
      <c r="CF71" s="129">
        <v>1.79</v>
      </c>
      <c r="CG71" s="129">
        <v>1.8</v>
      </c>
      <c r="CH71" s="129">
        <v>1.81</v>
      </c>
      <c r="CI71" s="129">
        <v>1.82</v>
      </c>
      <c r="CJ71" s="129">
        <v>1.83</v>
      </c>
      <c r="CK71" s="129">
        <v>1.84</v>
      </c>
      <c r="CL71" s="129">
        <v>1.85</v>
      </c>
      <c r="CM71" s="129">
        <v>1.86</v>
      </c>
      <c r="CN71" s="129">
        <v>1.87</v>
      </c>
      <c r="CO71" s="129">
        <v>1.88</v>
      </c>
      <c r="CP71" s="129">
        <v>1.89</v>
      </c>
      <c r="CQ71" s="129">
        <v>1.91</v>
      </c>
      <c r="CR71" s="129">
        <v>1.92</v>
      </c>
      <c r="CS71" s="129">
        <v>1.93</v>
      </c>
      <c r="CT71" s="129">
        <v>1.94</v>
      </c>
      <c r="CU71" s="129">
        <v>1.96</v>
      </c>
      <c r="CV71" s="129">
        <v>1.97</v>
      </c>
      <c r="CW71" s="129">
        <v>1.99</v>
      </c>
      <c r="CX71" s="129">
        <v>2</v>
      </c>
      <c r="CZ71" s="126">
        <f>SUMIF(MatrixF4[[1]:[2]],MatrixF4[[#This Row],[Столбец1]])/MatrixF4[[#This Row],[Столбец1]]</f>
        <v>159.00000000000048</v>
      </c>
    </row>
    <row r="72" spans="1:104" ht="21" customHeight="1" x14ac:dyDescent="0.25">
      <c r="A72" s="127">
        <v>1.69</v>
      </c>
      <c r="B72" s="129">
        <v>1.69</v>
      </c>
      <c r="C72" s="129">
        <v>1.69</v>
      </c>
      <c r="D72" s="129">
        <v>1.69</v>
      </c>
      <c r="E72" s="129">
        <v>1.69</v>
      </c>
      <c r="F72" s="129">
        <v>1.69</v>
      </c>
      <c r="G72" s="129">
        <v>1.69</v>
      </c>
      <c r="H72" s="129">
        <v>1.69</v>
      </c>
      <c r="I72" s="129">
        <v>1.69</v>
      </c>
      <c r="J72" s="129">
        <v>1.69</v>
      </c>
      <c r="K72" s="129">
        <v>1.69</v>
      </c>
      <c r="L72" s="129">
        <v>1.69</v>
      </c>
      <c r="M72" s="129">
        <v>1.69</v>
      </c>
      <c r="N72" s="129">
        <v>1.69</v>
      </c>
      <c r="O72" s="129">
        <v>1.69</v>
      </c>
      <c r="P72" s="129">
        <v>1.69</v>
      </c>
      <c r="Q72" s="129">
        <v>1.69</v>
      </c>
      <c r="R72" s="129">
        <v>1.69</v>
      </c>
      <c r="S72" s="129">
        <v>1.69</v>
      </c>
      <c r="T72" s="129">
        <v>1.69</v>
      </c>
      <c r="U72" s="129">
        <v>1.69</v>
      </c>
      <c r="V72" s="129">
        <v>1.69</v>
      </c>
      <c r="W72" s="129">
        <v>1.69</v>
      </c>
      <c r="X72" s="129">
        <v>1.69</v>
      </c>
      <c r="Y72" s="129">
        <v>1.69</v>
      </c>
      <c r="Z72" s="129">
        <v>1.69</v>
      </c>
      <c r="AA72" s="129">
        <v>1.69</v>
      </c>
      <c r="AB72" s="129">
        <v>1.69</v>
      </c>
      <c r="AC72" s="129">
        <v>1.69</v>
      </c>
      <c r="AD72" s="129">
        <v>1.69</v>
      </c>
      <c r="AE72" s="129">
        <v>1.69</v>
      </c>
      <c r="AF72" s="129">
        <v>1.69</v>
      </c>
      <c r="AG72" s="129">
        <v>1.69</v>
      </c>
      <c r="AH72" s="129">
        <v>1.69</v>
      </c>
      <c r="AI72" s="129">
        <v>1.68</v>
      </c>
      <c r="AJ72" s="129">
        <v>1.68</v>
      </c>
      <c r="AK72" s="129">
        <v>1.68</v>
      </c>
      <c r="AL72" s="129">
        <v>1.67</v>
      </c>
      <c r="AM72" s="129">
        <v>1.67</v>
      </c>
      <c r="AN72" s="129">
        <v>1.67</v>
      </c>
      <c r="AO72" s="129">
        <v>1.66</v>
      </c>
      <c r="AP72" s="129">
        <v>1.66</v>
      </c>
      <c r="AQ72" s="129">
        <v>1.66</v>
      </c>
      <c r="AR72" s="129">
        <v>1.65</v>
      </c>
      <c r="AS72" s="129">
        <v>1.65</v>
      </c>
      <c r="AT72" s="129">
        <v>1.64</v>
      </c>
      <c r="AU72" s="129">
        <v>1.64</v>
      </c>
      <c r="AV72" s="129">
        <v>1.64</v>
      </c>
      <c r="AW72" s="129">
        <v>1.63</v>
      </c>
      <c r="AX72" s="129">
        <v>1.63</v>
      </c>
      <c r="AY72" s="129">
        <v>1.62</v>
      </c>
      <c r="AZ72" s="129">
        <v>1.62</v>
      </c>
      <c r="BA72" s="129">
        <v>1.62</v>
      </c>
      <c r="BB72" s="129">
        <v>1.63</v>
      </c>
      <c r="BC72" s="129">
        <v>1.63</v>
      </c>
      <c r="BD72" s="129">
        <v>1.64</v>
      </c>
      <c r="BE72" s="129">
        <v>1.64</v>
      </c>
      <c r="BF72" s="129">
        <v>1.64</v>
      </c>
      <c r="BG72" s="129">
        <v>1.65</v>
      </c>
      <c r="BH72" s="129">
        <v>1.65</v>
      </c>
      <c r="BI72" s="129">
        <v>1.66</v>
      </c>
      <c r="BJ72" s="129">
        <v>1.66</v>
      </c>
      <c r="BK72" s="129">
        <v>1.66</v>
      </c>
      <c r="BL72" s="129">
        <v>1.67</v>
      </c>
      <c r="BM72" s="129">
        <v>1.67</v>
      </c>
      <c r="BN72" s="129">
        <v>1.67</v>
      </c>
      <c r="BO72" s="129">
        <v>1.68</v>
      </c>
      <c r="BP72" s="129">
        <v>1.68</v>
      </c>
      <c r="BQ72" s="129">
        <v>1.68</v>
      </c>
      <c r="BR72" s="129">
        <v>1.69</v>
      </c>
      <c r="BS72" s="129">
        <v>1.69</v>
      </c>
      <c r="BT72" s="129">
        <v>1.7</v>
      </c>
      <c r="BU72" s="129">
        <v>1.7</v>
      </c>
      <c r="BV72" s="129">
        <v>1.71</v>
      </c>
      <c r="BW72" s="129">
        <v>1.72</v>
      </c>
      <c r="BX72" s="129">
        <v>1.73</v>
      </c>
      <c r="BY72" s="129">
        <v>1.73</v>
      </c>
      <c r="BZ72" s="129">
        <v>1.74</v>
      </c>
      <c r="CA72" s="129">
        <v>1.75</v>
      </c>
      <c r="CB72" s="129">
        <v>1.76</v>
      </c>
      <c r="CC72" s="129">
        <v>1.77</v>
      </c>
      <c r="CD72" s="129">
        <v>1.78</v>
      </c>
      <c r="CE72" s="129">
        <v>1.78</v>
      </c>
      <c r="CF72" s="129">
        <v>1.79</v>
      </c>
      <c r="CG72" s="129">
        <v>1.8</v>
      </c>
      <c r="CH72" s="129">
        <v>1.81</v>
      </c>
      <c r="CI72" s="129">
        <v>1.82</v>
      </c>
      <c r="CJ72" s="129">
        <v>1.83</v>
      </c>
      <c r="CK72" s="129">
        <v>1.84</v>
      </c>
      <c r="CL72" s="129">
        <v>1.85</v>
      </c>
      <c r="CM72" s="129">
        <v>1.86</v>
      </c>
      <c r="CN72" s="129">
        <v>1.87</v>
      </c>
      <c r="CO72" s="129">
        <v>1.88</v>
      </c>
      <c r="CP72" s="129">
        <v>1.9</v>
      </c>
      <c r="CQ72" s="129">
        <v>1.91</v>
      </c>
      <c r="CR72" s="129">
        <v>1.92</v>
      </c>
      <c r="CS72" s="129">
        <v>1.93</v>
      </c>
      <c r="CT72" s="129">
        <v>1.95</v>
      </c>
      <c r="CU72" s="129">
        <v>1.96</v>
      </c>
      <c r="CV72" s="129">
        <v>1.97</v>
      </c>
      <c r="CW72" s="129">
        <v>1.99</v>
      </c>
      <c r="CX72" s="129">
        <v>2</v>
      </c>
      <c r="CZ72" s="126">
        <f>SUMIF(MatrixF4[[1]:[2]],MatrixF4[[#This Row],[Столбец1]])/MatrixF4[[#This Row],[Столбец1]]</f>
        <v>154.99999999999983</v>
      </c>
    </row>
    <row r="73" spans="1:104" ht="21" customHeight="1" x14ac:dyDescent="0.25">
      <c r="A73" s="127">
        <v>1.7</v>
      </c>
      <c r="B73" s="129">
        <v>1.7</v>
      </c>
      <c r="C73" s="129">
        <v>1.7</v>
      </c>
      <c r="D73" s="129">
        <v>1.7</v>
      </c>
      <c r="E73" s="129">
        <v>1.7</v>
      </c>
      <c r="F73" s="129">
        <v>1.7</v>
      </c>
      <c r="G73" s="129">
        <v>1.7</v>
      </c>
      <c r="H73" s="129">
        <v>1.7</v>
      </c>
      <c r="I73" s="129">
        <v>1.7</v>
      </c>
      <c r="J73" s="129">
        <v>1.7</v>
      </c>
      <c r="K73" s="129">
        <v>1.7</v>
      </c>
      <c r="L73" s="129">
        <v>1.7</v>
      </c>
      <c r="M73" s="129">
        <v>1.7</v>
      </c>
      <c r="N73" s="129">
        <v>1.7</v>
      </c>
      <c r="O73" s="129">
        <v>1.7</v>
      </c>
      <c r="P73" s="129">
        <v>1.7</v>
      </c>
      <c r="Q73" s="129">
        <v>1.7</v>
      </c>
      <c r="R73" s="129">
        <v>1.7</v>
      </c>
      <c r="S73" s="129">
        <v>1.7</v>
      </c>
      <c r="T73" s="129">
        <v>1.7</v>
      </c>
      <c r="U73" s="129">
        <v>1.7</v>
      </c>
      <c r="V73" s="129">
        <v>1.7</v>
      </c>
      <c r="W73" s="129">
        <v>1.7</v>
      </c>
      <c r="X73" s="129">
        <v>1.7</v>
      </c>
      <c r="Y73" s="129">
        <v>1.7</v>
      </c>
      <c r="Z73" s="129">
        <v>1.7</v>
      </c>
      <c r="AA73" s="129">
        <v>1.7</v>
      </c>
      <c r="AB73" s="129">
        <v>1.7</v>
      </c>
      <c r="AC73" s="129">
        <v>1.7</v>
      </c>
      <c r="AD73" s="129">
        <v>1.7</v>
      </c>
      <c r="AE73" s="129">
        <v>1.7</v>
      </c>
      <c r="AF73" s="129">
        <v>1.7</v>
      </c>
      <c r="AG73" s="129">
        <v>1.7</v>
      </c>
      <c r="AH73" s="129">
        <v>1.69</v>
      </c>
      <c r="AI73" s="129">
        <v>1.69</v>
      </c>
      <c r="AJ73" s="129">
        <v>1.69</v>
      </c>
      <c r="AK73" s="129">
        <v>1.68</v>
      </c>
      <c r="AL73" s="129">
        <v>1.68</v>
      </c>
      <c r="AM73" s="129">
        <v>1.68</v>
      </c>
      <c r="AN73" s="129">
        <v>1.67</v>
      </c>
      <c r="AO73" s="129">
        <v>1.67</v>
      </c>
      <c r="AP73" s="129">
        <v>1.67</v>
      </c>
      <c r="AQ73" s="129">
        <v>1.66</v>
      </c>
      <c r="AR73" s="129">
        <v>1.66</v>
      </c>
      <c r="AS73" s="129">
        <v>1.66</v>
      </c>
      <c r="AT73" s="129">
        <v>1.65</v>
      </c>
      <c r="AU73" s="129">
        <v>1.65</v>
      </c>
      <c r="AV73" s="129">
        <v>1.64</v>
      </c>
      <c r="AW73" s="129">
        <v>1.64</v>
      </c>
      <c r="AX73" s="129">
        <v>1.63</v>
      </c>
      <c r="AY73" s="129">
        <v>1.63</v>
      </c>
      <c r="AZ73" s="129">
        <v>1.62</v>
      </c>
      <c r="BA73" s="129">
        <v>1.63</v>
      </c>
      <c r="BB73" s="129">
        <v>1.63</v>
      </c>
      <c r="BC73" s="129">
        <v>1.64</v>
      </c>
      <c r="BD73" s="129">
        <v>1.64</v>
      </c>
      <c r="BE73" s="129">
        <v>1.65</v>
      </c>
      <c r="BF73" s="129">
        <v>1.65</v>
      </c>
      <c r="BG73" s="129">
        <v>1.66</v>
      </c>
      <c r="BH73" s="129">
        <v>1.66</v>
      </c>
      <c r="BI73" s="129">
        <v>1.66</v>
      </c>
      <c r="BJ73" s="129">
        <v>1.67</v>
      </c>
      <c r="BK73" s="129">
        <v>1.67</v>
      </c>
      <c r="BL73" s="129">
        <v>1.67</v>
      </c>
      <c r="BM73" s="129">
        <v>1.68</v>
      </c>
      <c r="BN73" s="129">
        <v>1.68</v>
      </c>
      <c r="BO73" s="129">
        <v>1.68</v>
      </c>
      <c r="BP73" s="129">
        <v>1.69</v>
      </c>
      <c r="BQ73" s="129">
        <v>1.69</v>
      </c>
      <c r="BR73" s="129">
        <v>1.69</v>
      </c>
      <c r="BS73" s="129">
        <v>1.7</v>
      </c>
      <c r="BT73" s="129">
        <v>1.7</v>
      </c>
      <c r="BU73" s="129">
        <v>1.71</v>
      </c>
      <c r="BV73" s="129">
        <v>1.71</v>
      </c>
      <c r="BW73" s="129">
        <v>1.72</v>
      </c>
      <c r="BX73" s="129">
        <v>1.73</v>
      </c>
      <c r="BY73" s="129">
        <v>1.74</v>
      </c>
      <c r="BZ73" s="129">
        <v>1.74</v>
      </c>
      <c r="CA73" s="129">
        <v>1.75</v>
      </c>
      <c r="CB73" s="129">
        <v>1.76</v>
      </c>
      <c r="CC73" s="129">
        <v>1.77</v>
      </c>
      <c r="CD73" s="129">
        <v>1.78</v>
      </c>
      <c r="CE73" s="129">
        <v>1.79</v>
      </c>
      <c r="CF73" s="129">
        <v>1.8</v>
      </c>
      <c r="CG73" s="129">
        <v>1.8</v>
      </c>
      <c r="CH73" s="129">
        <v>1.81</v>
      </c>
      <c r="CI73" s="129">
        <v>1.82</v>
      </c>
      <c r="CJ73" s="129">
        <v>1.83</v>
      </c>
      <c r="CK73" s="129">
        <v>1.84</v>
      </c>
      <c r="CL73" s="129">
        <v>1.85</v>
      </c>
      <c r="CM73" s="129">
        <v>1.86</v>
      </c>
      <c r="CN73" s="129">
        <v>1.88</v>
      </c>
      <c r="CO73" s="129">
        <v>1.89</v>
      </c>
      <c r="CP73" s="129">
        <v>1.9</v>
      </c>
      <c r="CQ73" s="129">
        <v>1.91</v>
      </c>
      <c r="CR73" s="129">
        <v>1.92</v>
      </c>
      <c r="CS73" s="129">
        <v>1.93</v>
      </c>
      <c r="CT73" s="129">
        <v>1.95</v>
      </c>
      <c r="CU73" s="129">
        <v>1.96</v>
      </c>
      <c r="CV73" s="129">
        <v>1.97</v>
      </c>
      <c r="CW73" s="129">
        <v>1.99</v>
      </c>
      <c r="CX73" s="129">
        <v>2</v>
      </c>
      <c r="CZ73" s="126">
        <f>SUMIF(MatrixF4[[1]:[2]],MatrixF4[[#This Row],[Столбец1]])/MatrixF4[[#This Row],[Столбец1]]</f>
        <v>156.99999999999955</v>
      </c>
    </row>
    <row r="74" spans="1:104" ht="21" customHeight="1" x14ac:dyDescent="0.25">
      <c r="A74" s="127">
        <v>1.71</v>
      </c>
      <c r="B74" s="129">
        <v>1.71</v>
      </c>
      <c r="C74" s="129">
        <v>1.71</v>
      </c>
      <c r="D74" s="129">
        <v>1.71</v>
      </c>
      <c r="E74" s="129">
        <v>1.71</v>
      </c>
      <c r="F74" s="129">
        <v>1.71</v>
      </c>
      <c r="G74" s="129">
        <v>1.71</v>
      </c>
      <c r="H74" s="129">
        <v>1.71</v>
      </c>
      <c r="I74" s="129">
        <v>1.71</v>
      </c>
      <c r="J74" s="129">
        <v>1.71</v>
      </c>
      <c r="K74" s="129">
        <v>1.71</v>
      </c>
      <c r="L74" s="129">
        <v>1.71</v>
      </c>
      <c r="M74" s="129">
        <v>1.71</v>
      </c>
      <c r="N74" s="129">
        <v>1.71</v>
      </c>
      <c r="O74" s="129">
        <v>1.71</v>
      </c>
      <c r="P74" s="129">
        <v>1.71</v>
      </c>
      <c r="Q74" s="129">
        <v>1.71</v>
      </c>
      <c r="R74" s="129">
        <v>1.71</v>
      </c>
      <c r="S74" s="129">
        <v>1.71</v>
      </c>
      <c r="T74" s="129">
        <v>1.71</v>
      </c>
      <c r="U74" s="129">
        <v>1.71</v>
      </c>
      <c r="V74" s="129">
        <v>1.71</v>
      </c>
      <c r="W74" s="129">
        <v>1.71</v>
      </c>
      <c r="X74" s="129">
        <v>1.71</v>
      </c>
      <c r="Y74" s="129">
        <v>1.71</v>
      </c>
      <c r="Z74" s="129">
        <v>1.71</v>
      </c>
      <c r="AA74" s="129">
        <v>1.71</v>
      </c>
      <c r="AB74" s="129">
        <v>1.71</v>
      </c>
      <c r="AC74" s="129">
        <v>1.71</v>
      </c>
      <c r="AD74" s="129">
        <v>1.71</v>
      </c>
      <c r="AE74" s="129">
        <v>1.71</v>
      </c>
      <c r="AF74" s="129">
        <v>1.71</v>
      </c>
      <c r="AG74" s="129">
        <v>1.7</v>
      </c>
      <c r="AH74" s="129">
        <v>1.7</v>
      </c>
      <c r="AI74" s="129">
        <v>1.7</v>
      </c>
      <c r="AJ74" s="129">
        <v>1.69</v>
      </c>
      <c r="AK74" s="129">
        <v>1.69</v>
      </c>
      <c r="AL74" s="129">
        <v>1.69</v>
      </c>
      <c r="AM74" s="129">
        <v>1.68</v>
      </c>
      <c r="AN74" s="129">
        <v>1.68</v>
      </c>
      <c r="AO74" s="129">
        <v>1.68</v>
      </c>
      <c r="AP74" s="129">
        <v>1.67</v>
      </c>
      <c r="AQ74" s="129">
        <v>1.67</v>
      </c>
      <c r="AR74" s="129">
        <v>1.67</v>
      </c>
      <c r="AS74" s="129">
        <v>1.66</v>
      </c>
      <c r="AT74" s="129">
        <v>1.66</v>
      </c>
      <c r="AU74" s="129">
        <v>1.65</v>
      </c>
      <c r="AV74" s="129">
        <v>1.65</v>
      </c>
      <c r="AW74" s="129">
        <v>1.65</v>
      </c>
      <c r="AX74" s="129">
        <v>1.64</v>
      </c>
      <c r="AY74" s="129">
        <v>1.64</v>
      </c>
      <c r="AZ74" s="129">
        <v>1.63</v>
      </c>
      <c r="BA74" s="129">
        <v>1.64</v>
      </c>
      <c r="BB74" s="129">
        <v>1.64</v>
      </c>
      <c r="BC74" s="129">
        <v>1.65</v>
      </c>
      <c r="BD74" s="129">
        <v>1.65</v>
      </c>
      <c r="BE74" s="129">
        <v>1.65</v>
      </c>
      <c r="BF74" s="129">
        <v>1.66</v>
      </c>
      <c r="BG74" s="129">
        <v>1.66</v>
      </c>
      <c r="BH74" s="129">
        <v>1.67</v>
      </c>
      <c r="BI74" s="129">
        <v>1.67</v>
      </c>
      <c r="BJ74" s="129">
        <v>1.67</v>
      </c>
      <c r="BK74" s="129">
        <v>1.68</v>
      </c>
      <c r="BL74" s="129">
        <v>1.68</v>
      </c>
      <c r="BM74" s="129">
        <v>1.68</v>
      </c>
      <c r="BN74" s="129">
        <v>1.69</v>
      </c>
      <c r="BO74" s="129">
        <v>1.69</v>
      </c>
      <c r="BP74" s="129">
        <v>1.69</v>
      </c>
      <c r="BQ74" s="129">
        <v>1.7</v>
      </c>
      <c r="BR74" s="129">
        <v>1.7</v>
      </c>
      <c r="BS74" s="129">
        <v>1.7</v>
      </c>
      <c r="BT74" s="129">
        <v>1.71</v>
      </c>
      <c r="BU74" s="129">
        <v>1.71</v>
      </c>
      <c r="BV74" s="129">
        <v>1.72</v>
      </c>
      <c r="BW74" s="129">
        <v>1.72</v>
      </c>
      <c r="BX74" s="129">
        <v>1.73</v>
      </c>
      <c r="BY74" s="129">
        <v>1.74</v>
      </c>
      <c r="BZ74" s="129">
        <v>1.75</v>
      </c>
      <c r="CA74" s="129">
        <v>1.76</v>
      </c>
      <c r="CB74" s="129">
        <v>1.76</v>
      </c>
      <c r="CC74" s="129">
        <v>1.77</v>
      </c>
      <c r="CD74" s="129">
        <v>1.78</v>
      </c>
      <c r="CE74" s="129">
        <v>1.79</v>
      </c>
      <c r="CF74" s="129">
        <v>1.8</v>
      </c>
      <c r="CG74" s="129">
        <v>1.81</v>
      </c>
      <c r="CH74" s="129">
        <v>1.82</v>
      </c>
      <c r="CI74" s="129">
        <v>1.83</v>
      </c>
      <c r="CJ74" s="129">
        <v>1.84</v>
      </c>
      <c r="CK74" s="129">
        <v>1.85</v>
      </c>
      <c r="CL74" s="129">
        <v>1.86</v>
      </c>
      <c r="CM74" s="129">
        <v>1.87</v>
      </c>
      <c r="CN74" s="129">
        <v>1.88</v>
      </c>
      <c r="CO74" s="129">
        <v>1.89</v>
      </c>
      <c r="CP74" s="129">
        <v>1.9</v>
      </c>
      <c r="CQ74" s="129">
        <v>1.91</v>
      </c>
      <c r="CR74" s="129">
        <v>1.92</v>
      </c>
      <c r="CS74" s="129">
        <v>1.93</v>
      </c>
      <c r="CT74" s="129">
        <v>1.95</v>
      </c>
      <c r="CU74" s="129">
        <v>1.96</v>
      </c>
      <c r="CV74" s="129">
        <v>1.97</v>
      </c>
      <c r="CW74" s="129">
        <v>1.99</v>
      </c>
      <c r="CX74" s="129">
        <v>2</v>
      </c>
      <c r="CZ74" s="126">
        <f>SUMIF(MatrixF4[[1]:[2]],MatrixF4[[#This Row],[Столбец1]])/MatrixF4[[#This Row],[Столбец1]]</f>
        <v>163.00000000000009</v>
      </c>
    </row>
    <row r="75" spans="1:104" ht="21" customHeight="1" x14ac:dyDescent="0.25">
      <c r="A75" s="127">
        <v>1.72</v>
      </c>
      <c r="B75" s="129">
        <v>1.72</v>
      </c>
      <c r="C75" s="129">
        <v>1.72</v>
      </c>
      <c r="D75" s="129">
        <v>1.72</v>
      </c>
      <c r="E75" s="129">
        <v>1.72</v>
      </c>
      <c r="F75" s="129">
        <v>1.72</v>
      </c>
      <c r="G75" s="129">
        <v>1.72</v>
      </c>
      <c r="H75" s="129">
        <v>1.72</v>
      </c>
      <c r="I75" s="129">
        <v>1.72</v>
      </c>
      <c r="J75" s="129">
        <v>1.72</v>
      </c>
      <c r="K75" s="129">
        <v>1.72</v>
      </c>
      <c r="L75" s="129">
        <v>1.72</v>
      </c>
      <c r="M75" s="129">
        <v>1.72</v>
      </c>
      <c r="N75" s="129">
        <v>1.72</v>
      </c>
      <c r="O75" s="129">
        <v>1.72</v>
      </c>
      <c r="P75" s="129">
        <v>1.72</v>
      </c>
      <c r="Q75" s="129">
        <v>1.72</v>
      </c>
      <c r="R75" s="129">
        <v>1.72</v>
      </c>
      <c r="S75" s="129">
        <v>1.72</v>
      </c>
      <c r="T75" s="129">
        <v>1.72</v>
      </c>
      <c r="U75" s="129">
        <v>1.72</v>
      </c>
      <c r="V75" s="129">
        <v>1.72</v>
      </c>
      <c r="W75" s="129">
        <v>1.72</v>
      </c>
      <c r="X75" s="129">
        <v>1.72</v>
      </c>
      <c r="Y75" s="129">
        <v>1.72</v>
      </c>
      <c r="Z75" s="129">
        <v>1.72</v>
      </c>
      <c r="AA75" s="129">
        <v>1.72</v>
      </c>
      <c r="AB75" s="129">
        <v>1.72</v>
      </c>
      <c r="AC75" s="129">
        <v>1.72</v>
      </c>
      <c r="AD75" s="129">
        <v>1.72</v>
      </c>
      <c r="AE75" s="129">
        <v>1.72</v>
      </c>
      <c r="AF75" s="129">
        <v>1.71</v>
      </c>
      <c r="AG75" s="129">
        <v>1.71</v>
      </c>
      <c r="AH75" s="129">
        <v>1.71</v>
      </c>
      <c r="AI75" s="129">
        <v>1.71</v>
      </c>
      <c r="AJ75" s="129">
        <v>1.7</v>
      </c>
      <c r="AK75" s="129">
        <v>1.7</v>
      </c>
      <c r="AL75" s="129">
        <v>1.7</v>
      </c>
      <c r="AM75" s="129">
        <v>1.69</v>
      </c>
      <c r="AN75" s="129">
        <v>1.69</v>
      </c>
      <c r="AO75" s="129">
        <v>1.69</v>
      </c>
      <c r="AP75" s="129">
        <v>1.68</v>
      </c>
      <c r="AQ75" s="129">
        <v>1.68</v>
      </c>
      <c r="AR75" s="129">
        <v>1.67</v>
      </c>
      <c r="AS75" s="129">
        <v>1.67</v>
      </c>
      <c r="AT75" s="129">
        <v>1.67</v>
      </c>
      <c r="AU75" s="129">
        <v>1.66</v>
      </c>
      <c r="AV75" s="129">
        <v>1.66</v>
      </c>
      <c r="AW75" s="129">
        <v>1.65</v>
      </c>
      <c r="AX75" s="129">
        <v>1.65</v>
      </c>
      <c r="AY75" s="129">
        <v>1.65</v>
      </c>
      <c r="AZ75" s="129">
        <v>1.64</v>
      </c>
      <c r="BA75" s="129">
        <v>1.65</v>
      </c>
      <c r="BB75" s="129">
        <v>1.65</v>
      </c>
      <c r="BC75" s="129">
        <v>1.65</v>
      </c>
      <c r="BD75" s="129">
        <v>1.66</v>
      </c>
      <c r="BE75" s="129">
        <v>1.66</v>
      </c>
      <c r="BF75" s="129">
        <v>1.67</v>
      </c>
      <c r="BG75" s="129">
        <v>1.67</v>
      </c>
      <c r="BH75" s="129">
        <v>1.67</v>
      </c>
      <c r="BI75" s="129">
        <v>1.68</v>
      </c>
      <c r="BJ75" s="129">
        <v>1.68</v>
      </c>
      <c r="BK75" s="129">
        <v>1.69</v>
      </c>
      <c r="BL75" s="129">
        <v>1.69</v>
      </c>
      <c r="BM75" s="129">
        <v>1.69</v>
      </c>
      <c r="BN75" s="129">
        <v>1.7</v>
      </c>
      <c r="BO75" s="129">
        <v>1.7</v>
      </c>
      <c r="BP75" s="129">
        <v>1.7</v>
      </c>
      <c r="BQ75" s="129">
        <v>1.71</v>
      </c>
      <c r="BR75" s="129">
        <v>1.71</v>
      </c>
      <c r="BS75" s="129">
        <v>1.71</v>
      </c>
      <c r="BT75" s="129">
        <v>1.71</v>
      </c>
      <c r="BU75" s="129">
        <v>1.72</v>
      </c>
      <c r="BV75" s="129">
        <v>1.72</v>
      </c>
      <c r="BW75" s="129">
        <v>1.73</v>
      </c>
      <c r="BX75" s="129">
        <v>1.73</v>
      </c>
      <c r="BY75" s="129">
        <v>1.74</v>
      </c>
      <c r="BZ75" s="129">
        <v>1.75</v>
      </c>
      <c r="CA75" s="129">
        <v>1.76</v>
      </c>
      <c r="CB75" s="129">
        <v>1.77</v>
      </c>
      <c r="CC75" s="129">
        <v>1.77</v>
      </c>
      <c r="CD75" s="129">
        <v>1.78</v>
      </c>
      <c r="CE75" s="129">
        <v>1.79</v>
      </c>
      <c r="CF75" s="129">
        <v>1.8</v>
      </c>
      <c r="CG75" s="129">
        <v>1.81</v>
      </c>
      <c r="CH75" s="129">
        <v>1.82</v>
      </c>
      <c r="CI75" s="129">
        <v>1.83</v>
      </c>
      <c r="CJ75" s="129">
        <v>1.84</v>
      </c>
      <c r="CK75" s="129">
        <v>1.85</v>
      </c>
      <c r="CL75" s="129">
        <v>1.86</v>
      </c>
      <c r="CM75" s="129">
        <v>1.87</v>
      </c>
      <c r="CN75" s="129">
        <v>1.88</v>
      </c>
      <c r="CO75" s="129">
        <v>1.89</v>
      </c>
      <c r="CP75" s="129">
        <v>1.9</v>
      </c>
      <c r="CQ75" s="129">
        <v>1.91</v>
      </c>
      <c r="CR75" s="129">
        <v>1.92</v>
      </c>
      <c r="CS75" s="129">
        <v>1.94</v>
      </c>
      <c r="CT75" s="129">
        <v>1.95</v>
      </c>
      <c r="CU75" s="129">
        <v>1.96</v>
      </c>
      <c r="CV75" s="129">
        <v>1.97</v>
      </c>
      <c r="CW75" s="129">
        <v>1.99</v>
      </c>
      <c r="CX75" s="129">
        <v>2</v>
      </c>
      <c r="CZ75" s="126">
        <f>SUMIF(MatrixF4[[1]:[2]],MatrixF4[[#This Row],[Столбец1]])/MatrixF4[[#This Row],[Столбец1]]</f>
        <v>157.00000000000006</v>
      </c>
    </row>
    <row r="76" spans="1:104" ht="21" customHeight="1" x14ac:dyDescent="0.25">
      <c r="A76" s="127">
        <v>1.73</v>
      </c>
      <c r="B76" s="129">
        <v>1.73</v>
      </c>
      <c r="C76" s="129">
        <v>1.73</v>
      </c>
      <c r="D76" s="129">
        <v>1.73</v>
      </c>
      <c r="E76" s="129">
        <v>1.73</v>
      </c>
      <c r="F76" s="129">
        <v>1.73</v>
      </c>
      <c r="G76" s="129">
        <v>1.73</v>
      </c>
      <c r="H76" s="129">
        <v>1.73</v>
      </c>
      <c r="I76" s="129">
        <v>1.73</v>
      </c>
      <c r="J76" s="129">
        <v>1.73</v>
      </c>
      <c r="K76" s="129">
        <v>1.73</v>
      </c>
      <c r="L76" s="129">
        <v>1.73</v>
      </c>
      <c r="M76" s="129">
        <v>1.73</v>
      </c>
      <c r="N76" s="129">
        <v>1.73</v>
      </c>
      <c r="O76" s="129">
        <v>1.73</v>
      </c>
      <c r="P76" s="129">
        <v>1.73</v>
      </c>
      <c r="Q76" s="129">
        <v>1.73</v>
      </c>
      <c r="R76" s="129">
        <v>1.73</v>
      </c>
      <c r="S76" s="129">
        <v>1.73</v>
      </c>
      <c r="T76" s="129">
        <v>1.73</v>
      </c>
      <c r="U76" s="129">
        <v>1.73</v>
      </c>
      <c r="V76" s="129">
        <v>1.73</v>
      </c>
      <c r="W76" s="129">
        <v>1.73</v>
      </c>
      <c r="X76" s="129">
        <v>1.73</v>
      </c>
      <c r="Y76" s="129">
        <v>1.73</v>
      </c>
      <c r="Z76" s="129">
        <v>1.73</v>
      </c>
      <c r="AA76" s="129">
        <v>1.73</v>
      </c>
      <c r="AB76" s="129">
        <v>1.73</v>
      </c>
      <c r="AC76" s="129">
        <v>1.73</v>
      </c>
      <c r="AD76" s="129">
        <v>1.73</v>
      </c>
      <c r="AE76" s="129">
        <v>1.72</v>
      </c>
      <c r="AF76" s="129">
        <v>1.72</v>
      </c>
      <c r="AG76" s="129">
        <v>1.72</v>
      </c>
      <c r="AH76" s="129">
        <v>1.72</v>
      </c>
      <c r="AI76" s="129">
        <v>1.71</v>
      </c>
      <c r="AJ76" s="129">
        <v>1.71</v>
      </c>
      <c r="AK76" s="129">
        <v>1.71</v>
      </c>
      <c r="AL76" s="129">
        <v>1.7</v>
      </c>
      <c r="AM76" s="129">
        <v>1.7</v>
      </c>
      <c r="AN76" s="129">
        <v>1.7</v>
      </c>
      <c r="AO76" s="129">
        <v>1.69</v>
      </c>
      <c r="AP76" s="129">
        <v>1.69</v>
      </c>
      <c r="AQ76" s="129">
        <v>1.69</v>
      </c>
      <c r="AR76" s="129">
        <v>1.68</v>
      </c>
      <c r="AS76" s="129">
        <v>1.68</v>
      </c>
      <c r="AT76" s="129">
        <v>1.67</v>
      </c>
      <c r="AU76" s="129">
        <v>1.67</v>
      </c>
      <c r="AV76" s="129">
        <v>1.67</v>
      </c>
      <c r="AW76" s="129">
        <v>1.66</v>
      </c>
      <c r="AX76" s="129">
        <v>1.66</v>
      </c>
      <c r="AY76" s="129">
        <v>1.65</v>
      </c>
      <c r="AZ76" s="129">
        <v>1.65</v>
      </c>
      <c r="BA76" s="129">
        <v>1.65</v>
      </c>
      <c r="BB76" s="129">
        <v>1.66</v>
      </c>
      <c r="BC76" s="129">
        <v>1.66</v>
      </c>
      <c r="BD76" s="129">
        <v>1.67</v>
      </c>
      <c r="BE76" s="129">
        <v>1.67</v>
      </c>
      <c r="BF76" s="129">
        <v>1.67</v>
      </c>
      <c r="BG76" s="129">
        <v>1.68</v>
      </c>
      <c r="BH76" s="129">
        <v>1.68</v>
      </c>
      <c r="BI76" s="129">
        <v>1.69</v>
      </c>
      <c r="BJ76" s="129">
        <v>1.69</v>
      </c>
      <c r="BK76" s="129">
        <v>1.69</v>
      </c>
      <c r="BL76" s="129">
        <v>1.7</v>
      </c>
      <c r="BM76" s="129">
        <v>1.7</v>
      </c>
      <c r="BN76" s="129">
        <v>1.7</v>
      </c>
      <c r="BO76" s="129">
        <v>1.71</v>
      </c>
      <c r="BP76" s="129">
        <v>1.71</v>
      </c>
      <c r="BQ76" s="129">
        <v>1.71</v>
      </c>
      <c r="BR76" s="129">
        <v>1.72</v>
      </c>
      <c r="BS76" s="129">
        <v>1.72</v>
      </c>
      <c r="BT76" s="129">
        <v>1.72</v>
      </c>
      <c r="BU76" s="129">
        <v>1.72</v>
      </c>
      <c r="BV76" s="129">
        <v>1.73</v>
      </c>
      <c r="BW76" s="129">
        <v>1.73</v>
      </c>
      <c r="BX76" s="129">
        <v>1.74</v>
      </c>
      <c r="BY76" s="129">
        <v>1.74</v>
      </c>
      <c r="BZ76" s="129">
        <v>1.75</v>
      </c>
      <c r="CA76" s="129">
        <v>1.76</v>
      </c>
      <c r="CB76" s="129">
        <v>1.77</v>
      </c>
      <c r="CC76" s="129">
        <v>1.78</v>
      </c>
      <c r="CD76" s="129">
        <v>1.78</v>
      </c>
      <c r="CE76" s="129">
        <v>1.79</v>
      </c>
      <c r="CF76" s="129">
        <v>1.8</v>
      </c>
      <c r="CG76" s="129">
        <v>1.81</v>
      </c>
      <c r="CH76" s="129">
        <v>1.82</v>
      </c>
      <c r="CI76" s="129">
        <v>1.83</v>
      </c>
      <c r="CJ76" s="129">
        <v>1.84</v>
      </c>
      <c r="CK76" s="129">
        <v>1.85</v>
      </c>
      <c r="CL76" s="129">
        <v>1.86</v>
      </c>
      <c r="CM76" s="129">
        <v>1.87</v>
      </c>
      <c r="CN76" s="129">
        <v>1.88</v>
      </c>
      <c r="CO76" s="129">
        <v>1.89</v>
      </c>
      <c r="CP76" s="129">
        <v>1.9</v>
      </c>
      <c r="CQ76" s="129">
        <v>1.91</v>
      </c>
      <c r="CR76" s="129">
        <v>1.92</v>
      </c>
      <c r="CS76" s="129">
        <v>1.94</v>
      </c>
      <c r="CT76" s="129">
        <v>1.95</v>
      </c>
      <c r="CU76" s="129">
        <v>1.96</v>
      </c>
      <c r="CV76" s="129">
        <v>1.97</v>
      </c>
      <c r="CW76" s="129">
        <v>1.99</v>
      </c>
      <c r="CX76" s="129">
        <v>2</v>
      </c>
      <c r="CZ76" s="126">
        <f>SUMIF(MatrixF4[[1]:[2]],MatrixF4[[#This Row],[Столбец1]])/MatrixF4[[#This Row],[Столбец1]]</f>
        <v>164.9999999999998</v>
      </c>
    </row>
    <row r="77" spans="1:104" ht="21" customHeight="1" x14ac:dyDescent="0.25">
      <c r="A77" s="127">
        <v>1.74</v>
      </c>
      <c r="B77" s="129">
        <v>1.74</v>
      </c>
      <c r="C77" s="129">
        <v>1.74</v>
      </c>
      <c r="D77" s="129">
        <v>1.74</v>
      </c>
      <c r="E77" s="129">
        <v>1.74</v>
      </c>
      <c r="F77" s="129">
        <v>1.74</v>
      </c>
      <c r="G77" s="129">
        <v>1.74</v>
      </c>
      <c r="H77" s="129">
        <v>1.74</v>
      </c>
      <c r="I77" s="129">
        <v>1.74</v>
      </c>
      <c r="J77" s="129">
        <v>1.74</v>
      </c>
      <c r="K77" s="129">
        <v>1.74</v>
      </c>
      <c r="L77" s="129">
        <v>1.74</v>
      </c>
      <c r="M77" s="129">
        <v>1.74</v>
      </c>
      <c r="N77" s="129">
        <v>1.74</v>
      </c>
      <c r="O77" s="129">
        <v>1.74</v>
      </c>
      <c r="P77" s="129">
        <v>1.74</v>
      </c>
      <c r="Q77" s="129">
        <v>1.74</v>
      </c>
      <c r="R77" s="129">
        <v>1.74</v>
      </c>
      <c r="S77" s="129">
        <v>1.74</v>
      </c>
      <c r="T77" s="129">
        <v>1.74</v>
      </c>
      <c r="U77" s="129">
        <v>1.74</v>
      </c>
      <c r="V77" s="129">
        <v>1.74</v>
      </c>
      <c r="W77" s="129">
        <v>1.74</v>
      </c>
      <c r="X77" s="129">
        <v>1.74</v>
      </c>
      <c r="Y77" s="129">
        <v>1.74</v>
      </c>
      <c r="Z77" s="129">
        <v>1.74</v>
      </c>
      <c r="AA77" s="129">
        <v>1.74</v>
      </c>
      <c r="AB77" s="129">
        <v>1.74</v>
      </c>
      <c r="AC77" s="129">
        <v>1.74</v>
      </c>
      <c r="AD77" s="129">
        <v>1.73</v>
      </c>
      <c r="AE77" s="129">
        <v>1.73</v>
      </c>
      <c r="AF77" s="129">
        <v>1.73</v>
      </c>
      <c r="AG77" s="129">
        <v>1.73</v>
      </c>
      <c r="AH77" s="129">
        <v>1.72</v>
      </c>
      <c r="AI77" s="129">
        <v>1.72</v>
      </c>
      <c r="AJ77" s="129">
        <v>1.72</v>
      </c>
      <c r="AK77" s="129">
        <v>1.71</v>
      </c>
      <c r="AL77" s="129">
        <v>1.71</v>
      </c>
      <c r="AM77" s="129">
        <v>1.71</v>
      </c>
      <c r="AN77" s="129">
        <v>1.7</v>
      </c>
      <c r="AO77" s="129">
        <v>1.7</v>
      </c>
      <c r="AP77" s="129">
        <v>1.7</v>
      </c>
      <c r="AQ77" s="129">
        <v>1.69</v>
      </c>
      <c r="AR77" s="129">
        <v>1.69</v>
      </c>
      <c r="AS77" s="129">
        <v>1.69</v>
      </c>
      <c r="AT77" s="129">
        <v>1.68</v>
      </c>
      <c r="AU77" s="129">
        <v>1.68</v>
      </c>
      <c r="AV77" s="129">
        <v>1.68</v>
      </c>
      <c r="AW77" s="129">
        <v>1.67</v>
      </c>
      <c r="AX77" s="129">
        <v>1.67</v>
      </c>
      <c r="AY77" s="129">
        <v>1.66</v>
      </c>
      <c r="AZ77" s="129">
        <v>1.66</v>
      </c>
      <c r="BA77" s="129">
        <v>1.66</v>
      </c>
      <c r="BB77" s="129">
        <v>1.67</v>
      </c>
      <c r="BC77" s="129">
        <v>1.67</v>
      </c>
      <c r="BD77" s="129">
        <v>1.68</v>
      </c>
      <c r="BE77" s="129">
        <v>1.68</v>
      </c>
      <c r="BF77" s="129">
        <v>1.68</v>
      </c>
      <c r="BG77" s="129">
        <v>1.69</v>
      </c>
      <c r="BH77" s="129">
        <v>1.69</v>
      </c>
      <c r="BI77" s="129">
        <v>1.69</v>
      </c>
      <c r="BJ77" s="129">
        <v>1.7</v>
      </c>
      <c r="BK77" s="129">
        <v>1.7</v>
      </c>
      <c r="BL77" s="129">
        <v>1.7</v>
      </c>
      <c r="BM77" s="129">
        <v>1.71</v>
      </c>
      <c r="BN77" s="129">
        <v>1.71</v>
      </c>
      <c r="BO77" s="129">
        <v>1.71</v>
      </c>
      <c r="BP77" s="129">
        <v>1.72</v>
      </c>
      <c r="BQ77" s="129">
        <v>1.72</v>
      </c>
      <c r="BR77" s="129">
        <v>1.72</v>
      </c>
      <c r="BS77" s="129">
        <v>1.73</v>
      </c>
      <c r="BT77" s="129">
        <v>1.73</v>
      </c>
      <c r="BU77" s="129">
        <v>1.73</v>
      </c>
      <c r="BV77" s="129">
        <v>1.73</v>
      </c>
      <c r="BW77" s="129">
        <v>1.74</v>
      </c>
      <c r="BX77" s="129">
        <v>1.74</v>
      </c>
      <c r="BY77" s="129">
        <v>1.75</v>
      </c>
      <c r="BZ77" s="129">
        <v>1.76</v>
      </c>
      <c r="CA77" s="129">
        <v>1.76</v>
      </c>
      <c r="CB77" s="129">
        <v>1.77</v>
      </c>
      <c r="CC77" s="129">
        <v>1.78</v>
      </c>
      <c r="CD77" s="129">
        <v>1.79</v>
      </c>
      <c r="CE77" s="129">
        <v>1.8</v>
      </c>
      <c r="CF77" s="129">
        <v>1.8</v>
      </c>
      <c r="CG77" s="129">
        <v>1.81</v>
      </c>
      <c r="CH77" s="129">
        <v>1.82</v>
      </c>
      <c r="CI77" s="129">
        <v>1.83</v>
      </c>
      <c r="CJ77" s="129">
        <v>1.84</v>
      </c>
      <c r="CK77" s="129">
        <v>1.85</v>
      </c>
      <c r="CL77" s="129">
        <v>1.86</v>
      </c>
      <c r="CM77" s="129">
        <v>1.87</v>
      </c>
      <c r="CN77" s="129">
        <v>1.88</v>
      </c>
      <c r="CO77" s="129">
        <v>1.89</v>
      </c>
      <c r="CP77" s="129">
        <v>1.9</v>
      </c>
      <c r="CQ77" s="129">
        <v>1.91</v>
      </c>
      <c r="CR77" s="129">
        <v>1.92</v>
      </c>
      <c r="CS77" s="129">
        <v>1.94</v>
      </c>
      <c r="CT77" s="129">
        <v>1.95</v>
      </c>
      <c r="CU77" s="129">
        <v>1.96</v>
      </c>
      <c r="CV77" s="129">
        <v>1.97</v>
      </c>
      <c r="CW77" s="129">
        <v>1.99</v>
      </c>
      <c r="CX77" s="129">
        <v>2</v>
      </c>
      <c r="CZ77" s="126">
        <f>SUMIF(MatrixF4[[1]:[2]],MatrixF4[[#This Row],[Столбец1]])/MatrixF4[[#This Row],[Столбец1]]</f>
        <v>165.00000000000037</v>
      </c>
    </row>
    <row r="78" spans="1:104" ht="21" customHeight="1" x14ac:dyDescent="0.25">
      <c r="A78" s="127">
        <v>1.75</v>
      </c>
      <c r="B78" s="129">
        <v>1.75</v>
      </c>
      <c r="C78" s="129">
        <v>1.75</v>
      </c>
      <c r="D78" s="129">
        <v>1.75</v>
      </c>
      <c r="E78" s="129">
        <v>1.75</v>
      </c>
      <c r="F78" s="129">
        <v>1.75</v>
      </c>
      <c r="G78" s="129">
        <v>1.75</v>
      </c>
      <c r="H78" s="129">
        <v>1.75</v>
      </c>
      <c r="I78" s="129">
        <v>1.75</v>
      </c>
      <c r="J78" s="129">
        <v>1.75</v>
      </c>
      <c r="K78" s="129">
        <v>1.75</v>
      </c>
      <c r="L78" s="129">
        <v>1.75</v>
      </c>
      <c r="M78" s="129">
        <v>1.75</v>
      </c>
      <c r="N78" s="129">
        <v>1.75</v>
      </c>
      <c r="O78" s="129">
        <v>1.75</v>
      </c>
      <c r="P78" s="129">
        <v>1.75</v>
      </c>
      <c r="Q78" s="129">
        <v>1.75</v>
      </c>
      <c r="R78" s="129">
        <v>1.75</v>
      </c>
      <c r="S78" s="129">
        <v>1.75</v>
      </c>
      <c r="T78" s="129">
        <v>1.75</v>
      </c>
      <c r="U78" s="129">
        <v>1.75</v>
      </c>
      <c r="V78" s="129">
        <v>1.75</v>
      </c>
      <c r="W78" s="129">
        <v>1.75</v>
      </c>
      <c r="X78" s="129">
        <v>1.75</v>
      </c>
      <c r="Y78" s="129">
        <v>1.75</v>
      </c>
      <c r="Z78" s="129">
        <v>1.75</v>
      </c>
      <c r="AA78" s="129">
        <v>1.75</v>
      </c>
      <c r="AB78" s="129">
        <v>1.75</v>
      </c>
      <c r="AC78" s="129">
        <v>1.74</v>
      </c>
      <c r="AD78" s="129">
        <v>1.74</v>
      </c>
      <c r="AE78" s="129">
        <v>1.74</v>
      </c>
      <c r="AF78" s="129">
        <v>1.74</v>
      </c>
      <c r="AG78" s="129">
        <v>1.73</v>
      </c>
      <c r="AH78" s="129">
        <v>1.73</v>
      </c>
      <c r="AI78" s="129">
        <v>1.73</v>
      </c>
      <c r="AJ78" s="129">
        <v>1.73</v>
      </c>
      <c r="AK78" s="129">
        <v>1.72</v>
      </c>
      <c r="AL78" s="129">
        <v>1.72</v>
      </c>
      <c r="AM78" s="129">
        <v>1.72</v>
      </c>
      <c r="AN78" s="129">
        <v>1.71</v>
      </c>
      <c r="AO78" s="129">
        <v>1.71</v>
      </c>
      <c r="AP78" s="129">
        <v>1.71</v>
      </c>
      <c r="AQ78" s="129">
        <v>1.7</v>
      </c>
      <c r="AR78" s="129">
        <v>1.7</v>
      </c>
      <c r="AS78" s="129">
        <v>1.7</v>
      </c>
      <c r="AT78" s="129">
        <v>1.69</v>
      </c>
      <c r="AU78" s="129">
        <v>1.69</v>
      </c>
      <c r="AV78" s="129">
        <v>1.68</v>
      </c>
      <c r="AW78" s="129">
        <v>1.68</v>
      </c>
      <c r="AX78" s="129">
        <v>1.68</v>
      </c>
      <c r="AY78" s="129">
        <v>1.67</v>
      </c>
      <c r="AZ78" s="129">
        <v>1.67</v>
      </c>
      <c r="BA78" s="129">
        <v>1.67</v>
      </c>
      <c r="BB78" s="129">
        <v>1.68</v>
      </c>
      <c r="BC78" s="129">
        <v>1.68</v>
      </c>
      <c r="BD78" s="129">
        <v>1.68</v>
      </c>
      <c r="BE78" s="129">
        <v>1.69</v>
      </c>
      <c r="BF78" s="129">
        <v>1.69</v>
      </c>
      <c r="BG78" s="129">
        <v>1.7</v>
      </c>
      <c r="BH78" s="129">
        <v>1.7</v>
      </c>
      <c r="BI78" s="129">
        <v>1.7</v>
      </c>
      <c r="BJ78" s="129">
        <v>1.71</v>
      </c>
      <c r="BK78" s="129">
        <v>1.71</v>
      </c>
      <c r="BL78" s="129">
        <v>1.71</v>
      </c>
      <c r="BM78" s="129">
        <v>1.72</v>
      </c>
      <c r="BN78" s="129">
        <v>1.72</v>
      </c>
      <c r="BO78" s="129">
        <v>1.72</v>
      </c>
      <c r="BP78" s="129">
        <v>1.73</v>
      </c>
      <c r="BQ78" s="129">
        <v>1.73</v>
      </c>
      <c r="BR78" s="129">
        <v>1.73</v>
      </c>
      <c r="BS78" s="129">
        <v>1.73</v>
      </c>
      <c r="BT78" s="129">
        <v>1.74</v>
      </c>
      <c r="BU78" s="129">
        <v>1.74</v>
      </c>
      <c r="BV78" s="129">
        <v>1.74</v>
      </c>
      <c r="BW78" s="129">
        <v>1.74</v>
      </c>
      <c r="BX78" s="129">
        <v>1.75</v>
      </c>
      <c r="BY78" s="129">
        <v>1.75</v>
      </c>
      <c r="BZ78" s="129">
        <v>1.76</v>
      </c>
      <c r="CA78" s="129">
        <v>1.77</v>
      </c>
      <c r="CB78" s="129">
        <v>1.77</v>
      </c>
      <c r="CC78" s="129">
        <v>1.78</v>
      </c>
      <c r="CD78" s="129">
        <v>1.79</v>
      </c>
      <c r="CE78" s="129">
        <v>1.8</v>
      </c>
      <c r="CF78" s="129">
        <v>1.81</v>
      </c>
      <c r="CG78" s="129">
        <v>1.82</v>
      </c>
      <c r="CH78" s="129">
        <v>1.82</v>
      </c>
      <c r="CI78" s="129">
        <v>1.83</v>
      </c>
      <c r="CJ78" s="129">
        <v>1.84</v>
      </c>
      <c r="CK78" s="129">
        <v>1.85</v>
      </c>
      <c r="CL78" s="129">
        <v>1.86</v>
      </c>
      <c r="CM78" s="129">
        <v>1.87</v>
      </c>
      <c r="CN78" s="129">
        <v>1.88</v>
      </c>
      <c r="CO78" s="129">
        <v>1.89</v>
      </c>
      <c r="CP78" s="129">
        <v>1.9</v>
      </c>
      <c r="CQ78" s="129">
        <v>1.91</v>
      </c>
      <c r="CR78" s="129">
        <v>1.93</v>
      </c>
      <c r="CS78" s="129">
        <v>1.94</v>
      </c>
      <c r="CT78" s="129">
        <v>1.95</v>
      </c>
      <c r="CU78" s="129">
        <v>1.96</v>
      </c>
      <c r="CV78" s="129">
        <v>1.97</v>
      </c>
      <c r="CW78" s="129">
        <v>1.99</v>
      </c>
      <c r="CX78" s="129">
        <v>2</v>
      </c>
      <c r="CZ78" s="126">
        <f>SUMIF(MatrixF4[[1]:[2]],MatrixF4[[#This Row],[Столбец1]])/MatrixF4[[#This Row],[Столбец1]]</f>
        <v>151</v>
      </c>
    </row>
    <row r="79" spans="1:104" ht="21" customHeight="1" x14ac:dyDescent="0.25">
      <c r="A79" s="127">
        <v>1.76</v>
      </c>
      <c r="B79" s="129">
        <v>1.76</v>
      </c>
      <c r="C79" s="129">
        <v>1.76</v>
      </c>
      <c r="D79" s="129">
        <v>1.76</v>
      </c>
      <c r="E79" s="129">
        <v>1.76</v>
      </c>
      <c r="F79" s="129">
        <v>1.76</v>
      </c>
      <c r="G79" s="129">
        <v>1.76</v>
      </c>
      <c r="H79" s="129">
        <v>1.76</v>
      </c>
      <c r="I79" s="129">
        <v>1.76</v>
      </c>
      <c r="J79" s="129">
        <v>1.76</v>
      </c>
      <c r="K79" s="129">
        <v>1.76</v>
      </c>
      <c r="L79" s="129">
        <v>1.76</v>
      </c>
      <c r="M79" s="129">
        <v>1.76</v>
      </c>
      <c r="N79" s="129">
        <v>1.76</v>
      </c>
      <c r="O79" s="129">
        <v>1.76</v>
      </c>
      <c r="P79" s="129">
        <v>1.76</v>
      </c>
      <c r="Q79" s="129">
        <v>1.76</v>
      </c>
      <c r="R79" s="129">
        <v>1.76</v>
      </c>
      <c r="S79" s="129">
        <v>1.76</v>
      </c>
      <c r="T79" s="129">
        <v>1.76</v>
      </c>
      <c r="U79" s="129">
        <v>1.76</v>
      </c>
      <c r="V79" s="129">
        <v>1.76</v>
      </c>
      <c r="W79" s="129">
        <v>1.76</v>
      </c>
      <c r="X79" s="129">
        <v>1.76</v>
      </c>
      <c r="Y79" s="129">
        <v>1.76</v>
      </c>
      <c r="Z79" s="129">
        <v>1.76</v>
      </c>
      <c r="AA79" s="129">
        <v>1.76</v>
      </c>
      <c r="AB79" s="129">
        <v>1.76</v>
      </c>
      <c r="AC79" s="129">
        <v>1.75</v>
      </c>
      <c r="AD79" s="129">
        <v>1.75</v>
      </c>
      <c r="AE79" s="129">
        <v>1.75</v>
      </c>
      <c r="AF79" s="129">
        <v>1.74</v>
      </c>
      <c r="AG79" s="129">
        <v>1.74</v>
      </c>
      <c r="AH79" s="129">
        <v>1.74</v>
      </c>
      <c r="AI79" s="129">
        <v>1.74</v>
      </c>
      <c r="AJ79" s="129">
        <v>1.73</v>
      </c>
      <c r="AK79" s="129">
        <v>1.73</v>
      </c>
      <c r="AL79" s="129">
        <v>1.73</v>
      </c>
      <c r="AM79" s="129">
        <v>1.72</v>
      </c>
      <c r="AN79" s="129">
        <v>1.72</v>
      </c>
      <c r="AO79" s="129">
        <v>1.72</v>
      </c>
      <c r="AP79" s="129">
        <v>1.71</v>
      </c>
      <c r="AQ79" s="129">
        <v>1.71</v>
      </c>
      <c r="AR79" s="129">
        <v>1.71</v>
      </c>
      <c r="AS79" s="129">
        <v>1.7</v>
      </c>
      <c r="AT79" s="129">
        <v>1.7</v>
      </c>
      <c r="AU79" s="129">
        <v>1.7</v>
      </c>
      <c r="AV79" s="129">
        <v>1.69</v>
      </c>
      <c r="AW79" s="129">
        <v>1.69</v>
      </c>
      <c r="AX79" s="129">
        <v>1.68</v>
      </c>
      <c r="AY79" s="129">
        <v>1.68</v>
      </c>
      <c r="AZ79" s="129">
        <v>1.68</v>
      </c>
      <c r="BA79" s="129">
        <v>1.68</v>
      </c>
      <c r="BB79" s="129">
        <v>1.68</v>
      </c>
      <c r="BC79" s="129">
        <v>1.69</v>
      </c>
      <c r="BD79" s="129">
        <v>1.69</v>
      </c>
      <c r="BE79" s="129">
        <v>1.7</v>
      </c>
      <c r="BF79" s="129">
        <v>1.7</v>
      </c>
      <c r="BG79" s="129">
        <v>1.7</v>
      </c>
      <c r="BH79" s="129">
        <v>1.71</v>
      </c>
      <c r="BI79" s="129">
        <v>1.71</v>
      </c>
      <c r="BJ79" s="129">
        <v>1.71</v>
      </c>
      <c r="BK79" s="129">
        <v>1.72</v>
      </c>
      <c r="BL79" s="129">
        <v>1.72</v>
      </c>
      <c r="BM79" s="129">
        <v>1.72</v>
      </c>
      <c r="BN79" s="129">
        <v>1.73</v>
      </c>
      <c r="BO79" s="129">
        <v>1.73</v>
      </c>
      <c r="BP79" s="129">
        <v>1.73</v>
      </c>
      <c r="BQ79" s="129">
        <v>1.74</v>
      </c>
      <c r="BR79" s="129">
        <v>1.74</v>
      </c>
      <c r="BS79" s="129">
        <v>1.74</v>
      </c>
      <c r="BT79" s="129">
        <v>1.74</v>
      </c>
      <c r="BU79" s="129">
        <v>1.75</v>
      </c>
      <c r="BV79" s="129">
        <v>1.75</v>
      </c>
      <c r="BW79" s="129">
        <v>1.75</v>
      </c>
      <c r="BX79" s="129">
        <v>1.76</v>
      </c>
      <c r="BY79" s="129">
        <v>1.76</v>
      </c>
      <c r="BZ79" s="129">
        <v>1.76</v>
      </c>
      <c r="CA79" s="129">
        <v>1.77</v>
      </c>
      <c r="CB79" s="129">
        <v>1.78</v>
      </c>
      <c r="CC79" s="129">
        <v>1.78</v>
      </c>
      <c r="CD79" s="129">
        <v>1.79</v>
      </c>
      <c r="CE79" s="129">
        <v>1.8</v>
      </c>
      <c r="CF79" s="129">
        <v>1.81</v>
      </c>
      <c r="CG79" s="129">
        <v>1.82</v>
      </c>
      <c r="CH79" s="129">
        <v>1.83</v>
      </c>
      <c r="CI79" s="129">
        <v>1.84</v>
      </c>
      <c r="CJ79" s="129">
        <v>1.84</v>
      </c>
      <c r="CK79" s="129">
        <v>1.85</v>
      </c>
      <c r="CL79" s="129">
        <v>1.86</v>
      </c>
      <c r="CM79" s="129">
        <v>1.87</v>
      </c>
      <c r="CN79" s="129">
        <v>1.88</v>
      </c>
      <c r="CO79" s="129">
        <v>1.89</v>
      </c>
      <c r="CP79" s="129">
        <v>1.9</v>
      </c>
      <c r="CQ79" s="129">
        <v>1.92</v>
      </c>
      <c r="CR79" s="129">
        <v>1.93</v>
      </c>
      <c r="CS79" s="129">
        <v>1.94</v>
      </c>
      <c r="CT79" s="129">
        <v>1.95</v>
      </c>
      <c r="CU79" s="129">
        <v>1.96</v>
      </c>
      <c r="CV79" s="129">
        <v>1.97</v>
      </c>
      <c r="CW79" s="129">
        <v>1.99</v>
      </c>
      <c r="CX79" s="129">
        <v>2</v>
      </c>
      <c r="CZ79" s="126">
        <f>SUMIF(MatrixF4[[1]:[2]],MatrixF4[[#This Row],[Столбец1]])/MatrixF4[[#This Row],[Столбец1]]</f>
        <v>168.9999999999996</v>
      </c>
    </row>
    <row r="80" spans="1:104" ht="21" customHeight="1" x14ac:dyDescent="0.25">
      <c r="A80" s="127">
        <v>1.77</v>
      </c>
      <c r="B80" s="129">
        <v>1.77</v>
      </c>
      <c r="C80" s="129">
        <v>1.77</v>
      </c>
      <c r="D80" s="129">
        <v>1.77</v>
      </c>
      <c r="E80" s="129">
        <v>1.77</v>
      </c>
      <c r="F80" s="129">
        <v>1.77</v>
      </c>
      <c r="G80" s="129">
        <v>1.77</v>
      </c>
      <c r="H80" s="129">
        <v>1.77</v>
      </c>
      <c r="I80" s="129">
        <v>1.77</v>
      </c>
      <c r="J80" s="129">
        <v>1.77</v>
      </c>
      <c r="K80" s="129">
        <v>1.77</v>
      </c>
      <c r="L80" s="129">
        <v>1.77</v>
      </c>
      <c r="M80" s="129">
        <v>1.77</v>
      </c>
      <c r="N80" s="129">
        <v>1.77</v>
      </c>
      <c r="O80" s="129">
        <v>1.77</v>
      </c>
      <c r="P80" s="129">
        <v>1.77</v>
      </c>
      <c r="Q80" s="129">
        <v>1.77</v>
      </c>
      <c r="R80" s="129">
        <v>1.77</v>
      </c>
      <c r="S80" s="129">
        <v>1.77</v>
      </c>
      <c r="T80" s="129">
        <v>1.77</v>
      </c>
      <c r="U80" s="129">
        <v>1.77</v>
      </c>
      <c r="V80" s="129">
        <v>1.77</v>
      </c>
      <c r="W80" s="129">
        <v>1.77</v>
      </c>
      <c r="X80" s="129">
        <v>1.77</v>
      </c>
      <c r="Y80" s="129">
        <v>1.77</v>
      </c>
      <c r="Z80" s="129">
        <v>1.77</v>
      </c>
      <c r="AA80" s="129">
        <v>1.77</v>
      </c>
      <c r="AB80" s="129">
        <v>1.76</v>
      </c>
      <c r="AC80" s="129">
        <v>1.76</v>
      </c>
      <c r="AD80" s="129">
        <v>1.76</v>
      </c>
      <c r="AE80" s="129">
        <v>1.76</v>
      </c>
      <c r="AF80" s="129">
        <v>1.75</v>
      </c>
      <c r="AG80" s="129">
        <v>1.75</v>
      </c>
      <c r="AH80" s="129">
        <v>1.75</v>
      </c>
      <c r="AI80" s="129">
        <v>1.74</v>
      </c>
      <c r="AJ80" s="129">
        <v>1.74</v>
      </c>
      <c r="AK80" s="129">
        <v>1.74</v>
      </c>
      <c r="AL80" s="129">
        <v>1.74</v>
      </c>
      <c r="AM80" s="129">
        <v>1.73</v>
      </c>
      <c r="AN80" s="129">
        <v>1.73</v>
      </c>
      <c r="AO80" s="129">
        <v>1.73</v>
      </c>
      <c r="AP80" s="129">
        <v>1.72</v>
      </c>
      <c r="AQ80" s="129">
        <v>1.72</v>
      </c>
      <c r="AR80" s="129">
        <v>1.72</v>
      </c>
      <c r="AS80" s="129">
        <v>1.71</v>
      </c>
      <c r="AT80" s="129">
        <v>1.71</v>
      </c>
      <c r="AU80" s="129">
        <v>1.71</v>
      </c>
      <c r="AV80" s="129">
        <v>1.7</v>
      </c>
      <c r="AW80" s="129">
        <v>1.7</v>
      </c>
      <c r="AX80" s="129">
        <v>1.69</v>
      </c>
      <c r="AY80" s="129">
        <v>1.69</v>
      </c>
      <c r="AZ80" s="129">
        <v>1.68</v>
      </c>
      <c r="BA80" s="129">
        <v>1.69</v>
      </c>
      <c r="BB80" s="129">
        <v>1.69</v>
      </c>
      <c r="BC80" s="129">
        <v>1.7</v>
      </c>
      <c r="BD80" s="129">
        <v>1.7</v>
      </c>
      <c r="BE80" s="129">
        <v>1.71</v>
      </c>
      <c r="BF80" s="129">
        <v>1.71</v>
      </c>
      <c r="BG80" s="129">
        <v>1.71</v>
      </c>
      <c r="BH80" s="129">
        <v>1.72</v>
      </c>
      <c r="BI80" s="129">
        <v>1.72</v>
      </c>
      <c r="BJ80" s="129">
        <v>1.72</v>
      </c>
      <c r="BK80" s="129">
        <v>1.73</v>
      </c>
      <c r="BL80" s="129">
        <v>1.73</v>
      </c>
      <c r="BM80" s="129">
        <v>1.73</v>
      </c>
      <c r="BN80" s="129">
        <v>1.74</v>
      </c>
      <c r="BO80" s="129">
        <v>1.74</v>
      </c>
      <c r="BP80" s="129">
        <v>1.74</v>
      </c>
      <c r="BQ80" s="129">
        <v>1.74</v>
      </c>
      <c r="BR80" s="129">
        <v>1.75</v>
      </c>
      <c r="BS80" s="129">
        <v>1.75</v>
      </c>
      <c r="BT80" s="129">
        <v>1.75</v>
      </c>
      <c r="BU80" s="129">
        <v>1.76</v>
      </c>
      <c r="BV80" s="129">
        <v>1.76</v>
      </c>
      <c r="BW80" s="129">
        <v>1.76</v>
      </c>
      <c r="BX80" s="129">
        <v>1.76</v>
      </c>
      <c r="BY80" s="129">
        <v>1.77</v>
      </c>
      <c r="BZ80" s="129">
        <v>1.77</v>
      </c>
      <c r="CA80" s="129">
        <v>1.77</v>
      </c>
      <c r="CB80" s="129">
        <v>1.78</v>
      </c>
      <c r="CC80" s="129">
        <v>1.79</v>
      </c>
      <c r="CD80" s="129">
        <v>1.79</v>
      </c>
      <c r="CE80" s="129">
        <v>1.8</v>
      </c>
      <c r="CF80" s="129">
        <v>1.81</v>
      </c>
      <c r="CG80" s="129">
        <v>1.82</v>
      </c>
      <c r="CH80" s="129">
        <v>1.83</v>
      </c>
      <c r="CI80" s="129">
        <v>1.84</v>
      </c>
      <c r="CJ80" s="129">
        <v>1.85</v>
      </c>
      <c r="CK80" s="129">
        <v>1.86</v>
      </c>
      <c r="CL80" s="129">
        <v>1.87</v>
      </c>
      <c r="CM80" s="129">
        <v>1.88</v>
      </c>
      <c r="CN80" s="129">
        <v>1.89</v>
      </c>
      <c r="CO80" s="129">
        <v>1.9</v>
      </c>
      <c r="CP80" s="129">
        <v>1.91</v>
      </c>
      <c r="CQ80" s="129">
        <v>1.92</v>
      </c>
      <c r="CR80" s="129">
        <v>1.93</v>
      </c>
      <c r="CS80" s="129">
        <v>1.94</v>
      </c>
      <c r="CT80" s="129">
        <v>1.95</v>
      </c>
      <c r="CU80" s="129">
        <v>1.96</v>
      </c>
      <c r="CV80" s="129">
        <v>1.97</v>
      </c>
      <c r="CW80" s="129">
        <v>1.99</v>
      </c>
      <c r="CX80" s="129">
        <v>2</v>
      </c>
      <c r="CZ80" s="126">
        <f>SUMIF(MatrixF4[[1]:[2]],MatrixF4[[#This Row],[Столбец1]])/MatrixF4[[#This Row],[Столбец1]]</f>
        <v>159.00000000000023</v>
      </c>
    </row>
    <row r="81" spans="1:104" ht="21" customHeight="1" x14ac:dyDescent="0.25">
      <c r="A81" s="127">
        <v>1.78</v>
      </c>
      <c r="B81" s="129">
        <v>1.78</v>
      </c>
      <c r="C81" s="129">
        <v>1.78</v>
      </c>
      <c r="D81" s="129">
        <v>1.78</v>
      </c>
      <c r="E81" s="129">
        <v>1.78</v>
      </c>
      <c r="F81" s="129">
        <v>1.78</v>
      </c>
      <c r="G81" s="129">
        <v>1.78</v>
      </c>
      <c r="H81" s="129">
        <v>1.78</v>
      </c>
      <c r="I81" s="129">
        <v>1.78</v>
      </c>
      <c r="J81" s="129">
        <v>1.78</v>
      </c>
      <c r="K81" s="129">
        <v>1.78</v>
      </c>
      <c r="L81" s="129">
        <v>1.78</v>
      </c>
      <c r="M81" s="129">
        <v>1.78</v>
      </c>
      <c r="N81" s="129">
        <v>1.78</v>
      </c>
      <c r="O81" s="129">
        <v>1.78</v>
      </c>
      <c r="P81" s="129">
        <v>1.78</v>
      </c>
      <c r="Q81" s="129">
        <v>1.78</v>
      </c>
      <c r="R81" s="129">
        <v>1.78</v>
      </c>
      <c r="S81" s="129">
        <v>1.78</v>
      </c>
      <c r="T81" s="129">
        <v>1.78</v>
      </c>
      <c r="U81" s="129">
        <v>1.78</v>
      </c>
      <c r="V81" s="129">
        <v>1.78</v>
      </c>
      <c r="W81" s="129">
        <v>1.78</v>
      </c>
      <c r="X81" s="129">
        <v>1.78</v>
      </c>
      <c r="Y81" s="129">
        <v>1.78</v>
      </c>
      <c r="Z81" s="129">
        <v>1.78</v>
      </c>
      <c r="AA81" s="129">
        <v>1.77</v>
      </c>
      <c r="AB81" s="129">
        <v>1.77</v>
      </c>
      <c r="AC81" s="129">
        <v>1.77</v>
      </c>
      <c r="AD81" s="129">
        <v>1.77</v>
      </c>
      <c r="AE81" s="129">
        <v>1.76</v>
      </c>
      <c r="AF81" s="129">
        <v>1.76</v>
      </c>
      <c r="AG81" s="129">
        <v>1.76</v>
      </c>
      <c r="AH81" s="129">
        <v>1.76</v>
      </c>
      <c r="AI81" s="129">
        <v>1.75</v>
      </c>
      <c r="AJ81" s="129">
        <v>1.75</v>
      </c>
      <c r="AK81" s="129">
        <v>1.75</v>
      </c>
      <c r="AL81" s="129">
        <v>1.74</v>
      </c>
      <c r="AM81" s="129">
        <v>1.74</v>
      </c>
      <c r="AN81" s="129">
        <v>1.74</v>
      </c>
      <c r="AO81" s="129">
        <v>1.73</v>
      </c>
      <c r="AP81" s="129">
        <v>1.73</v>
      </c>
      <c r="AQ81" s="129">
        <v>1.73</v>
      </c>
      <c r="AR81" s="129">
        <v>1.73</v>
      </c>
      <c r="AS81" s="129">
        <v>1.72</v>
      </c>
      <c r="AT81" s="129">
        <v>1.72</v>
      </c>
      <c r="AU81" s="129">
        <v>1.71</v>
      </c>
      <c r="AV81" s="129">
        <v>1.71</v>
      </c>
      <c r="AW81" s="129">
        <v>1.71</v>
      </c>
      <c r="AX81" s="129">
        <v>1.7</v>
      </c>
      <c r="AY81" s="129">
        <v>1.7</v>
      </c>
      <c r="AZ81" s="129">
        <v>1.69</v>
      </c>
      <c r="BA81" s="129">
        <v>1.7</v>
      </c>
      <c r="BB81" s="129">
        <v>1.7</v>
      </c>
      <c r="BC81" s="129">
        <v>1.71</v>
      </c>
      <c r="BD81" s="129">
        <v>1.71</v>
      </c>
      <c r="BE81" s="129">
        <v>1.71</v>
      </c>
      <c r="BF81" s="129">
        <v>1.72</v>
      </c>
      <c r="BG81" s="129">
        <v>1.72</v>
      </c>
      <c r="BH81" s="129">
        <v>1.73</v>
      </c>
      <c r="BI81" s="129">
        <v>1.73</v>
      </c>
      <c r="BJ81" s="129">
        <v>1.73</v>
      </c>
      <c r="BK81" s="129">
        <v>1.73</v>
      </c>
      <c r="BL81" s="129">
        <v>1.74</v>
      </c>
      <c r="BM81" s="129">
        <v>1.74</v>
      </c>
      <c r="BN81" s="129">
        <v>1.74</v>
      </c>
      <c r="BO81" s="129">
        <v>1.75</v>
      </c>
      <c r="BP81" s="129">
        <v>1.75</v>
      </c>
      <c r="BQ81" s="129">
        <v>1.75</v>
      </c>
      <c r="BR81" s="129">
        <v>1.76</v>
      </c>
      <c r="BS81" s="129">
        <v>1.76</v>
      </c>
      <c r="BT81" s="129">
        <v>1.76</v>
      </c>
      <c r="BU81" s="129">
        <v>1.76</v>
      </c>
      <c r="BV81" s="129">
        <v>1.77</v>
      </c>
      <c r="BW81" s="129">
        <v>1.77</v>
      </c>
      <c r="BX81" s="129">
        <v>1.77</v>
      </c>
      <c r="BY81" s="129">
        <v>1.77</v>
      </c>
      <c r="BZ81" s="129">
        <v>1.78</v>
      </c>
      <c r="CA81" s="129">
        <v>1.78</v>
      </c>
      <c r="CB81" s="129">
        <v>1.78</v>
      </c>
      <c r="CC81" s="129">
        <v>1.79</v>
      </c>
      <c r="CD81" s="129">
        <v>1.8</v>
      </c>
      <c r="CE81" s="129">
        <v>1.8</v>
      </c>
      <c r="CF81" s="129">
        <v>1.81</v>
      </c>
      <c r="CG81" s="129">
        <v>1.82</v>
      </c>
      <c r="CH81" s="129">
        <v>1.83</v>
      </c>
      <c r="CI81" s="129">
        <v>1.84</v>
      </c>
      <c r="CJ81" s="129">
        <v>1.85</v>
      </c>
      <c r="CK81" s="129">
        <v>1.86</v>
      </c>
      <c r="CL81" s="129">
        <v>1.87</v>
      </c>
      <c r="CM81" s="129">
        <v>1.88</v>
      </c>
      <c r="CN81" s="129">
        <v>1.89</v>
      </c>
      <c r="CO81" s="129">
        <v>1.9</v>
      </c>
      <c r="CP81" s="129">
        <v>1.91</v>
      </c>
      <c r="CQ81" s="129">
        <v>1.92</v>
      </c>
      <c r="CR81" s="129">
        <v>1.93</v>
      </c>
      <c r="CS81" s="129">
        <v>1.94</v>
      </c>
      <c r="CT81" s="129">
        <v>1.95</v>
      </c>
      <c r="CU81" s="129">
        <v>1.96</v>
      </c>
      <c r="CV81" s="129">
        <v>1.98</v>
      </c>
      <c r="CW81" s="129">
        <v>1.99</v>
      </c>
      <c r="CX81" s="129">
        <v>2</v>
      </c>
      <c r="CZ81" s="126">
        <f>SUMIF(MatrixF4[[1]:[2]],MatrixF4[[#This Row],[Столбец1]])/MatrixF4[[#This Row],[Столбец1]]</f>
        <v>168.99999999999969</v>
      </c>
    </row>
    <row r="82" spans="1:104" ht="21" customHeight="1" x14ac:dyDescent="0.25">
      <c r="A82" s="127">
        <v>1.79</v>
      </c>
      <c r="B82" s="129">
        <v>1.79</v>
      </c>
      <c r="C82" s="129">
        <v>1.79</v>
      </c>
      <c r="D82" s="129">
        <v>1.79</v>
      </c>
      <c r="E82" s="129">
        <v>1.79</v>
      </c>
      <c r="F82" s="129">
        <v>1.79</v>
      </c>
      <c r="G82" s="129">
        <v>1.79</v>
      </c>
      <c r="H82" s="129">
        <v>1.79</v>
      </c>
      <c r="I82" s="129">
        <v>1.79</v>
      </c>
      <c r="J82" s="129">
        <v>1.79</v>
      </c>
      <c r="K82" s="129">
        <v>1.79</v>
      </c>
      <c r="L82" s="129">
        <v>1.79</v>
      </c>
      <c r="M82" s="129">
        <v>1.79</v>
      </c>
      <c r="N82" s="129">
        <v>1.79</v>
      </c>
      <c r="O82" s="129">
        <v>1.79</v>
      </c>
      <c r="P82" s="129">
        <v>1.79</v>
      </c>
      <c r="Q82" s="129">
        <v>1.79</v>
      </c>
      <c r="R82" s="129">
        <v>1.79</v>
      </c>
      <c r="S82" s="129">
        <v>1.79</v>
      </c>
      <c r="T82" s="129">
        <v>1.79</v>
      </c>
      <c r="U82" s="129">
        <v>1.79</v>
      </c>
      <c r="V82" s="129">
        <v>1.79</v>
      </c>
      <c r="W82" s="129">
        <v>1.79</v>
      </c>
      <c r="X82" s="129">
        <v>1.79</v>
      </c>
      <c r="Y82" s="129">
        <v>1.79</v>
      </c>
      <c r="Z82" s="129">
        <v>1.78</v>
      </c>
      <c r="AA82" s="129">
        <v>1.78</v>
      </c>
      <c r="AB82" s="129">
        <v>1.78</v>
      </c>
      <c r="AC82" s="129">
        <v>1.78</v>
      </c>
      <c r="AD82" s="129">
        <v>1.77</v>
      </c>
      <c r="AE82" s="129">
        <v>1.77</v>
      </c>
      <c r="AF82" s="129">
        <v>1.77</v>
      </c>
      <c r="AG82" s="129">
        <v>1.77</v>
      </c>
      <c r="AH82" s="129">
        <v>1.76</v>
      </c>
      <c r="AI82" s="129">
        <v>1.76</v>
      </c>
      <c r="AJ82" s="129">
        <v>1.76</v>
      </c>
      <c r="AK82" s="129">
        <v>1.76</v>
      </c>
      <c r="AL82" s="129">
        <v>1.75</v>
      </c>
      <c r="AM82" s="129">
        <v>1.75</v>
      </c>
      <c r="AN82" s="129">
        <v>1.75</v>
      </c>
      <c r="AO82" s="129">
        <v>1.74</v>
      </c>
      <c r="AP82" s="129">
        <v>1.74</v>
      </c>
      <c r="AQ82" s="129">
        <v>1.74</v>
      </c>
      <c r="AR82" s="129">
        <v>1.73</v>
      </c>
      <c r="AS82" s="129">
        <v>1.73</v>
      </c>
      <c r="AT82" s="129">
        <v>1.73</v>
      </c>
      <c r="AU82" s="129">
        <v>1.72</v>
      </c>
      <c r="AV82" s="129">
        <v>1.72</v>
      </c>
      <c r="AW82" s="129">
        <v>1.72</v>
      </c>
      <c r="AX82" s="129">
        <v>1.71</v>
      </c>
      <c r="AY82" s="129">
        <v>1.71</v>
      </c>
      <c r="AZ82" s="129">
        <v>1.7</v>
      </c>
      <c r="BA82" s="129">
        <v>1.71</v>
      </c>
      <c r="BB82" s="129">
        <v>1.71</v>
      </c>
      <c r="BC82" s="129">
        <v>1.72</v>
      </c>
      <c r="BD82" s="129">
        <v>1.72</v>
      </c>
      <c r="BE82" s="129">
        <v>1.72</v>
      </c>
      <c r="BF82" s="129">
        <v>1.73</v>
      </c>
      <c r="BG82" s="129">
        <v>1.73</v>
      </c>
      <c r="BH82" s="129">
        <v>1.73</v>
      </c>
      <c r="BI82" s="129">
        <v>1.74</v>
      </c>
      <c r="BJ82" s="129">
        <v>1.74</v>
      </c>
      <c r="BK82" s="129">
        <v>1.74</v>
      </c>
      <c r="BL82" s="129">
        <v>1.75</v>
      </c>
      <c r="BM82" s="129">
        <v>1.75</v>
      </c>
      <c r="BN82" s="129">
        <v>1.75</v>
      </c>
      <c r="BO82" s="129">
        <v>1.76</v>
      </c>
      <c r="BP82" s="129">
        <v>1.76</v>
      </c>
      <c r="BQ82" s="129">
        <v>1.76</v>
      </c>
      <c r="BR82" s="129">
        <v>1.76</v>
      </c>
      <c r="BS82" s="129">
        <v>1.77</v>
      </c>
      <c r="BT82" s="129">
        <v>1.77</v>
      </c>
      <c r="BU82" s="129">
        <v>1.77</v>
      </c>
      <c r="BV82" s="129">
        <v>1.77</v>
      </c>
      <c r="BW82" s="129">
        <v>1.78</v>
      </c>
      <c r="BX82" s="129">
        <v>1.78</v>
      </c>
      <c r="BY82" s="129">
        <v>1.78</v>
      </c>
      <c r="BZ82" s="129">
        <v>1.78</v>
      </c>
      <c r="CA82" s="129">
        <v>1.79</v>
      </c>
      <c r="CB82" s="129">
        <v>1.79</v>
      </c>
      <c r="CC82" s="129">
        <v>1.79</v>
      </c>
      <c r="CD82" s="129">
        <v>1.8</v>
      </c>
      <c r="CE82" s="129">
        <v>1.81</v>
      </c>
      <c r="CF82" s="129">
        <v>1.81</v>
      </c>
      <c r="CG82" s="129">
        <v>1.82</v>
      </c>
      <c r="CH82" s="129">
        <v>1.83</v>
      </c>
      <c r="CI82" s="129">
        <v>1.84</v>
      </c>
      <c r="CJ82" s="129">
        <v>1.85</v>
      </c>
      <c r="CK82" s="129">
        <v>1.86</v>
      </c>
      <c r="CL82" s="129">
        <v>1.87</v>
      </c>
      <c r="CM82" s="129">
        <v>1.88</v>
      </c>
      <c r="CN82" s="129">
        <v>1.89</v>
      </c>
      <c r="CO82" s="129">
        <v>1.9</v>
      </c>
      <c r="CP82" s="129">
        <v>1.91</v>
      </c>
      <c r="CQ82" s="129">
        <v>1.92</v>
      </c>
      <c r="CR82" s="129">
        <v>1.93</v>
      </c>
      <c r="CS82" s="129">
        <v>1.94</v>
      </c>
      <c r="CT82" s="129">
        <v>1.95</v>
      </c>
      <c r="CU82" s="129">
        <v>1.96</v>
      </c>
      <c r="CV82" s="129">
        <v>1.98</v>
      </c>
      <c r="CW82" s="129">
        <v>1.99</v>
      </c>
      <c r="CX82" s="129">
        <v>2</v>
      </c>
      <c r="CZ82" s="126">
        <f>SUMIF(MatrixF4[[1]:[2]],MatrixF4[[#This Row],[Столбец1]])/MatrixF4[[#This Row],[Столбец1]]</f>
        <v>158.99999999999997</v>
      </c>
    </row>
    <row r="83" spans="1:104" ht="21" customHeight="1" x14ac:dyDescent="0.25">
      <c r="A83" s="127">
        <v>1.8</v>
      </c>
      <c r="B83" s="129">
        <v>1.8</v>
      </c>
      <c r="C83" s="129">
        <v>1.8</v>
      </c>
      <c r="D83" s="129">
        <v>1.8</v>
      </c>
      <c r="E83" s="129">
        <v>1.8</v>
      </c>
      <c r="F83" s="129">
        <v>1.8</v>
      </c>
      <c r="G83" s="129">
        <v>1.8</v>
      </c>
      <c r="H83" s="129">
        <v>1.8</v>
      </c>
      <c r="I83" s="129">
        <v>1.8</v>
      </c>
      <c r="J83" s="129">
        <v>1.8</v>
      </c>
      <c r="K83" s="129">
        <v>1.8</v>
      </c>
      <c r="L83" s="129">
        <v>1.8</v>
      </c>
      <c r="M83" s="129">
        <v>1.8</v>
      </c>
      <c r="N83" s="129">
        <v>1.8</v>
      </c>
      <c r="O83" s="129">
        <v>1.8</v>
      </c>
      <c r="P83" s="129">
        <v>1.8</v>
      </c>
      <c r="Q83" s="129">
        <v>1.8</v>
      </c>
      <c r="R83" s="129">
        <v>1.8</v>
      </c>
      <c r="S83" s="129">
        <v>1.8</v>
      </c>
      <c r="T83" s="129">
        <v>1.8</v>
      </c>
      <c r="U83" s="129">
        <v>1.8</v>
      </c>
      <c r="V83" s="129">
        <v>1.8</v>
      </c>
      <c r="W83" s="129">
        <v>1.8</v>
      </c>
      <c r="X83" s="129">
        <v>1.8</v>
      </c>
      <c r="Y83" s="129">
        <v>1.79</v>
      </c>
      <c r="Z83" s="129">
        <v>1.79</v>
      </c>
      <c r="AA83" s="129">
        <v>1.79</v>
      </c>
      <c r="AB83" s="129">
        <v>1.79</v>
      </c>
      <c r="AC83" s="129">
        <v>1.78</v>
      </c>
      <c r="AD83" s="129">
        <v>1.78</v>
      </c>
      <c r="AE83" s="129">
        <v>1.78</v>
      </c>
      <c r="AF83" s="129">
        <v>1.78</v>
      </c>
      <c r="AG83" s="129">
        <v>1.78</v>
      </c>
      <c r="AH83" s="129">
        <v>1.77</v>
      </c>
      <c r="AI83" s="129">
        <v>1.77</v>
      </c>
      <c r="AJ83" s="129">
        <v>1.77</v>
      </c>
      <c r="AK83" s="129">
        <v>1.76</v>
      </c>
      <c r="AL83" s="129">
        <v>1.76</v>
      </c>
      <c r="AM83" s="129">
        <v>1.76</v>
      </c>
      <c r="AN83" s="129">
        <v>1.76</v>
      </c>
      <c r="AO83" s="129">
        <v>1.75</v>
      </c>
      <c r="AP83" s="129">
        <v>1.75</v>
      </c>
      <c r="AQ83" s="129">
        <v>1.75</v>
      </c>
      <c r="AR83" s="129">
        <v>1.74</v>
      </c>
      <c r="AS83" s="129">
        <v>1.74</v>
      </c>
      <c r="AT83" s="129">
        <v>1.74</v>
      </c>
      <c r="AU83" s="129">
        <v>1.73</v>
      </c>
      <c r="AV83" s="129">
        <v>1.73</v>
      </c>
      <c r="AW83" s="129">
        <v>1.73</v>
      </c>
      <c r="AX83" s="129">
        <v>1.72</v>
      </c>
      <c r="AY83" s="129">
        <v>1.72</v>
      </c>
      <c r="AZ83" s="129">
        <v>1.71</v>
      </c>
      <c r="BA83" s="129">
        <v>1.72</v>
      </c>
      <c r="BB83" s="129">
        <v>1.72</v>
      </c>
      <c r="BC83" s="129">
        <v>1.73</v>
      </c>
      <c r="BD83" s="129">
        <v>1.73</v>
      </c>
      <c r="BE83" s="129">
        <v>1.73</v>
      </c>
      <c r="BF83" s="129">
        <v>1.74</v>
      </c>
      <c r="BG83" s="129">
        <v>1.74</v>
      </c>
      <c r="BH83" s="129">
        <v>1.74</v>
      </c>
      <c r="BI83" s="129">
        <v>1.75</v>
      </c>
      <c r="BJ83" s="129">
        <v>1.75</v>
      </c>
      <c r="BK83" s="129">
        <v>1.75</v>
      </c>
      <c r="BL83" s="129">
        <v>1.76</v>
      </c>
      <c r="BM83" s="129">
        <v>1.76</v>
      </c>
      <c r="BN83" s="129">
        <v>1.76</v>
      </c>
      <c r="BO83" s="129">
        <v>1.76</v>
      </c>
      <c r="BP83" s="129">
        <v>1.77</v>
      </c>
      <c r="BQ83" s="129">
        <v>1.77</v>
      </c>
      <c r="BR83" s="129">
        <v>1.77</v>
      </c>
      <c r="BS83" s="129">
        <v>1.78</v>
      </c>
      <c r="BT83" s="129">
        <v>1.78</v>
      </c>
      <c r="BU83" s="129">
        <v>1.78</v>
      </c>
      <c r="BV83" s="129">
        <v>1.78</v>
      </c>
      <c r="BW83" s="129">
        <v>1.78</v>
      </c>
      <c r="BX83" s="129">
        <v>1.79</v>
      </c>
      <c r="BY83" s="129">
        <v>1.79</v>
      </c>
      <c r="BZ83" s="129">
        <v>1.79</v>
      </c>
      <c r="CA83" s="129">
        <v>1.79</v>
      </c>
      <c r="CB83" s="129">
        <v>1.8</v>
      </c>
      <c r="CC83" s="129">
        <v>1.8</v>
      </c>
      <c r="CD83" s="129">
        <v>1.8</v>
      </c>
      <c r="CE83" s="129">
        <v>1.81</v>
      </c>
      <c r="CF83" s="129">
        <v>1.82</v>
      </c>
      <c r="CG83" s="129">
        <v>1.82</v>
      </c>
      <c r="CH83" s="129">
        <v>1.83</v>
      </c>
      <c r="CI83" s="129">
        <v>1.84</v>
      </c>
      <c r="CJ83" s="129">
        <v>1.85</v>
      </c>
      <c r="CK83" s="129">
        <v>1.86</v>
      </c>
      <c r="CL83" s="129">
        <v>1.87</v>
      </c>
      <c r="CM83" s="129">
        <v>1.88</v>
      </c>
      <c r="CN83" s="129">
        <v>1.89</v>
      </c>
      <c r="CO83" s="129">
        <v>1.9</v>
      </c>
      <c r="CP83" s="129">
        <v>1.91</v>
      </c>
      <c r="CQ83" s="129">
        <v>1.92</v>
      </c>
      <c r="CR83" s="129">
        <v>1.93</v>
      </c>
      <c r="CS83" s="129">
        <v>1.94</v>
      </c>
      <c r="CT83" s="129">
        <v>1.95</v>
      </c>
      <c r="CU83" s="129">
        <v>1.96</v>
      </c>
      <c r="CV83" s="129">
        <v>1.98</v>
      </c>
      <c r="CW83" s="129">
        <v>1.99</v>
      </c>
      <c r="CX83" s="129">
        <v>2</v>
      </c>
      <c r="CZ83" s="126">
        <f>SUMIF(MatrixF4[[1]:[2]],MatrixF4[[#This Row],[Столбец1]])/MatrixF4[[#This Row],[Столбец1]]</f>
        <v>163.00000000000048</v>
      </c>
    </row>
    <row r="84" spans="1:104" ht="21" customHeight="1" x14ac:dyDescent="0.25">
      <c r="A84" s="127">
        <v>1.81</v>
      </c>
      <c r="B84" s="129">
        <v>1.81</v>
      </c>
      <c r="C84" s="129">
        <v>1.81</v>
      </c>
      <c r="D84" s="129">
        <v>1.81</v>
      </c>
      <c r="E84" s="129">
        <v>1.81</v>
      </c>
      <c r="F84" s="129">
        <v>1.81</v>
      </c>
      <c r="G84" s="129">
        <v>1.81</v>
      </c>
      <c r="H84" s="129">
        <v>1.81</v>
      </c>
      <c r="I84" s="129">
        <v>1.81</v>
      </c>
      <c r="J84" s="129">
        <v>1.81</v>
      </c>
      <c r="K84" s="129">
        <v>1.81</v>
      </c>
      <c r="L84" s="129">
        <v>1.81</v>
      </c>
      <c r="M84" s="129">
        <v>1.81</v>
      </c>
      <c r="N84" s="129">
        <v>1.81</v>
      </c>
      <c r="O84" s="129">
        <v>1.81</v>
      </c>
      <c r="P84" s="129">
        <v>1.81</v>
      </c>
      <c r="Q84" s="129">
        <v>1.81</v>
      </c>
      <c r="R84" s="129">
        <v>1.81</v>
      </c>
      <c r="S84" s="129">
        <v>1.81</v>
      </c>
      <c r="T84" s="129">
        <v>1.81</v>
      </c>
      <c r="U84" s="129">
        <v>1.81</v>
      </c>
      <c r="V84" s="129">
        <v>1.81</v>
      </c>
      <c r="W84" s="129">
        <v>1.81</v>
      </c>
      <c r="X84" s="129">
        <v>1.8</v>
      </c>
      <c r="Y84" s="129">
        <v>1.8</v>
      </c>
      <c r="Z84" s="129">
        <v>1.8</v>
      </c>
      <c r="AA84" s="129">
        <v>1.8</v>
      </c>
      <c r="AB84" s="129">
        <v>1.8</v>
      </c>
      <c r="AC84" s="129">
        <v>1.79</v>
      </c>
      <c r="AD84" s="129">
        <v>1.79</v>
      </c>
      <c r="AE84" s="129">
        <v>1.79</v>
      </c>
      <c r="AF84" s="129">
        <v>1.79</v>
      </c>
      <c r="AG84" s="129">
        <v>1.78</v>
      </c>
      <c r="AH84" s="129">
        <v>1.78</v>
      </c>
      <c r="AI84" s="129">
        <v>1.78</v>
      </c>
      <c r="AJ84" s="129">
        <v>1.78</v>
      </c>
      <c r="AK84" s="129">
        <v>1.77</v>
      </c>
      <c r="AL84" s="129">
        <v>1.77</v>
      </c>
      <c r="AM84" s="129">
        <v>1.77</v>
      </c>
      <c r="AN84" s="129">
        <v>1.77</v>
      </c>
      <c r="AO84" s="129">
        <v>1.76</v>
      </c>
      <c r="AP84" s="129">
        <v>1.76</v>
      </c>
      <c r="AQ84" s="129">
        <v>1.76</v>
      </c>
      <c r="AR84" s="129">
        <v>1.75</v>
      </c>
      <c r="AS84" s="129">
        <v>1.75</v>
      </c>
      <c r="AT84" s="129">
        <v>1.75</v>
      </c>
      <c r="AU84" s="129">
        <v>1.74</v>
      </c>
      <c r="AV84" s="129">
        <v>1.74</v>
      </c>
      <c r="AW84" s="129">
        <v>1.74</v>
      </c>
      <c r="AX84" s="129">
        <v>1.73</v>
      </c>
      <c r="AY84" s="129">
        <v>1.73</v>
      </c>
      <c r="AZ84" s="129">
        <v>1.72</v>
      </c>
      <c r="BA84" s="129">
        <v>1.73</v>
      </c>
      <c r="BB84" s="129">
        <v>1.73</v>
      </c>
      <c r="BC84" s="129">
        <v>1.74</v>
      </c>
      <c r="BD84" s="129">
        <v>1.74</v>
      </c>
      <c r="BE84" s="129">
        <v>1.74</v>
      </c>
      <c r="BF84" s="129">
        <v>1.75</v>
      </c>
      <c r="BG84" s="129">
        <v>1.75</v>
      </c>
      <c r="BH84" s="129">
        <v>1.75</v>
      </c>
      <c r="BI84" s="129">
        <v>1.76</v>
      </c>
      <c r="BJ84" s="129">
        <v>1.76</v>
      </c>
      <c r="BK84" s="129">
        <v>1.76</v>
      </c>
      <c r="BL84" s="129">
        <v>1.77</v>
      </c>
      <c r="BM84" s="129">
        <v>1.77</v>
      </c>
      <c r="BN84" s="129">
        <v>1.77</v>
      </c>
      <c r="BO84" s="129">
        <v>1.77</v>
      </c>
      <c r="BP84" s="129">
        <v>1.78</v>
      </c>
      <c r="BQ84" s="129">
        <v>1.78</v>
      </c>
      <c r="BR84" s="129">
        <v>1.78</v>
      </c>
      <c r="BS84" s="129">
        <v>1.78</v>
      </c>
      <c r="BT84" s="129">
        <v>1.79</v>
      </c>
      <c r="BU84" s="129">
        <v>1.79</v>
      </c>
      <c r="BV84" s="129">
        <v>1.79</v>
      </c>
      <c r="BW84" s="129">
        <v>1.79</v>
      </c>
      <c r="BX84" s="129">
        <v>1.8</v>
      </c>
      <c r="BY84" s="129">
        <v>1.8</v>
      </c>
      <c r="BZ84" s="129">
        <v>1.8</v>
      </c>
      <c r="CA84" s="129">
        <v>1.8</v>
      </c>
      <c r="CB84" s="129">
        <v>1.8</v>
      </c>
      <c r="CC84" s="129">
        <v>1.81</v>
      </c>
      <c r="CD84" s="129">
        <v>1.81</v>
      </c>
      <c r="CE84" s="129">
        <v>1.81</v>
      </c>
      <c r="CF84" s="129">
        <v>1.82</v>
      </c>
      <c r="CG84" s="129">
        <v>1.83</v>
      </c>
      <c r="CH84" s="129">
        <v>1.84</v>
      </c>
      <c r="CI84" s="129">
        <v>1.84</v>
      </c>
      <c r="CJ84" s="129">
        <v>1.85</v>
      </c>
      <c r="CK84" s="129">
        <v>1.86</v>
      </c>
      <c r="CL84" s="129">
        <v>1.87</v>
      </c>
      <c r="CM84" s="129">
        <v>1.88</v>
      </c>
      <c r="CN84" s="129">
        <v>1.89</v>
      </c>
      <c r="CO84" s="129">
        <v>1.9</v>
      </c>
      <c r="CP84" s="129">
        <v>1.91</v>
      </c>
      <c r="CQ84" s="129">
        <v>1.92</v>
      </c>
      <c r="CR84" s="129">
        <v>1.93</v>
      </c>
      <c r="CS84" s="129">
        <v>1.94</v>
      </c>
      <c r="CT84" s="129">
        <v>1.95</v>
      </c>
      <c r="CU84" s="129">
        <v>1.96</v>
      </c>
      <c r="CV84" s="129">
        <v>1.98</v>
      </c>
      <c r="CW84" s="129">
        <v>1.99</v>
      </c>
      <c r="CX84" s="129">
        <v>2</v>
      </c>
      <c r="CZ84" s="126">
        <f>SUMIF(MatrixF4[[1]:[2]],MatrixF4[[#This Row],[Столбец1]])/MatrixF4[[#This Row],[Столбец1]]</f>
        <v>163.00000000000017</v>
      </c>
    </row>
    <row r="85" spans="1:104" ht="21" customHeight="1" x14ac:dyDescent="0.25">
      <c r="A85" s="127">
        <v>1.82</v>
      </c>
      <c r="B85" s="129">
        <v>1.82</v>
      </c>
      <c r="C85" s="129">
        <v>1.82</v>
      </c>
      <c r="D85" s="129">
        <v>1.82</v>
      </c>
      <c r="E85" s="129">
        <v>1.82</v>
      </c>
      <c r="F85" s="129">
        <v>1.82</v>
      </c>
      <c r="G85" s="129">
        <v>1.82</v>
      </c>
      <c r="H85" s="129">
        <v>1.82</v>
      </c>
      <c r="I85" s="129">
        <v>1.82</v>
      </c>
      <c r="J85" s="129">
        <v>1.82</v>
      </c>
      <c r="K85" s="129">
        <v>1.82</v>
      </c>
      <c r="L85" s="129">
        <v>1.82</v>
      </c>
      <c r="M85" s="129">
        <v>1.82</v>
      </c>
      <c r="N85" s="129">
        <v>1.82</v>
      </c>
      <c r="O85" s="129">
        <v>1.82</v>
      </c>
      <c r="P85" s="129">
        <v>1.82</v>
      </c>
      <c r="Q85" s="129">
        <v>1.82</v>
      </c>
      <c r="R85" s="129">
        <v>1.82</v>
      </c>
      <c r="S85" s="129">
        <v>1.82</v>
      </c>
      <c r="T85" s="129">
        <v>1.82</v>
      </c>
      <c r="U85" s="129">
        <v>1.82</v>
      </c>
      <c r="V85" s="129">
        <v>1.82</v>
      </c>
      <c r="W85" s="129">
        <v>1.81</v>
      </c>
      <c r="X85" s="129">
        <v>1.81</v>
      </c>
      <c r="Y85" s="129">
        <v>1.81</v>
      </c>
      <c r="Z85" s="129">
        <v>1.81</v>
      </c>
      <c r="AA85" s="129">
        <v>1.81</v>
      </c>
      <c r="AB85" s="129">
        <v>1.8</v>
      </c>
      <c r="AC85" s="129">
        <v>1.8</v>
      </c>
      <c r="AD85" s="129">
        <v>1.8</v>
      </c>
      <c r="AE85" s="129">
        <v>1.8</v>
      </c>
      <c r="AF85" s="129">
        <v>1.8</v>
      </c>
      <c r="AG85" s="129">
        <v>1.79</v>
      </c>
      <c r="AH85" s="129">
        <v>1.79</v>
      </c>
      <c r="AI85" s="129">
        <v>1.79</v>
      </c>
      <c r="AJ85" s="129">
        <v>1.79</v>
      </c>
      <c r="AK85" s="129">
        <v>1.78</v>
      </c>
      <c r="AL85" s="129">
        <v>1.78</v>
      </c>
      <c r="AM85" s="129">
        <v>1.78</v>
      </c>
      <c r="AN85" s="129">
        <v>1.78</v>
      </c>
      <c r="AO85" s="129">
        <v>1.77</v>
      </c>
      <c r="AP85" s="129">
        <v>1.77</v>
      </c>
      <c r="AQ85" s="129">
        <v>1.77</v>
      </c>
      <c r="AR85" s="129">
        <v>1.76</v>
      </c>
      <c r="AS85" s="129">
        <v>1.76</v>
      </c>
      <c r="AT85" s="129">
        <v>1.76</v>
      </c>
      <c r="AU85" s="129">
        <v>1.75</v>
      </c>
      <c r="AV85" s="129">
        <v>1.75</v>
      </c>
      <c r="AW85" s="129">
        <v>1.75</v>
      </c>
      <c r="AX85" s="129">
        <v>1.74</v>
      </c>
      <c r="AY85" s="129">
        <v>1.74</v>
      </c>
      <c r="AZ85" s="129">
        <v>1.74</v>
      </c>
      <c r="BA85" s="129">
        <v>1.74</v>
      </c>
      <c r="BB85" s="129">
        <v>1.74</v>
      </c>
      <c r="BC85" s="129">
        <v>1.75</v>
      </c>
      <c r="BD85" s="129">
        <v>1.75</v>
      </c>
      <c r="BE85" s="129">
        <v>1.75</v>
      </c>
      <c r="BF85" s="129">
        <v>1.76</v>
      </c>
      <c r="BG85" s="129">
        <v>1.76</v>
      </c>
      <c r="BH85" s="129">
        <v>1.76</v>
      </c>
      <c r="BI85" s="129">
        <v>1.77</v>
      </c>
      <c r="BJ85" s="129">
        <v>1.77</v>
      </c>
      <c r="BK85" s="129">
        <v>1.77</v>
      </c>
      <c r="BL85" s="129">
        <v>1.78</v>
      </c>
      <c r="BM85" s="129">
        <v>1.78</v>
      </c>
      <c r="BN85" s="129">
        <v>1.78</v>
      </c>
      <c r="BO85" s="129">
        <v>1.78</v>
      </c>
      <c r="BP85" s="129">
        <v>1.79</v>
      </c>
      <c r="BQ85" s="129">
        <v>1.79</v>
      </c>
      <c r="BR85" s="129">
        <v>1.79</v>
      </c>
      <c r="BS85" s="129">
        <v>1.79</v>
      </c>
      <c r="BT85" s="129">
        <v>1.8</v>
      </c>
      <c r="BU85" s="129">
        <v>1.8</v>
      </c>
      <c r="BV85" s="129">
        <v>1.8</v>
      </c>
      <c r="BW85" s="129">
        <v>1.8</v>
      </c>
      <c r="BX85" s="129">
        <v>1.8</v>
      </c>
      <c r="BY85" s="129">
        <v>1.81</v>
      </c>
      <c r="BZ85" s="129">
        <v>1.81</v>
      </c>
      <c r="CA85" s="129">
        <v>1.81</v>
      </c>
      <c r="CB85" s="129">
        <v>1.81</v>
      </c>
      <c r="CC85" s="129">
        <v>1.81</v>
      </c>
      <c r="CD85" s="129">
        <v>1.82</v>
      </c>
      <c r="CE85" s="129">
        <v>1.82</v>
      </c>
      <c r="CF85" s="129">
        <v>1.82</v>
      </c>
      <c r="CG85" s="129">
        <v>1.83</v>
      </c>
      <c r="CH85" s="129">
        <v>1.84</v>
      </c>
      <c r="CI85" s="129">
        <v>1.85</v>
      </c>
      <c r="CJ85" s="129">
        <v>1.85</v>
      </c>
      <c r="CK85" s="129">
        <v>1.86</v>
      </c>
      <c r="CL85" s="129">
        <v>1.87</v>
      </c>
      <c r="CM85" s="129">
        <v>1.88</v>
      </c>
      <c r="CN85" s="129">
        <v>1.89</v>
      </c>
      <c r="CO85" s="129">
        <v>1.9</v>
      </c>
      <c r="CP85" s="129">
        <v>1.91</v>
      </c>
      <c r="CQ85" s="129">
        <v>1.92</v>
      </c>
      <c r="CR85" s="129">
        <v>1.93</v>
      </c>
      <c r="CS85" s="129">
        <v>1.94</v>
      </c>
      <c r="CT85" s="129">
        <v>1.95</v>
      </c>
      <c r="CU85" s="129">
        <v>1.96</v>
      </c>
      <c r="CV85" s="129">
        <v>1.98</v>
      </c>
      <c r="CW85" s="129">
        <v>1.99</v>
      </c>
      <c r="CX85" s="129">
        <v>2</v>
      </c>
      <c r="CZ85" s="126">
        <f>SUMIF(MatrixF4[[1]:[2]],MatrixF4[[#This Row],[Столбец1]])/MatrixF4[[#This Row],[Столбец1]]</f>
        <v>164.99999999999955</v>
      </c>
    </row>
    <row r="86" spans="1:104" ht="21" customHeight="1" x14ac:dyDescent="0.25">
      <c r="A86" s="127">
        <v>1.83</v>
      </c>
      <c r="B86" s="129">
        <v>1.83</v>
      </c>
      <c r="C86" s="129">
        <v>1.83</v>
      </c>
      <c r="D86" s="129">
        <v>1.83</v>
      </c>
      <c r="E86" s="129">
        <v>1.83</v>
      </c>
      <c r="F86" s="129">
        <v>1.83</v>
      </c>
      <c r="G86" s="129">
        <v>1.83</v>
      </c>
      <c r="H86" s="129">
        <v>1.83</v>
      </c>
      <c r="I86" s="129">
        <v>1.83</v>
      </c>
      <c r="J86" s="129">
        <v>1.83</v>
      </c>
      <c r="K86" s="129">
        <v>1.83</v>
      </c>
      <c r="L86" s="129">
        <v>1.83</v>
      </c>
      <c r="M86" s="129">
        <v>1.83</v>
      </c>
      <c r="N86" s="129">
        <v>1.83</v>
      </c>
      <c r="O86" s="129">
        <v>1.83</v>
      </c>
      <c r="P86" s="129">
        <v>1.83</v>
      </c>
      <c r="Q86" s="129">
        <v>1.83</v>
      </c>
      <c r="R86" s="129">
        <v>1.83</v>
      </c>
      <c r="S86" s="129">
        <v>1.83</v>
      </c>
      <c r="T86" s="129">
        <v>1.83</v>
      </c>
      <c r="U86" s="129">
        <v>1.83</v>
      </c>
      <c r="V86" s="129">
        <v>1.82</v>
      </c>
      <c r="W86" s="129">
        <v>1.82</v>
      </c>
      <c r="X86" s="129">
        <v>1.82</v>
      </c>
      <c r="Y86" s="129">
        <v>1.82</v>
      </c>
      <c r="Z86" s="129">
        <v>1.82</v>
      </c>
      <c r="AA86" s="129">
        <v>1.82</v>
      </c>
      <c r="AB86" s="129">
        <v>1.81</v>
      </c>
      <c r="AC86" s="129">
        <v>1.81</v>
      </c>
      <c r="AD86" s="129">
        <v>1.81</v>
      </c>
      <c r="AE86" s="129">
        <v>1.81</v>
      </c>
      <c r="AF86" s="129">
        <v>1.8</v>
      </c>
      <c r="AG86" s="129">
        <v>1.8</v>
      </c>
      <c r="AH86" s="129">
        <v>1.8</v>
      </c>
      <c r="AI86" s="129">
        <v>1.8</v>
      </c>
      <c r="AJ86" s="129">
        <v>1.8</v>
      </c>
      <c r="AK86" s="129">
        <v>1.79</v>
      </c>
      <c r="AL86" s="129">
        <v>1.79</v>
      </c>
      <c r="AM86" s="129">
        <v>1.79</v>
      </c>
      <c r="AN86" s="129">
        <v>1.78</v>
      </c>
      <c r="AO86" s="129">
        <v>1.78</v>
      </c>
      <c r="AP86" s="129">
        <v>1.78</v>
      </c>
      <c r="AQ86" s="129">
        <v>1.78</v>
      </c>
      <c r="AR86" s="129">
        <v>1.77</v>
      </c>
      <c r="AS86" s="129">
        <v>1.77</v>
      </c>
      <c r="AT86" s="129">
        <v>1.77</v>
      </c>
      <c r="AU86" s="129">
        <v>1.76</v>
      </c>
      <c r="AV86" s="129">
        <v>1.76</v>
      </c>
      <c r="AW86" s="129">
        <v>1.76</v>
      </c>
      <c r="AX86" s="129">
        <v>1.75</v>
      </c>
      <c r="AY86" s="129">
        <v>1.75</v>
      </c>
      <c r="AZ86" s="129">
        <v>1.75</v>
      </c>
      <c r="BA86" s="129">
        <v>1.75</v>
      </c>
      <c r="BB86" s="129">
        <v>1.75</v>
      </c>
      <c r="BC86" s="129">
        <v>1.76</v>
      </c>
      <c r="BD86" s="129">
        <v>1.76</v>
      </c>
      <c r="BE86" s="129">
        <v>1.76</v>
      </c>
      <c r="BF86" s="129">
        <v>1.77</v>
      </c>
      <c r="BG86" s="129">
        <v>1.77</v>
      </c>
      <c r="BH86" s="129">
        <v>1.77</v>
      </c>
      <c r="BI86" s="129">
        <v>1.78</v>
      </c>
      <c r="BJ86" s="129">
        <v>1.78</v>
      </c>
      <c r="BK86" s="129">
        <v>1.78</v>
      </c>
      <c r="BL86" s="129">
        <v>1.78</v>
      </c>
      <c r="BM86" s="129">
        <v>1.79</v>
      </c>
      <c r="BN86" s="129">
        <v>1.79</v>
      </c>
      <c r="BO86" s="129">
        <v>1.79</v>
      </c>
      <c r="BP86" s="129">
        <v>1.8</v>
      </c>
      <c r="BQ86" s="129">
        <v>1.8</v>
      </c>
      <c r="BR86" s="129">
        <v>1.8</v>
      </c>
      <c r="BS86" s="129">
        <v>1.8</v>
      </c>
      <c r="BT86" s="129">
        <v>1.8</v>
      </c>
      <c r="BU86" s="129">
        <v>1.81</v>
      </c>
      <c r="BV86" s="129">
        <v>1.81</v>
      </c>
      <c r="BW86" s="129">
        <v>1.81</v>
      </c>
      <c r="BX86" s="129">
        <v>1.81</v>
      </c>
      <c r="BY86" s="129">
        <v>1.82</v>
      </c>
      <c r="BZ86" s="129">
        <v>1.82</v>
      </c>
      <c r="CA86" s="129">
        <v>1.82</v>
      </c>
      <c r="CB86" s="129">
        <v>1.82</v>
      </c>
      <c r="CC86" s="129">
        <v>1.82</v>
      </c>
      <c r="CD86" s="129">
        <v>1.82</v>
      </c>
      <c r="CE86" s="129">
        <v>1.83</v>
      </c>
      <c r="CF86" s="129">
        <v>1.83</v>
      </c>
      <c r="CG86" s="129">
        <v>1.83</v>
      </c>
      <c r="CH86" s="129">
        <v>1.84</v>
      </c>
      <c r="CI86" s="129">
        <v>1.85</v>
      </c>
      <c r="CJ86" s="129">
        <v>1.86</v>
      </c>
      <c r="CK86" s="129">
        <v>1.86</v>
      </c>
      <c r="CL86" s="129">
        <v>1.87</v>
      </c>
      <c r="CM86" s="129">
        <v>1.88</v>
      </c>
      <c r="CN86" s="129">
        <v>1.89</v>
      </c>
      <c r="CO86" s="129">
        <v>1.9</v>
      </c>
      <c r="CP86" s="129">
        <v>1.91</v>
      </c>
      <c r="CQ86" s="129">
        <v>1.92</v>
      </c>
      <c r="CR86" s="129">
        <v>1.93</v>
      </c>
      <c r="CS86" s="129">
        <v>1.94</v>
      </c>
      <c r="CT86" s="129">
        <v>1.95</v>
      </c>
      <c r="CU86" s="129">
        <v>1.97</v>
      </c>
      <c r="CV86" s="129">
        <v>1.98</v>
      </c>
      <c r="CW86" s="129">
        <v>1.99</v>
      </c>
      <c r="CX86" s="129">
        <v>2</v>
      </c>
      <c r="CZ86" s="126">
        <f>SUMIF(MatrixF4[[1]:[2]],MatrixF4[[#This Row],[Столбец1]])/MatrixF4[[#This Row],[Столбец1]]</f>
        <v>151.00000000000034</v>
      </c>
    </row>
    <row r="87" spans="1:104" ht="21" customHeight="1" x14ac:dyDescent="0.25">
      <c r="A87" s="127">
        <v>1.84</v>
      </c>
      <c r="B87" s="129">
        <v>1.84</v>
      </c>
      <c r="C87" s="129">
        <v>1.84</v>
      </c>
      <c r="D87" s="129">
        <v>1.84</v>
      </c>
      <c r="E87" s="129">
        <v>1.84</v>
      </c>
      <c r="F87" s="129">
        <v>1.84</v>
      </c>
      <c r="G87" s="129">
        <v>1.84</v>
      </c>
      <c r="H87" s="129">
        <v>1.84</v>
      </c>
      <c r="I87" s="129">
        <v>1.84</v>
      </c>
      <c r="J87" s="129">
        <v>1.84</v>
      </c>
      <c r="K87" s="129">
        <v>1.84</v>
      </c>
      <c r="L87" s="129">
        <v>1.84</v>
      </c>
      <c r="M87" s="129">
        <v>1.84</v>
      </c>
      <c r="N87" s="129">
        <v>1.84</v>
      </c>
      <c r="O87" s="129">
        <v>1.84</v>
      </c>
      <c r="P87" s="129">
        <v>1.84</v>
      </c>
      <c r="Q87" s="129">
        <v>1.84</v>
      </c>
      <c r="R87" s="129">
        <v>1.84</v>
      </c>
      <c r="S87" s="129">
        <v>1.84</v>
      </c>
      <c r="T87" s="129">
        <v>1.84</v>
      </c>
      <c r="U87" s="129">
        <v>1.84</v>
      </c>
      <c r="V87" s="129">
        <v>1.83</v>
      </c>
      <c r="W87" s="129">
        <v>1.83</v>
      </c>
      <c r="X87" s="129">
        <v>1.83</v>
      </c>
      <c r="Y87" s="129">
        <v>1.83</v>
      </c>
      <c r="Z87" s="129">
        <v>1.83</v>
      </c>
      <c r="AA87" s="129">
        <v>1.82</v>
      </c>
      <c r="AB87" s="129">
        <v>1.82</v>
      </c>
      <c r="AC87" s="129">
        <v>1.82</v>
      </c>
      <c r="AD87" s="129">
        <v>1.82</v>
      </c>
      <c r="AE87" s="129">
        <v>1.82</v>
      </c>
      <c r="AF87" s="129">
        <v>1.81</v>
      </c>
      <c r="AG87" s="129">
        <v>1.81</v>
      </c>
      <c r="AH87" s="129">
        <v>1.81</v>
      </c>
      <c r="AI87" s="129">
        <v>1.81</v>
      </c>
      <c r="AJ87" s="129">
        <v>1.8</v>
      </c>
      <c r="AK87" s="129">
        <v>1.8</v>
      </c>
      <c r="AL87" s="129">
        <v>1.8</v>
      </c>
      <c r="AM87" s="129">
        <v>1.8</v>
      </c>
      <c r="AN87" s="129">
        <v>1.79</v>
      </c>
      <c r="AO87" s="129">
        <v>1.79</v>
      </c>
      <c r="AP87" s="129">
        <v>1.79</v>
      </c>
      <c r="AQ87" s="129">
        <v>1.79</v>
      </c>
      <c r="AR87" s="129">
        <v>1.78</v>
      </c>
      <c r="AS87" s="129">
        <v>1.78</v>
      </c>
      <c r="AT87" s="129">
        <v>1.78</v>
      </c>
      <c r="AU87" s="129">
        <v>1.77</v>
      </c>
      <c r="AV87" s="129">
        <v>1.77</v>
      </c>
      <c r="AW87" s="129">
        <v>1.77</v>
      </c>
      <c r="AX87" s="129">
        <v>1.76</v>
      </c>
      <c r="AY87" s="129">
        <v>1.76</v>
      </c>
      <c r="AZ87" s="129">
        <v>1.76</v>
      </c>
      <c r="BA87" s="129">
        <v>1.76</v>
      </c>
      <c r="BB87" s="129">
        <v>1.76</v>
      </c>
      <c r="BC87" s="129">
        <v>1.77</v>
      </c>
      <c r="BD87" s="129">
        <v>1.77</v>
      </c>
      <c r="BE87" s="129">
        <v>1.77</v>
      </c>
      <c r="BF87" s="129">
        <v>1.78</v>
      </c>
      <c r="BG87" s="129">
        <v>1.78</v>
      </c>
      <c r="BH87" s="129">
        <v>1.78</v>
      </c>
      <c r="BI87" s="129">
        <v>1.79</v>
      </c>
      <c r="BJ87" s="129">
        <v>1.79</v>
      </c>
      <c r="BK87" s="129">
        <v>1.79</v>
      </c>
      <c r="BL87" s="129">
        <v>1.79</v>
      </c>
      <c r="BM87" s="129">
        <v>1.8</v>
      </c>
      <c r="BN87" s="129">
        <v>1.8</v>
      </c>
      <c r="BO87" s="129">
        <v>1.8</v>
      </c>
      <c r="BP87" s="129">
        <v>1.8</v>
      </c>
      <c r="BQ87" s="129">
        <v>1.81</v>
      </c>
      <c r="BR87" s="129">
        <v>1.81</v>
      </c>
      <c r="BS87" s="129">
        <v>1.81</v>
      </c>
      <c r="BT87" s="129">
        <v>1.81</v>
      </c>
      <c r="BU87" s="129">
        <v>1.82</v>
      </c>
      <c r="BV87" s="129">
        <v>1.82</v>
      </c>
      <c r="BW87" s="129">
        <v>1.82</v>
      </c>
      <c r="BX87" s="129">
        <v>1.82</v>
      </c>
      <c r="BY87" s="129">
        <v>1.82</v>
      </c>
      <c r="BZ87" s="129">
        <v>1.83</v>
      </c>
      <c r="CA87" s="129">
        <v>1.83</v>
      </c>
      <c r="CB87" s="129">
        <v>1.83</v>
      </c>
      <c r="CC87" s="129">
        <v>1.83</v>
      </c>
      <c r="CD87" s="129">
        <v>1.83</v>
      </c>
      <c r="CE87" s="129">
        <v>1.84</v>
      </c>
      <c r="CF87" s="129">
        <v>1.84</v>
      </c>
      <c r="CG87" s="129">
        <v>1.84</v>
      </c>
      <c r="CH87" s="129">
        <v>1.84</v>
      </c>
      <c r="CI87" s="129">
        <v>1.85</v>
      </c>
      <c r="CJ87" s="129">
        <v>1.86</v>
      </c>
      <c r="CK87" s="129">
        <v>1.87</v>
      </c>
      <c r="CL87" s="129">
        <v>1.88</v>
      </c>
      <c r="CM87" s="129">
        <v>1.88</v>
      </c>
      <c r="CN87" s="129">
        <v>1.89</v>
      </c>
      <c r="CO87" s="129">
        <v>1.9</v>
      </c>
      <c r="CP87" s="129">
        <v>1.91</v>
      </c>
      <c r="CQ87" s="129">
        <v>1.92</v>
      </c>
      <c r="CR87" s="129">
        <v>1.93</v>
      </c>
      <c r="CS87" s="129">
        <v>1.94</v>
      </c>
      <c r="CT87" s="129">
        <v>1.95</v>
      </c>
      <c r="CU87" s="129">
        <v>1.97</v>
      </c>
      <c r="CV87" s="129">
        <v>1.98</v>
      </c>
      <c r="CW87" s="129">
        <v>1.99</v>
      </c>
      <c r="CX87" s="129">
        <v>2</v>
      </c>
      <c r="CZ87" s="126">
        <f>SUMIF(MatrixF4[[1]:[2]],MatrixF4[[#This Row],[Столбец1]])/MatrixF4[[#This Row],[Столбец1]]</f>
        <v>166.99999999999986</v>
      </c>
    </row>
    <row r="88" spans="1:104" ht="21" customHeight="1" x14ac:dyDescent="0.25">
      <c r="A88" s="127">
        <v>1.85</v>
      </c>
      <c r="B88" s="129">
        <v>1.85</v>
      </c>
      <c r="C88" s="129">
        <v>1.85</v>
      </c>
      <c r="D88" s="129">
        <v>1.85</v>
      </c>
      <c r="E88" s="129">
        <v>1.85</v>
      </c>
      <c r="F88" s="129">
        <v>1.85</v>
      </c>
      <c r="G88" s="129">
        <v>1.85</v>
      </c>
      <c r="H88" s="129">
        <v>1.85</v>
      </c>
      <c r="I88" s="129">
        <v>1.85</v>
      </c>
      <c r="J88" s="129">
        <v>1.85</v>
      </c>
      <c r="K88" s="129">
        <v>1.85</v>
      </c>
      <c r="L88" s="129">
        <v>1.85</v>
      </c>
      <c r="M88" s="129">
        <v>1.85</v>
      </c>
      <c r="N88" s="129">
        <v>1.85</v>
      </c>
      <c r="O88" s="129">
        <v>1.85</v>
      </c>
      <c r="P88" s="129">
        <v>1.85</v>
      </c>
      <c r="Q88" s="129">
        <v>1.85</v>
      </c>
      <c r="R88" s="129">
        <v>1.85</v>
      </c>
      <c r="S88" s="129">
        <v>1.85</v>
      </c>
      <c r="T88" s="129">
        <v>1.85</v>
      </c>
      <c r="U88" s="129">
        <v>1.84</v>
      </c>
      <c r="V88" s="129">
        <v>1.84</v>
      </c>
      <c r="W88" s="129">
        <v>1.84</v>
      </c>
      <c r="X88" s="129">
        <v>1.84</v>
      </c>
      <c r="Y88" s="129">
        <v>1.84</v>
      </c>
      <c r="Z88" s="129">
        <v>1.84</v>
      </c>
      <c r="AA88" s="129">
        <v>1.83</v>
      </c>
      <c r="AB88" s="129">
        <v>1.83</v>
      </c>
      <c r="AC88" s="129">
        <v>1.83</v>
      </c>
      <c r="AD88" s="129">
        <v>1.83</v>
      </c>
      <c r="AE88" s="129">
        <v>1.83</v>
      </c>
      <c r="AF88" s="129">
        <v>1.82</v>
      </c>
      <c r="AG88" s="129">
        <v>1.82</v>
      </c>
      <c r="AH88" s="129">
        <v>1.82</v>
      </c>
      <c r="AI88" s="129">
        <v>1.82</v>
      </c>
      <c r="AJ88" s="129">
        <v>1.81</v>
      </c>
      <c r="AK88" s="129">
        <v>1.81</v>
      </c>
      <c r="AL88" s="129">
        <v>1.81</v>
      </c>
      <c r="AM88" s="129">
        <v>1.81</v>
      </c>
      <c r="AN88" s="129">
        <v>1.81</v>
      </c>
      <c r="AO88" s="129">
        <v>1.8</v>
      </c>
      <c r="AP88" s="129">
        <v>1.8</v>
      </c>
      <c r="AQ88" s="129">
        <v>1.8</v>
      </c>
      <c r="AR88" s="129">
        <v>1.79</v>
      </c>
      <c r="AS88" s="129">
        <v>1.79</v>
      </c>
      <c r="AT88" s="129">
        <v>1.79</v>
      </c>
      <c r="AU88" s="129">
        <v>1.79</v>
      </c>
      <c r="AV88" s="129">
        <v>1.78</v>
      </c>
      <c r="AW88" s="129">
        <v>1.78</v>
      </c>
      <c r="AX88" s="129">
        <v>1.78</v>
      </c>
      <c r="AY88" s="129">
        <v>1.77</v>
      </c>
      <c r="AZ88" s="129">
        <v>1.77</v>
      </c>
      <c r="BA88" s="129">
        <v>1.77</v>
      </c>
      <c r="BB88" s="129">
        <v>1.78</v>
      </c>
      <c r="BC88" s="129">
        <v>1.78</v>
      </c>
      <c r="BD88" s="129">
        <v>1.78</v>
      </c>
      <c r="BE88" s="129">
        <v>1.79</v>
      </c>
      <c r="BF88" s="129">
        <v>1.79</v>
      </c>
      <c r="BG88" s="129">
        <v>1.79</v>
      </c>
      <c r="BH88" s="129">
        <v>1.79</v>
      </c>
      <c r="BI88" s="129">
        <v>1.8</v>
      </c>
      <c r="BJ88" s="129">
        <v>1.8</v>
      </c>
      <c r="BK88" s="129">
        <v>1.8</v>
      </c>
      <c r="BL88" s="129">
        <v>1.81</v>
      </c>
      <c r="BM88" s="129">
        <v>1.81</v>
      </c>
      <c r="BN88" s="129">
        <v>1.81</v>
      </c>
      <c r="BO88" s="129">
        <v>1.81</v>
      </c>
      <c r="BP88" s="129">
        <v>1.81</v>
      </c>
      <c r="BQ88" s="129">
        <v>1.82</v>
      </c>
      <c r="BR88" s="129">
        <v>1.82</v>
      </c>
      <c r="BS88" s="129">
        <v>1.82</v>
      </c>
      <c r="BT88" s="129">
        <v>1.82</v>
      </c>
      <c r="BU88" s="129">
        <v>1.83</v>
      </c>
      <c r="BV88" s="129">
        <v>1.83</v>
      </c>
      <c r="BW88" s="129">
        <v>1.83</v>
      </c>
      <c r="BX88" s="129">
        <v>1.83</v>
      </c>
      <c r="BY88" s="129">
        <v>1.83</v>
      </c>
      <c r="BZ88" s="129">
        <v>1.84</v>
      </c>
      <c r="CA88" s="129">
        <v>1.84</v>
      </c>
      <c r="CB88" s="129">
        <v>1.84</v>
      </c>
      <c r="CC88" s="129">
        <v>1.84</v>
      </c>
      <c r="CD88" s="129">
        <v>1.84</v>
      </c>
      <c r="CE88" s="129">
        <v>1.84</v>
      </c>
      <c r="CF88" s="129">
        <v>1.85</v>
      </c>
      <c r="CG88" s="129">
        <v>1.85</v>
      </c>
      <c r="CH88" s="129">
        <v>1.85</v>
      </c>
      <c r="CI88" s="129">
        <v>1.85</v>
      </c>
      <c r="CJ88" s="129">
        <v>1.86</v>
      </c>
      <c r="CK88" s="129">
        <v>1.87</v>
      </c>
      <c r="CL88" s="129">
        <v>1.88</v>
      </c>
      <c r="CM88" s="129">
        <v>1.89</v>
      </c>
      <c r="CN88" s="129">
        <v>1.89</v>
      </c>
      <c r="CO88" s="129">
        <v>1.9</v>
      </c>
      <c r="CP88" s="129">
        <v>1.91</v>
      </c>
      <c r="CQ88" s="129">
        <v>1.92</v>
      </c>
      <c r="CR88" s="129">
        <v>1.93</v>
      </c>
      <c r="CS88" s="129">
        <v>1.94</v>
      </c>
      <c r="CT88" s="129">
        <v>1.96</v>
      </c>
      <c r="CU88" s="129">
        <v>1.97</v>
      </c>
      <c r="CV88" s="129">
        <v>1.98</v>
      </c>
      <c r="CW88" s="129">
        <v>1.99</v>
      </c>
      <c r="CX88" s="129">
        <v>2</v>
      </c>
      <c r="CZ88" s="126">
        <f>SUMIF(MatrixF4[[1]:[2]],MatrixF4[[#This Row],[Столбец1]])/MatrixF4[[#This Row],[Столбец1]]</f>
        <v>163</v>
      </c>
    </row>
    <row r="89" spans="1:104" ht="21" customHeight="1" x14ac:dyDescent="0.25">
      <c r="A89" s="127">
        <v>1.86</v>
      </c>
      <c r="B89" s="129">
        <v>1.86</v>
      </c>
      <c r="C89" s="129">
        <v>1.86</v>
      </c>
      <c r="D89" s="129">
        <v>1.86</v>
      </c>
      <c r="E89" s="129">
        <v>1.86</v>
      </c>
      <c r="F89" s="129">
        <v>1.86</v>
      </c>
      <c r="G89" s="129">
        <v>1.86</v>
      </c>
      <c r="H89" s="129">
        <v>1.86</v>
      </c>
      <c r="I89" s="129">
        <v>1.86</v>
      </c>
      <c r="J89" s="129">
        <v>1.86</v>
      </c>
      <c r="K89" s="129">
        <v>1.86</v>
      </c>
      <c r="L89" s="129">
        <v>1.86</v>
      </c>
      <c r="M89" s="129">
        <v>1.86</v>
      </c>
      <c r="N89" s="129">
        <v>1.86</v>
      </c>
      <c r="O89" s="129">
        <v>1.86</v>
      </c>
      <c r="P89" s="129">
        <v>1.86</v>
      </c>
      <c r="Q89" s="129">
        <v>1.86</v>
      </c>
      <c r="R89" s="129">
        <v>1.86</v>
      </c>
      <c r="S89" s="129">
        <v>1.86</v>
      </c>
      <c r="T89" s="129">
        <v>1.85</v>
      </c>
      <c r="U89" s="129">
        <v>1.85</v>
      </c>
      <c r="V89" s="129">
        <v>1.85</v>
      </c>
      <c r="W89" s="129">
        <v>1.85</v>
      </c>
      <c r="X89" s="129">
        <v>1.85</v>
      </c>
      <c r="Y89" s="129">
        <v>1.85</v>
      </c>
      <c r="Z89" s="129">
        <v>1.84</v>
      </c>
      <c r="AA89" s="129">
        <v>1.84</v>
      </c>
      <c r="AB89" s="129">
        <v>1.84</v>
      </c>
      <c r="AC89" s="129">
        <v>1.84</v>
      </c>
      <c r="AD89" s="129">
        <v>1.84</v>
      </c>
      <c r="AE89" s="129">
        <v>1.84</v>
      </c>
      <c r="AF89" s="129">
        <v>1.83</v>
      </c>
      <c r="AG89" s="129">
        <v>1.83</v>
      </c>
      <c r="AH89" s="129">
        <v>1.83</v>
      </c>
      <c r="AI89" s="129">
        <v>1.83</v>
      </c>
      <c r="AJ89" s="129">
        <v>1.82</v>
      </c>
      <c r="AK89" s="129">
        <v>1.82</v>
      </c>
      <c r="AL89" s="129">
        <v>1.82</v>
      </c>
      <c r="AM89" s="129">
        <v>1.82</v>
      </c>
      <c r="AN89" s="129">
        <v>1.82</v>
      </c>
      <c r="AO89" s="129">
        <v>1.81</v>
      </c>
      <c r="AP89" s="129">
        <v>1.81</v>
      </c>
      <c r="AQ89" s="129">
        <v>1.81</v>
      </c>
      <c r="AR89" s="129">
        <v>1.81</v>
      </c>
      <c r="AS89" s="129">
        <v>1.8</v>
      </c>
      <c r="AT89" s="129">
        <v>1.8</v>
      </c>
      <c r="AU89" s="129">
        <v>1.8</v>
      </c>
      <c r="AV89" s="129">
        <v>1.79</v>
      </c>
      <c r="AW89" s="129">
        <v>1.79</v>
      </c>
      <c r="AX89" s="129">
        <v>1.79</v>
      </c>
      <c r="AY89" s="129">
        <v>1.78</v>
      </c>
      <c r="AZ89" s="129">
        <v>1.78</v>
      </c>
      <c r="BA89" s="129">
        <v>1.78</v>
      </c>
      <c r="BB89" s="129">
        <v>1.79</v>
      </c>
      <c r="BC89" s="129">
        <v>1.79</v>
      </c>
      <c r="BD89" s="129">
        <v>1.79</v>
      </c>
      <c r="BE89" s="129">
        <v>1.8</v>
      </c>
      <c r="BF89" s="129">
        <v>1.8</v>
      </c>
      <c r="BG89" s="129">
        <v>1.8</v>
      </c>
      <c r="BH89" s="129">
        <v>1.81</v>
      </c>
      <c r="BI89" s="129">
        <v>1.81</v>
      </c>
      <c r="BJ89" s="129">
        <v>1.81</v>
      </c>
      <c r="BK89" s="129">
        <v>1.81</v>
      </c>
      <c r="BL89" s="129">
        <v>1.82</v>
      </c>
      <c r="BM89" s="129">
        <v>1.82</v>
      </c>
      <c r="BN89" s="129">
        <v>1.82</v>
      </c>
      <c r="BO89" s="129">
        <v>1.82</v>
      </c>
      <c r="BP89" s="129">
        <v>1.82</v>
      </c>
      <c r="BQ89" s="129">
        <v>1.83</v>
      </c>
      <c r="BR89" s="129">
        <v>1.83</v>
      </c>
      <c r="BS89" s="129">
        <v>1.83</v>
      </c>
      <c r="BT89" s="129">
        <v>1.83</v>
      </c>
      <c r="BU89" s="129">
        <v>1.84</v>
      </c>
      <c r="BV89" s="129">
        <v>1.84</v>
      </c>
      <c r="BW89" s="129">
        <v>1.84</v>
      </c>
      <c r="BX89" s="129">
        <v>1.84</v>
      </c>
      <c r="BY89" s="129">
        <v>1.84</v>
      </c>
      <c r="BZ89" s="129">
        <v>1.84</v>
      </c>
      <c r="CA89" s="129">
        <v>1.85</v>
      </c>
      <c r="CB89" s="129">
        <v>1.85</v>
      </c>
      <c r="CC89" s="129">
        <v>1.85</v>
      </c>
      <c r="CD89" s="129">
        <v>1.85</v>
      </c>
      <c r="CE89" s="129">
        <v>1.85</v>
      </c>
      <c r="CF89" s="129">
        <v>1.85</v>
      </c>
      <c r="CG89" s="129">
        <v>1.86</v>
      </c>
      <c r="CH89" s="129">
        <v>1.86</v>
      </c>
      <c r="CI89" s="129">
        <v>1.86</v>
      </c>
      <c r="CJ89" s="129">
        <v>1.86</v>
      </c>
      <c r="CK89" s="129">
        <v>1.87</v>
      </c>
      <c r="CL89" s="129">
        <v>1.88</v>
      </c>
      <c r="CM89" s="129">
        <v>1.89</v>
      </c>
      <c r="CN89" s="129">
        <v>1.9</v>
      </c>
      <c r="CO89" s="129">
        <v>1.91</v>
      </c>
      <c r="CP89" s="129">
        <v>1.91</v>
      </c>
      <c r="CQ89" s="129">
        <v>1.92</v>
      </c>
      <c r="CR89" s="129">
        <v>1.93</v>
      </c>
      <c r="CS89" s="129">
        <v>1.95</v>
      </c>
      <c r="CT89" s="129">
        <v>1.96</v>
      </c>
      <c r="CU89" s="129">
        <v>1.97</v>
      </c>
      <c r="CV89" s="129">
        <v>1.98</v>
      </c>
      <c r="CW89" s="129">
        <v>1.99</v>
      </c>
      <c r="CX89" s="129">
        <v>2</v>
      </c>
      <c r="CZ89" s="126">
        <f>SUMIF(MatrixF4[[1]:[2]],MatrixF4[[#This Row],[Столбец1]])/MatrixF4[[#This Row],[Столбец1]]</f>
        <v>165.00000000000068</v>
      </c>
    </row>
    <row r="90" spans="1:104" ht="21" customHeight="1" x14ac:dyDescent="0.25">
      <c r="A90" s="127">
        <v>1.87</v>
      </c>
      <c r="B90" s="129">
        <v>1.87</v>
      </c>
      <c r="C90" s="129">
        <v>1.87</v>
      </c>
      <c r="D90" s="129">
        <v>1.87</v>
      </c>
      <c r="E90" s="129">
        <v>1.87</v>
      </c>
      <c r="F90" s="129">
        <v>1.87</v>
      </c>
      <c r="G90" s="129">
        <v>1.87</v>
      </c>
      <c r="H90" s="129">
        <v>1.87</v>
      </c>
      <c r="I90" s="129">
        <v>1.87</v>
      </c>
      <c r="J90" s="129">
        <v>1.87</v>
      </c>
      <c r="K90" s="129">
        <v>1.87</v>
      </c>
      <c r="L90" s="129">
        <v>1.87</v>
      </c>
      <c r="M90" s="129">
        <v>1.87</v>
      </c>
      <c r="N90" s="129">
        <v>1.87</v>
      </c>
      <c r="O90" s="129">
        <v>1.87</v>
      </c>
      <c r="P90" s="129">
        <v>1.87</v>
      </c>
      <c r="Q90" s="129">
        <v>1.87</v>
      </c>
      <c r="R90" s="129">
        <v>1.87</v>
      </c>
      <c r="S90" s="129">
        <v>1.86</v>
      </c>
      <c r="T90" s="129">
        <v>1.86</v>
      </c>
      <c r="U90" s="129">
        <v>1.86</v>
      </c>
      <c r="V90" s="129">
        <v>1.86</v>
      </c>
      <c r="W90" s="129">
        <v>1.86</v>
      </c>
      <c r="X90" s="129">
        <v>1.86</v>
      </c>
      <c r="Y90" s="129">
        <v>1.86</v>
      </c>
      <c r="Z90" s="129">
        <v>1.85</v>
      </c>
      <c r="AA90" s="129">
        <v>1.85</v>
      </c>
      <c r="AB90" s="129">
        <v>1.85</v>
      </c>
      <c r="AC90" s="129">
        <v>1.85</v>
      </c>
      <c r="AD90" s="129">
        <v>1.85</v>
      </c>
      <c r="AE90" s="129">
        <v>1.85</v>
      </c>
      <c r="AF90" s="129">
        <v>1.84</v>
      </c>
      <c r="AG90" s="129">
        <v>1.84</v>
      </c>
      <c r="AH90" s="129">
        <v>1.84</v>
      </c>
      <c r="AI90" s="129">
        <v>1.84</v>
      </c>
      <c r="AJ90" s="129">
        <v>1.84</v>
      </c>
      <c r="AK90" s="129">
        <v>1.83</v>
      </c>
      <c r="AL90" s="129">
        <v>1.83</v>
      </c>
      <c r="AM90" s="129">
        <v>1.83</v>
      </c>
      <c r="AN90" s="129">
        <v>1.83</v>
      </c>
      <c r="AO90" s="129">
        <v>1.82</v>
      </c>
      <c r="AP90" s="129">
        <v>1.82</v>
      </c>
      <c r="AQ90" s="129">
        <v>1.82</v>
      </c>
      <c r="AR90" s="129">
        <v>1.82</v>
      </c>
      <c r="AS90" s="129">
        <v>1.81</v>
      </c>
      <c r="AT90" s="129">
        <v>1.81</v>
      </c>
      <c r="AU90" s="129">
        <v>1.81</v>
      </c>
      <c r="AV90" s="129">
        <v>1.81</v>
      </c>
      <c r="AW90" s="129">
        <v>1.8</v>
      </c>
      <c r="AX90" s="129">
        <v>1.8</v>
      </c>
      <c r="AY90" s="129">
        <v>1.8</v>
      </c>
      <c r="AZ90" s="129">
        <v>1.79</v>
      </c>
      <c r="BA90" s="129">
        <v>1.8</v>
      </c>
      <c r="BB90" s="129">
        <v>1.8</v>
      </c>
      <c r="BC90" s="129">
        <v>1.8</v>
      </c>
      <c r="BD90" s="129">
        <v>1.81</v>
      </c>
      <c r="BE90" s="129">
        <v>1.81</v>
      </c>
      <c r="BF90" s="129">
        <v>1.81</v>
      </c>
      <c r="BG90" s="129">
        <v>1.81</v>
      </c>
      <c r="BH90" s="129">
        <v>1.82</v>
      </c>
      <c r="BI90" s="129">
        <v>1.82</v>
      </c>
      <c r="BJ90" s="129">
        <v>1.82</v>
      </c>
      <c r="BK90" s="129">
        <v>1.82</v>
      </c>
      <c r="BL90" s="129">
        <v>1.83</v>
      </c>
      <c r="BM90" s="129">
        <v>1.83</v>
      </c>
      <c r="BN90" s="129">
        <v>1.83</v>
      </c>
      <c r="BO90" s="129">
        <v>1.83</v>
      </c>
      <c r="BP90" s="129">
        <v>1.84</v>
      </c>
      <c r="BQ90" s="129">
        <v>1.84</v>
      </c>
      <c r="BR90" s="129">
        <v>1.84</v>
      </c>
      <c r="BS90" s="129">
        <v>1.84</v>
      </c>
      <c r="BT90" s="129">
        <v>1.84</v>
      </c>
      <c r="BU90" s="129">
        <v>1.85</v>
      </c>
      <c r="BV90" s="129">
        <v>1.85</v>
      </c>
      <c r="BW90" s="129">
        <v>1.85</v>
      </c>
      <c r="BX90" s="129">
        <v>1.85</v>
      </c>
      <c r="BY90" s="129">
        <v>1.85</v>
      </c>
      <c r="BZ90" s="129">
        <v>1.85</v>
      </c>
      <c r="CA90" s="129">
        <v>1.86</v>
      </c>
      <c r="CB90" s="129">
        <v>1.86</v>
      </c>
      <c r="CC90" s="129">
        <v>1.86</v>
      </c>
      <c r="CD90" s="129">
        <v>1.86</v>
      </c>
      <c r="CE90" s="129">
        <v>1.86</v>
      </c>
      <c r="CF90" s="129">
        <v>1.86</v>
      </c>
      <c r="CG90" s="129">
        <v>1.86</v>
      </c>
      <c r="CH90" s="129">
        <v>1.87</v>
      </c>
      <c r="CI90" s="129">
        <v>1.87</v>
      </c>
      <c r="CJ90" s="129">
        <v>1.87</v>
      </c>
      <c r="CK90" s="129">
        <v>1.87</v>
      </c>
      <c r="CL90" s="129">
        <v>1.88</v>
      </c>
      <c r="CM90" s="129">
        <v>1.89</v>
      </c>
      <c r="CN90" s="129">
        <v>1.9</v>
      </c>
      <c r="CO90" s="129">
        <v>1.91</v>
      </c>
      <c r="CP90" s="129">
        <v>1.92</v>
      </c>
      <c r="CQ90" s="129">
        <v>1.93</v>
      </c>
      <c r="CR90" s="129">
        <v>1.94</v>
      </c>
      <c r="CS90" s="129">
        <v>1.95</v>
      </c>
      <c r="CT90" s="129">
        <v>1.96</v>
      </c>
      <c r="CU90" s="129">
        <v>1.97</v>
      </c>
      <c r="CV90" s="129">
        <v>1.98</v>
      </c>
      <c r="CW90" s="129">
        <v>1.99</v>
      </c>
      <c r="CX90" s="129">
        <v>2</v>
      </c>
      <c r="CZ90" s="126">
        <f>SUMIF(MatrixF4[[1]:[2]],MatrixF4[[#This Row],[Столбец1]])/MatrixF4[[#This Row],[Столбец1]]</f>
        <v>149.00000000000023</v>
      </c>
    </row>
    <row r="91" spans="1:104" ht="21" customHeight="1" x14ac:dyDescent="0.25">
      <c r="A91" s="127">
        <v>1.88</v>
      </c>
      <c r="B91" s="129">
        <v>1.88</v>
      </c>
      <c r="C91" s="129">
        <v>1.88</v>
      </c>
      <c r="D91" s="129">
        <v>1.88</v>
      </c>
      <c r="E91" s="129">
        <v>1.88</v>
      </c>
      <c r="F91" s="129">
        <v>1.88</v>
      </c>
      <c r="G91" s="129">
        <v>1.88</v>
      </c>
      <c r="H91" s="129">
        <v>1.88</v>
      </c>
      <c r="I91" s="129">
        <v>1.88</v>
      </c>
      <c r="J91" s="129">
        <v>1.88</v>
      </c>
      <c r="K91" s="129">
        <v>1.88</v>
      </c>
      <c r="L91" s="129">
        <v>1.88</v>
      </c>
      <c r="M91" s="129">
        <v>1.88</v>
      </c>
      <c r="N91" s="129">
        <v>1.88</v>
      </c>
      <c r="O91" s="129">
        <v>1.88</v>
      </c>
      <c r="P91" s="129">
        <v>1.88</v>
      </c>
      <c r="Q91" s="129">
        <v>1.88</v>
      </c>
      <c r="R91" s="129">
        <v>1.88</v>
      </c>
      <c r="S91" s="129">
        <v>1.87</v>
      </c>
      <c r="T91" s="129">
        <v>1.87</v>
      </c>
      <c r="U91" s="129">
        <v>1.87</v>
      </c>
      <c r="V91" s="129">
        <v>1.87</v>
      </c>
      <c r="W91" s="129">
        <v>1.87</v>
      </c>
      <c r="X91" s="129">
        <v>1.87</v>
      </c>
      <c r="Y91" s="129">
        <v>1.87</v>
      </c>
      <c r="Z91" s="129">
        <v>1.86</v>
      </c>
      <c r="AA91" s="129">
        <v>1.86</v>
      </c>
      <c r="AB91" s="129">
        <v>1.86</v>
      </c>
      <c r="AC91" s="129">
        <v>1.86</v>
      </c>
      <c r="AD91" s="129">
        <v>1.86</v>
      </c>
      <c r="AE91" s="129">
        <v>1.86</v>
      </c>
      <c r="AF91" s="129">
        <v>1.85</v>
      </c>
      <c r="AG91" s="129">
        <v>1.85</v>
      </c>
      <c r="AH91" s="129">
        <v>1.85</v>
      </c>
      <c r="AI91" s="129">
        <v>1.85</v>
      </c>
      <c r="AJ91" s="129">
        <v>1.85</v>
      </c>
      <c r="AK91" s="129">
        <v>1.84</v>
      </c>
      <c r="AL91" s="129">
        <v>1.84</v>
      </c>
      <c r="AM91" s="129">
        <v>1.84</v>
      </c>
      <c r="AN91" s="129">
        <v>1.84</v>
      </c>
      <c r="AO91" s="129">
        <v>1.84</v>
      </c>
      <c r="AP91" s="129">
        <v>1.83</v>
      </c>
      <c r="AQ91" s="129">
        <v>1.83</v>
      </c>
      <c r="AR91" s="129">
        <v>1.83</v>
      </c>
      <c r="AS91" s="129">
        <v>1.83</v>
      </c>
      <c r="AT91" s="129">
        <v>1.82</v>
      </c>
      <c r="AU91" s="129">
        <v>1.82</v>
      </c>
      <c r="AV91" s="129">
        <v>1.82</v>
      </c>
      <c r="AW91" s="129">
        <v>1.82</v>
      </c>
      <c r="AX91" s="129">
        <v>1.81</v>
      </c>
      <c r="AY91" s="129">
        <v>1.81</v>
      </c>
      <c r="AZ91" s="129">
        <v>1.81</v>
      </c>
      <c r="BA91" s="129">
        <v>1.81</v>
      </c>
      <c r="BB91" s="129">
        <v>1.81</v>
      </c>
      <c r="BC91" s="129">
        <v>1.82</v>
      </c>
      <c r="BD91" s="129">
        <v>1.82</v>
      </c>
      <c r="BE91" s="129">
        <v>1.82</v>
      </c>
      <c r="BF91" s="129">
        <v>1.82</v>
      </c>
      <c r="BG91" s="129">
        <v>1.83</v>
      </c>
      <c r="BH91" s="129">
        <v>1.83</v>
      </c>
      <c r="BI91" s="129">
        <v>1.83</v>
      </c>
      <c r="BJ91" s="129">
        <v>1.83</v>
      </c>
      <c r="BK91" s="129">
        <v>1.84</v>
      </c>
      <c r="BL91" s="129">
        <v>1.84</v>
      </c>
      <c r="BM91" s="129">
        <v>1.84</v>
      </c>
      <c r="BN91" s="129">
        <v>1.84</v>
      </c>
      <c r="BO91" s="129">
        <v>1.84</v>
      </c>
      <c r="BP91" s="129">
        <v>1.85</v>
      </c>
      <c r="BQ91" s="129">
        <v>1.85</v>
      </c>
      <c r="BR91" s="129">
        <v>1.85</v>
      </c>
      <c r="BS91" s="129">
        <v>1.85</v>
      </c>
      <c r="BT91" s="129">
        <v>1.85</v>
      </c>
      <c r="BU91" s="129">
        <v>1.86</v>
      </c>
      <c r="BV91" s="129">
        <v>1.86</v>
      </c>
      <c r="BW91" s="129">
        <v>1.86</v>
      </c>
      <c r="BX91" s="129">
        <v>1.86</v>
      </c>
      <c r="BY91" s="129">
        <v>1.86</v>
      </c>
      <c r="BZ91" s="129">
        <v>1.86</v>
      </c>
      <c r="CA91" s="129">
        <v>1.87</v>
      </c>
      <c r="CB91" s="129">
        <v>1.87</v>
      </c>
      <c r="CC91" s="129">
        <v>1.87</v>
      </c>
      <c r="CD91" s="129">
        <v>1.87</v>
      </c>
      <c r="CE91" s="129">
        <v>1.87</v>
      </c>
      <c r="CF91" s="129">
        <v>1.87</v>
      </c>
      <c r="CG91" s="129">
        <v>1.87</v>
      </c>
      <c r="CH91" s="129">
        <v>1.88</v>
      </c>
      <c r="CI91" s="129">
        <v>1.88</v>
      </c>
      <c r="CJ91" s="129">
        <v>1.88</v>
      </c>
      <c r="CK91" s="129">
        <v>1.88</v>
      </c>
      <c r="CL91" s="129">
        <v>1.88</v>
      </c>
      <c r="CM91" s="129">
        <v>1.89</v>
      </c>
      <c r="CN91" s="129">
        <v>1.9</v>
      </c>
      <c r="CO91" s="129">
        <v>1.91</v>
      </c>
      <c r="CP91" s="129">
        <v>1.92</v>
      </c>
      <c r="CQ91" s="129">
        <v>1.93</v>
      </c>
      <c r="CR91" s="129">
        <v>1.94</v>
      </c>
      <c r="CS91" s="129">
        <v>1.95</v>
      </c>
      <c r="CT91" s="129">
        <v>1.96</v>
      </c>
      <c r="CU91" s="129">
        <v>1.97</v>
      </c>
      <c r="CV91" s="129">
        <v>1.98</v>
      </c>
      <c r="CW91" s="129">
        <v>1.99</v>
      </c>
      <c r="CX91" s="129">
        <v>2</v>
      </c>
      <c r="CZ91" s="126">
        <f>SUMIF(MatrixF4[[1]:[2]],MatrixF4[[#This Row],[Столбец1]])/MatrixF4[[#This Row],[Столбец1]]</f>
        <v>168.99999999999972</v>
      </c>
    </row>
    <row r="92" spans="1:104" ht="21" customHeight="1" x14ac:dyDescent="0.25">
      <c r="A92" s="127">
        <v>1.89</v>
      </c>
      <c r="B92" s="129">
        <v>1.89</v>
      </c>
      <c r="C92" s="129">
        <v>1.89</v>
      </c>
      <c r="D92" s="129">
        <v>1.89</v>
      </c>
      <c r="E92" s="129">
        <v>1.89</v>
      </c>
      <c r="F92" s="129">
        <v>1.89</v>
      </c>
      <c r="G92" s="129">
        <v>1.89</v>
      </c>
      <c r="H92" s="129">
        <v>1.89</v>
      </c>
      <c r="I92" s="129">
        <v>1.89</v>
      </c>
      <c r="J92" s="129">
        <v>1.89</v>
      </c>
      <c r="K92" s="129">
        <v>1.89</v>
      </c>
      <c r="L92" s="129">
        <v>1.89</v>
      </c>
      <c r="M92" s="129">
        <v>1.89</v>
      </c>
      <c r="N92" s="129">
        <v>1.89</v>
      </c>
      <c r="O92" s="129">
        <v>1.89</v>
      </c>
      <c r="P92" s="129">
        <v>1.89</v>
      </c>
      <c r="Q92" s="129">
        <v>1.89</v>
      </c>
      <c r="R92" s="129">
        <v>1.88</v>
      </c>
      <c r="S92" s="129">
        <v>1.88</v>
      </c>
      <c r="T92" s="129">
        <v>1.88</v>
      </c>
      <c r="U92" s="129">
        <v>1.88</v>
      </c>
      <c r="V92" s="129">
        <v>1.88</v>
      </c>
      <c r="W92" s="129">
        <v>1.88</v>
      </c>
      <c r="X92" s="129">
        <v>1.88</v>
      </c>
      <c r="Y92" s="129">
        <v>1.88</v>
      </c>
      <c r="Z92" s="129">
        <v>1.87</v>
      </c>
      <c r="AA92" s="129">
        <v>1.87</v>
      </c>
      <c r="AB92" s="129">
        <v>1.87</v>
      </c>
      <c r="AC92" s="129">
        <v>1.87</v>
      </c>
      <c r="AD92" s="129">
        <v>1.87</v>
      </c>
      <c r="AE92" s="129">
        <v>1.87</v>
      </c>
      <c r="AF92" s="129">
        <v>1.86</v>
      </c>
      <c r="AG92" s="129">
        <v>1.86</v>
      </c>
      <c r="AH92" s="129">
        <v>1.86</v>
      </c>
      <c r="AI92" s="129">
        <v>1.86</v>
      </c>
      <c r="AJ92" s="129">
        <v>1.86</v>
      </c>
      <c r="AK92" s="129">
        <v>1.86</v>
      </c>
      <c r="AL92" s="129">
        <v>1.85</v>
      </c>
      <c r="AM92" s="129">
        <v>1.85</v>
      </c>
      <c r="AN92" s="129">
        <v>1.85</v>
      </c>
      <c r="AO92" s="129">
        <v>1.85</v>
      </c>
      <c r="AP92" s="129">
        <v>1.85</v>
      </c>
      <c r="AQ92" s="129">
        <v>1.84</v>
      </c>
      <c r="AR92" s="129">
        <v>1.84</v>
      </c>
      <c r="AS92" s="129">
        <v>1.84</v>
      </c>
      <c r="AT92" s="129">
        <v>1.84</v>
      </c>
      <c r="AU92" s="129">
        <v>1.83</v>
      </c>
      <c r="AV92" s="129">
        <v>1.83</v>
      </c>
      <c r="AW92" s="129">
        <v>1.83</v>
      </c>
      <c r="AX92" s="129">
        <v>1.83</v>
      </c>
      <c r="AY92" s="129">
        <v>1.82</v>
      </c>
      <c r="AZ92" s="129">
        <v>1.82</v>
      </c>
      <c r="BA92" s="129">
        <v>1.82</v>
      </c>
      <c r="BB92" s="129">
        <v>1.83</v>
      </c>
      <c r="BC92" s="129">
        <v>1.83</v>
      </c>
      <c r="BD92" s="129">
        <v>1.83</v>
      </c>
      <c r="BE92" s="129">
        <v>1.83</v>
      </c>
      <c r="BF92" s="129">
        <v>1.84</v>
      </c>
      <c r="BG92" s="129">
        <v>1.84</v>
      </c>
      <c r="BH92" s="129">
        <v>1.84</v>
      </c>
      <c r="BI92" s="129">
        <v>1.84</v>
      </c>
      <c r="BJ92" s="129">
        <v>1.85</v>
      </c>
      <c r="BK92" s="129">
        <v>1.85</v>
      </c>
      <c r="BL92" s="129">
        <v>1.85</v>
      </c>
      <c r="BM92" s="129">
        <v>1.85</v>
      </c>
      <c r="BN92" s="129">
        <v>1.85</v>
      </c>
      <c r="BO92" s="129">
        <v>1.86</v>
      </c>
      <c r="BP92" s="129">
        <v>1.86</v>
      </c>
      <c r="BQ92" s="129">
        <v>1.86</v>
      </c>
      <c r="BR92" s="129">
        <v>1.86</v>
      </c>
      <c r="BS92" s="129">
        <v>1.86</v>
      </c>
      <c r="BT92" s="129">
        <v>1.86</v>
      </c>
      <c r="BU92" s="129">
        <v>1.87</v>
      </c>
      <c r="BV92" s="129">
        <v>1.87</v>
      </c>
      <c r="BW92" s="129">
        <v>1.87</v>
      </c>
      <c r="BX92" s="129">
        <v>1.87</v>
      </c>
      <c r="BY92" s="129">
        <v>1.87</v>
      </c>
      <c r="BZ92" s="129">
        <v>1.87</v>
      </c>
      <c r="CA92" s="129">
        <v>1.88</v>
      </c>
      <c r="CB92" s="129">
        <v>1.88</v>
      </c>
      <c r="CC92" s="129">
        <v>1.88</v>
      </c>
      <c r="CD92" s="129">
        <v>1.88</v>
      </c>
      <c r="CE92" s="129">
        <v>1.88</v>
      </c>
      <c r="CF92" s="129">
        <v>1.88</v>
      </c>
      <c r="CG92" s="129">
        <v>1.88</v>
      </c>
      <c r="CH92" s="129">
        <v>1.88</v>
      </c>
      <c r="CI92" s="129">
        <v>1.89</v>
      </c>
      <c r="CJ92" s="129">
        <v>1.89</v>
      </c>
      <c r="CK92" s="129">
        <v>1.89</v>
      </c>
      <c r="CL92" s="129">
        <v>1.89</v>
      </c>
      <c r="CM92" s="129">
        <v>1.89</v>
      </c>
      <c r="CN92" s="129">
        <v>1.9</v>
      </c>
      <c r="CO92" s="129">
        <v>1.91</v>
      </c>
      <c r="CP92" s="129">
        <v>1.92</v>
      </c>
      <c r="CQ92" s="129">
        <v>1.93</v>
      </c>
      <c r="CR92" s="129">
        <v>1.94</v>
      </c>
      <c r="CS92" s="129">
        <v>1.95</v>
      </c>
      <c r="CT92" s="129">
        <v>1.96</v>
      </c>
      <c r="CU92" s="129">
        <v>1.97</v>
      </c>
      <c r="CV92" s="129">
        <v>1.98</v>
      </c>
      <c r="CW92" s="129">
        <v>1.99</v>
      </c>
      <c r="CX92" s="129">
        <v>2</v>
      </c>
      <c r="CZ92" s="126">
        <f>SUMIF(MatrixF4[[1]:[2]],MatrixF4[[#This Row],[Столбец1]])/MatrixF4[[#This Row],[Столбец1]]</f>
        <v>162.99999999999935</v>
      </c>
    </row>
    <row r="93" spans="1:104" ht="21" customHeight="1" x14ac:dyDescent="0.25">
      <c r="A93" s="127">
        <v>1.9</v>
      </c>
      <c r="B93" s="129">
        <v>1.9</v>
      </c>
      <c r="C93" s="129">
        <v>1.9</v>
      </c>
      <c r="D93" s="129">
        <v>1.9</v>
      </c>
      <c r="E93" s="129">
        <v>1.9</v>
      </c>
      <c r="F93" s="129">
        <v>1.9</v>
      </c>
      <c r="G93" s="129">
        <v>1.9</v>
      </c>
      <c r="H93" s="129">
        <v>1.9</v>
      </c>
      <c r="I93" s="129">
        <v>1.9</v>
      </c>
      <c r="J93" s="129">
        <v>1.9</v>
      </c>
      <c r="K93" s="129">
        <v>1.9</v>
      </c>
      <c r="L93" s="129">
        <v>1.9</v>
      </c>
      <c r="M93" s="129">
        <v>1.9</v>
      </c>
      <c r="N93" s="129">
        <v>1.9</v>
      </c>
      <c r="O93" s="129">
        <v>1.9</v>
      </c>
      <c r="P93" s="129">
        <v>1.9</v>
      </c>
      <c r="Q93" s="129">
        <v>1.89</v>
      </c>
      <c r="R93" s="129">
        <v>1.89</v>
      </c>
      <c r="S93" s="129">
        <v>1.89</v>
      </c>
      <c r="T93" s="129">
        <v>1.89</v>
      </c>
      <c r="U93" s="129">
        <v>1.89</v>
      </c>
      <c r="V93" s="129">
        <v>1.89</v>
      </c>
      <c r="W93" s="129">
        <v>1.89</v>
      </c>
      <c r="X93" s="129">
        <v>1.89</v>
      </c>
      <c r="Y93" s="129">
        <v>1.89</v>
      </c>
      <c r="Z93" s="129">
        <v>1.88</v>
      </c>
      <c r="AA93" s="129">
        <v>1.88</v>
      </c>
      <c r="AB93" s="129">
        <v>1.88</v>
      </c>
      <c r="AC93" s="129">
        <v>1.88</v>
      </c>
      <c r="AD93" s="129">
        <v>1.88</v>
      </c>
      <c r="AE93" s="129">
        <v>1.88</v>
      </c>
      <c r="AF93" s="129">
        <v>1.88</v>
      </c>
      <c r="AG93" s="129">
        <v>1.87</v>
      </c>
      <c r="AH93" s="129">
        <v>1.87</v>
      </c>
      <c r="AI93" s="129">
        <v>1.87</v>
      </c>
      <c r="AJ93" s="129">
        <v>1.87</v>
      </c>
      <c r="AK93" s="129">
        <v>1.87</v>
      </c>
      <c r="AL93" s="129">
        <v>1.86</v>
      </c>
      <c r="AM93" s="129">
        <v>1.86</v>
      </c>
      <c r="AN93" s="129">
        <v>1.86</v>
      </c>
      <c r="AO93" s="129">
        <v>1.86</v>
      </c>
      <c r="AP93" s="129">
        <v>1.86</v>
      </c>
      <c r="AQ93" s="129">
        <v>1.86</v>
      </c>
      <c r="AR93" s="129">
        <v>1.85</v>
      </c>
      <c r="AS93" s="129">
        <v>1.85</v>
      </c>
      <c r="AT93" s="129">
        <v>1.85</v>
      </c>
      <c r="AU93" s="129">
        <v>1.85</v>
      </c>
      <c r="AV93" s="129">
        <v>1.84</v>
      </c>
      <c r="AW93" s="129">
        <v>1.84</v>
      </c>
      <c r="AX93" s="129">
        <v>1.84</v>
      </c>
      <c r="AY93" s="129">
        <v>1.84</v>
      </c>
      <c r="AZ93" s="129">
        <v>1.83</v>
      </c>
      <c r="BA93" s="129">
        <v>1.84</v>
      </c>
      <c r="BB93" s="129">
        <v>1.84</v>
      </c>
      <c r="BC93" s="129">
        <v>1.84</v>
      </c>
      <c r="BD93" s="129">
        <v>1.84</v>
      </c>
      <c r="BE93" s="129">
        <v>1.85</v>
      </c>
      <c r="BF93" s="129">
        <v>1.85</v>
      </c>
      <c r="BG93" s="129">
        <v>1.85</v>
      </c>
      <c r="BH93" s="129">
        <v>1.85</v>
      </c>
      <c r="BI93" s="129">
        <v>1.86</v>
      </c>
      <c r="BJ93" s="129">
        <v>1.86</v>
      </c>
      <c r="BK93" s="129">
        <v>1.86</v>
      </c>
      <c r="BL93" s="129">
        <v>1.86</v>
      </c>
      <c r="BM93" s="129">
        <v>1.86</v>
      </c>
      <c r="BN93" s="129">
        <v>1.86</v>
      </c>
      <c r="BO93" s="129">
        <v>1.87</v>
      </c>
      <c r="BP93" s="129">
        <v>1.87</v>
      </c>
      <c r="BQ93" s="129">
        <v>1.87</v>
      </c>
      <c r="BR93" s="129">
        <v>1.87</v>
      </c>
      <c r="BS93" s="129">
        <v>1.87</v>
      </c>
      <c r="BT93" s="129">
        <v>1.88</v>
      </c>
      <c r="BU93" s="129">
        <v>1.88</v>
      </c>
      <c r="BV93" s="129">
        <v>1.88</v>
      </c>
      <c r="BW93" s="129">
        <v>1.88</v>
      </c>
      <c r="BX93" s="129">
        <v>1.88</v>
      </c>
      <c r="BY93" s="129">
        <v>1.88</v>
      </c>
      <c r="BZ93" s="129">
        <v>1.88</v>
      </c>
      <c r="CA93" s="129">
        <v>1.89</v>
      </c>
      <c r="CB93" s="129">
        <v>1.89</v>
      </c>
      <c r="CC93" s="129">
        <v>1.89</v>
      </c>
      <c r="CD93" s="129">
        <v>1.89</v>
      </c>
      <c r="CE93" s="129">
        <v>1.89</v>
      </c>
      <c r="CF93" s="129">
        <v>1.89</v>
      </c>
      <c r="CG93" s="129">
        <v>1.89</v>
      </c>
      <c r="CH93" s="129">
        <v>1.89</v>
      </c>
      <c r="CI93" s="129">
        <v>1.89</v>
      </c>
      <c r="CJ93" s="129">
        <v>1.9</v>
      </c>
      <c r="CK93" s="129">
        <v>1.9</v>
      </c>
      <c r="CL93" s="129">
        <v>1.9</v>
      </c>
      <c r="CM93" s="129">
        <v>1.9</v>
      </c>
      <c r="CN93" s="129">
        <v>1.9</v>
      </c>
      <c r="CO93" s="129">
        <v>1.91</v>
      </c>
      <c r="CP93" s="129">
        <v>1.92</v>
      </c>
      <c r="CQ93" s="129">
        <v>1.93</v>
      </c>
      <c r="CR93" s="129">
        <v>1.94</v>
      </c>
      <c r="CS93" s="129">
        <v>1.95</v>
      </c>
      <c r="CT93" s="129">
        <v>1.96</v>
      </c>
      <c r="CU93" s="129">
        <v>1.97</v>
      </c>
      <c r="CV93" s="129">
        <v>1.98</v>
      </c>
      <c r="CW93" s="129">
        <v>1.99</v>
      </c>
      <c r="CX93" s="129">
        <v>2</v>
      </c>
      <c r="CZ93" s="126">
        <f>SUMIF(MatrixF4[[1]:[2]],MatrixF4[[#This Row],[Столбец1]])/MatrixF4[[#This Row],[Столбец1]]</f>
        <v>159</v>
      </c>
    </row>
    <row r="94" spans="1:104" ht="21" customHeight="1" x14ac:dyDescent="0.25">
      <c r="A94" s="127">
        <v>1.91</v>
      </c>
      <c r="B94" s="129">
        <v>1.91</v>
      </c>
      <c r="C94" s="129">
        <v>1.91</v>
      </c>
      <c r="D94" s="129">
        <v>1.91</v>
      </c>
      <c r="E94" s="129">
        <v>1.91</v>
      </c>
      <c r="F94" s="129">
        <v>1.91</v>
      </c>
      <c r="G94" s="129">
        <v>1.91</v>
      </c>
      <c r="H94" s="129">
        <v>1.91</v>
      </c>
      <c r="I94" s="129">
        <v>1.91</v>
      </c>
      <c r="J94" s="129">
        <v>1.91</v>
      </c>
      <c r="K94" s="129">
        <v>1.91</v>
      </c>
      <c r="L94" s="129">
        <v>1.91</v>
      </c>
      <c r="M94" s="129">
        <v>1.91</v>
      </c>
      <c r="N94" s="129">
        <v>1.91</v>
      </c>
      <c r="O94" s="129">
        <v>1.91</v>
      </c>
      <c r="P94" s="129">
        <v>1.91</v>
      </c>
      <c r="Q94" s="129">
        <v>1.9</v>
      </c>
      <c r="R94" s="129">
        <v>1.9</v>
      </c>
      <c r="S94" s="129">
        <v>1.9</v>
      </c>
      <c r="T94" s="129">
        <v>1.9</v>
      </c>
      <c r="U94" s="129">
        <v>1.9</v>
      </c>
      <c r="V94" s="129">
        <v>1.9</v>
      </c>
      <c r="W94" s="129">
        <v>1.9</v>
      </c>
      <c r="X94" s="129">
        <v>1.9</v>
      </c>
      <c r="Y94" s="129">
        <v>1.9</v>
      </c>
      <c r="Z94" s="129">
        <v>1.89</v>
      </c>
      <c r="AA94" s="129">
        <v>1.89</v>
      </c>
      <c r="AB94" s="129">
        <v>1.89</v>
      </c>
      <c r="AC94" s="129">
        <v>1.89</v>
      </c>
      <c r="AD94" s="129">
        <v>1.89</v>
      </c>
      <c r="AE94" s="129">
        <v>1.89</v>
      </c>
      <c r="AF94" s="129">
        <v>1.89</v>
      </c>
      <c r="AG94" s="129">
        <v>1.88</v>
      </c>
      <c r="AH94" s="129">
        <v>1.88</v>
      </c>
      <c r="AI94" s="129">
        <v>1.88</v>
      </c>
      <c r="AJ94" s="129">
        <v>1.88</v>
      </c>
      <c r="AK94" s="129">
        <v>1.88</v>
      </c>
      <c r="AL94" s="129">
        <v>1.88</v>
      </c>
      <c r="AM94" s="129">
        <v>1.88</v>
      </c>
      <c r="AN94" s="129">
        <v>1.87</v>
      </c>
      <c r="AO94" s="129">
        <v>1.87</v>
      </c>
      <c r="AP94" s="129">
        <v>1.87</v>
      </c>
      <c r="AQ94" s="129">
        <v>1.87</v>
      </c>
      <c r="AR94" s="129">
        <v>1.87</v>
      </c>
      <c r="AS94" s="129">
        <v>1.86</v>
      </c>
      <c r="AT94" s="129">
        <v>1.86</v>
      </c>
      <c r="AU94" s="129">
        <v>1.86</v>
      </c>
      <c r="AV94" s="129">
        <v>1.86</v>
      </c>
      <c r="AW94" s="129">
        <v>1.85</v>
      </c>
      <c r="AX94" s="129">
        <v>1.85</v>
      </c>
      <c r="AY94" s="129">
        <v>1.85</v>
      </c>
      <c r="AZ94" s="129">
        <v>1.85</v>
      </c>
      <c r="BA94" s="129">
        <v>1.85</v>
      </c>
      <c r="BB94" s="129">
        <v>1.85</v>
      </c>
      <c r="BC94" s="129">
        <v>1.85</v>
      </c>
      <c r="BD94" s="129">
        <v>1.86</v>
      </c>
      <c r="BE94" s="129">
        <v>1.86</v>
      </c>
      <c r="BF94" s="129">
        <v>1.86</v>
      </c>
      <c r="BG94" s="129">
        <v>1.86</v>
      </c>
      <c r="BH94" s="129">
        <v>1.87</v>
      </c>
      <c r="BI94" s="129">
        <v>1.87</v>
      </c>
      <c r="BJ94" s="129">
        <v>1.87</v>
      </c>
      <c r="BK94" s="129">
        <v>1.87</v>
      </c>
      <c r="BL94" s="129">
        <v>1.87</v>
      </c>
      <c r="BM94" s="129">
        <v>1.88</v>
      </c>
      <c r="BN94" s="129">
        <v>1.88</v>
      </c>
      <c r="BO94" s="129">
        <v>1.88</v>
      </c>
      <c r="BP94" s="129">
        <v>1.88</v>
      </c>
      <c r="BQ94" s="129">
        <v>1.88</v>
      </c>
      <c r="BR94" s="129">
        <v>1.88</v>
      </c>
      <c r="BS94" s="129">
        <v>1.88</v>
      </c>
      <c r="BT94" s="129">
        <v>1.89</v>
      </c>
      <c r="BU94" s="129">
        <v>1.89</v>
      </c>
      <c r="BV94" s="129">
        <v>1.89</v>
      </c>
      <c r="BW94" s="129">
        <v>1.89</v>
      </c>
      <c r="BX94" s="129">
        <v>1.89</v>
      </c>
      <c r="BY94" s="129">
        <v>1.89</v>
      </c>
      <c r="BZ94" s="129">
        <v>1.89</v>
      </c>
      <c r="CA94" s="129">
        <v>1.9</v>
      </c>
      <c r="CB94" s="129">
        <v>1.9</v>
      </c>
      <c r="CC94" s="129">
        <v>1.9</v>
      </c>
      <c r="CD94" s="129">
        <v>1.9</v>
      </c>
      <c r="CE94" s="129">
        <v>1.9</v>
      </c>
      <c r="CF94" s="129">
        <v>1.9</v>
      </c>
      <c r="CG94" s="129">
        <v>1.9</v>
      </c>
      <c r="CH94" s="129">
        <v>1.9</v>
      </c>
      <c r="CI94" s="129">
        <v>1.9</v>
      </c>
      <c r="CJ94" s="129">
        <v>1.91</v>
      </c>
      <c r="CK94" s="129">
        <v>1.91</v>
      </c>
      <c r="CL94" s="129">
        <v>1.91</v>
      </c>
      <c r="CM94" s="129">
        <v>1.91</v>
      </c>
      <c r="CN94" s="129">
        <v>1.91</v>
      </c>
      <c r="CO94" s="129">
        <v>1.91</v>
      </c>
      <c r="CP94" s="129">
        <v>1.92</v>
      </c>
      <c r="CQ94" s="129">
        <v>1.93</v>
      </c>
      <c r="CR94" s="129">
        <v>1.94</v>
      </c>
      <c r="CS94" s="129">
        <v>1.95</v>
      </c>
      <c r="CT94" s="129">
        <v>1.96</v>
      </c>
      <c r="CU94" s="129">
        <v>1.97</v>
      </c>
      <c r="CV94" s="129">
        <v>1.98</v>
      </c>
      <c r="CW94" s="129">
        <v>1.99</v>
      </c>
      <c r="CX94" s="129">
        <v>2</v>
      </c>
      <c r="CZ94" s="126">
        <f>SUMIF(MatrixF4[[1]:[2]],MatrixF4[[#This Row],[Столбец1]])/MatrixF4[[#This Row],[Столбец1]]</f>
        <v>159.00000000000011</v>
      </c>
    </row>
    <row r="95" spans="1:104" ht="21" customHeight="1" x14ac:dyDescent="0.25">
      <c r="A95" s="127">
        <v>1.92</v>
      </c>
      <c r="B95" s="129">
        <v>1.92</v>
      </c>
      <c r="C95" s="129">
        <v>1.92</v>
      </c>
      <c r="D95" s="129">
        <v>1.92</v>
      </c>
      <c r="E95" s="129">
        <v>1.92</v>
      </c>
      <c r="F95" s="129">
        <v>1.92</v>
      </c>
      <c r="G95" s="129">
        <v>1.92</v>
      </c>
      <c r="H95" s="129">
        <v>1.92</v>
      </c>
      <c r="I95" s="129">
        <v>1.92</v>
      </c>
      <c r="J95" s="129">
        <v>1.92</v>
      </c>
      <c r="K95" s="129">
        <v>1.92</v>
      </c>
      <c r="L95" s="129">
        <v>1.92</v>
      </c>
      <c r="M95" s="129">
        <v>1.92</v>
      </c>
      <c r="N95" s="129">
        <v>1.92</v>
      </c>
      <c r="O95" s="129">
        <v>1.92</v>
      </c>
      <c r="P95" s="129">
        <v>1.91</v>
      </c>
      <c r="Q95" s="129">
        <v>1.91</v>
      </c>
      <c r="R95" s="129">
        <v>1.91</v>
      </c>
      <c r="S95" s="129">
        <v>1.91</v>
      </c>
      <c r="T95" s="129">
        <v>1.91</v>
      </c>
      <c r="U95" s="129">
        <v>1.91</v>
      </c>
      <c r="V95" s="129">
        <v>1.91</v>
      </c>
      <c r="W95" s="129">
        <v>1.91</v>
      </c>
      <c r="X95" s="129">
        <v>1.91</v>
      </c>
      <c r="Y95" s="129">
        <v>1.91</v>
      </c>
      <c r="Z95" s="129">
        <v>1.9</v>
      </c>
      <c r="AA95" s="129">
        <v>1.9</v>
      </c>
      <c r="AB95" s="129">
        <v>1.9</v>
      </c>
      <c r="AC95" s="129">
        <v>1.9</v>
      </c>
      <c r="AD95" s="129">
        <v>1.9</v>
      </c>
      <c r="AE95" s="129">
        <v>1.9</v>
      </c>
      <c r="AF95" s="129">
        <v>1.9</v>
      </c>
      <c r="AG95" s="129">
        <v>1.9</v>
      </c>
      <c r="AH95" s="129">
        <v>1.89</v>
      </c>
      <c r="AI95" s="129">
        <v>1.89</v>
      </c>
      <c r="AJ95" s="129">
        <v>1.89</v>
      </c>
      <c r="AK95" s="129">
        <v>1.89</v>
      </c>
      <c r="AL95" s="129">
        <v>1.89</v>
      </c>
      <c r="AM95" s="129">
        <v>1.89</v>
      </c>
      <c r="AN95" s="129">
        <v>1.89</v>
      </c>
      <c r="AO95" s="129">
        <v>1.88</v>
      </c>
      <c r="AP95" s="129">
        <v>1.88</v>
      </c>
      <c r="AQ95" s="129">
        <v>1.88</v>
      </c>
      <c r="AR95" s="129">
        <v>1.88</v>
      </c>
      <c r="AS95" s="129">
        <v>1.88</v>
      </c>
      <c r="AT95" s="129">
        <v>1.88</v>
      </c>
      <c r="AU95" s="129">
        <v>1.87</v>
      </c>
      <c r="AV95" s="129">
        <v>1.87</v>
      </c>
      <c r="AW95" s="129">
        <v>1.87</v>
      </c>
      <c r="AX95" s="129">
        <v>1.87</v>
      </c>
      <c r="AY95" s="129">
        <v>1.86</v>
      </c>
      <c r="AZ95" s="129">
        <v>1.86</v>
      </c>
      <c r="BA95" s="129">
        <v>1.86</v>
      </c>
      <c r="BB95" s="129">
        <v>1.87</v>
      </c>
      <c r="BC95" s="129">
        <v>1.87</v>
      </c>
      <c r="BD95" s="129">
        <v>1.87</v>
      </c>
      <c r="BE95" s="129">
        <v>1.87</v>
      </c>
      <c r="BF95" s="129">
        <v>1.88</v>
      </c>
      <c r="BG95" s="129">
        <v>1.88</v>
      </c>
      <c r="BH95" s="129">
        <v>1.88</v>
      </c>
      <c r="BI95" s="129">
        <v>1.88</v>
      </c>
      <c r="BJ95" s="129">
        <v>1.88</v>
      </c>
      <c r="BK95" s="129">
        <v>1.88</v>
      </c>
      <c r="BL95" s="129">
        <v>1.89</v>
      </c>
      <c r="BM95" s="129">
        <v>1.89</v>
      </c>
      <c r="BN95" s="129">
        <v>1.89</v>
      </c>
      <c r="BO95" s="129">
        <v>1.89</v>
      </c>
      <c r="BP95" s="129">
        <v>1.89</v>
      </c>
      <c r="BQ95" s="129">
        <v>1.89</v>
      </c>
      <c r="BR95" s="129">
        <v>1.89</v>
      </c>
      <c r="BS95" s="129">
        <v>1.9</v>
      </c>
      <c r="BT95" s="129">
        <v>1.9</v>
      </c>
      <c r="BU95" s="129">
        <v>1.9</v>
      </c>
      <c r="BV95" s="129">
        <v>1.9</v>
      </c>
      <c r="BW95" s="129">
        <v>1.9</v>
      </c>
      <c r="BX95" s="129">
        <v>1.9</v>
      </c>
      <c r="BY95" s="129">
        <v>1.9</v>
      </c>
      <c r="BZ95" s="129">
        <v>1.9</v>
      </c>
      <c r="CA95" s="129">
        <v>1.91</v>
      </c>
      <c r="CB95" s="129">
        <v>1.91</v>
      </c>
      <c r="CC95" s="129">
        <v>1.91</v>
      </c>
      <c r="CD95" s="129">
        <v>1.91</v>
      </c>
      <c r="CE95" s="129">
        <v>1.91</v>
      </c>
      <c r="CF95" s="129">
        <v>1.91</v>
      </c>
      <c r="CG95" s="129">
        <v>1.91</v>
      </c>
      <c r="CH95" s="129">
        <v>1.91</v>
      </c>
      <c r="CI95" s="129">
        <v>1.91</v>
      </c>
      <c r="CJ95" s="129">
        <v>1.91</v>
      </c>
      <c r="CK95" s="129">
        <v>1.92</v>
      </c>
      <c r="CL95" s="129">
        <v>1.92</v>
      </c>
      <c r="CM95" s="129">
        <v>1.92</v>
      </c>
      <c r="CN95" s="129">
        <v>1.92</v>
      </c>
      <c r="CO95" s="129">
        <v>1.92</v>
      </c>
      <c r="CP95" s="129">
        <v>1.92</v>
      </c>
      <c r="CQ95" s="129">
        <v>1.93</v>
      </c>
      <c r="CR95" s="129">
        <v>1.94</v>
      </c>
      <c r="CS95" s="129">
        <v>1.95</v>
      </c>
      <c r="CT95" s="129">
        <v>1.96</v>
      </c>
      <c r="CU95" s="129">
        <v>1.97</v>
      </c>
      <c r="CV95" s="129">
        <v>1.98</v>
      </c>
      <c r="CW95" s="129">
        <v>1.99</v>
      </c>
      <c r="CX95" s="129">
        <v>2</v>
      </c>
      <c r="CZ95" s="126">
        <f>SUMIF(MatrixF4[[1]:[2]],MatrixF4[[#This Row],[Столбец1]])/MatrixF4[[#This Row],[Столбец1]]</f>
        <v>154.9999999999998</v>
      </c>
    </row>
    <row r="96" spans="1:104" ht="21" customHeight="1" x14ac:dyDescent="0.25">
      <c r="A96" s="127">
        <v>1.93</v>
      </c>
      <c r="B96" s="129">
        <v>1.93</v>
      </c>
      <c r="C96" s="129">
        <v>1.93</v>
      </c>
      <c r="D96" s="129">
        <v>1.93</v>
      </c>
      <c r="E96" s="129">
        <v>1.93</v>
      </c>
      <c r="F96" s="129">
        <v>1.93</v>
      </c>
      <c r="G96" s="129">
        <v>1.93</v>
      </c>
      <c r="H96" s="129">
        <v>1.93</v>
      </c>
      <c r="I96" s="129">
        <v>1.93</v>
      </c>
      <c r="J96" s="129">
        <v>1.93</v>
      </c>
      <c r="K96" s="129">
        <v>1.93</v>
      </c>
      <c r="L96" s="129">
        <v>1.93</v>
      </c>
      <c r="M96" s="129">
        <v>1.93</v>
      </c>
      <c r="N96" s="129">
        <v>1.93</v>
      </c>
      <c r="O96" s="129">
        <v>1.93</v>
      </c>
      <c r="P96" s="129">
        <v>1.92</v>
      </c>
      <c r="Q96" s="129">
        <v>1.92</v>
      </c>
      <c r="R96" s="129">
        <v>1.92</v>
      </c>
      <c r="S96" s="129">
        <v>1.92</v>
      </c>
      <c r="T96" s="129">
        <v>1.92</v>
      </c>
      <c r="U96" s="129">
        <v>1.92</v>
      </c>
      <c r="V96" s="129">
        <v>1.92</v>
      </c>
      <c r="W96" s="129">
        <v>1.92</v>
      </c>
      <c r="X96" s="129">
        <v>1.92</v>
      </c>
      <c r="Y96" s="129">
        <v>1.92</v>
      </c>
      <c r="Z96" s="129">
        <v>1.92</v>
      </c>
      <c r="AA96" s="129">
        <v>1.91</v>
      </c>
      <c r="AB96" s="129">
        <v>1.91</v>
      </c>
      <c r="AC96" s="129">
        <v>1.91</v>
      </c>
      <c r="AD96" s="129">
        <v>1.91</v>
      </c>
      <c r="AE96" s="129">
        <v>1.91</v>
      </c>
      <c r="AF96" s="129">
        <v>1.91</v>
      </c>
      <c r="AG96" s="129">
        <v>1.91</v>
      </c>
      <c r="AH96" s="129">
        <v>1.91</v>
      </c>
      <c r="AI96" s="129">
        <v>1.91</v>
      </c>
      <c r="AJ96" s="129">
        <v>1.9</v>
      </c>
      <c r="AK96" s="129">
        <v>1.9</v>
      </c>
      <c r="AL96" s="129">
        <v>1.9</v>
      </c>
      <c r="AM96" s="129">
        <v>1.9</v>
      </c>
      <c r="AN96" s="129">
        <v>1.9</v>
      </c>
      <c r="AO96" s="129">
        <v>1.9</v>
      </c>
      <c r="AP96" s="129">
        <v>1.9</v>
      </c>
      <c r="AQ96" s="129">
        <v>1.89</v>
      </c>
      <c r="AR96" s="129">
        <v>1.89</v>
      </c>
      <c r="AS96" s="129">
        <v>1.89</v>
      </c>
      <c r="AT96" s="129">
        <v>1.89</v>
      </c>
      <c r="AU96" s="129">
        <v>1.89</v>
      </c>
      <c r="AV96" s="129">
        <v>1.89</v>
      </c>
      <c r="AW96" s="129">
        <v>1.88</v>
      </c>
      <c r="AX96" s="129">
        <v>1.88</v>
      </c>
      <c r="AY96" s="129">
        <v>1.88</v>
      </c>
      <c r="AZ96" s="129">
        <v>1.88</v>
      </c>
      <c r="BA96" s="129">
        <v>1.88</v>
      </c>
      <c r="BB96" s="129">
        <v>1.88</v>
      </c>
      <c r="BC96" s="129">
        <v>1.88</v>
      </c>
      <c r="BD96" s="129">
        <v>1.89</v>
      </c>
      <c r="BE96" s="129">
        <v>1.89</v>
      </c>
      <c r="BF96" s="129">
        <v>1.89</v>
      </c>
      <c r="BG96" s="129">
        <v>1.89</v>
      </c>
      <c r="BH96" s="129">
        <v>1.89</v>
      </c>
      <c r="BI96" s="129">
        <v>1.89</v>
      </c>
      <c r="BJ96" s="129">
        <v>1.9</v>
      </c>
      <c r="BK96" s="129">
        <v>1.9</v>
      </c>
      <c r="BL96" s="129">
        <v>1.9</v>
      </c>
      <c r="BM96" s="129">
        <v>1.9</v>
      </c>
      <c r="BN96" s="129">
        <v>1.9</v>
      </c>
      <c r="BO96" s="129">
        <v>1.9</v>
      </c>
      <c r="BP96" s="129">
        <v>1.9</v>
      </c>
      <c r="BQ96" s="129">
        <v>1.91</v>
      </c>
      <c r="BR96" s="129">
        <v>1.91</v>
      </c>
      <c r="BS96" s="129">
        <v>1.91</v>
      </c>
      <c r="BT96" s="129">
        <v>1.91</v>
      </c>
      <c r="BU96" s="129">
        <v>1.91</v>
      </c>
      <c r="BV96" s="129">
        <v>1.91</v>
      </c>
      <c r="BW96" s="129">
        <v>1.91</v>
      </c>
      <c r="BX96" s="129">
        <v>1.91</v>
      </c>
      <c r="BY96" s="129">
        <v>1.91</v>
      </c>
      <c r="BZ96" s="129">
        <v>1.92</v>
      </c>
      <c r="CA96" s="129">
        <v>1.92</v>
      </c>
      <c r="CB96" s="129">
        <v>1.92</v>
      </c>
      <c r="CC96" s="129">
        <v>1.92</v>
      </c>
      <c r="CD96" s="129">
        <v>1.92</v>
      </c>
      <c r="CE96" s="129">
        <v>1.92</v>
      </c>
      <c r="CF96" s="129">
        <v>1.92</v>
      </c>
      <c r="CG96" s="129">
        <v>1.92</v>
      </c>
      <c r="CH96" s="129">
        <v>1.92</v>
      </c>
      <c r="CI96" s="129">
        <v>1.92</v>
      </c>
      <c r="CJ96" s="129">
        <v>1.92</v>
      </c>
      <c r="CK96" s="129">
        <v>1.93</v>
      </c>
      <c r="CL96" s="129">
        <v>1.93</v>
      </c>
      <c r="CM96" s="129">
        <v>1.93</v>
      </c>
      <c r="CN96" s="129">
        <v>1.93</v>
      </c>
      <c r="CO96" s="129">
        <v>1.93</v>
      </c>
      <c r="CP96" s="129">
        <v>1.93</v>
      </c>
      <c r="CQ96" s="129">
        <v>1.93</v>
      </c>
      <c r="CR96" s="129">
        <v>1.94</v>
      </c>
      <c r="CS96" s="129">
        <v>1.95</v>
      </c>
      <c r="CT96" s="129">
        <v>1.96</v>
      </c>
      <c r="CU96" s="129">
        <v>1.97</v>
      </c>
      <c r="CV96" s="129">
        <v>1.98</v>
      </c>
      <c r="CW96" s="129">
        <v>1.99</v>
      </c>
      <c r="CX96" s="129">
        <v>2</v>
      </c>
      <c r="CZ96" s="126">
        <f>SUMIF(MatrixF4[[1]:[2]],MatrixF4[[#This Row],[Столбец1]])/MatrixF4[[#This Row],[Столбец1]]</f>
        <v>159.00000000000045</v>
      </c>
    </row>
    <row r="97" spans="1:104" ht="21" customHeight="1" x14ac:dyDescent="0.25">
      <c r="A97" s="127">
        <v>1.94</v>
      </c>
      <c r="B97" s="129">
        <v>1.94</v>
      </c>
      <c r="C97" s="129">
        <v>1.94</v>
      </c>
      <c r="D97" s="129">
        <v>1.94</v>
      </c>
      <c r="E97" s="129">
        <v>1.94</v>
      </c>
      <c r="F97" s="129">
        <v>1.94</v>
      </c>
      <c r="G97" s="129">
        <v>1.94</v>
      </c>
      <c r="H97" s="129">
        <v>1.94</v>
      </c>
      <c r="I97" s="129">
        <v>1.94</v>
      </c>
      <c r="J97" s="129">
        <v>1.94</v>
      </c>
      <c r="K97" s="129">
        <v>1.94</v>
      </c>
      <c r="L97" s="129">
        <v>1.94</v>
      </c>
      <c r="M97" s="129">
        <v>1.94</v>
      </c>
      <c r="N97" s="129">
        <v>1.94</v>
      </c>
      <c r="O97" s="129">
        <v>1.94</v>
      </c>
      <c r="P97" s="129">
        <v>1.93</v>
      </c>
      <c r="Q97" s="129">
        <v>1.93</v>
      </c>
      <c r="R97" s="129">
        <v>1.93</v>
      </c>
      <c r="S97" s="129">
        <v>1.93</v>
      </c>
      <c r="T97" s="129">
        <v>1.93</v>
      </c>
      <c r="U97" s="129">
        <v>1.93</v>
      </c>
      <c r="V97" s="129">
        <v>1.93</v>
      </c>
      <c r="W97" s="129">
        <v>1.93</v>
      </c>
      <c r="X97" s="129">
        <v>1.93</v>
      </c>
      <c r="Y97" s="129">
        <v>1.93</v>
      </c>
      <c r="Z97" s="129">
        <v>1.93</v>
      </c>
      <c r="AA97" s="129">
        <v>1.93</v>
      </c>
      <c r="AB97" s="129">
        <v>1.92</v>
      </c>
      <c r="AC97" s="129">
        <v>1.92</v>
      </c>
      <c r="AD97" s="129">
        <v>1.92</v>
      </c>
      <c r="AE97" s="129">
        <v>1.92</v>
      </c>
      <c r="AF97" s="129">
        <v>1.92</v>
      </c>
      <c r="AG97" s="129">
        <v>1.92</v>
      </c>
      <c r="AH97" s="129">
        <v>1.92</v>
      </c>
      <c r="AI97" s="129">
        <v>1.92</v>
      </c>
      <c r="AJ97" s="129">
        <v>1.92</v>
      </c>
      <c r="AK97" s="129">
        <v>1.92</v>
      </c>
      <c r="AL97" s="129">
        <v>1.91</v>
      </c>
      <c r="AM97" s="129">
        <v>1.91</v>
      </c>
      <c r="AN97" s="129">
        <v>1.91</v>
      </c>
      <c r="AO97" s="129">
        <v>1.91</v>
      </c>
      <c r="AP97" s="129">
        <v>1.91</v>
      </c>
      <c r="AQ97" s="129">
        <v>1.91</v>
      </c>
      <c r="AR97" s="129">
        <v>1.91</v>
      </c>
      <c r="AS97" s="129">
        <v>1.9</v>
      </c>
      <c r="AT97" s="129">
        <v>1.9</v>
      </c>
      <c r="AU97" s="129">
        <v>1.9</v>
      </c>
      <c r="AV97" s="129">
        <v>1.9</v>
      </c>
      <c r="AW97" s="129">
        <v>1.9</v>
      </c>
      <c r="AX97" s="129">
        <v>1.9</v>
      </c>
      <c r="AY97" s="129">
        <v>1.89</v>
      </c>
      <c r="AZ97" s="129">
        <v>1.89</v>
      </c>
      <c r="BA97" s="129">
        <v>1.89</v>
      </c>
      <c r="BB97" s="129">
        <v>1.9</v>
      </c>
      <c r="BC97" s="129">
        <v>1.9</v>
      </c>
      <c r="BD97" s="129">
        <v>1.9</v>
      </c>
      <c r="BE97" s="129">
        <v>1.9</v>
      </c>
      <c r="BF97" s="129">
        <v>1.9</v>
      </c>
      <c r="BG97" s="129">
        <v>1.9</v>
      </c>
      <c r="BH97" s="129">
        <v>1.91</v>
      </c>
      <c r="BI97" s="129">
        <v>1.91</v>
      </c>
      <c r="BJ97" s="129">
        <v>1.91</v>
      </c>
      <c r="BK97" s="129">
        <v>1.91</v>
      </c>
      <c r="BL97" s="129">
        <v>1.91</v>
      </c>
      <c r="BM97" s="129">
        <v>1.91</v>
      </c>
      <c r="BN97" s="129">
        <v>1.91</v>
      </c>
      <c r="BO97" s="129">
        <v>1.92</v>
      </c>
      <c r="BP97" s="129">
        <v>1.92</v>
      </c>
      <c r="BQ97" s="129">
        <v>1.92</v>
      </c>
      <c r="BR97" s="129">
        <v>1.92</v>
      </c>
      <c r="BS97" s="129">
        <v>1.92</v>
      </c>
      <c r="BT97" s="129">
        <v>1.92</v>
      </c>
      <c r="BU97" s="129">
        <v>1.92</v>
      </c>
      <c r="BV97" s="129">
        <v>1.92</v>
      </c>
      <c r="BW97" s="129">
        <v>1.92</v>
      </c>
      <c r="BX97" s="129">
        <v>1.92</v>
      </c>
      <c r="BY97" s="129">
        <v>1.93</v>
      </c>
      <c r="BZ97" s="129">
        <v>1.93</v>
      </c>
      <c r="CA97" s="129">
        <v>1.93</v>
      </c>
      <c r="CB97" s="129">
        <v>1.93</v>
      </c>
      <c r="CC97" s="129">
        <v>1.93</v>
      </c>
      <c r="CD97" s="129">
        <v>1.93</v>
      </c>
      <c r="CE97" s="129">
        <v>1.93</v>
      </c>
      <c r="CF97" s="129">
        <v>1.93</v>
      </c>
      <c r="CG97" s="129">
        <v>1.93</v>
      </c>
      <c r="CH97" s="129">
        <v>1.93</v>
      </c>
      <c r="CI97" s="129">
        <v>1.93</v>
      </c>
      <c r="CJ97" s="129">
        <v>1.93</v>
      </c>
      <c r="CK97" s="129">
        <v>1.94</v>
      </c>
      <c r="CL97" s="129">
        <v>1.94</v>
      </c>
      <c r="CM97" s="129">
        <v>1.94</v>
      </c>
      <c r="CN97" s="129">
        <v>1.94</v>
      </c>
      <c r="CO97" s="129">
        <v>1.94</v>
      </c>
      <c r="CP97" s="129">
        <v>1.94</v>
      </c>
      <c r="CQ97" s="129">
        <v>1.94</v>
      </c>
      <c r="CR97" s="129">
        <v>1.94</v>
      </c>
      <c r="CS97" s="129">
        <v>1.95</v>
      </c>
      <c r="CT97" s="129">
        <v>1.96</v>
      </c>
      <c r="CU97" s="129">
        <v>1.97</v>
      </c>
      <c r="CV97" s="129">
        <v>1.98</v>
      </c>
      <c r="CW97" s="129">
        <v>1.99</v>
      </c>
      <c r="CX97" s="129">
        <v>2</v>
      </c>
      <c r="CZ97" s="126">
        <f>SUMIF(MatrixF4[[1]:[2]],MatrixF4[[#This Row],[Столбец1]])/MatrixF4[[#This Row],[Столбец1]]</f>
        <v>148.99999999999986</v>
      </c>
    </row>
    <row r="98" spans="1:104" ht="21" customHeight="1" x14ac:dyDescent="0.25">
      <c r="A98" s="127">
        <v>1.95</v>
      </c>
      <c r="B98" s="129">
        <v>1.95</v>
      </c>
      <c r="C98" s="129">
        <v>1.95</v>
      </c>
      <c r="D98" s="129">
        <v>1.95</v>
      </c>
      <c r="E98" s="129">
        <v>1.95</v>
      </c>
      <c r="F98" s="129">
        <v>1.95</v>
      </c>
      <c r="G98" s="129">
        <v>1.95</v>
      </c>
      <c r="H98" s="129">
        <v>1.95</v>
      </c>
      <c r="I98" s="129">
        <v>1.95</v>
      </c>
      <c r="J98" s="129">
        <v>1.95</v>
      </c>
      <c r="K98" s="129">
        <v>1.95</v>
      </c>
      <c r="L98" s="129">
        <v>1.95</v>
      </c>
      <c r="M98" s="129">
        <v>1.95</v>
      </c>
      <c r="N98" s="129">
        <v>1.95</v>
      </c>
      <c r="O98" s="129">
        <v>1.95</v>
      </c>
      <c r="P98" s="129">
        <v>1.95</v>
      </c>
      <c r="Q98" s="129">
        <v>1.94</v>
      </c>
      <c r="R98" s="129">
        <v>1.94</v>
      </c>
      <c r="S98" s="129">
        <v>1.94</v>
      </c>
      <c r="T98" s="129">
        <v>1.94</v>
      </c>
      <c r="U98" s="129">
        <v>1.94</v>
      </c>
      <c r="V98" s="129">
        <v>1.94</v>
      </c>
      <c r="W98" s="129">
        <v>1.94</v>
      </c>
      <c r="X98" s="129">
        <v>1.94</v>
      </c>
      <c r="Y98" s="129">
        <v>1.94</v>
      </c>
      <c r="Z98" s="129">
        <v>1.94</v>
      </c>
      <c r="AA98" s="129">
        <v>1.94</v>
      </c>
      <c r="AB98" s="129">
        <v>1.94</v>
      </c>
      <c r="AC98" s="129">
        <v>1.94</v>
      </c>
      <c r="AD98" s="129">
        <v>1.94</v>
      </c>
      <c r="AE98" s="129">
        <v>1.93</v>
      </c>
      <c r="AF98" s="129">
        <v>1.93</v>
      </c>
      <c r="AG98" s="129">
        <v>1.93</v>
      </c>
      <c r="AH98" s="129">
        <v>1.93</v>
      </c>
      <c r="AI98" s="129">
        <v>1.93</v>
      </c>
      <c r="AJ98" s="129">
        <v>1.93</v>
      </c>
      <c r="AK98" s="129">
        <v>1.93</v>
      </c>
      <c r="AL98" s="129">
        <v>1.93</v>
      </c>
      <c r="AM98" s="129">
        <v>1.93</v>
      </c>
      <c r="AN98" s="129">
        <v>1.93</v>
      </c>
      <c r="AO98" s="129">
        <v>1.92</v>
      </c>
      <c r="AP98" s="129">
        <v>1.92</v>
      </c>
      <c r="AQ98" s="129">
        <v>1.92</v>
      </c>
      <c r="AR98" s="129">
        <v>1.92</v>
      </c>
      <c r="AS98" s="129">
        <v>1.92</v>
      </c>
      <c r="AT98" s="129">
        <v>1.92</v>
      </c>
      <c r="AU98" s="129">
        <v>1.92</v>
      </c>
      <c r="AV98" s="129">
        <v>1.92</v>
      </c>
      <c r="AW98" s="129">
        <v>1.91</v>
      </c>
      <c r="AX98" s="129">
        <v>1.91</v>
      </c>
      <c r="AY98" s="129">
        <v>1.91</v>
      </c>
      <c r="AZ98" s="129">
        <v>1.91</v>
      </c>
      <c r="BA98" s="129">
        <v>1.91</v>
      </c>
      <c r="BB98" s="129">
        <v>1.91</v>
      </c>
      <c r="BC98" s="129">
        <v>1.91</v>
      </c>
      <c r="BD98" s="129">
        <v>1.92</v>
      </c>
      <c r="BE98" s="129">
        <v>1.92</v>
      </c>
      <c r="BF98" s="129">
        <v>1.92</v>
      </c>
      <c r="BG98" s="129">
        <v>1.92</v>
      </c>
      <c r="BH98" s="129">
        <v>1.92</v>
      </c>
      <c r="BI98" s="129">
        <v>1.92</v>
      </c>
      <c r="BJ98" s="129">
        <v>1.92</v>
      </c>
      <c r="BK98" s="129">
        <v>1.92</v>
      </c>
      <c r="BL98" s="129">
        <v>1.93</v>
      </c>
      <c r="BM98" s="129">
        <v>1.93</v>
      </c>
      <c r="BN98" s="129">
        <v>1.93</v>
      </c>
      <c r="BO98" s="129">
        <v>1.93</v>
      </c>
      <c r="BP98" s="129">
        <v>1.93</v>
      </c>
      <c r="BQ98" s="129">
        <v>1.93</v>
      </c>
      <c r="BR98" s="129">
        <v>1.93</v>
      </c>
      <c r="BS98" s="129">
        <v>1.93</v>
      </c>
      <c r="BT98" s="129">
        <v>1.93</v>
      </c>
      <c r="BU98" s="129">
        <v>1.93</v>
      </c>
      <c r="BV98" s="129">
        <v>1.94</v>
      </c>
      <c r="BW98" s="129">
        <v>1.94</v>
      </c>
      <c r="BX98" s="129">
        <v>1.94</v>
      </c>
      <c r="BY98" s="129">
        <v>1.94</v>
      </c>
      <c r="BZ98" s="129">
        <v>1.94</v>
      </c>
      <c r="CA98" s="129">
        <v>1.94</v>
      </c>
      <c r="CB98" s="129">
        <v>1.94</v>
      </c>
      <c r="CC98" s="129">
        <v>1.94</v>
      </c>
      <c r="CD98" s="129">
        <v>1.94</v>
      </c>
      <c r="CE98" s="129">
        <v>1.94</v>
      </c>
      <c r="CF98" s="129">
        <v>1.94</v>
      </c>
      <c r="CG98" s="129">
        <v>1.94</v>
      </c>
      <c r="CH98" s="129">
        <v>1.94</v>
      </c>
      <c r="CI98" s="129">
        <v>1.94</v>
      </c>
      <c r="CJ98" s="129">
        <v>1.95</v>
      </c>
      <c r="CK98" s="129">
        <v>1.95</v>
      </c>
      <c r="CL98" s="129">
        <v>1.95</v>
      </c>
      <c r="CM98" s="129">
        <v>1.95</v>
      </c>
      <c r="CN98" s="129">
        <v>1.95</v>
      </c>
      <c r="CO98" s="129">
        <v>1.95</v>
      </c>
      <c r="CP98" s="129">
        <v>1.95</v>
      </c>
      <c r="CQ98" s="129">
        <v>1.95</v>
      </c>
      <c r="CR98" s="129">
        <v>1.95</v>
      </c>
      <c r="CS98" s="129">
        <v>1.95</v>
      </c>
      <c r="CT98" s="129">
        <v>1.96</v>
      </c>
      <c r="CU98" s="129">
        <v>1.97</v>
      </c>
      <c r="CV98" s="129">
        <v>1.98</v>
      </c>
      <c r="CW98" s="129">
        <v>1.99</v>
      </c>
      <c r="CX98" s="129">
        <v>2</v>
      </c>
      <c r="CZ98" s="126">
        <f>SUMIF(MatrixF4[[1]:[2]],MatrixF4[[#This Row],[Столбец1]])/MatrixF4[[#This Row],[Столбец1]]</f>
        <v>160.99999999999955</v>
      </c>
    </row>
    <row r="99" spans="1:104" ht="21" customHeight="1" x14ac:dyDescent="0.25">
      <c r="A99" s="127">
        <v>1.96</v>
      </c>
      <c r="B99" s="129">
        <v>1.96</v>
      </c>
      <c r="C99" s="129">
        <v>1.96</v>
      </c>
      <c r="D99" s="129">
        <v>1.96</v>
      </c>
      <c r="E99" s="129">
        <v>1.96</v>
      </c>
      <c r="F99" s="129">
        <v>1.96</v>
      </c>
      <c r="G99" s="129">
        <v>1.96</v>
      </c>
      <c r="H99" s="129">
        <v>1.96</v>
      </c>
      <c r="I99" s="129">
        <v>1.96</v>
      </c>
      <c r="J99" s="129">
        <v>1.96</v>
      </c>
      <c r="K99" s="129">
        <v>1.96</v>
      </c>
      <c r="L99" s="129">
        <v>1.96</v>
      </c>
      <c r="M99" s="129">
        <v>1.96</v>
      </c>
      <c r="N99" s="129">
        <v>1.96</v>
      </c>
      <c r="O99" s="129">
        <v>1.96</v>
      </c>
      <c r="P99" s="129">
        <v>1.96</v>
      </c>
      <c r="Q99" s="129">
        <v>1.96</v>
      </c>
      <c r="R99" s="129">
        <v>1.95</v>
      </c>
      <c r="S99" s="129">
        <v>1.95</v>
      </c>
      <c r="T99" s="129">
        <v>1.95</v>
      </c>
      <c r="U99" s="129">
        <v>1.95</v>
      </c>
      <c r="V99" s="129">
        <v>1.95</v>
      </c>
      <c r="W99" s="129">
        <v>1.95</v>
      </c>
      <c r="X99" s="129">
        <v>1.95</v>
      </c>
      <c r="Y99" s="129">
        <v>1.95</v>
      </c>
      <c r="Z99" s="129">
        <v>1.95</v>
      </c>
      <c r="AA99" s="129">
        <v>1.95</v>
      </c>
      <c r="AB99" s="129">
        <v>1.95</v>
      </c>
      <c r="AC99" s="129">
        <v>1.95</v>
      </c>
      <c r="AD99" s="129">
        <v>1.95</v>
      </c>
      <c r="AE99" s="129">
        <v>1.95</v>
      </c>
      <c r="AF99" s="129">
        <v>1.95</v>
      </c>
      <c r="AG99" s="129">
        <v>1.95</v>
      </c>
      <c r="AH99" s="129">
        <v>1.94</v>
      </c>
      <c r="AI99" s="129">
        <v>1.94</v>
      </c>
      <c r="AJ99" s="129">
        <v>1.94</v>
      </c>
      <c r="AK99" s="129">
        <v>1.94</v>
      </c>
      <c r="AL99" s="129">
        <v>1.94</v>
      </c>
      <c r="AM99" s="129">
        <v>1.94</v>
      </c>
      <c r="AN99" s="129">
        <v>1.94</v>
      </c>
      <c r="AO99" s="129">
        <v>1.94</v>
      </c>
      <c r="AP99" s="129">
        <v>1.94</v>
      </c>
      <c r="AQ99" s="129">
        <v>1.94</v>
      </c>
      <c r="AR99" s="129">
        <v>1.94</v>
      </c>
      <c r="AS99" s="129">
        <v>1.93</v>
      </c>
      <c r="AT99" s="129">
        <v>1.93</v>
      </c>
      <c r="AU99" s="129">
        <v>1.93</v>
      </c>
      <c r="AV99" s="129">
        <v>1.93</v>
      </c>
      <c r="AW99" s="129">
        <v>1.93</v>
      </c>
      <c r="AX99" s="129">
        <v>1.93</v>
      </c>
      <c r="AY99" s="129">
        <v>1.93</v>
      </c>
      <c r="AZ99" s="129">
        <v>1.93</v>
      </c>
      <c r="BA99" s="129">
        <v>1.93</v>
      </c>
      <c r="BB99" s="129">
        <v>1.93</v>
      </c>
      <c r="BC99" s="129">
        <v>1.93</v>
      </c>
      <c r="BD99" s="129">
        <v>1.93</v>
      </c>
      <c r="BE99" s="129">
        <v>1.93</v>
      </c>
      <c r="BF99" s="129">
        <v>1.93</v>
      </c>
      <c r="BG99" s="129">
        <v>1.93</v>
      </c>
      <c r="BH99" s="129">
        <v>1.94</v>
      </c>
      <c r="BI99" s="129">
        <v>1.94</v>
      </c>
      <c r="BJ99" s="129">
        <v>1.94</v>
      </c>
      <c r="BK99" s="129">
        <v>1.94</v>
      </c>
      <c r="BL99" s="129">
        <v>1.94</v>
      </c>
      <c r="BM99" s="129">
        <v>1.94</v>
      </c>
      <c r="BN99" s="129">
        <v>1.94</v>
      </c>
      <c r="BO99" s="129">
        <v>1.94</v>
      </c>
      <c r="BP99" s="129">
        <v>1.94</v>
      </c>
      <c r="BQ99" s="129">
        <v>1.94</v>
      </c>
      <c r="BR99" s="129">
        <v>1.94</v>
      </c>
      <c r="BS99" s="129">
        <v>1.95</v>
      </c>
      <c r="BT99" s="129">
        <v>1.95</v>
      </c>
      <c r="BU99" s="129">
        <v>1.95</v>
      </c>
      <c r="BV99" s="129">
        <v>1.95</v>
      </c>
      <c r="BW99" s="129">
        <v>1.95</v>
      </c>
      <c r="BX99" s="129">
        <v>1.95</v>
      </c>
      <c r="BY99" s="129">
        <v>1.95</v>
      </c>
      <c r="BZ99" s="129">
        <v>1.95</v>
      </c>
      <c r="CA99" s="129">
        <v>1.95</v>
      </c>
      <c r="CB99" s="129">
        <v>1.95</v>
      </c>
      <c r="CC99" s="129">
        <v>1.95</v>
      </c>
      <c r="CD99" s="129">
        <v>1.95</v>
      </c>
      <c r="CE99" s="129">
        <v>1.95</v>
      </c>
      <c r="CF99" s="129">
        <v>1.95</v>
      </c>
      <c r="CG99" s="129">
        <v>1.95</v>
      </c>
      <c r="CH99" s="129">
        <v>1.95</v>
      </c>
      <c r="CI99" s="129">
        <v>1.96</v>
      </c>
      <c r="CJ99" s="129">
        <v>1.96</v>
      </c>
      <c r="CK99" s="129">
        <v>1.96</v>
      </c>
      <c r="CL99" s="129">
        <v>1.96</v>
      </c>
      <c r="CM99" s="129">
        <v>1.96</v>
      </c>
      <c r="CN99" s="129">
        <v>1.96</v>
      </c>
      <c r="CO99" s="129">
        <v>1.96</v>
      </c>
      <c r="CP99" s="129">
        <v>1.96</v>
      </c>
      <c r="CQ99" s="129">
        <v>1.96</v>
      </c>
      <c r="CR99" s="129">
        <v>1.96</v>
      </c>
      <c r="CS99" s="129">
        <v>1.96</v>
      </c>
      <c r="CT99" s="129">
        <v>1.96</v>
      </c>
      <c r="CU99" s="129">
        <v>1.97</v>
      </c>
      <c r="CV99" s="129">
        <v>1.98</v>
      </c>
      <c r="CW99" s="129">
        <v>1.99</v>
      </c>
      <c r="CX99" s="129">
        <v>2</v>
      </c>
      <c r="CZ99" s="126">
        <f>SUMIF(MatrixF4[[1]:[2]],MatrixF4[[#This Row],[Столбец1]])/MatrixF4[[#This Row],[Столбец1]]</f>
        <v>152.99999999999994</v>
      </c>
    </row>
    <row r="100" spans="1:104" ht="21" customHeight="1" x14ac:dyDescent="0.25">
      <c r="A100" s="127">
        <v>1.97</v>
      </c>
      <c r="B100" s="129">
        <v>1.97</v>
      </c>
      <c r="C100" s="129">
        <v>1.97</v>
      </c>
      <c r="D100" s="129">
        <v>1.97</v>
      </c>
      <c r="E100" s="129">
        <v>1.97</v>
      </c>
      <c r="F100" s="129">
        <v>1.97</v>
      </c>
      <c r="G100" s="129">
        <v>1.97</v>
      </c>
      <c r="H100" s="129">
        <v>1.97</v>
      </c>
      <c r="I100" s="129">
        <v>1.97</v>
      </c>
      <c r="J100" s="129">
        <v>1.97</v>
      </c>
      <c r="K100" s="129">
        <v>1.97</v>
      </c>
      <c r="L100" s="129">
        <v>1.97</v>
      </c>
      <c r="M100" s="129">
        <v>1.97</v>
      </c>
      <c r="N100" s="129">
        <v>1.97</v>
      </c>
      <c r="O100" s="129">
        <v>1.97</v>
      </c>
      <c r="P100" s="129">
        <v>1.97</v>
      </c>
      <c r="Q100" s="129">
        <v>1.97</v>
      </c>
      <c r="R100" s="129">
        <v>1.97</v>
      </c>
      <c r="S100" s="129">
        <v>1.97</v>
      </c>
      <c r="T100" s="129">
        <v>1.96</v>
      </c>
      <c r="U100" s="129">
        <v>1.96</v>
      </c>
      <c r="V100" s="129">
        <v>1.96</v>
      </c>
      <c r="W100" s="129">
        <v>1.96</v>
      </c>
      <c r="X100" s="129">
        <v>1.96</v>
      </c>
      <c r="Y100" s="129">
        <v>1.96</v>
      </c>
      <c r="Z100" s="129">
        <v>1.96</v>
      </c>
      <c r="AA100" s="129">
        <v>1.96</v>
      </c>
      <c r="AB100" s="129">
        <v>1.96</v>
      </c>
      <c r="AC100" s="129">
        <v>1.96</v>
      </c>
      <c r="AD100" s="129">
        <v>1.96</v>
      </c>
      <c r="AE100" s="129">
        <v>1.96</v>
      </c>
      <c r="AF100" s="129">
        <v>1.96</v>
      </c>
      <c r="AG100" s="129">
        <v>1.96</v>
      </c>
      <c r="AH100" s="129">
        <v>1.96</v>
      </c>
      <c r="AI100" s="129">
        <v>1.96</v>
      </c>
      <c r="AJ100" s="129">
        <v>1.96</v>
      </c>
      <c r="AK100" s="129">
        <v>1.96</v>
      </c>
      <c r="AL100" s="129">
        <v>1.96</v>
      </c>
      <c r="AM100" s="129">
        <v>1.95</v>
      </c>
      <c r="AN100" s="129">
        <v>1.95</v>
      </c>
      <c r="AO100" s="129">
        <v>1.95</v>
      </c>
      <c r="AP100" s="129">
        <v>1.95</v>
      </c>
      <c r="AQ100" s="129">
        <v>1.95</v>
      </c>
      <c r="AR100" s="129">
        <v>1.95</v>
      </c>
      <c r="AS100" s="129">
        <v>1.95</v>
      </c>
      <c r="AT100" s="129">
        <v>1.95</v>
      </c>
      <c r="AU100" s="129">
        <v>1.95</v>
      </c>
      <c r="AV100" s="129">
        <v>1.95</v>
      </c>
      <c r="AW100" s="129">
        <v>1.95</v>
      </c>
      <c r="AX100" s="129">
        <v>1.95</v>
      </c>
      <c r="AY100" s="129">
        <v>1.94</v>
      </c>
      <c r="AZ100" s="129">
        <v>1.94</v>
      </c>
      <c r="BA100" s="129">
        <v>1.94</v>
      </c>
      <c r="BB100" s="129">
        <v>1.95</v>
      </c>
      <c r="BC100" s="129">
        <v>1.95</v>
      </c>
      <c r="BD100" s="129">
        <v>1.95</v>
      </c>
      <c r="BE100" s="129">
        <v>1.95</v>
      </c>
      <c r="BF100" s="129">
        <v>1.95</v>
      </c>
      <c r="BG100" s="129">
        <v>1.95</v>
      </c>
      <c r="BH100" s="129">
        <v>1.95</v>
      </c>
      <c r="BI100" s="129">
        <v>1.95</v>
      </c>
      <c r="BJ100" s="129">
        <v>1.95</v>
      </c>
      <c r="BK100" s="129">
        <v>1.95</v>
      </c>
      <c r="BL100" s="129">
        <v>1.95</v>
      </c>
      <c r="BM100" s="129">
        <v>1.95</v>
      </c>
      <c r="BN100" s="129">
        <v>1.96</v>
      </c>
      <c r="BO100" s="129">
        <v>1.96</v>
      </c>
      <c r="BP100" s="129">
        <v>1.96</v>
      </c>
      <c r="BQ100" s="129">
        <v>1.96</v>
      </c>
      <c r="BR100" s="129">
        <v>1.96</v>
      </c>
      <c r="BS100" s="129">
        <v>1.96</v>
      </c>
      <c r="BT100" s="129">
        <v>1.96</v>
      </c>
      <c r="BU100" s="129">
        <v>1.96</v>
      </c>
      <c r="BV100" s="129">
        <v>1.96</v>
      </c>
      <c r="BW100" s="129">
        <v>1.96</v>
      </c>
      <c r="BX100" s="129">
        <v>1.96</v>
      </c>
      <c r="BY100" s="129">
        <v>1.96</v>
      </c>
      <c r="BZ100" s="129">
        <v>1.96</v>
      </c>
      <c r="CA100" s="129">
        <v>1.96</v>
      </c>
      <c r="CB100" s="129">
        <v>1.96</v>
      </c>
      <c r="CC100" s="129">
        <v>1.96</v>
      </c>
      <c r="CD100" s="129">
        <v>1.96</v>
      </c>
      <c r="CE100" s="129">
        <v>1.96</v>
      </c>
      <c r="CF100" s="129">
        <v>1.96</v>
      </c>
      <c r="CG100" s="129">
        <v>1.97</v>
      </c>
      <c r="CH100" s="129">
        <v>1.97</v>
      </c>
      <c r="CI100" s="129">
        <v>1.97</v>
      </c>
      <c r="CJ100" s="129">
        <v>1.97</v>
      </c>
      <c r="CK100" s="129">
        <v>1.97</v>
      </c>
      <c r="CL100" s="129">
        <v>1.97</v>
      </c>
      <c r="CM100" s="129">
        <v>1.97</v>
      </c>
      <c r="CN100" s="129">
        <v>1.97</v>
      </c>
      <c r="CO100" s="129">
        <v>1.97</v>
      </c>
      <c r="CP100" s="129">
        <v>1.97</v>
      </c>
      <c r="CQ100" s="129">
        <v>1.97</v>
      </c>
      <c r="CR100" s="129">
        <v>1.97</v>
      </c>
      <c r="CS100" s="129">
        <v>1.97</v>
      </c>
      <c r="CT100" s="129">
        <v>1.97</v>
      </c>
      <c r="CU100" s="129">
        <v>1.97</v>
      </c>
      <c r="CV100" s="129">
        <v>1.98</v>
      </c>
      <c r="CW100" s="129">
        <v>1.99</v>
      </c>
      <c r="CX100" s="129">
        <v>2</v>
      </c>
      <c r="CZ100" s="126">
        <f>SUMIF(MatrixF4[[1]:[2]],MatrixF4[[#This Row],[Столбец1]])/MatrixF4[[#This Row],[Столбец1]]</f>
        <v>153.00000000000028</v>
      </c>
    </row>
    <row r="101" spans="1:104" ht="21" customHeight="1" x14ac:dyDescent="0.25">
      <c r="A101" s="127">
        <v>1.98</v>
      </c>
      <c r="B101" s="129">
        <v>1.98</v>
      </c>
      <c r="C101" s="129">
        <v>1.98</v>
      </c>
      <c r="D101" s="129">
        <v>1.98</v>
      </c>
      <c r="E101" s="129">
        <v>1.98</v>
      </c>
      <c r="F101" s="129">
        <v>1.98</v>
      </c>
      <c r="G101" s="129">
        <v>1.98</v>
      </c>
      <c r="H101" s="129">
        <v>1.98</v>
      </c>
      <c r="I101" s="129">
        <v>1.98</v>
      </c>
      <c r="J101" s="129">
        <v>1.98</v>
      </c>
      <c r="K101" s="129">
        <v>1.98</v>
      </c>
      <c r="L101" s="129">
        <v>1.98</v>
      </c>
      <c r="M101" s="129">
        <v>1.98</v>
      </c>
      <c r="N101" s="129">
        <v>1.98</v>
      </c>
      <c r="O101" s="129">
        <v>1.98</v>
      </c>
      <c r="P101" s="129">
        <v>1.98</v>
      </c>
      <c r="Q101" s="129">
        <v>1.98</v>
      </c>
      <c r="R101" s="129">
        <v>1.98</v>
      </c>
      <c r="S101" s="129">
        <v>1.98</v>
      </c>
      <c r="T101" s="129">
        <v>1.98</v>
      </c>
      <c r="U101" s="129">
        <v>1.98</v>
      </c>
      <c r="V101" s="129">
        <v>1.98</v>
      </c>
      <c r="W101" s="129">
        <v>1.98</v>
      </c>
      <c r="X101" s="129">
        <v>1.98</v>
      </c>
      <c r="Y101" s="129">
        <v>1.97</v>
      </c>
      <c r="Z101" s="129">
        <v>1.97</v>
      </c>
      <c r="AA101" s="129">
        <v>1.97</v>
      </c>
      <c r="AB101" s="129">
        <v>1.97</v>
      </c>
      <c r="AC101" s="129">
        <v>1.97</v>
      </c>
      <c r="AD101" s="129">
        <v>1.97</v>
      </c>
      <c r="AE101" s="129">
        <v>1.97</v>
      </c>
      <c r="AF101" s="129">
        <v>1.97</v>
      </c>
      <c r="AG101" s="129">
        <v>1.97</v>
      </c>
      <c r="AH101" s="129">
        <v>1.97</v>
      </c>
      <c r="AI101" s="129">
        <v>1.97</v>
      </c>
      <c r="AJ101" s="129">
        <v>1.97</v>
      </c>
      <c r="AK101" s="129">
        <v>1.97</v>
      </c>
      <c r="AL101" s="129">
        <v>1.97</v>
      </c>
      <c r="AM101" s="129">
        <v>1.97</v>
      </c>
      <c r="AN101" s="129">
        <v>1.97</v>
      </c>
      <c r="AO101" s="129">
        <v>1.97</v>
      </c>
      <c r="AP101" s="129">
        <v>1.97</v>
      </c>
      <c r="AQ101" s="129">
        <v>1.97</v>
      </c>
      <c r="AR101" s="129">
        <v>1.97</v>
      </c>
      <c r="AS101" s="129">
        <v>1.97</v>
      </c>
      <c r="AT101" s="129">
        <v>1.97</v>
      </c>
      <c r="AU101" s="129">
        <v>1.96</v>
      </c>
      <c r="AV101" s="129">
        <v>1.96</v>
      </c>
      <c r="AW101" s="129">
        <v>1.96</v>
      </c>
      <c r="AX101" s="129">
        <v>1.96</v>
      </c>
      <c r="AY101" s="129">
        <v>1.96</v>
      </c>
      <c r="AZ101" s="129">
        <v>1.96</v>
      </c>
      <c r="BA101" s="129">
        <v>1.96</v>
      </c>
      <c r="BB101" s="129">
        <v>1.96</v>
      </c>
      <c r="BC101" s="129">
        <v>1.96</v>
      </c>
      <c r="BD101" s="129">
        <v>1.96</v>
      </c>
      <c r="BE101" s="129">
        <v>1.96</v>
      </c>
      <c r="BF101" s="129">
        <v>1.97</v>
      </c>
      <c r="BG101" s="129">
        <v>1.97</v>
      </c>
      <c r="BH101" s="129">
        <v>1.97</v>
      </c>
      <c r="BI101" s="129">
        <v>1.97</v>
      </c>
      <c r="BJ101" s="129">
        <v>1.97</v>
      </c>
      <c r="BK101" s="129">
        <v>1.97</v>
      </c>
      <c r="BL101" s="129">
        <v>1.97</v>
      </c>
      <c r="BM101" s="129">
        <v>1.97</v>
      </c>
      <c r="BN101" s="129">
        <v>1.97</v>
      </c>
      <c r="BO101" s="129">
        <v>1.97</v>
      </c>
      <c r="BP101" s="129">
        <v>1.97</v>
      </c>
      <c r="BQ101" s="129">
        <v>1.97</v>
      </c>
      <c r="BR101" s="129">
        <v>1.97</v>
      </c>
      <c r="BS101" s="129">
        <v>1.97</v>
      </c>
      <c r="BT101" s="129">
        <v>1.97</v>
      </c>
      <c r="BU101" s="129">
        <v>1.97</v>
      </c>
      <c r="BV101" s="129">
        <v>1.97</v>
      </c>
      <c r="BW101" s="129">
        <v>1.97</v>
      </c>
      <c r="BX101" s="129">
        <v>1.97</v>
      </c>
      <c r="BY101" s="129">
        <v>1.97</v>
      </c>
      <c r="BZ101" s="129">
        <v>1.97</v>
      </c>
      <c r="CA101" s="129">
        <v>1.97</v>
      </c>
      <c r="CB101" s="129">
        <v>1.98</v>
      </c>
      <c r="CC101" s="129">
        <v>1.98</v>
      </c>
      <c r="CD101" s="129">
        <v>1.98</v>
      </c>
      <c r="CE101" s="129">
        <v>1.98</v>
      </c>
      <c r="CF101" s="129">
        <v>1.98</v>
      </c>
      <c r="CG101" s="129">
        <v>1.98</v>
      </c>
      <c r="CH101" s="129">
        <v>1.98</v>
      </c>
      <c r="CI101" s="129">
        <v>1.98</v>
      </c>
      <c r="CJ101" s="129">
        <v>1.98</v>
      </c>
      <c r="CK101" s="129">
        <v>1.98</v>
      </c>
      <c r="CL101" s="129">
        <v>1.98</v>
      </c>
      <c r="CM101" s="129">
        <v>1.98</v>
      </c>
      <c r="CN101" s="129">
        <v>1.98</v>
      </c>
      <c r="CO101" s="129">
        <v>1.98</v>
      </c>
      <c r="CP101" s="129">
        <v>1.98</v>
      </c>
      <c r="CQ101" s="129">
        <v>1.98</v>
      </c>
      <c r="CR101" s="129">
        <v>1.98</v>
      </c>
      <c r="CS101" s="129">
        <v>1.98</v>
      </c>
      <c r="CT101" s="129">
        <v>1.98</v>
      </c>
      <c r="CU101" s="129">
        <v>1.98</v>
      </c>
      <c r="CV101" s="129">
        <v>1.98</v>
      </c>
      <c r="CW101" s="129">
        <v>1.99</v>
      </c>
      <c r="CX101" s="129">
        <v>2</v>
      </c>
      <c r="CZ101" s="126">
        <f>SUMIF(MatrixF4[[1]:[2]],MatrixF4[[#This Row],[Столбец1]])/MatrixF4[[#This Row],[Столбец1]]</f>
        <v>148.99999999999989</v>
      </c>
    </row>
    <row r="102" spans="1:104" ht="21" customHeight="1" x14ac:dyDescent="0.25">
      <c r="A102" s="127">
        <v>1.99</v>
      </c>
      <c r="B102" s="129">
        <v>1.99</v>
      </c>
      <c r="C102" s="129">
        <v>1.99</v>
      </c>
      <c r="D102" s="129">
        <v>1.99</v>
      </c>
      <c r="E102" s="129">
        <v>1.99</v>
      </c>
      <c r="F102" s="129">
        <v>1.99</v>
      </c>
      <c r="G102" s="129">
        <v>1.99</v>
      </c>
      <c r="H102" s="129">
        <v>1.99</v>
      </c>
      <c r="I102" s="129">
        <v>1.99</v>
      </c>
      <c r="J102" s="129">
        <v>1.99</v>
      </c>
      <c r="K102" s="129">
        <v>1.99</v>
      </c>
      <c r="L102" s="129">
        <v>1.99</v>
      </c>
      <c r="M102" s="129">
        <v>1.99</v>
      </c>
      <c r="N102" s="129">
        <v>1.99</v>
      </c>
      <c r="O102" s="129">
        <v>1.99</v>
      </c>
      <c r="P102" s="129">
        <v>1.99</v>
      </c>
      <c r="Q102" s="129">
        <v>1.99</v>
      </c>
      <c r="R102" s="129">
        <v>1.99</v>
      </c>
      <c r="S102" s="129">
        <v>1.99</v>
      </c>
      <c r="T102" s="129">
        <v>1.99</v>
      </c>
      <c r="U102" s="129">
        <v>1.99</v>
      </c>
      <c r="V102" s="129">
        <v>1.99</v>
      </c>
      <c r="W102" s="129">
        <v>1.99</v>
      </c>
      <c r="X102" s="129">
        <v>1.99</v>
      </c>
      <c r="Y102" s="129">
        <v>1.99</v>
      </c>
      <c r="Z102" s="129">
        <v>1.99</v>
      </c>
      <c r="AA102" s="129">
        <v>1.99</v>
      </c>
      <c r="AB102" s="129">
        <v>1.99</v>
      </c>
      <c r="AC102" s="129">
        <v>1.99</v>
      </c>
      <c r="AD102" s="129">
        <v>1.99</v>
      </c>
      <c r="AE102" s="129">
        <v>1.99</v>
      </c>
      <c r="AF102" s="129">
        <v>1.99</v>
      </c>
      <c r="AG102" s="129">
        <v>1.99</v>
      </c>
      <c r="AH102" s="129">
        <v>1.99</v>
      </c>
      <c r="AI102" s="129">
        <v>1.99</v>
      </c>
      <c r="AJ102" s="129">
        <v>1.99</v>
      </c>
      <c r="AK102" s="129">
        <v>1.98</v>
      </c>
      <c r="AL102" s="129">
        <v>1.98</v>
      </c>
      <c r="AM102" s="129">
        <v>1.98</v>
      </c>
      <c r="AN102" s="129">
        <v>1.98</v>
      </c>
      <c r="AO102" s="129">
        <v>1.98</v>
      </c>
      <c r="AP102" s="129">
        <v>1.98</v>
      </c>
      <c r="AQ102" s="129">
        <v>1.98</v>
      </c>
      <c r="AR102" s="129">
        <v>1.98</v>
      </c>
      <c r="AS102" s="129">
        <v>1.98</v>
      </c>
      <c r="AT102" s="129">
        <v>1.98</v>
      </c>
      <c r="AU102" s="129">
        <v>1.98</v>
      </c>
      <c r="AV102" s="129">
        <v>1.98</v>
      </c>
      <c r="AW102" s="129">
        <v>1.98</v>
      </c>
      <c r="AX102" s="129">
        <v>1.98</v>
      </c>
      <c r="AY102" s="129">
        <v>1.98</v>
      </c>
      <c r="AZ102" s="129">
        <v>1.98</v>
      </c>
      <c r="BA102" s="129">
        <v>1.98</v>
      </c>
      <c r="BB102" s="129">
        <v>1.98</v>
      </c>
      <c r="BC102" s="129">
        <v>1.98</v>
      </c>
      <c r="BD102" s="129">
        <v>1.98</v>
      </c>
      <c r="BE102" s="129">
        <v>1.98</v>
      </c>
      <c r="BF102" s="129">
        <v>1.98</v>
      </c>
      <c r="BG102" s="129">
        <v>1.98</v>
      </c>
      <c r="BH102" s="129">
        <v>1.98</v>
      </c>
      <c r="BI102" s="129">
        <v>1.98</v>
      </c>
      <c r="BJ102" s="129">
        <v>1.98</v>
      </c>
      <c r="BK102" s="129">
        <v>1.98</v>
      </c>
      <c r="BL102" s="129">
        <v>1.98</v>
      </c>
      <c r="BM102" s="129">
        <v>1.98</v>
      </c>
      <c r="BN102" s="129">
        <v>1.98</v>
      </c>
      <c r="BO102" s="129">
        <v>1.98</v>
      </c>
      <c r="BP102" s="129">
        <v>1.99</v>
      </c>
      <c r="BQ102" s="129">
        <v>1.99</v>
      </c>
      <c r="BR102" s="129">
        <v>1.99</v>
      </c>
      <c r="BS102" s="129">
        <v>1.99</v>
      </c>
      <c r="BT102" s="129">
        <v>1.99</v>
      </c>
      <c r="BU102" s="129">
        <v>1.99</v>
      </c>
      <c r="BV102" s="129">
        <v>1.99</v>
      </c>
      <c r="BW102" s="129">
        <v>1.99</v>
      </c>
      <c r="BX102" s="129">
        <v>1.99</v>
      </c>
      <c r="BY102" s="129">
        <v>1.99</v>
      </c>
      <c r="BZ102" s="129">
        <v>1.99</v>
      </c>
      <c r="CA102" s="129">
        <v>1.99</v>
      </c>
      <c r="CB102" s="129">
        <v>1.99</v>
      </c>
      <c r="CC102" s="129">
        <v>1.99</v>
      </c>
      <c r="CD102" s="129">
        <v>1.99</v>
      </c>
      <c r="CE102" s="129">
        <v>1.99</v>
      </c>
      <c r="CF102" s="129">
        <v>1.99</v>
      </c>
      <c r="CG102" s="129">
        <v>1.99</v>
      </c>
      <c r="CH102" s="129">
        <v>1.99</v>
      </c>
      <c r="CI102" s="129">
        <v>1.99</v>
      </c>
      <c r="CJ102" s="129">
        <v>1.99</v>
      </c>
      <c r="CK102" s="129">
        <v>1.99</v>
      </c>
      <c r="CL102" s="129">
        <v>1.99</v>
      </c>
      <c r="CM102" s="129">
        <v>1.99</v>
      </c>
      <c r="CN102" s="129">
        <v>1.99</v>
      </c>
      <c r="CO102" s="129">
        <v>1.99</v>
      </c>
      <c r="CP102" s="129">
        <v>1.99</v>
      </c>
      <c r="CQ102" s="129">
        <v>1.99</v>
      </c>
      <c r="CR102" s="129">
        <v>1.99</v>
      </c>
      <c r="CS102" s="129">
        <v>1.99</v>
      </c>
      <c r="CT102" s="129">
        <v>1.99</v>
      </c>
      <c r="CU102" s="129">
        <v>1.99</v>
      </c>
      <c r="CV102" s="129">
        <v>1.99</v>
      </c>
      <c r="CW102" s="129">
        <v>1.99</v>
      </c>
      <c r="CX102" s="129">
        <v>2</v>
      </c>
      <c r="CZ102" s="126">
        <f>SUMIF(MatrixF4[[1]:[2]],MatrixF4[[#This Row],[Столбец1]])/MatrixF4[[#This Row],[Столбец1]]</f>
        <v>137.00000000000026</v>
      </c>
    </row>
    <row r="103" spans="1:104" ht="21" customHeight="1" x14ac:dyDescent="0.25">
      <c r="A103" s="127">
        <v>2</v>
      </c>
      <c r="B103" s="129">
        <v>2</v>
      </c>
      <c r="C103" s="129">
        <v>2</v>
      </c>
      <c r="D103" s="129">
        <v>2</v>
      </c>
      <c r="E103" s="129">
        <v>2</v>
      </c>
      <c r="F103" s="129">
        <v>2</v>
      </c>
      <c r="G103" s="129">
        <v>2</v>
      </c>
      <c r="H103" s="129">
        <v>2</v>
      </c>
      <c r="I103" s="129">
        <v>2</v>
      </c>
      <c r="J103" s="129">
        <v>2</v>
      </c>
      <c r="K103" s="129">
        <v>2</v>
      </c>
      <c r="L103" s="129">
        <v>2</v>
      </c>
      <c r="M103" s="129">
        <v>2</v>
      </c>
      <c r="N103" s="129">
        <v>2</v>
      </c>
      <c r="O103" s="129">
        <v>2</v>
      </c>
      <c r="P103" s="129">
        <v>2</v>
      </c>
      <c r="Q103" s="129">
        <v>2</v>
      </c>
      <c r="R103" s="129">
        <v>2</v>
      </c>
      <c r="S103" s="129">
        <v>2</v>
      </c>
      <c r="T103" s="129">
        <v>2</v>
      </c>
      <c r="U103" s="129">
        <v>2</v>
      </c>
      <c r="V103" s="129">
        <v>2</v>
      </c>
      <c r="W103" s="129">
        <v>2</v>
      </c>
      <c r="X103" s="129">
        <v>2</v>
      </c>
      <c r="Y103" s="129">
        <v>2</v>
      </c>
      <c r="Z103" s="129">
        <v>2</v>
      </c>
      <c r="AA103" s="129">
        <v>2</v>
      </c>
      <c r="AB103" s="129">
        <v>2</v>
      </c>
      <c r="AC103" s="129">
        <v>2</v>
      </c>
      <c r="AD103" s="129">
        <v>2</v>
      </c>
      <c r="AE103" s="129">
        <v>2</v>
      </c>
      <c r="AF103" s="129">
        <v>2</v>
      </c>
      <c r="AG103" s="129">
        <v>2</v>
      </c>
      <c r="AH103" s="129">
        <v>2</v>
      </c>
      <c r="AI103" s="129">
        <v>2</v>
      </c>
      <c r="AJ103" s="129">
        <v>2</v>
      </c>
      <c r="AK103" s="129">
        <v>2</v>
      </c>
      <c r="AL103" s="129">
        <v>2</v>
      </c>
      <c r="AM103" s="129">
        <v>2</v>
      </c>
      <c r="AN103" s="129">
        <v>2</v>
      </c>
      <c r="AO103" s="129">
        <v>2</v>
      </c>
      <c r="AP103" s="129">
        <v>2</v>
      </c>
      <c r="AQ103" s="129">
        <v>2</v>
      </c>
      <c r="AR103" s="129">
        <v>2</v>
      </c>
      <c r="AS103" s="129">
        <v>2</v>
      </c>
      <c r="AT103" s="129">
        <v>2</v>
      </c>
      <c r="AU103" s="129">
        <v>2</v>
      </c>
      <c r="AV103" s="129">
        <v>2</v>
      </c>
      <c r="AW103" s="129">
        <v>2</v>
      </c>
      <c r="AX103" s="129">
        <v>2</v>
      </c>
      <c r="AY103" s="129">
        <v>2</v>
      </c>
      <c r="AZ103" s="129">
        <v>2</v>
      </c>
      <c r="BA103" s="129">
        <v>2</v>
      </c>
      <c r="BB103" s="129">
        <v>2</v>
      </c>
      <c r="BC103" s="129">
        <v>2</v>
      </c>
      <c r="BD103" s="129">
        <v>2</v>
      </c>
      <c r="BE103" s="129">
        <v>2</v>
      </c>
      <c r="BF103" s="129">
        <v>2</v>
      </c>
      <c r="BG103" s="129">
        <v>2</v>
      </c>
      <c r="BH103" s="129">
        <v>2</v>
      </c>
      <c r="BI103" s="129">
        <v>2</v>
      </c>
      <c r="BJ103" s="129">
        <v>2</v>
      </c>
      <c r="BK103" s="129">
        <v>2</v>
      </c>
      <c r="BL103" s="129">
        <v>2</v>
      </c>
      <c r="BM103" s="129">
        <v>2</v>
      </c>
      <c r="BN103" s="129">
        <v>2</v>
      </c>
      <c r="BO103" s="129">
        <v>2</v>
      </c>
      <c r="BP103" s="129">
        <v>2</v>
      </c>
      <c r="BQ103" s="129">
        <v>2</v>
      </c>
      <c r="BR103" s="129">
        <v>2</v>
      </c>
      <c r="BS103" s="129">
        <v>2</v>
      </c>
      <c r="BT103" s="129">
        <v>2</v>
      </c>
      <c r="BU103" s="129">
        <v>2</v>
      </c>
      <c r="BV103" s="129">
        <v>2</v>
      </c>
      <c r="BW103" s="129">
        <v>2</v>
      </c>
      <c r="BX103" s="129">
        <v>2</v>
      </c>
      <c r="BY103" s="129">
        <v>2</v>
      </c>
      <c r="BZ103" s="129">
        <v>2</v>
      </c>
      <c r="CA103" s="129">
        <v>2</v>
      </c>
      <c r="CB103" s="129">
        <v>2</v>
      </c>
      <c r="CC103" s="129">
        <v>2</v>
      </c>
      <c r="CD103" s="129">
        <v>2</v>
      </c>
      <c r="CE103" s="129">
        <v>2</v>
      </c>
      <c r="CF103" s="129">
        <v>2</v>
      </c>
      <c r="CG103" s="129">
        <v>2</v>
      </c>
      <c r="CH103" s="129">
        <v>2</v>
      </c>
      <c r="CI103" s="129">
        <v>2</v>
      </c>
      <c r="CJ103" s="129">
        <v>2</v>
      </c>
      <c r="CK103" s="129">
        <v>2</v>
      </c>
      <c r="CL103" s="129">
        <v>2</v>
      </c>
      <c r="CM103" s="129">
        <v>2</v>
      </c>
      <c r="CN103" s="129">
        <v>2</v>
      </c>
      <c r="CO103" s="129">
        <v>2</v>
      </c>
      <c r="CP103" s="129">
        <v>2</v>
      </c>
      <c r="CQ103" s="129">
        <v>2</v>
      </c>
      <c r="CR103" s="129">
        <v>2</v>
      </c>
      <c r="CS103" s="129">
        <v>2</v>
      </c>
      <c r="CT103" s="129">
        <v>2</v>
      </c>
      <c r="CU103" s="129">
        <v>2</v>
      </c>
      <c r="CV103" s="129">
        <v>2</v>
      </c>
      <c r="CW103" s="129">
        <v>2</v>
      </c>
      <c r="CX103" s="129">
        <v>2</v>
      </c>
      <c r="CZ103" s="126">
        <f>SUMIF(MatrixF4[[1]:[2]],MatrixF4[[#This Row],[Столбец1]])/MatrixF4[[#This Row],[Столбец1]]</f>
        <v>201</v>
      </c>
    </row>
    <row r="105" spans="1:104" s="126" customFormat="1" ht="21" customHeight="1" x14ac:dyDescent="0.25">
      <c r="B105" s="126">
        <f>SUMIF(MatrixF4[[1]:[2]],MatrixF4[[#Headers],[1]])/MatrixF4[[#Headers],[1]]</f>
        <v>1</v>
      </c>
      <c r="C105" s="126">
        <f>SUMIF(MatrixF4[[1]:[2]],MatrixF4[[#Headers],[1,01]])/MatrixF4[[#Headers],[1,01]]</f>
        <v>3</v>
      </c>
      <c r="D105" s="126">
        <f>SUMIF(MatrixF4[[1]:[2]],MatrixF4[[#Headers],[1,02]])/MatrixF4[[#Headers],[1,02]]</f>
        <v>5</v>
      </c>
      <c r="E105" s="126">
        <f>SUMIF(MatrixF4[[1]:[2]],MatrixF4[[#Headers],[1,03]])/MatrixF4[[#Headers],[1,03]]</f>
        <v>7.0000000000000009</v>
      </c>
      <c r="F105" s="126">
        <f>SUMIF(MatrixF4[[1]:[2]],MatrixF4[[#Headers],[1,04]])/MatrixF4[[#Headers],[1,04]]</f>
        <v>9</v>
      </c>
      <c r="G105" s="126">
        <f>SUMIF(MatrixF4[[1]:[2]],MatrixF4[[#Headers],[1,05]])/MatrixF4[[#Headers],[1,05]]</f>
        <v>11.000000000000002</v>
      </c>
      <c r="H105" s="126">
        <f>SUMIF(MatrixF4[[1]:[2]],MatrixF4[[#Headers],[1,06]])/MatrixF4[[#Headers],[1,06]]</f>
        <v>13.000000000000004</v>
      </c>
      <c r="I105" s="126">
        <f>SUMIF(MatrixF4[[1]:[2]],MatrixF4[[#Headers],[1,07]])/MatrixF4[[#Headers],[1,07]]</f>
        <v>15</v>
      </c>
      <c r="J105" s="126">
        <f>SUMIF(MatrixF4[[1]:[2]],MatrixF4[[#Headers],[1,08]])/MatrixF4[[#Headers],[1,08]]</f>
        <v>17</v>
      </c>
      <c r="K105" s="126">
        <f>SUMIF(MatrixF4[[1]:[2]],MatrixF4[[#Headers],[1,09]])/MatrixF4[[#Headers],[1,09]]</f>
        <v>19</v>
      </c>
      <c r="L105" s="126">
        <f>SUMIF(MatrixF4[[1]:[2]],MatrixF4[[#Headers],[1,1]])/MatrixF4[[#Headers],[1,1]]</f>
        <v>21.000000000000004</v>
      </c>
      <c r="M105" s="126">
        <f>SUMIF(MatrixF4[[1]:[2]],MatrixF4[[#Headers],[1,11]])/MatrixF4[[#Headers],[1,11]]</f>
        <v>22.999999999999993</v>
      </c>
      <c r="N105" s="126">
        <f>SUMIF(MatrixF4[[1]:[2]],MatrixF4[[#Headers],[1,12]])/MatrixF4[[#Headers],[1,12]]</f>
        <v>25.000000000000014</v>
      </c>
      <c r="O105" s="126">
        <f>SUMIF(MatrixF4[[1]:[2]],MatrixF4[[#Headers],[1,13]])/MatrixF4[[#Headers],[1,13]]</f>
        <v>26.999999999999986</v>
      </c>
      <c r="P105" s="126">
        <f>SUMIF(MatrixF4[[1]:[2]],MatrixF4[[#Headers],[1,14]])/MatrixF4[[#Headers],[1,14]]</f>
        <v>29.000000000000011</v>
      </c>
      <c r="Q105" s="126">
        <f>SUMIF(MatrixF4[[1]:[2]],MatrixF4[[#Headers],[1,15]])/MatrixF4[[#Headers],[1,15]]</f>
        <v>30.999999999999982</v>
      </c>
      <c r="R105" s="126">
        <f>SUMIF(MatrixF4[[1]:[2]],MatrixF4[[#Headers],[1,16]])/MatrixF4[[#Headers],[1,16]]</f>
        <v>32.999999999999986</v>
      </c>
      <c r="S105" s="126">
        <f>SUMIF(MatrixF4[[1]:[2]],MatrixF4[[#Headers],[1,17]])/MatrixF4[[#Headers],[1,17]]</f>
        <v>35.000000000000028</v>
      </c>
      <c r="T105" s="126">
        <f>SUMIF(MatrixF4[[1]:[2]],MatrixF4[[#Headers],[1,18]])/MatrixF4[[#Headers],[1,18]]</f>
        <v>37</v>
      </c>
      <c r="U105" s="126">
        <f>SUMIF(MatrixF4[[1]:[2]],MatrixF4[[#Headers],[1,19]])/MatrixF4[[#Headers],[1,19]]</f>
        <v>38.999999999999986</v>
      </c>
      <c r="V105" s="126">
        <f>SUMIF(MatrixF4[[1]:[2]],MatrixF4[[#Headers],[1,2]])/MatrixF4[[#Headers],[1,2]]</f>
        <v>41.000000000000028</v>
      </c>
      <c r="W105" s="126">
        <f>SUMIF(MatrixF4[[1]:[2]],MatrixF4[[#Headers],[1,21]])/MatrixF4[[#Headers],[1,21]]</f>
        <v>43.000000000000028</v>
      </c>
      <c r="X105" s="126">
        <f>SUMIF(MatrixF4[[1]:[2]],MatrixF4[[#Headers],[1,22]])/MatrixF4[[#Headers],[1,22]]</f>
        <v>44.999999999999979</v>
      </c>
      <c r="Y105" s="126">
        <f>SUMIF(MatrixF4[[1]:[2]],MatrixF4[[#Headers],[1,23]])/MatrixF4[[#Headers],[1,23]]</f>
        <v>46.999999999999957</v>
      </c>
      <c r="Z105" s="126">
        <f>SUMIF(MatrixF4[[1]:[2]],MatrixF4[[#Headers],[1,24]])/MatrixF4[[#Headers],[1,24]]</f>
        <v>49.000000000000021</v>
      </c>
      <c r="AA105" s="126">
        <f>SUMIF(MatrixF4[[1]:[2]],MatrixF4[[#Headers],[1,25]])/MatrixF4[[#Headers],[1,25]]</f>
        <v>51</v>
      </c>
      <c r="AB105" s="126">
        <f>SUMIF(MatrixF4[[1]:[2]],MatrixF4[[#Headers],[1,26]])/MatrixF4[[#Headers],[1,26]]</f>
        <v>52.999999999999986</v>
      </c>
      <c r="AC105" s="126">
        <f>SUMIF(MatrixF4[[1]:[2]],MatrixF4[[#Headers],[1,27]])/MatrixF4[[#Headers],[1,27]]</f>
        <v>55.000000000000043</v>
      </c>
      <c r="AD105" s="126">
        <f>SUMIF(MatrixF4[[1]:[2]],MatrixF4[[#Headers],[1,28]])/MatrixF4[[#Headers],[1,28]]</f>
        <v>57.000000000000028</v>
      </c>
      <c r="AE105" s="126">
        <f>SUMIF(MatrixF4[[1]:[2]],MatrixF4[[#Headers],[1,29]])/MatrixF4[[#Headers],[1,29]]</f>
        <v>59.000000000000021</v>
      </c>
      <c r="AF105" s="126">
        <f>SUMIF(MatrixF4[[1]:[2]],MatrixF4[[#Headers],[1,3]])/MatrixF4[[#Headers],[1,3]]</f>
        <v>60.999999999999929</v>
      </c>
      <c r="AG105" s="126">
        <f>SUMIF(MatrixF4[[1]:[2]],MatrixF4[[#Headers],[1,31]])/MatrixF4[[#Headers],[1,31]]</f>
        <v>63.00000000000005</v>
      </c>
      <c r="AH105" s="126">
        <f>SUMIF(MatrixF4[[1]:[2]],MatrixF4[[#Headers],[1,32]])/MatrixF4[[#Headers],[1,32]]</f>
        <v>64.999999999999915</v>
      </c>
      <c r="AI105" s="126">
        <f>SUMIF(MatrixF4[[1]:[2]],MatrixF4[[#Headers],[1,33]])/MatrixF4[[#Headers],[1,33]]</f>
        <v>66.999999999999929</v>
      </c>
      <c r="AJ105" s="126">
        <f>SUMIF(MatrixF4[[1]:[2]],MatrixF4[[#Headers],[1,34]])/MatrixF4[[#Headers],[1,34]]</f>
        <v>69.000000000000114</v>
      </c>
      <c r="AK105" s="126">
        <f>SUMIF(MatrixF4[[1]:[2]],MatrixF4[[#Headers],[1,35]])/MatrixF4[[#Headers],[1,35]]</f>
        <v>70.999999999999929</v>
      </c>
      <c r="AL105" s="126">
        <f>SUMIF(MatrixF4[[1]:[2]],MatrixF4[[#Headers],[1,36]])/MatrixF4[[#Headers],[1,36]]</f>
        <v>72.999999999999972</v>
      </c>
      <c r="AM105" s="126">
        <f>SUMIF(MatrixF4[[1]:[2]],MatrixF4[[#Headers],[1,37]])/MatrixF4[[#Headers],[1,37]]</f>
        <v>75.000000000000057</v>
      </c>
      <c r="AN105" s="126">
        <f>SUMIF(MatrixF4[[1]:[2]],MatrixF4[[#Headers],[1,38]])/MatrixF4[[#Headers],[1,38]]</f>
        <v>76.999999999999943</v>
      </c>
      <c r="AO105" s="126">
        <f>SUMIF(MatrixF4[[1]:[2]],MatrixF4[[#Headers],[1,39]])/MatrixF4[[#Headers],[1,39]]</f>
        <v>79.000000000000028</v>
      </c>
      <c r="AP105" s="126">
        <f>SUMIF(MatrixF4[[1]:[2]],MatrixF4[[#Headers],[1,4]])/MatrixF4[[#Headers],[1,4]]</f>
        <v>81.000000000000128</v>
      </c>
      <c r="AQ105" s="126">
        <f>SUMIF(MatrixF4[[1]:[2]],MatrixF4[[#Headers],[1,41]])/MatrixF4[[#Headers],[1,41]]</f>
        <v>82.999999999999858</v>
      </c>
      <c r="AR105" s="126">
        <f>SUMIF(MatrixF4[[1]:[2]],MatrixF4[[#Headers],[1,42]])/MatrixF4[[#Headers],[1,42]]</f>
        <v>85.000000000000085</v>
      </c>
      <c r="AS105" s="126">
        <f>SUMIF(MatrixF4[[1]:[2]],MatrixF4[[#Headers],[1,43]])/MatrixF4[[#Headers],[1,43]]</f>
        <v>87.000000000000199</v>
      </c>
      <c r="AT105" s="126">
        <f>SUMIF(MatrixF4[[1]:[2]],MatrixF4[[#Headers],[1,44]])/MatrixF4[[#Headers],[1,44]]</f>
        <v>88.999999999999929</v>
      </c>
      <c r="AU105" s="126">
        <f>SUMIF(MatrixF4[[1]:[2]],MatrixF4[[#Headers],[1,45]])/MatrixF4[[#Headers],[1,45]]</f>
        <v>91.000000000000099</v>
      </c>
      <c r="AV105" s="126">
        <f>SUMIF(MatrixF4[[1]:[2]],MatrixF4[[#Headers],[1,46]])/MatrixF4[[#Headers],[1,46]]</f>
        <v>92.999999999999872</v>
      </c>
      <c r="AW105" s="126">
        <f>SUMIF(MatrixF4[[1]:[2]],MatrixF4[[#Headers],[1,47]])/MatrixF4[[#Headers],[1,47]]</f>
        <v>94.999999999999943</v>
      </c>
      <c r="AX105" s="126">
        <f>SUMIF(MatrixF4[[1]:[2]],MatrixF4[[#Headers],[1,48]])/MatrixF4[[#Headers],[1,48]]</f>
        <v>97</v>
      </c>
      <c r="AY105" s="126">
        <f>SUMIF(MatrixF4[[1]:[2]],MatrixF4[[#Headers],[1,49]])/MatrixF4[[#Headers],[1,49]]</f>
        <v>98.999999999999957</v>
      </c>
      <c r="AZ105" s="126">
        <f>SUMIF(MatrixF4[[1]:[2]],MatrixF4[[#Headers],[1,5]])/MatrixF4[[#Headers],[1,5]]</f>
        <v>101</v>
      </c>
      <c r="BA105" s="126">
        <f>SUMIF(MatrixF4[[1]:[2]],MatrixF4[[#Headers],[1,51]])/MatrixF4[[#Headers],[1,51]]</f>
        <v>105</v>
      </c>
      <c r="BB105" s="126">
        <f>SUMIF(MatrixF4[[1]:[2]],MatrixF4[[#Headers],[1,52]])/MatrixF4[[#Headers],[1,52]]</f>
        <v>111.00000000000011</v>
      </c>
      <c r="BC105" s="126">
        <f>SUMIF(MatrixF4[[1]:[2]],MatrixF4[[#Headers],[1,53]])/MatrixF4[[#Headers],[1,53]]</f>
        <v>117.00000000000007</v>
      </c>
      <c r="BD105" s="126">
        <f>SUMIF(MatrixF4[[1]:[2]],MatrixF4[[#Headers],[1,54]])/MatrixF4[[#Headers],[1,54]]</f>
        <v>122.99999999999996</v>
      </c>
      <c r="BE105" s="126">
        <f>SUMIF(MatrixF4[[1]:[2]],MatrixF4[[#Headers],[1,55]])/MatrixF4[[#Headers],[1,55]]</f>
        <v>127.00000000000021</v>
      </c>
      <c r="BF105" s="126">
        <f>SUMIF(MatrixF4[[1]:[2]],MatrixF4[[#Headers],[1,56]])/MatrixF4[[#Headers],[1,56]]</f>
        <v>127.00000000000014</v>
      </c>
      <c r="BG105" s="126">
        <f>SUMIF(MatrixF4[[1]:[2]],MatrixF4[[#Headers],[1,57]])/MatrixF4[[#Headers],[1,57]]</f>
        <v>136.99999999999957</v>
      </c>
      <c r="BH105" s="126">
        <f>SUMIF(MatrixF4[[1]:[2]],MatrixF4[[#Headers],[1,58]])/MatrixF4[[#Headers],[1,58]]</f>
        <v>133.00000000000034</v>
      </c>
      <c r="BI105" s="126">
        <f>SUMIF(MatrixF4[[1]:[2]],MatrixF4[[#Headers],[1,59]])/MatrixF4[[#Headers],[1,59]]</f>
        <v>139.00000000000023</v>
      </c>
      <c r="BJ105" s="126">
        <f>SUMIF(MatrixF4[[1]:[2]],MatrixF4[[#Headers],[1,6]])/MatrixF4[[#Headers],[1,6]]</f>
        <v>146.99999999999963</v>
      </c>
      <c r="BK105" s="126">
        <f>SUMIF(MatrixF4[[1]:[2]],MatrixF4[[#Headers],[1,61]])/MatrixF4[[#Headers],[1,61]]</f>
        <v>143.00000000000051</v>
      </c>
      <c r="BL105" s="126">
        <f>SUMIF(MatrixF4[[1]:[2]],MatrixF4[[#Headers],[1,62]])/MatrixF4[[#Headers],[1,62]]</f>
        <v>147.00000000000026</v>
      </c>
      <c r="BM105" s="126">
        <f>SUMIF(MatrixF4[[1]:[2]],MatrixF4[[#Headers],[1,63]])/MatrixF4[[#Headers],[1,63]]</f>
        <v>146.99999999999974</v>
      </c>
      <c r="BN105" s="126">
        <f>SUMIF(MatrixF4[[1]:[2]],MatrixF4[[#Headers],[1,64]])/MatrixF4[[#Headers],[1,64]]</f>
        <v>148.99999999999943</v>
      </c>
      <c r="BO105" s="126">
        <f>SUMIF(MatrixF4[[1]:[2]],MatrixF4[[#Headers],[1,65]])/MatrixF4[[#Headers],[1,65]]</f>
        <v>155.0000000000004</v>
      </c>
      <c r="BP105" s="126">
        <f>SUMIF(MatrixF4[[1]:[2]],MatrixF4[[#Headers],[1,66]])/MatrixF4[[#Headers],[1,66]]</f>
        <v>152.99999999999974</v>
      </c>
      <c r="BQ105" s="126">
        <f>SUMIF(MatrixF4[[1]:[2]],MatrixF4[[#Headers],[1,67]])/MatrixF4[[#Headers],[1,67]]</f>
        <v>158.99999999999955</v>
      </c>
      <c r="BR105" s="126">
        <f>SUMIF(MatrixF4[[1]:[2]],MatrixF4[[#Headers],[1,68]])/MatrixF4[[#Headers],[1,68]]</f>
        <v>159.00000000000048</v>
      </c>
      <c r="BS105" s="126">
        <f>SUMIF(MatrixF4[[1]:[2]],MatrixF4[[#Headers],[1,69]])/MatrixF4[[#Headers],[1,69]]</f>
        <v>154.99999999999983</v>
      </c>
      <c r="BT105" s="126">
        <f>SUMIF(MatrixF4[[1]:[2]],MatrixF4[[#Headers],[1,7]])/MatrixF4[[#Headers],[1,7]]</f>
        <v>156.99999999999955</v>
      </c>
      <c r="BU105" s="126">
        <f>SUMIF(MatrixF4[[1]:[2]],MatrixF4[[#Headers],[1,71]])/MatrixF4[[#Headers],[1,71]]</f>
        <v>163.00000000000009</v>
      </c>
      <c r="BV105" s="126">
        <f>SUMIF(MatrixF4[[1]:[2]],MatrixF4[[#Headers],[1,72]])/MatrixF4[[#Headers],[1,72]]</f>
        <v>157.00000000000006</v>
      </c>
      <c r="BW105" s="126">
        <f>SUMIF(MatrixF4[[1]:[2]],MatrixF4[[#Headers],[1,73]])/MatrixF4[[#Headers],[1,73]]</f>
        <v>164.9999999999998</v>
      </c>
      <c r="BX105" s="126">
        <f>SUMIF(MatrixF4[[1]:[2]],MatrixF4[[#Headers],[1,74]])/MatrixF4[[#Headers],[1,74]]</f>
        <v>165.00000000000037</v>
      </c>
      <c r="BY105" s="126">
        <f>SUMIF(MatrixF4[[1]:[2]],MatrixF4[[#Headers],[1,75]])/MatrixF4[[#Headers],[1,75]]</f>
        <v>151</v>
      </c>
      <c r="BZ105" s="126">
        <f>SUMIF(MatrixF4[[1]:[2]],MatrixF4[[#Headers],[1,76]])/MatrixF4[[#Headers],[1,76]]</f>
        <v>168.9999999999996</v>
      </c>
      <c r="CA105" s="126">
        <f>SUMIF(MatrixF4[[1]:[2]],MatrixF4[[#Headers],[1,77]])/MatrixF4[[#Headers],[1,77]]</f>
        <v>159.00000000000023</v>
      </c>
      <c r="CB105" s="126">
        <f>SUMIF(MatrixF4[[1]:[2]],MatrixF4[[#Headers],[1,78]])/MatrixF4[[#Headers],[1,78]]</f>
        <v>168.99999999999969</v>
      </c>
      <c r="CC105" s="126">
        <f>SUMIF(MatrixF4[[1]:[2]],MatrixF4[[#Headers],[1,79]])/MatrixF4[[#Headers],[1,79]]</f>
        <v>158.99999999999997</v>
      </c>
      <c r="CD105" s="126">
        <f>SUMIF(MatrixF4[[1]:[2]],MatrixF4[[#Headers],[1,8]])/MatrixF4[[#Headers],[1,8]]</f>
        <v>163.00000000000048</v>
      </c>
      <c r="CE105" s="126">
        <f>SUMIF(MatrixF4[[1]:[2]],MatrixF4[[#Headers],[1,81]])/MatrixF4[[#Headers],[1,81]]</f>
        <v>163.00000000000017</v>
      </c>
      <c r="CF105" s="126">
        <f>SUMIF(MatrixF4[[1]:[2]],MatrixF4[[#Headers],[1,82]])/MatrixF4[[#Headers],[1,82]]</f>
        <v>164.99999999999955</v>
      </c>
      <c r="CG105" s="126">
        <f>SUMIF(MatrixF4[[1]:[2]],MatrixF4[[#Headers],[1,83]])/MatrixF4[[#Headers],[1,83]]</f>
        <v>151.00000000000034</v>
      </c>
      <c r="CH105" s="126">
        <f>SUMIF(MatrixF4[[1]:[2]],MatrixF4[[#Headers],[1,84]])/MatrixF4[[#Headers],[1,84]]</f>
        <v>166.99999999999986</v>
      </c>
      <c r="CI105" s="126">
        <f>SUMIF(MatrixF4[[1]:[2]],MatrixF4[[#Headers],[1,85]])/MatrixF4[[#Headers],[1,85]]</f>
        <v>163</v>
      </c>
      <c r="CJ105" s="126">
        <f>SUMIF(MatrixF4[[1]:[2]],MatrixF4[[#Headers],[1,86]])/MatrixF4[[#Headers],[1,86]]</f>
        <v>165.00000000000068</v>
      </c>
      <c r="CK105" s="126">
        <f>SUMIF(MatrixF4[[1]:[2]],MatrixF4[[#Headers],[1,87]])/MatrixF4[[#Headers],[1,87]]</f>
        <v>149.00000000000023</v>
      </c>
      <c r="CL105" s="126">
        <f>SUMIF(MatrixF4[[1]:[2]],MatrixF4[[#Headers],[1,88]])/MatrixF4[[#Headers],[1,88]]</f>
        <v>168.99999999999972</v>
      </c>
      <c r="CM105" s="126">
        <f>SUMIF(MatrixF4[[1]:[2]],MatrixF4[[#Headers],[1,89]])/MatrixF4[[#Headers],[1,89]]</f>
        <v>162.99999999999935</v>
      </c>
      <c r="CN105" s="126">
        <f>SUMIF(MatrixF4[[1]:[2]],MatrixF4[[#Headers],[1,9]])/MatrixF4[[#Headers],[1,9]]</f>
        <v>159</v>
      </c>
      <c r="CO105" s="126">
        <f>SUMIF(MatrixF4[[1]:[2]],MatrixF4[[#Headers],[1,91]])/MatrixF4[[#Headers],[1,91]]</f>
        <v>159.00000000000011</v>
      </c>
      <c r="CP105" s="126">
        <f>SUMIF(MatrixF4[[1]:[2]],MatrixF4[[#Headers],[1,92]])/MatrixF4[[#Headers],[1,92]]</f>
        <v>154.9999999999998</v>
      </c>
      <c r="CQ105" s="126">
        <f>SUMIF(MatrixF4[[1]:[2]],MatrixF4[[#Headers],[1,93]])/MatrixF4[[#Headers],[1,93]]</f>
        <v>159.00000000000045</v>
      </c>
      <c r="CR105" s="126">
        <f>SUMIF(MatrixF4[[1]:[2]],MatrixF4[[#Headers],[1,94]])/MatrixF4[[#Headers],[1,94]]</f>
        <v>148.99999999999986</v>
      </c>
      <c r="CS105" s="126">
        <f>SUMIF(MatrixF4[[1]:[2]],MatrixF4[[#Headers],[1,95]])/MatrixF4[[#Headers],[1,95]]</f>
        <v>160.99999999999955</v>
      </c>
      <c r="CT105" s="126">
        <f>SUMIF(MatrixF4[[1]:[2]],MatrixF4[[#Headers],[1,96]])/MatrixF4[[#Headers],[1,96]]</f>
        <v>152.99999999999994</v>
      </c>
      <c r="CU105" s="126">
        <f>SUMIF(MatrixF4[[1]:[2]],MatrixF4[[#Headers],[1,97]])/MatrixF4[[#Headers],[1,97]]</f>
        <v>153.00000000000028</v>
      </c>
      <c r="CV105" s="126">
        <f>SUMIF(MatrixF4[[1]:[2]],MatrixF4[[#Headers],[1,98]])/MatrixF4[[#Headers],[1,98]]</f>
        <v>148.99999999999989</v>
      </c>
      <c r="CW105" s="126">
        <f>SUMIF(MatrixF4[[1]:[2]],MatrixF4[[#Headers],[1,99]])/MatrixF4[[#Headers],[1,99]]</f>
        <v>137.00000000000026</v>
      </c>
      <c r="CX105" s="126">
        <f>SUMIF(MatrixF4[[1]:[2]],MatrixF4[[#Headers],[2]])/MatrixF4[[#Headers],[2]]</f>
        <v>201</v>
      </c>
      <c r="CZ105" s="126">
        <f>SUM(CZ3:CZ103)</f>
        <v>10201</v>
      </c>
    </row>
  </sheetData>
  <mergeCells count="1">
    <mergeCell ref="A1:C1"/>
  </mergeCells>
  <conditionalFormatting sqref="B3:CX103">
    <cfRule type="colorScale" priority="1">
      <colorScale>
        <cfvo type="min"/>
        <cfvo type="percentile" val="50"/>
        <cfvo type="max"/>
        <color rgb="FFF8696B"/>
        <color rgb="FFFFEB84"/>
        <color rgb="FF63BE7B"/>
      </colorScale>
    </cfRule>
  </conditionalFormatting>
  <hyperlinks>
    <hyperlink ref="A1:C1" location="Содержание!A1" display="&lt;&lt;НАЗАД" xr:uid="{00000000-0004-0000-1000-000000000000}"/>
  </hyperlink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Лист1011"/>
  <dimension ref="A1:DA106"/>
  <sheetViews>
    <sheetView zoomScaleNormal="100" workbookViewId="0">
      <pane xSplit="1" ySplit="2" topLeftCell="B33" activePane="bottomRight" state="frozen"/>
      <selection pane="topRight" activeCell="B1" sqref="B1"/>
      <selection pane="bottomLeft" activeCell="A3" sqref="A3"/>
      <selection pane="bottomRight" activeCell="J49" sqref="J49"/>
    </sheetView>
  </sheetViews>
  <sheetFormatPr defaultColWidth="4.7109375" defaultRowHeight="21" customHeight="1" x14ac:dyDescent="0.25"/>
  <cols>
    <col min="1" max="16384" width="4.7109375" style="2"/>
  </cols>
  <sheetData>
    <row r="1" spans="1:105" ht="21" customHeight="1" x14ac:dyDescent="0.25">
      <c r="A1" s="261" t="s">
        <v>109</v>
      </c>
      <c r="B1" s="261"/>
      <c r="C1" s="261"/>
      <c r="E1" s="205">
        <v>1.57</v>
      </c>
      <c r="F1" s="206" t="s">
        <v>614</v>
      </c>
      <c r="G1" s="205">
        <f>COUNTIF(MatrixF5[[1]:[2]],"="&amp;E1)</f>
        <v>52</v>
      </c>
    </row>
    <row r="2" spans="1:105" ht="21" customHeight="1" x14ac:dyDescent="0.25">
      <c r="A2" s="127" t="s">
        <v>99</v>
      </c>
      <c r="B2" s="127" t="s">
        <v>100</v>
      </c>
      <c r="C2" s="127" t="s">
        <v>0</v>
      </c>
      <c r="D2" s="127" t="s">
        <v>1</v>
      </c>
      <c r="E2" s="127" t="s">
        <v>2</v>
      </c>
      <c r="F2" s="127" t="s">
        <v>3</v>
      </c>
      <c r="G2" s="127" t="s">
        <v>4</v>
      </c>
      <c r="H2" s="127" t="s">
        <v>5</v>
      </c>
      <c r="I2" s="127" t="s">
        <v>6</v>
      </c>
      <c r="J2" s="127" t="s">
        <v>7</v>
      </c>
      <c r="K2" s="127" t="s">
        <v>8</v>
      </c>
      <c r="L2" s="127" t="s">
        <v>9</v>
      </c>
      <c r="M2" s="127" t="s">
        <v>10</v>
      </c>
      <c r="N2" s="127" t="s">
        <v>11</v>
      </c>
      <c r="O2" s="127" t="s">
        <v>12</v>
      </c>
      <c r="P2" s="127" t="s">
        <v>13</v>
      </c>
      <c r="Q2" s="127" t="s">
        <v>14</v>
      </c>
      <c r="R2" s="127" t="s">
        <v>15</v>
      </c>
      <c r="S2" s="127" t="s">
        <v>16</v>
      </c>
      <c r="T2" s="127" t="s">
        <v>17</v>
      </c>
      <c r="U2" s="127" t="s">
        <v>18</v>
      </c>
      <c r="V2" s="127" t="s">
        <v>19</v>
      </c>
      <c r="W2" s="127" t="s">
        <v>20</v>
      </c>
      <c r="X2" s="127" t="s">
        <v>21</v>
      </c>
      <c r="Y2" s="127" t="s">
        <v>22</v>
      </c>
      <c r="Z2" s="127" t="s">
        <v>23</v>
      </c>
      <c r="AA2" s="127" t="s">
        <v>24</v>
      </c>
      <c r="AB2" s="127" t="s">
        <v>25</v>
      </c>
      <c r="AC2" s="127" t="s">
        <v>26</v>
      </c>
      <c r="AD2" s="127" t="s">
        <v>27</v>
      </c>
      <c r="AE2" s="127" t="s">
        <v>28</v>
      </c>
      <c r="AF2" s="127" t="s">
        <v>29</v>
      </c>
      <c r="AG2" s="127" t="s">
        <v>30</v>
      </c>
      <c r="AH2" s="127" t="s">
        <v>31</v>
      </c>
      <c r="AI2" s="127" t="s">
        <v>32</v>
      </c>
      <c r="AJ2" s="127" t="s">
        <v>33</v>
      </c>
      <c r="AK2" s="127" t="s">
        <v>34</v>
      </c>
      <c r="AL2" s="127" t="s">
        <v>35</v>
      </c>
      <c r="AM2" s="127" t="s">
        <v>36</v>
      </c>
      <c r="AN2" s="127" t="s">
        <v>37</v>
      </c>
      <c r="AO2" s="127" t="s">
        <v>38</v>
      </c>
      <c r="AP2" s="127" t="s">
        <v>39</v>
      </c>
      <c r="AQ2" s="127" t="s">
        <v>40</v>
      </c>
      <c r="AR2" s="127" t="s">
        <v>41</v>
      </c>
      <c r="AS2" s="127" t="s">
        <v>42</v>
      </c>
      <c r="AT2" s="127" t="s">
        <v>43</v>
      </c>
      <c r="AU2" s="127" t="s">
        <v>44</v>
      </c>
      <c r="AV2" s="127" t="s">
        <v>45</v>
      </c>
      <c r="AW2" s="127" t="s">
        <v>46</v>
      </c>
      <c r="AX2" s="127" t="s">
        <v>47</v>
      </c>
      <c r="AY2" s="127" t="s">
        <v>48</v>
      </c>
      <c r="AZ2" s="127" t="s">
        <v>49</v>
      </c>
      <c r="BA2" s="127" t="s">
        <v>50</v>
      </c>
      <c r="BB2" s="127" t="s">
        <v>51</v>
      </c>
      <c r="BC2" s="127" t="s">
        <v>52</v>
      </c>
      <c r="BD2" s="127" t="s">
        <v>53</v>
      </c>
      <c r="BE2" s="127" t="s">
        <v>54</v>
      </c>
      <c r="BF2" s="127" t="s">
        <v>55</v>
      </c>
      <c r="BG2" s="127" t="s">
        <v>56</v>
      </c>
      <c r="BH2" s="127" t="s">
        <v>57</v>
      </c>
      <c r="BI2" s="127" t="s">
        <v>58</v>
      </c>
      <c r="BJ2" s="127" t="s">
        <v>59</v>
      </c>
      <c r="BK2" s="127" t="s">
        <v>60</v>
      </c>
      <c r="BL2" s="127" t="s">
        <v>61</v>
      </c>
      <c r="BM2" s="127" t="s">
        <v>62</v>
      </c>
      <c r="BN2" s="127" t="s">
        <v>63</v>
      </c>
      <c r="BO2" s="127" t="s">
        <v>64</v>
      </c>
      <c r="BP2" s="127" t="s">
        <v>65</v>
      </c>
      <c r="BQ2" s="127" t="s">
        <v>66</v>
      </c>
      <c r="BR2" s="127" t="s">
        <v>67</v>
      </c>
      <c r="BS2" s="127" t="s">
        <v>68</v>
      </c>
      <c r="BT2" s="127" t="s">
        <v>69</v>
      </c>
      <c r="BU2" s="127" t="s">
        <v>70</v>
      </c>
      <c r="BV2" s="127" t="s">
        <v>71</v>
      </c>
      <c r="BW2" s="127" t="s">
        <v>72</v>
      </c>
      <c r="BX2" s="127" t="s">
        <v>73</v>
      </c>
      <c r="BY2" s="127" t="s">
        <v>74</v>
      </c>
      <c r="BZ2" s="127" t="s">
        <v>75</v>
      </c>
      <c r="CA2" s="127" t="s">
        <v>76</v>
      </c>
      <c r="CB2" s="127" t="s">
        <v>77</v>
      </c>
      <c r="CC2" s="127" t="s">
        <v>78</v>
      </c>
      <c r="CD2" s="127" t="s">
        <v>79</v>
      </c>
      <c r="CE2" s="127" t="s">
        <v>80</v>
      </c>
      <c r="CF2" s="127" t="s">
        <v>81</v>
      </c>
      <c r="CG2" s="127" t="s">
        <v>82</v>
      </c>
      <c r="CH2" s="127" t="s">
        <v>83</v>
      </c>
      <c r="CI2" s="127" t="s">
        <v>84</v>
      </c>
      <c r="CJ2" s="127" t="s">
        <v>85</v>
      </c>
      <c r="CK2" s="127" t="s">
        <v>86</v>
      </c>
      <c r="CL2" s="127" t="s">
        <v>87</v>
      </c>
      <c r="CM2" s="127" t="s">
        <v>88</v>
      </c>
      <c r="CN2" s="127" t="s">
        <v>89</v>
      </c>
      <c r="CO2" s="127" t="s">
        <v>90</v>
      </c>
      <c r="CP2" s="127" t="s">
        <v>91</v>
      </c>
      <c r="CQ2" s="127" t="s">
        <v>92</v>
      </c>
      <c r="CR2" s="127" t="s">
        <v>93</v>
      </c>
      <c r="CS2" s="127" t="s">
        <v>94</v>
      </c>
      <c r="CT2" s="127" t="s">
        <v>95</v>
      </c>
      <c r="CU2" s="127" t="s">
        <v>96</v>
      </c>
      <c r="CV2" s="127" t="s">
        <v>97</v>
      </c>
      <c r="CW2" s="127" t="s">
        <v>98</v>
      </c>
      <c r="CX2" s="127" t="s">
        <v>101</v>
      </c>
    </row>
    <row r="3" spans="1:105" ht="21" customHeight="1" x14ac:dyDescent="0.25">
      <c r="A3" s="127">
        <v>1</v>
      </c>
      <c r="B3" s="128">
        <v>1</v>
      </c>
      <c r="C3" s="128">
        <v>1.01</v>
      </c>
      <c r="D3" s="128">
        <v>1.02</v>
      </c>
      <c r="E3" s="128">
        <v>1.03</v>
      </c>
      <c r="F3" s="128">
        <v>1.04</v>
      </c>
      <c r="G3" s="128">
        <v>1.05</v>
      </c>
      <c r="H3" s="128">
        <v>1.06</v>
      </c>
      <c r="I3" s="128">
        <v>1.07</v>
      </c>
      <c r="J3" s="128">
        <v>1.08</v>
      </c>
      <c r="K3" s="128">
        <v>1.0900000000000001</v>
      </c>
      <c r="L3" s="128">
        <v>1.1000000000000001</v>
      </c>
      <c r="M3" s="128">
        <v>1.1100000000000001</v>
      </c>
      <c r="N3" s="128">
        <v>1.1200000000000001</v>
      </c>
      <c r="O3" s="128">
        <v>1.1299999999999999</v>
      </c>
      <c r="P3" s="128">
        <v>1.1399999999999999</v>
      </c>
      <c r="Q3" s="128">
        <v>1.1499999999999999</v>
      </c>
      <c r="R3" s="128">
        <v>1.1599999999999999</v>
      </c>
      <c r="S3" s="128">
        <v>1.17</v>
      </c>
      <c r="T3" s="128">
        <v>1.18</v>
      </c>
      <c r="U3" s="128">
        <v>1.19</v>
      </c>
      <c r="V3" s="128">
        <v>1.2</v>
      </c>
      <c r="W3" s="128">
        <v>1.21</v>
      </c>
      <c r="X3" s="128">
        <v>1.22</v>
      </c>
      <c r="Y3" s="128">
        <v>1.23</v>
      </c>
      <c r="Z3" s="128">
        <v>1.24</v>
      </c>
      <c r="AA3" s="128">
        <v>1.25</v>
      </c>
      <c r="AB3" s="128">
        <v>1.26</v>
      </c>
      <c r="AC3" s="128">
        <v>1.27</v>
      </c>
      <c r="AD3" s="128">
        <v>1.28</v>
      </c>
      <c r="AE3" s="128">
        <v>1.29</v>
      </c>
      <c r="AF3" s="128">
        <v>1.3</v>
      </c>
      <c r="AG3" s="128">
        <v>1.31</v>
      </c>
      <c r="AH3" s="128">
        <v>1.32</v>
      </c>
      <c r="AI3" s="128">
        <v>1.33</v>
      </c>
      <c r="AJ3" s="128">
        <v>1.34</v>
      </c>
      <c r="AK3" s="128">
        <v>1.35</v>
      </c>
      <c r="AL3" s="128">
        <v>1.36</v>
      </c>
      <c r="AM3" s="128">
        <v>1.37</v>
      </c>
      <c r="AN3" s="128">
        <v>1.38</v>
      </c>
      <c r="AO3" s="128">
        <v>1.39</v>
      </c>
      <c r="AP3" s="128">
        <v>1.4</v>
      </c>
      <c r="AQ3" s="128">
        <v>1.41</v>
      </c>
      <c r="AR3" s="128">
        <v>1.42</v>
      </c>
      <c r="AS3" s="128">
        <v>1.43</v>
      </c>
      <c r="AT3" s="128">
        <v>1.44</v>
      </c>
      <c r="AU3" s="128">
        <v>1.45</v>
      </c>
      <c r="AV3" s="128">
        <v>1.46</v>
      </c>
      <c r="AW3" s="128">
        <v>1.47</v>
      </c>
      <c r="AX3" s="128">
        <v>1.48</v>
      </c>
      <c r="AY3" s="128">
        <v>1.49</v>
      </c>
      <c r="AZ3" s="128">
        <v>1.5</v>
      </c>
      <c r="BA3" s="128">
        <v>1.51</v>
      </c>
      <c r="BB3" s="128">
        <v>1.52</v>
      </c>
      <c r="BC3" s="128">
        <v>1.53</v>
      </c>
      <c r="BD3" s="128">
        <v>1.54</v>
      </c>
      <c r="BE3" s="128">
        <v>1.55</v>
      </c>
      <c r="BF3" s="128">
        <v>1.56</v>
      </c>
      <c r="BG3" s="128">
        <v>1.57</v>
      </c>
      <c r="BH3" s="128">
        <v>1.58</v>
      </c>
      <c r="BI3" s="128">
        <v>1.59</v>
      </c>
      <c r="BJ3" s="128">
        <v>1.6</v>
      </c>
      <c r="BK3" s="128">
        <v>1.61</v>
      </c>
      <c r="BL3" s="128">
        <v>1.62</v>
      </c>
      <c r="BM3" s="128">
        <v>1.63</v>
      </c>
      <c r="BN3" s="128">
        <v>1.64</v>
      </c>
      <c r="BO3" s="128">
        <v>1.65</v>
      </c>
      <c r="BP3" s="128">
        <v>1.66</v>
      </c>
      <c r="BQ3" s="128">
        <v>1.67</v>
      </c>
      <c r="BR3" s="128">
        <v>1.68</v>
      </c>
      <c r="BS3" s="128">
        <v>1.69</v>
      </c>
      <c r="BT3" s="128">
        <v>1.7</v>
      </c>
      <c r="BU3" s="128">
        <v>1.71</v>
      </c>
      <c r="BV3" s="128">
        <v>1.72</v>
      </c>
      <c r="BW3" s="128">
        <v>1.73</v>
      </c>
      <c r="BX3" s="128">
        <v>1.74</v>
      </c>
      <c r="BY3" s="128">
        <v>1.75</v>
      </c>
      <c r="BZ3" s="128">
        <v>1.76</v>
      </c>
      <c r="CA3" s="128">
        <v>1.77</v>
      </c>
      <c r="CB3" s="128">
        <v>1.78</v>
      </c>
      <c r="CC3" s="128">
        <v>1.79</v>
      </c>
      <c r="CD3" s="128">
        <v>1.8</v>
      </c>
      <c r="CE3" s="128">
        <v>1.81</v>
      </c>
      <c r="CF3" s="128">
        <v>1.82</v>
      </c>
      <c r="CG3" s="128">
        <v>1.83</v>
      </c>
      <c r="CH3" s="128">
        <v>1.84</v>
      </c>
      <c r="CI3" s="128">
        <v>1.85</v>
      </c>
      <c r="CJ3" s="128">
        <v>1.86</v>
      </c>
      <c r="CK3" s="128">
        <v>1.87</v>
      </c>
      <c r="CL3" s="128">
        <v>1.88</v>
      </c>
      <c r="CM3" s="128">
        <v>1.89</v>
      </c>
      <c r="CN3" s="128">
        <v>1.9</v>
      </c>
      <c r="CO3" s="128">
        <v>1.91</v>
      </c>
      <c r="CP3" s="128">
        <v>1.92</v>
      </c>
      <c r="CQ3" s="128">
        <v>1.93</v>
      </c>
      <c r="CR3" s="128">
        <v>1.94</v>
      </c>
      <c r="CS3" s="128">
        <v>1.95</v>
      </c>
      <c r="CT3" s="128">
        <v>1.96</v>
      </c>
      <c r="CU3" s="128">
        <v>1.97</v>
      </c>
      <c r="CV3" s="128">
        <v>1.98</v>
      </c>
      <c r="CW3" s="128">
        <v>1.99</v>
      </c>
      <c r="CX3" s="128">
        <v>2</v>
      </c>
      <c r="CZ3" s="126">
        <f>SUMIF(MatrixF5[[1]:[2]],MatrixF5[[#This Row],[Столбец1]])/MatrixF5[[#This Row],[Столбец1]]</f>
        <v>1</v>
      </c>
    </row>
    <row r="4" spans="1:105" ht="21" customHeight="1" x14ac:dyDescent="0.25">
      <c r="A4" s="127">
        <v>1.01</v>
      </c>
      <c r="B4" s="128">
        <v>1.01</v>
      </c>
      <c r="C4" s="128">
        <v>1.03</v>
      </c>
      <c r="D4" s="128">
        <v>1.04</v>
      </c>
      <c r="E4" s="128">
        <v>1.05</v>
      </c>
      <c r="F4" s="128">
        <v>1.06</v>
      </c>
      <c r="G4" s="128">
        <v>1.07</v>
      </c>
      <c r="H4" s="128">
        <v>1.08</v>
      </c>
      <c r="I4" s="128">
        <v>1.0900000000000001</v>
      </c>
      <c r="J4" s="128">
        <v>1.1000000000000001</v>
      </c>
      <c r="K4" s="128">
        <v>1.1100000000000001</v>
      </c>
      <c r="L4" s="128">
        <v>1.1200000000000001</v>
      </c>
      <c r="M4" s="128">
        <v>1.1299999999999999</v>
      </c>
      <c r="N4" s="128">
        <v>1.1399999999999999</v>
      </c>
      <c r="O4" s="128">
        <v>1.1499999999999999</v>
      </c>
      <c r="P4" s="128">
        <v>1.1599999999999999</v>
      </c>
      <c r="Q4" s="128">
        <v>1.17</v>
      </c>
      <c r="R4" s="128">
        <v>1.18</v>
      </c>
      <c r="S4" s="128">
        <v>1.19</v>
      </c>
      <c r="T4" s="128">
        <v>1.2</v>
      </c>
      <c r="U4" s="128">
        <v>1.21</v>
      </c>
      <c r="V4" s="128">
        <v>1.22</v>
      </c>
      <c r="W4" s="128">
        <v>1.23</v>
      </c>
      <c r="X4" s="128">
        <v>1.24</v>
      </c>
      <c r="Y4" s="128">
        <v>1.25</v>
      </c>
      <c r="Z4" s="128">
        <v>1.26</v>
      </c>
      <c r="AA4" s="128">
        <v>1.27</v>
      </c>
      <c r="AB4" s="128">
        <v>1.28</v>
      </c>
      <c r="AC4" s="128">
        <v>1.29</v>
      </c>
      <c r="AD4" s="128">
        <v>1.3</v>
      </c>
      <c r="AE4" s="128">
        <v>1.31</v>
      </c>
      <c r="AF4" s="128">
        <v>1.32</v>
      </c>
      <c r="AG4" s="128">
        <v>1.33</v>
      </c>
      <c r="AH4" s="128">
        <v>1.34</v>
      </c>
      <c r="AI4" s="128">
        <v>1.35</v>
      </c>
      <c r="AJ4" s="128">
        <v>1.36</v>
      </c>
      <c r="AK4" s="128">
        <v>1.37</v>
      </c>
      <c r="AL4" s="128">
        <v>1.38</v>
      </c>
      <c r="AM4" s="128">
        <v>1.39</v>
      </c>
      <c r="AN4" s="128">
        <v>1.4</v>
      </c>
      <c r="AO4" s="128">
        <v>1.41</v>
      </c>
      <c r="AP4" s="128">
        <v>1.42</v>
      </c>
      <c r="AQ4" s="128">
        <v>1.43</v>
      </c>
      <c r="AR4" s="128">
        <v>1.44</v>
      </c>
      <c r="AS4" s="128">
        <v>1.45</v>
      </c>
      <c r="AT4" s="128">
        <v>1.46</v>
      </c>
      <c r="AU4" s="128">
        <v>1.47</v>
      </c>
      <c r="AV4" s="128">
        <v>1.48</v>
      </c>
      <c r="AW4" s="128">
        <v>1.49</v>
      </c>
      <c r="AX4" s="128">
        <v>1.5</v>
      </c>
      <c r="AY4" s="128">
        <v>1.5</v>
      </c>
      <c r="AZ4" s="128">
        <v>1.51</v>
      </c>
      <c r="BA4" s="128">
        <v>1.52</v>
      </c>
      <c r="BB4" s="128">
        <v>1.53</v>
      </c>
      <c r="BC4" s="128">
        <v>1.54</v>
      </c>
      <c r="BD4" s="128">
        <v>1.55</v>
      </c>
      <c r="BE4" s="128">
        <v>1.56</v>
      </c>
      <c r="BF4" s="128">
        <v>1.57</v>
      </c>
      <c r="BG4" s="128">
        <v>1.58</v>
      </c>
      <c r="BH4" s="128">
        <v>1.59</v>
      </c>
      <c r="BI4" s="128">
        <v>1.6</v>
      </c>
      <c r="BJ4" s="128">
        <v>1.61</v>
      </c>
      <c r="BK4" s="128">
        <v>1.62</v>
      </c>
      <c r="BL4" s="128">
        <v>1.63</v>
      </c>
      <c r="BM4" s="128">
        <v>1.64</v>
      </c>
      <c r="BN4" s="128">
        <v>1.65</v>
      </c>
      <c r="BO4" s="128">
        <v>1.66</v>
      </c>
      <c r="BP4" s="128">
        <v>1.67</v>
      </c>
      <c r="BQ4" s="128">
        <v>1.68</v>
      </c>
      <c r="BR4" s="128">
        <v>1.69</v>
      </c>
      <c r="BS4" s="128">
        <v>1.7</v>
      </c>
      <c r="BT4" s="128">
        <v>1.71</v>
      </c>
      <c r="BU4" s="128">
        <v>1.72</v>
      </c>
      <c r="BV4" s="128">
        <v>1.73</v>
      </c>
      <c r="BW4" s="128">
        <v>1.74</v>
      </c>
      <c r="BX4" s="128">
        <v>1.75</v>
      </c>
      <c r="BY4" s="128">
        <v>1.76</v>
      </c>
      <c r="BZ4" s="128">
        <v>1.77</v>
      </c>
      <c r="CA4" s="128">
        <v>1.78</v>
      </c>
      <c r="CB4" s="128">
        <v>1.79</v>
      </c>
      <c r="CC4" s="128">
        <v>1.8</v>
      </c>
      <c r="CD4" s="128">
        <v>1.81</v>
      </c>
      <c r="CE4" s="128">
        <v>1.82</v>
      </c>
      <c r="CF4" s="128">
        <v>1.83</v>
      </c>
      <c r="CG4" s="128">
        <v>1.84</v>
      </c>
      <c r="CH4" s="128">
        <v>1.85</v>
      </c>
      <c r="CI4" s="128">
        <v>1.86</v>
      </c>
      <c r="CJ4" s="128">
        <v>1.87</v>
      </c>
      <c r="CK4" s="128">
        <v>1.88</v>
      </c>
      <c r="CL4" s="128">
        <v>1.89</v>
      </c>
      <c r="CM4" s="128">
        <v>1.9</v>
      </c>
      <c r="CN4" s="128">
        <v>1.91</v>
      </c>
      <c r="CO4" s="128">
        <v>1.92</v>
      </c>
      <c r="CP4" s="128">
        <v>1.93</v>
      </c>
      <c r="CQ4" s="128">
        <v>1.94</v>
      </c>
      <c r="CR4" s="128">
        <v>1.95</v>
      </c>
      <c r="CS4" s="128">
        <v>1.96</v>
      </c>
      <c r="CT4" s="128">
        <v>1.97</v>
      </c>
      <c r="CU4" s="128">
        <v>1.98</v>
      </c>
      <c r="CV4" s="128">
        <v>1.99</v>
      </c>
      <c r="CW4" s="128">
        <v>2</v>
      </c>
      <c r="CX4" s="128">
        <v>2.0099999999999998</v>
      </c>
      <c r="CZ4" s="126">
        <f>SUMIF(MatrixF5[[1]:[2]],MatrixF5[[#This Row],[Столбец1]])/MatrixF5[[#This Row],[Столбец1]]</f>
        <v>2</v>
      </c>
      <c r="DA4" s="126">
        <f>SUMIF(MatrixF5[[1]:[2]],MatrixF5[[#This Row],[Столбец1]]+1)/(MatrixF5[[#This Row],[Столбец1]]+1)</f>
        <v>130.99999999999977</v>
      </c>
    </row>
    <row r="5" spans="1:105" ht="21" customHeight="1" x14ac:dyDescent="0.25">
      <c r="A5" s="127">
        <v>1.02</v>
      </c>
      <c r="B5" s="128">
        <v>1.02</v>
      </c>
      <c r="C5" s="128">
        <v>1.04</v>
      </c>
      <c r="D5" s="128">
        <v>1.06</v>
      </c>
      <c r="E5" s="128">
        <v>1.07</v>
      </c>
      <c r="F5" s="128">
        <v>1.08</v>
      </c>
      <c r="G5" s="128">
        <v>1.0900000000000001</v>
      </c>
      <c r="H5" s="128">
        <v>1.1000000000000001</v>
      </c>
      <c r="I5" s="128">
        <v>1.1100000000000001</v>
      </c>
      <c r="J5" s="128">
        <v>1.1200000000000001</v>
      </c>
      <c r="K5" s="128">
        <v>1.1299999999999999</v>
      </c>
      <c r="L5" s="128">
        <v>1.1399999999999999</v>
      </c>
      <c r="M5" s="128">
        <v>1.1499999999999999</v>
      </c>
      <c r="N5" s="128">
        <v>1.1599999999999999</v>
      </c>
      <c r="O5" s="128">
        <v>1.17</v>
      </c>
      <c r="P5" s="128">
        <v>1.18</v>
      </c>
      <c r="Q5" s="128">
        <v>1.19</v>
      </c>
      <c r="R5" s="128">
        <v>1.2</v>
      </c>
      <c r="S5" s="128">
        <v>1.21</v>
      </c>
      <c r="T5" s="128">
        <v>1.22</v>
      </c>
      <c r="U5" s="128">
        <v>1.23</v>
      </c>
      <c r="V5" s="128">
        <v>1.24</v>
      </c>
      <c r="W5" s="128">
        <v>1.25</v>
      </c>
      <c r="X5" s="128">
        <v>1.25</v>
      </c>
      <c r="Y5" s="128">
        <v>1.26</v>
      </c>
      <c r="Z5" s="128">
        <v>1.27</v>
      </c>
      <c r="AA5" s="128">
        <v>1.28</v>
      </c>
      <c r="AB5" s="128">
        <v>1.29</v>
      </c>
      <c r="AC5" s="128">
        <v>1.3</v>
      </c>
      <c r="AD5" s="128">
        <v>1.31</v>
      </c>
      <c r="AE5" s="128">
        <v>1.32</v>
      </c>
      <c r="AF5" s="128">
        <v>1.33</v>
      </c>
      <c r="AG5" s="128">
        <v>1.34</v>
      </c>
      <c r="AH5" s="128">
        <v>1.35</v>
      </c>
      <c r="AI5" s="128">
        <v>1.36</v>
      </c>
      <c r="AJ5" s="128">
        <v>1.37</v>
      </c>
      <c r="AK5" s="128">
        <v>1.38</v>
      </c>
      <c r="AL5" s="128">
        <v>1.39</v>
      </c>
      <c r="AM5" s="128">
        <v>1.4</v>
      </c>
      <c r="AN5" s="128">
        <v>1.41</v>
      </c>
      <c r="AO5" s="128">
        <v>1.42</v>
      </c>
      <c r="AP5" s="128">
        <v>1.43</v>
      </c>
      <c r="AQ5" s="128">
        <v>1.44</v>
      </c>
      <c r="AR5" s="128">
        <v>1.45</v>
      </c>
      <c r="AS5" s="128">
        <v>1.46</v>
      </c>
      <c r="AT5" s="128">
        <v>1.47</v>
      </c>
      <c r="AU5" s="128">
        <v>1.48</v>
      </c>
      <c r="AV5" s="128">
        <v>1.49</v>
      </c>
      <c r="AW5" s="128">
        <v>1.5</v>
      </c>
      <c r="AX5" s="128">
        <v>1.51</v>
      </c>
      <c r="AY5" s="128">
        <v>1.52</v>
      </c>
      <c r="AZ5" s="128">
        <v>1.53</v>
      </c>
      <c r="BA5" s="128">
        <v>1.54</v>
      </c>
      <c r="BB5" s="128">
        <v>1.55</v>
      </c>
      <c r="BC5" s="128">
        <v>1.56</v>
      </c>
      <c r="BD5" s="128">
        <v>1.57</v>
      </c>
      <c r="BE5" s="128">
        <v>1.58</v>
      </c>
      <c r="BF5" s="128">
        <v>1.59</v>
      </c>
      <c r="BG5" s="128">
        <v>1.6</v>
      </c>
      <c r="BH5" s="128">
        <v>1.61</v>
      </c>
      <c r="BI5" s="128">
        <v>1.62</v>
      </c>
      <c r="BJ5" s="128">
        <v>1.63</v>
      </c>
      <c r="BK5" s="128">
        <v>1.64</v>
      </c>
      <c r="BL5" s="128">
        <v>1.65</v>
      </c>
      <c r="BM5" s="128">
        <v>1.66</v>
      </c>
      <c r="BN5" s="128">
        <v>1.67</v>
      </c>
      <c r="BO5" s="128">
        <v>1.68</v>
      </c>
      <c r="BP5" s="128">
        <v>1.69</v>
      </c>
      <c r="BQ5" s="128">
        <v>1.7</v>
      </c>
      <c r="BR5" s="128">
        <v>1.71</v>
      </c>
      <c r="BS5" s="128">
        <v>1.72</v>
      </c>
      <c r="BT5" s="128">
        <v>1.73</v>
      </c>
      <c r="BU5" s="128">
        <v>1.74</v>
      </c>
      <c r="BV5" s="128">
        <v>1.75</v>
      </c>
      <c r="BW5" s="128">
        <v>1.75</v>
      </c>
      <c r="BX5" s="128">
        <v>1.76</v>
      </c>
      <c r="BY5" s="128">
        <v>1.77</v>
      </c>
      <c r="BZ5" s="128">
        <v>1.78</v>
      </c>
      <c r="CA5" s="128">
        <v>1.79</v>
      </c>
      <c r="CB5" s="128">
        <v>1.8</v>
      </c>
      <c r="CC5" s="128">
        <v>1.81</v>
      </c>
      <c r="CD5" s="128">
        <v>1.82</v>
      </c>
      <c r="CE5" s="128">
        <v>1.83</v>
      </c>
      <c r="CF5" s="128">
        <v>1.84</v>
      </c>
      <c r="CG5" s="128">
        <v>1.85</v>
      </c>
      <c r="CH5" s="128">
        <v>1.86</v>
      </c>
      <c r="CI5" s="128">
        <v>1.87</v>
      </c>
      <c r="CJ5" s="128">
        <v>1.88</v>
      </c>
      <c r="CK5" s="128">
        <v>1.89</v>
      </c>
      <c r="CL5" s="128">
        <v>1.9</v>
      </c>
      <c r="CM5" s="128">
        <v>1.91</v>
      </c>
      <c r="CN5" s="128">
        <v>1.92</v>
      </c>
      <c r="CO5" s="128">
        <v>1.93</v>
      </c>
      <c r="CP5" s="128">
        <v>1.94</v>
      </c>
      <c r="CQ5" s="128">
        <v>1.95</v>
      </c>
      <c r="CR5" s="128">
        <v>1.96</v>
      </c>
      <c r="CS5" s="128">
        <v>1.97</v>
      </c>
      <c r="CT5" s="128">
        <v>1.98</v>
      </c>
      <c r="CU5" s="128">
        <v>1.99</v>
      </c>
      <c r="CV5" s="128">
        <v>2</v>
      </c>
      <c r="CW5" s="128">
        <v>2.0099999999999998</v>
      </c>
      <c r="CX5" s="128">
        <v>2.02</v>
      </c>
      <c r="CZ5" s="126">
        <f>SUMIF(MatrixF5[[1]:[2]],MatrixF5[[#This Row],[Столбец1]])/MatrixF5[[#This Row],[Столбец1]]</f>
        <v>2</v>
      </c>
      <c r="DA5" s="126">
        <f>SUMIF(MatrixF5[[1]:[2]],MatrixF5[[#This Row],[Столбец1]]+1)/(MatrixF5[[#This Row],[Столбец1]]+1)</f>
        <v>124.00000000000026</v>
      </c>
    </row>
    <row r="6" spans="1:105" ht="21" customHeight="1" x14ac:dyDescent="0.25">
      <c r="A6" s="127">
        <v>1.03</v>
      </c>
      <c r="B6" s="128">
        <v>1.03</v>
      </c>
      <c r="C6" s="128">
        <v>1.05</v>
      </c>
      <c r="D6" s="128">
        <v>1.07</v>
      </c>
      <c r="E6" s="128">
        <v>1.0900000000000001</v>
      </c>
      <c r="F6" s="128">
        <v>1.1000000000000001</v>
      </c>
      <c r="G6" s="128">
        <v>1.1100000000000001</v>
      </c>
      <c r="H6" s="128">
        <v>1.1200000000000001</v>
      </c>
      <c r="I6" s="128">
        <v>1.1299999999999999</v>
      </c>
      <c r="J6" s="128">
        <v>1.1399999999999999</v>
      </c>
      <c r="K6" s="128">
        <v>1.1499999999999999</v>
      </c>
      <c r="L6" s="128">
        <v>1.1599999999999999</v>
      </c>
      <c r="M6" s="128">
        <v>1.17</v>
      </c>
      <c r="N6" s="128">
        <v>1.17</v>
      </c>
      <c r="O6" s="128">
        <v>1.18</v>
      </c>
      <c r="P6" s="128">
        <v>1.19</v>
      </c>
      <c r="Q6" s="128">
        <v>1.2</v>
      </c>
      <c r="R6" s="128">
        <v>1.21</v>
      </c>
      <c r="S6" s="128">
        <v>1.22</v>
      </c>
      <c r="T6" s="128">
        <v>1.23</v>
      </c>
      <c r="U6" s="128">
        <v>1.24</v>
      </c>
      <c r="V6" s="128">
        <v>1.25</v>
      </c>
      <c r="W6" s="128">
        <v>1.26</v>
      </c>
      <c r="X6" s="128">
        <v>1.27</v>
      </c>
      <c r="Y6" s="128">
        <v>1.28</v>
      </c>
      <c r="Z6" s="128">
        <v>1.29</v>
      </c>
      <c r="AA6" s="128">
        <v>1.3</v>
      </c>
      <c r="AB6" s="128">
        <v>1.31</v>
      </c>
      <c r="AC6" s="128">
        <v>1.32</v>
      </c>
      <c r="AD6" s="128">
        <v>1.33</v>
      </c>
      <c r="AE6" s="128">
        <v>1.34</v>
      </c>
      <c r="AF6" s="128">
        <v>1.35</v>
      </c>
      <c r="AG6" s="128">
        <v>1.36</v>
      </c>
      <c r="AH6" s="128">
        <v>1.37</v>
      </c>
      <c r="AI6" s="128">
        <v>1.38</v>
      </c>
      <c r="AJ6" s="128">
        <v>1.39</v>
      </c>
      <c r="AK6" s="128">
        <v>1.4</v>
      </c>
      <c r="AL6" s="128">
        <v>1.41</v>
      </c>
      <c r="AM6" s="128">
        <v>1.42</v>
      </c>
      <c r="AN6" s="128">
        <v>1.43</v>
      </c>
      <c r="AO6" s="128">
        <v>1.44</v>
      </c>
      <c r="AP6" s="128">
        <v>1.45</v>
      </c>
      <c r="AQ6" s="128">
        <v>1.46</v>
      </c>
      <c r="AR6" s="128">
        <v>1.47</v>
      </c>
      <c r="AS6" s="128">
        <v>1.48</v>
      </c>
      <c r="AT6" s="128">
        <v>1.49</v>
      </c>
      <c r="AU6" s="128">
        <v>1.5</v>
      </c>
      <c r="AV6" s="128">
        <v>1.5</v>
      </c>
      <c r="AW6" s="128">
        <v>1.51</v>
      </c>
      <c r="AX6" s="128">
        <v>1.52</v>
      </c>
      <c r="AY6" s="128">
        <v>1.53</v>
      </c>
      <c r="AZ6" s="128">
        <v>1.54</v>
      </c>
      <c r="BA6" s="128">
        <v>1.55</v>
      </c>
      <c r="BB6" s="128">
        <v>1.56</v>
      </c>
      <c r="BC6" s="128">
        <v>1.57</v>
      </c>
      <c r="BD6" s="128">
        <v>1.58</v>
      </c>
      <c r="BE6" s="128">
        <v>1.59</v>
      </c>
      <c r="BF6" s="128">
        <v>1.6</v>
      </c>
      <c r="BG6" s="128">
        <v>1.61</v>
      </c>
      <c r="BH6" s="128">
        <v>1.62</v>
      </c>
      <c r="BI6" s="128">
        <v>1.63</v>
      </c>
      <c r="BJ6" s="128">
        <v>1.64</v>
      </c>
      <c r="BK6" s="128">
        <v>1.65</v>
      </c>
      <c r="BL6" s="128">
        <v>1.66</v>
      </c>
      <c r="BM6" s="128">
        <v>1.67</v>
      </c>
      <c r="BN6" s="128">
        <v>1.68</v>
      </c>
      <c r="BO6" s="128">
        <v>1.69</v>
      </c>
      <c r="BP6" s="128">
        <v>1.7</v>
      </c>
      <c r="BQ6" s="128">
        <v>1.71</v>
      </c>
      <c r="BR6" s="128">
        <v>1.72</v>
      </c>
      <c r="BS6" s="128">
        <v>1.73</v>
      </c>
      <c r="BT6" s="128">
        <v>1.74</v>
      </c>
      <c r="BU6" s="128">
        <v>1.75</v>
      </c>
      <c r="BV6" s="128">
        <v>1.76</v>
      </c>
      <c r="BW6" s="128">
        <v>1.77</v>
      </c>
      <c r="BX6" s="128">
        <v>1.78</v>
      </c>
      <c r="BY6" s="128">
        <v>1.79</v>
      </c>
      <c r="BZ6" s="128">
        <v>1.8</v>
      </c>
      <c r="CA6" s="128">
        <v>1.81</v>
      </c>
      <c r="CB6" s="128">
        <v>1.82</v>
      </c>
      <c r="CC6" s="128">
        <v>1.83</v>
      </c>
      <c r="CD6" s="128">
        <v>1.83</v>
      </c>
      <c r="CE6" s="128">
        <v>1.84</v>
      </c>
      <c r="CF6" s="128">
        <v>1.85</v>
      </c>
      <c r="CG6" s="128">
        <v>1.86</v>
      </c>
      <c r="CH6" s="128">
        <v>1.87</v>
      </c>
      <c r="CI6" s="128">
        <v>1.88</v>
      </c>
      <c r="CJ6" s="128">
        <v>1.89</v>
      </c>
      <c r="CK6" s="128">
        <v>1.9</v>
      </c>
      <c r="CL6" s="128">
        <v>1.91</v>
      </c>
      <c r="CM6" s="128">
        <v>1.92</v>
      </c>
      <c r="CN6" s="128">
        <v>1.93</v>
      </c>
      <c r="CO6" s="128">
        <v>1.94</v>
      </c>
      <c r="CP6" s="128">
        <v>1.95</v>
      </c>
      <c r="CQ6" s="128">
        <v>1.96</v>
      </c>
      <c r="CR6" s="128">
        <v>1.97</v>
      </c>
      <c r="CS6" s="128">
        <v>1.98</v>
      </c>
      <c r="CT6" s="128">
        <v>1.99</v>
      </c>
      <c r="CU6" s="128">
        <v>2</v>
      </c>
      <c r="CV6" s="128">
        <v>2.0099999999999998</v>
      </c>
      <c r="CW6" s="128">
        <v>2.02</v>
      </c>
      <c r="CX6" s="128">
        <v>2.0299999999999998</v>
      </c>
      <c r="CZ6" s="126">
        <f>SUMIF(MatrixF5[[1]:[2]],MatrixF5[[#This Row],[Столбец1]])/MatrixF5[[#This Row],[Столбец1]]</f>
        <v>3</v>
      </c>
      <c r="DA6" s="126">
        <f>SUMIF(MatrixF5[[1]:[2]],MatrixF5[[#This Row],[Столбец1]]+1)/(MatrixF5[[#This Row],[Столбец1]]+1)</f>
        <v>119.00000000000004</v>
      </c>
    </row>
    <row r="7" spans="1:105" ht="21" customHeight="1" x14ac:dyDescent="0.25">
      <c r="A7" s="127">
        <v>1.04</v>
      </c>
      <c r="B7" s="128">
        <v>1.04</v>
      </c>
      <c r="C7" s="128">
        <v>1.06</v>
      </c>
      <c r="D7" s="128">
        <v>1.08</v>
      </c>
      <c r="E7" s="128">
        <v>1.1000000000000001</v>
      </c>
      <c r="F7" s="128">
        <v>1.1200000000000001</v>
      </c>
      <c r="G7" s="128">
        <v>1.1200000000000001</v>
      </c>
      <c r="H7" s="128">
        <v>1.1299999999999999</v>
      </c>
      <c r="I7" s="128">
        <v>1.1399999999999999</v>
      </c>
      <c r="J7" s="128">
        <v>1.1499999999999999</v>
      </c>
      <c r="K7" s="128">
        <v>1.1599999999999999</v>
      </c>
      <c r="L7" s="128">
        <v>1.17</v>
      </c>
      <c r="M7" s="128">
        <v>1.18</v>
      </c>
      <c r="N7" s="128">
        <v>1.19</v>
      </c>
      <c r="O7" s="128">
        <v>1.2</v>
      </c>
      <c r="P7" s="128">
        <v>1.21</v>
      </c>
      <c r="Q7" s="128">
        <v>1.22</v>
      </c>
      <c r="R7" s="128">
        <v>1.23</v>
      </c>
      <c r="S7" s="128">
        <v>1.24</v>
      </c>
      <c r="T7" s="128">
        <v>1.25</v>
      </c>
      <c r="U7" s="128">
        <v>1.26</v>
      </c>
      <c r="V7" s="128">
        <v>1.27</v>
      </c>
      <c r="W7" s="128">
        <v>1.28</v>
      </c>
      <c r="X7" s="128">
        <v>1.29</v>
      </c>
      <c r="Y7" s="128">
        <v>1.3</v>
      </c>
      <c r="Z7" s="128">
        <v>1.31</v>
      </c>
      <c r="AA7" s="128">
        <v>1.32</v>
      </c>
      <c r="AB7" s="128">
        <v>1.33</v>
      </c>
      <c r="AC7" s="128">
        <v>1.34</v>
      </c>
      <c r="AD7" s="128">
        <v>1.35</v>
      </c>
      <c r="AE7" s="128">
        <v>1.36</v>
      </c>
      <c r="AF7" s="128">
        <v>1.37</v>
      </c>
      <c r="AG7" s="128">
        <v>1.38</v>
      </c>
      <c r="AH7" s="128">
        <v>1.38</v>
      </c>
      <c r="AI7" s="128">
        <v>1.39</v>
      </c>
      <c r="AJ7" s="128">
        <v>1.4</v>
      </c>
      <c r="AK7" s="128">
        <v>1.41</v>
      </c>
      <c r="AL7" s="128">
        <v>1.42</v>
      </c>
      <c r="AM7" s="128">
        <v>1.43</v>
      </c>
      <c r="AN7" s="128">
        <v>1.44</v>
      </c>
      <c r="AO7" s="128">
        <v>1.45</v>
      </c>
      <c r="AP7" s="128">
        <v>1.46</v>
      </c>
      <c r="AQ7" s="128">
        <v>1.47</v>
      </c>
      <c r="AR7" s="128">
        <v>1.48</v>
      </c>
      <c r="AS7" s="128">
        <v>1.49</v>
      </c>
      <c r="AT7" s="128">
        <v>1.5</v>
      </c>
      <c r="AU7" s="128">
        <v>1.51</v>
      </c>
      <c r="AV7" s="128">
        <v>1.52</v>
      </c>
      <c r="AW7" s="128">
        <v>1.53</v>
      </c>
      <c r="AX7" s="128">
        <v>1.54</v>
      </c>
      <c r="AY7" s="128">
        <v>1.55</v>
      </c>
      <c r="AZ7" s="128">
        <v>1.56</v>
      </c>
      <c r="BA7" s="128">
        <v>1.57</v>
      </c>
      <c r="BB7" s="128">
        <v>1.58</v>
      </c>
      <c r="BC7" s="128">
        <v>1.59</v>
      </c>
      <c r="BD7" s="128">
        <v>1.6</v>
      </c>
      <c r="BE7" s="128">
        <v>1.61</v>
      </c>
      <c r="BF7" s="128">
        <v>1.62</v>
      </c>
      <c r="BG7" s="128">
        <v>1.62</v>
      </c>
      <c r="BH7" s="128">
        <v>1.63</v>
      </c>
      <c r="BI7" s="128">
        <v>1.64</v>
      </c>
      <c r="BJ7" s="128">
        <v>1.65</v>
      </c>
      <c r="BK7" s="128">
        <v>1.66</v>
      </c>
      <c r="BL7" s="128">
        <v>1.67</v>
      </c>
      <c r="BM7" s="128">
        <v>1.68</v>
      </c>
      <c r="BN7" s="128">
        <v>1.69</v>
      </c>
      <c r="BO7" s="128">
        <v>1.7</v>
      </c>
      <c r="BP7" s="128">
        <v>1.71</v>
      </c>
      <c r="BQ7" s="128">
        <v>1.72</v>
      </c>
      <c r="BR7" s="128">
        <v>1.73</v>
      </c>
      <c r="BS7" s="128">
        <v>1.74</v>
      </c>
      <c r="BT7" s="128">
        <v>1.75</v>
      </c>
      <c r="BU7" s="128">
        <v>1.76</v>
      </c>
      <c r="BV7" s="128">
        <v>1.77</v>
      </c>
      <c r="BW7" s="128">
        <v>1.78</v>
      </c>
      <c r="BX7" s="128">
        <v>1.79</v>
      </c>
      <c r="BY7" s="128">
        <v>1.8</v>
      </c>
      <c r="BZ7" s="128">
        <v>1.81</v>
      </c>
      <c r="CA7" s="128">
        <v>1.82</v>
      </c>
      <c r="CB7" s="128">
        <v>1.83</v>
      </c>
      <c r="CC7" s="128">
        <v>1.84</v>
      </c>
      <c r="CD7" s="128">
        <v>1.85</v>
      </c>
      <c r="CE7" s="128">
        <v>1.86</v>
      </c>
      <c r="CF7" s="128">
        <v>1.87</v>
      </c>
      <c r="CG7" s="128">
        <v>1.88</v>
      </c>
      <c r="CH7" s="128">
        <v>1.88</v>
      </c>
      <c r="CI7" s="128">
        <v>1.89</v>
      </c>
      <c r="CJ7" s="128">
        <v>1.9</v>
      </c>
      <c r="CK7" s="128">
        <v>1.91</v>
      </c>
      <c r="CL7" s="128">
        <v>1.92</v>
      </c>
      <c r="CM7" s="128">
        <v>1.93</v>
      </c>
      <c r="CN7" s="128">
        <v>1.94</v>
      </c>
      <c r="CO7" s="128">
        <v>1.95</v>
      </c>
      <c r="CP7" s="128">
        <v>1.96</v>
      </c>
      <c r="CQ7" s="128">
        <v>1.97</v>
      </c>
      <c r="CR7" s="128">
        <v>1.98</v>
      </c>
      <c r="CS7" s="128">
        <v>1.99</v>
      </c>
      <c r="CT7" s="128">
        <v>2</v>
      </c>
      <c r="CU7" s="128">
        <v>2.0099999999999998</v>
      </c>
      <c r="CV7" s="128">
        <v>2.02</v>
      </c>
      <c r="CW7" s="128">
        <v>2.0299999999999998</v>
      </c>
      <c r="CX7" s="128">
        <v>2.04</v>
      </c>
      <c r="CZ7" s="126">
        <f>SUMIF(MatrixF5[[1]:[2]],MatrixF5[[#This Row],[Столбец1]])/MatrixF5[[#This Row],[Столбец1]]</f>
        <v>4</v>
      </c>
      <c r="DA7" s="126">
        <f>SUMIF(MatrixF5[[1]:[2]],MatrixF5[[#This Row],[Столбец1]]+1)/(MatrixF5[[#This Row],[Столбец1]]+1)</f>
        <v>118.99999999999987</v>
      </c>
    </row>
    <row r="8" spans="1:105" ht="21" customHeight="1" x14ac:dyDescent="0.25">
      <c r="A8" s="127">
        <v>1.05</v>
      </c>
      <c r="B8" s="128">
        <v>1.05</v>
      </c>
      <c r="C8" s="128">
        <v>1.07</v>
      </c>
      <c r="D8" s="128">
        <v>1.0900000000000001</v>
      </c>
      <c r="E8" s="128">
        <v>1.1100000000000001</v>
      </c>
      <c r="F8" s="128">
        <v>1.1200000000000001</v>
      </c>
      <c r="G8" s="128">
        <v>1.1399999999999999</v>
      </c>
      <c r="H8" s="128">
        <v>1.1499999999999999</v>
      </c>
      <c r="I8" s="128">
        <v>1.1599999999999999</v>
      </c>
      <c r="J8" s="128">
        <v>1.17</v>
      </c>
      <c r="K8" s="128">
        <v>1.18</v>
      </c>
      <c r="L8" s="128">
        <v>1.19</v>
      </c>
      <c r="M8" s="128">
        <v>1.2</v>
      </c>
      <c r="N8" s="128">
        <v>1.21</v>
      </c>
      <c r="O8" s="128">
        <v>1.22</v>
      </c>
      <c r="P8" s="128">
        <v>1.23</v>
      </c>
      <c r="Q8" s="128">
        <v>1.24</v>
      </c>
      <c r="R8" s="128">
        <v>1.25</v>
      </c>
      <c r="S8" s="128">
        <v>1.26</v>
      </c>
      <c r="T8" s="128">
        <v>1.27</v>
      </c>
      <c r="U8" s="128">
        <v>1.28</v>
      </c>
      <c r="V8" s="128">
        <v>1.29</v>
      </c>
      <c r="W8" s="128">
        <v>1.3</v>
      </c>
      <c r="X8" s="128">
        <v>1.3</v>
      </c>
      <c r="Y8" s="128">
        <v>1.31</v>
      </c>
      <c r="Z8" s="128">
        <v>1.32</v>
      </c>
      <c r="AA8" s="128">
        <v>1.33</v>
      </c>
      <c r="AB8" s="128">
        <v>1.34</v>
      </c>
      <c r="AC8" s="128">
        <v>1.35</v>
      </c>
      <c r="AD8" s="128">
        <v>1.36</v>
      </c>
      <c r="AE8" s="128">
        <v>1.37</v>
      </c>
      <c r="AF8" s="128">
        <v>1.38</v>
      </c>
      <c r="AG8" s="128">
        <v>1.39</v>
      </c>
      <c r="AH8" s="128">
        <v>1.4</v>
      </c>
      <c r="AI8" s="128">
        <v>1.41</v>
      </c>
      <c r="AJ8" s="128">
        <v>1.42</v>
      </c>
      <c r="AK8" s="128">
        <v>1.43</v>
      </c>
      <c r="AL8" s="128">
        <v>1.44</v>
      </c>
      <c r="AM8" s="128">
        <v>1.45</v>
      </c>
      <c r="AN8" s="128">
        <v>1.46</v>
      </c>
      <c r="AO8" s="128">
        <v>1.47</v>
      </c>
      <c r="AP8" s="128">
        <v>1.48</v>
      </c>
      <c r="AQ8" s="128">
        <v>1.49</v>
      </c>
      <c r="AR8" s="128">
        <v>1.5</v>
      </c>
      <c r="AS8" s="128">
        <v>1.5</v>
      </c>
      <c r="AT8" s="128">
        <v>1.51</v>
      </c>
      <c r="AU8" s="128">
        <v>1.52</v>
      </c>
      <c r="AV8" s="128">
        <v>1.53</v>
      </c>
      <c r="AW8" s="128">
        <v>1.54</v>
      </c>
      <c r="AX8" s="128">
        <v>1.55</v>
      </c>
      <c r="AY8" s="128">
        <v>1.56</v>
      </c>
      <c r="AZ8" s="128">
        <v>1.57</v>
      </c>
      <c r="BA8" s="128">
        <v>1.58</v>
      </c>
      <c r="BB8" s="128">
        <v>1.59</v>
      </c>
      <c r="BC8" s="128">
        <v>1.6</v>
      </c>
      <c r="BD8" s="128">
        <v>1.61</v>
      </c>
      <c r="BE8" s="128">
        <v>1.62</v>
      </c>
      <c r="BF8" s="128">
        <v>1.63</v>
      </c>
      <c r="BG8" s="128">
        <v>1.64</v>
      </c>
      <c r="BH8" s="128">
        <v>1.65</v>
      </c>
      <c r="BI8" s="128">
        <v>1.66</v>
      </c>
      <c r="BJ8" s="128">
        <v>1.67</v>
      </c>
      <c r="BK8" s="128">
        <v>1.68</v>
      </c>
      <c r="BL8" s="128">
        <v>1.69</v>
      </c>
      <c r="BM8" s="128">
        <v>1.7</v>
      </c>
      <c r="BN8" s="128">
        <v>1.7</v>
      </c>
      <c r="BO8" s="128">
        <v>1.71</v>
      </c>
      <c r="BP8" s="128">
        <v>1.72</v>
      </c>
      <c r="BQ8" s="128">
        <v>1.73</v>
      </c>
      <c r="BR8" s="128">
        <v>1.74</v>
      </c>
      <c r="BS8" s="128">
        <v>1.75</v>
      </c>
      <c r="BT8" s="128">
        <v>1.76</v>
      </c>
      <c r="BU8" s="128">
        <v>1.77</v>
      </c>
      <c r="BV8" s="128">
        <v>1.78</v>
      </c>
      <c r="BW8" s="128">
        <v>1.79</v>
      </c>
      <c r="BX8" s="128">
        <v>1.8</v>
      </c>
      <c r="BY8" s="128">
        <v>1.81</v>
      </c>
      <c r="BZ8" s="128">
        <v>1.82</v>
      </c>
      <c r="CA8" s="128">
        <v>1.83</v>
      </c>
      <c r="CB8" s="128">
        <v>1.84</v>
      </c>
      <c r="CC8" s="128">
        <v>1.85</v>
      </c>
      <c r="CD8" s="128">
        <v>1.86</v>
      </c>
      <c r="CE8" s="128">
        <v>1.87</v>
      </c>
      <c r="CF8" s="128">
        <v>1.88</v>
      </c>
      <c r="CG8" s="128">
        <v>1.89</v>
      </c>
      <c r="CH8" s="128">
        <v>1.9</v>
      </c>
      <c r="CI8" s="128">
        <v>1.9</v>
      </c>
      <c r="CJ8" s="128">
        <v>1.91</v>
      </c>
      <c r="CK8" s="128">
        <v>1.92</v>
      </c>
      <c r="CL8" s="128">
        <v>1.93</v>
      </c>
      <c r="CM8" s="128">
        <v>1.94</v>
      </c>
      <c r="CN8" s="128">
        <v>1.95</v>
      </c>
      <c r="CO8" s="128">
        <v>1.96</v>
      </c>
      <c r="CP8" s="128">
        <v>1.97</v>
      </c>
      <c r="CQ8" s="128">
        <v>1.98</v>
      </c>
      <c r="CR8" s="128">
        <v>1.99</v>
      </c>
      <c r="CS8" s="128">
        <v>2</v>
      </c>
      <c r="CT8" s="128">
        <v>2.0099999999999998</v>
      </c>
      <c r="CU8" s="128">
        <v>2.02</v>
      </c>
      <c r="CV8" s="128">
        <v>2.0299999999999998</v>
      </c>
      <c r="CW8" s="128">
        <v>2.04</v>
      </c>
      <c r="CX8" s="128">
        <v>2.0499999999999998</v>
      </c>
      <c r="CZ8" s="126">
        <f>SUMIF(MatrixF5[[1]:[2]],MatrixF5[[#This Row],[Столбец1]])/MatrixF5[[#This Row],[Столбец1]]</f>
        <v>4</v>
      </c>
      <c r="DA8" s="126">
        <f>SUMIF(MatrixF5[[1]:[2]],MatrixF5[[#This Row],[Столбец1]]+1)/(MatrixF5[[#This Row],[Столбец1]]+1)</f>
        <v>111.00000000000023</v>
      </c>
    </row>
    <row r="9" spans="1:105" ht="21" customHeight="1" x14ac:dyDescent="0.25">
      <c r="A9" s="127">
        <v>1.06</v>
      </c>
      <c r="B9" s="128">
        <v>1.06</v>
      </c>
      <c r="C9" s="128">
        <v>1.08</v>
      </c>
      <c r="D9" s="128">
        <v>1.1000000000000001</v>
      </c>
      <c r="E9" s="128">
        <v>1.1200000000000001</v>
      </c>
      <c r="F9" s="128">
        <v>1.1299999999999999</v>
      </c>
      <c r="G9" s="128">
        <v>1.1499999999999999</v>
      </c>
      <c r="H9" s="128">
        <v>1.17</v>
      </c>
      <c r="I9" s="128">
        <v>1.18</v>
      </c>
      <c r="J9" s="128">
        <v>1.19</v>
      </c>
      <c r="K9" s="128">
        <v>1.2</v>
      </c>
      <c r="L9" s="128">
        <v>1.21</v>
      </c>
      <c r="M9" s="128">
        <v>1.22</v>
      </c>
      <c r="N9" s="128">
        <v>1.23</v>
      </c>
      <c r="O9" s="128">
        <v>1.24</v>
      </c>
      <c r="P9" s="128">
        <v>1.25</v>
      </c>
      <c r="Q9" s="128">
        <v>1.25</v>
      </c>
      <c r="R9" s="128">
        <v>1.26</v>
      </c>
      <c r="S9" s="128">
        <v>1.27</v>
      </c>
      <c r="T9" s="128">
        <v>1.28</v>
      </c>
      <c r="U9" s="128">
        <v>1.29</v>
      </c>
      <c r="V9" s="128">
        <v>1.3</v>
      </c>
      <c r="W9" s="128">
        <v>1.31</v>
      </c>
      <c r="X9" s="128">
        <v>1.32</v>
      </c>
      <c r="Y9" s="128">
        <v>1.33</v>
      </c>
      <c r="Z9" s="128">
        <v>1.34</v>
      </c>
      <c r="AA9" s="128">
        <v>1.35</v>
      </c>
      <c r="AB9" s="128">
        <v>1.36</v>
      </c>
      <c r="AC9" s="128">
        <v>1.37</v>
      </c>
      <c r="AD9" s="128">
        <v>1.38</v>
      </c>
      <c r="AE9" s="128">
        <v>1.39</v>
      </c>
      <c r="AF9" s="128">
        <v>1.4</v>
      </c>
      <c r="AG9" s="128">
        <v>1.41</v>
      </c>
      <c r="AH9" s="128">
        <v>1.42</v>
      </c>
      <c r="AI9" s="128">
        <v>1.42</v>
      </c>
      <c r="AJ9" s="128">
        <v>1.43</v>
      </c>
      <c r="AK9" s="128">
        <v>1.44</v>
      </c>
      <c r="AL9" s="128">
        <v>1.45</v>
      </c>
      <c r="AM9" s="128">
        <v>1.46</v>
      </c>
      <c r="AN9" s="128">
        <v>1.47</v>
      </c>
      <c r="AO9" s="128">
        <v>1.48</v>
      </c>
      <c r="AP9" s="128">
        <v>1.49</v>
      </c>
      <c r="AQ9" s="128">
        <v>1.5</v>
      </c>
      <c r="AR9" s="128">
        <v>1.51</v>
      </c>
      <c r="AS9" s="128">
        <v>1.52</v>
      </c>
      <c r="AT9" s="128">
        <v>1.53</v>
      </c>
      <c r="AU9" s="128">
        <v>1.54</v>
      </c>
      <c r="AV9" s="128">
        <v>1.55</v>
      </c>
      <c r="AW9" s="128">
        <v>1.56</v>
      </c>
      <c r="AX9" s="128">
        <v>1.57</v>
      </c>
      <c r="AY9" s="128">
        <v>1.58</v>
      </c>
      <c r="AZ9" s="128">
        <v>1.58</v>
      </c>
      <c r="BA9" s="128">
        <v>1.59</v>
      </c>
      <c r="BB9" s="128">
        <v>1.6</v>
      </c>
      <c r="BC9" s="128">
        <v>1.61</v>
      </c>
      <c r="BD9" s="128">
        <v>1.62</v>
      </c>
      <c r="BE9" s="128">
        <v>1.63</v>
      </c>
      <c r="BF9" s="128">
        <v>1.64</v>
      </c>
      <c r="BG9" s="128">
        <v>1.65</v>
      </c>
      <c r="BH9" s="128">
        <v>1.66</v>
      </c>
      <c r="BI9" s="128">
        <v>1.67</v>
      </c>
      <c r="BJ9" s="128">
        <v>1.68</v>
      </c>
      <c r="BK9" s="128">
        <v>1.69</v>
      </c>
      <c r="BL9" s="128">
        <v>1.7</v>
      </c>
      <c r="BM9" s="128">
        <v>1.71</v>
      </c>
      <c r="BN9" s="128">
        <v>1.72</v>
      </c>
      <c r="BO9" s="128">
        <v>1.73</v>
      </c>
      <c r="BP9" s="128">
        <v>1.74</v>
      </c>
      <c r="BQ9" s="128">
        <v>1.75</v>
      </c>
      <c r="BR9" s="128">
        <v>1.75</v>
      </c>
      <c r="BS9" s="128">
        <v>1.76</v>
      </c>
      <c r="BT9" s="128">
        <v>1.77</v>
      </c>
      <c r="BU9" s="128">
        <v>1.78</v>
      </c>
      <c r="BV9" s="128">
        <v>1.79</v>
      </c>
      <c r="BW9" s="128">
        <v>1.8</v>
      </c>
      <c r="BX9" s="128">
        <v>1.81</v>
      </c>
      <c r="BY9" s="128">
        <v>1.82</v>
      </c>
      <c r="BZ9" s="128">
        <v>1.83</v>
      </c>
      <c r="CA9" s="128">
        <v>1.84</v>
      </c>
      <c r="CB9" s="128">
        <v>1.85</v>
      </c>
      <c r="CC9" s="128">
        <v>1.86</v>
      </c>
      <c r="CD9" s="128">
        <v>1.87</v>
      </c>
      <c r="CE9" s="128">
        <v>1.88</v>
      </c>
      <c r="CF9" s="128">
        <v>1.89</v>
      </c>
      <c r="CG9" s="128">
        <v>1.9</v>
      </c>
      <c r="CH9" s="128">
        <v>1.91</v>
      </c>
      <c r="CI9" s="128">
        <v>1.92</v>
      </c>
      <c r="CJ9" s="128">
        <v>1.92</v>
      </c>
      <c r="CK9" s="128">
        <v>1.93</v>
      </c>
      <c r="CL9" s="128">
        <v>1.94</v>
      </c>
      <c r="CM9" s="128">
        <v>1.95</v>
      </c>
      <c r="CN9" s="128">
        <v>1.96</v>
      </c>
      <c r="CO9" s="128">
        <v>1.97</v>
      </c>
      <c r="CP9" s="128">
        <v>1.98</v>
      </c>
      <c r="CQ9" s="128">
        <v>1.99</v>
      </c>
      <c r="CR9" s="128">
        <v>2</v>
      </c>
      <c r="CS9" s="128">
        <v>2.0099999999999998</v>
      </c>
      <c r="CT9" s="128">
        <v>2.02</v>
      </c>
      <c r="CU9" s="128">
        <v>2.0299999999999998</v>
      </c>
      <c r="CV9" s="128">
        <v>2.04</v>
      </c>
      <c r="CW9" s="128">
        <v>2.0499999999999998</v>
      </c>
      <c r="CX9" s="128">
        <v>2.06</v>
      </c>
      <c r="CZ9" s="126">
        <f>SUMIF(MatrixF5[[1]:[2]],MatrixF5[[#This Row],[Столбец1]])/MatrixF5[[#This Row],[Столбец1]]</f>
        <v>5</v>
      </c>
      <c r="DA9" s="126">
        <f>SUMIF(MatrixF5[[1]:[2]],MatrixF5[[#This Row],[Столбец1]]+1)/(MatrixF5[[#This Row],[Столбец1]]+1)</f>
        <v>118.0000000000001</v>
      </c>
    </row>
    <row r="10" spans="1:105" ht="21" customHeight="1" x14ac:dyDescent="0.25">
      <c r="A10" s="127">
        <v>1.07</v>
      </c>
      <c r="B10" s="128">
        <v>1.07</v>
      </c>
      <c r="C10" s="128">
        <v>1.0900000000000001</v>
      </c>
      <c r="D10" s="128">
        <v>1.1100000000000001</v>
      </c>
      <c r="E10" s="128">
        <v>1.1299999999999999</v>
      </c>
      <c r="F10" s="128">
        <v>1.1399999999999999</v>
      </c>
      <c r="G10" s="128">
        <v>1.1599999999999999</v>
      </c>
      <c r="H10" s="128">
        <v>1.18</v>
      </c>
      <c r="I10" s="128">
        <v>1.2</v>
      </c>
      <c r="J10" s="128">
        <v>1.21</v>
      </c>
      <c r="K10" s="128">
        <v>1.21</v>
      </c>
      <c r="L10" s="128">
        <v>1.22</v>
      </c>
      <c r="M10" s="128">
        <v>1.23</v>
      </c>
      <c r="N10" s="128">
        <v>1.24</v>
      </c>
      <c r="O10" s="128">
        <v>1.25</v>
      </c>
      <c r="P10" s="128">
        <v>1.26</v>
      </c>
      <c r="Q10" s="128">
        <v>1.27</v>
      </c>
      <c r="R10" s="128">
        <v>1.28</v>
      </c>
      <c r="S10" s="128">
        <v>1.29</v>
      </c>
      <c r="T10" s="128">
        <v>1.3</v>
      </c>
      <c r="U10" s="128">
        <v>1.31</v>
      </c>
      <c r="V10" s="128">
        <v>1.32</v>
      </c>
      <c r="W10" s="128">
        <v>1.33</v>
      </c>
      <c r="X10" s="128">
        <v>1.34</v>
      </c>
      <c r="Y10" s="128">
        <v>1.35</v>
      </c>
      <c r="Z10" s="128">
        <v>1.36</v>
      </c>
      <c r="AA10" s="128">
        <v>1.36</v>
      </c>
      <c r="AB10" s="128">
        <v>1.37</v>
      </c>
      <c r="AC10" s="128">
        <v>1.38</v>
      </c>
      <c r="AD10" s="128">
        <v>1.39</v>
      </c>
      <c r="AE10" s="128">
        <v>1.4</v>
      </c>
      <c r="AF10" s="128">
        <v>1.41</v>
      </c>
      <c r="AG10" s="128">
        <v>1.42</v>
      </c>
      <c r="AH10" s="128">
        <v>1.43</v>
      </c>
      <c r="AI10" s="128">
        <v>1.44</v>
      </c>
      <c r="AJ10" s="128">
        <v>1.45</v>
      </c>
      <c r="AK10" s="128">
        <v>1.46</v>
      </c>
      <c r="AL10" s="128">
        <v>1.47</v>
      </c>
      <c r="AM10" s="128">
        <v>1.48</v>
      </c>
      <c r="AN10" s="128">
        <v>1.49</v>
      </c>
      <c r="AO10" s="128">
        <v>1.5</v>
      </c>
      <c r="AP10" s="128">
        <v>1.5</v>
      </c>
      <c r="AQ10" s="128">
        <v>1.51</v>
      </c>
      <c r="AR10" s="128">
        <v>1.52</v>
      </c>
      <c r="AS10" s="128">
        <v>1.53</v>
      </c>
      <c r="AT10" s="128">
        <v>1.54</v>
      </c>
      <c r="AU10" s="128">
        <v>1.55</v>
      </c>
      <c r="AV10" s="128">
        <v>1.56</v>
      </c>
      <c r="AW10" s="128">
        <v>1.57</v>
      </c>
      <c r="AX10" s="128">
        <v>1.58</v>
      </c>
      <c r="AY10" s="128">
        <v>1.59</v>
      </c>
      <c r="AZ10" s="128">
        <v>1.6</v>
      </c>
      <c r="BA10" s="128">
        <v>1.61</v>
      </c>
      <c r="BB10" s="128">
        <v>1.62</v>
      </c>
      <c r="BC10" s="128">
        <v>1.63</v>
      </c>
      <c r="BD10" s="128">
        <v>1.64</v>
      </c>
      <c r="BE10" s="128">
        <v>1.64</v>
      </c>
      <c r="BF10" s="128">
        <v>1.65</v>
      </c>
      <c r="BG10" s="128">
        <v>1.66</v>
      </c>
      <c r="BH10" s="128">
        <v>1.67</v>
      </c>
      <c r="BI10" s="128">
        <v>1.68</v>
      </c>
      <c r="BJ10" s="128">
        <v>1.69</v>
      </c>
      <c r="BK10" s="128">
        <v>1.7</v>
      </c>
      <c r="BL10" s="128">
        <v>1.71</v>
      </c>
      <c r="BM10" s="128">
        <v>1.72</v>
      </c>
      <c r="BN10" s="128">
        <v>1.73</v>
      </c>
      <c r="BO10" s="128">
        <v>1.74</v>
      </c>
      <c r="BP10" s="128">
        <v>1.75</v>
      </c>
      <c r="BQ10" s="128">
        <v>1.76</v>
      </c>
      <c r="BR10" s="128">
        <v>1.77</v>
      </c>
      <c r="BS10" s="128">
        <v>1.78</v>
      </c>
      <c r="BT10" s="128">
        <v>1.79</v>
      </c>
      <c r="BU10" s="128">
        <v>1.79</v>
      </c>
      <c r="BV10" s="128">
        <v>1.8</v>
      </c>
      <c r="BW10" s="128">
        <v>1.81</v>
      </c>
      <c r="BX10" s="128">
        <v>1.82</v>
      </c>
      <c r="BY10" s="128">
        <v>1.83</v>
      </c>
      <c r="BZ10" s="128">
        <v>1.84</v>
      </c>
      <c r="CA10" s="128">
        <v>1.85</v>
      </c>
      <c r="CB10" s="128">
        <v>1.86</v>
      </c>
      <c r="CC10" s="128">
        <v>1.87</v>
      </c>
      <c r="CD10" s="128">
        <v>1.88</v>
      </c>
      <c r="CE10" s="128">
        <v>1.89</v>
      </c>
      <c r="CF10" s="128">
        <v>1.9</v>
      </c>
      <c r="CG10" s="128">
        <v>1.91</v>
      </c>
      <c r="CH10" s="128">
        <v>1.92</v>
      </c>
      <c r="CI10" s="128">
        <v>1.93</v>
      </c>
      <c r="CJ10" s="128">
        <v>1.93</v>
      </c>
      <c r="CK10" s="128">
        <v>1.94</v>
      </c>
      <c r="CL10" s="128">
        <v>1.95</v>
      </c>
      <c r="CM10" s="128">
        <v>1.96</v>
      </c>
      <c r="CN10" s="128">
        <v>1.97</v>
      </c>
      <c r="CO10" s="128">
        <v>1.98</v>
      </c>
      <c r="CP10" s="128">
        <v>1.99</v>
      </c>
      <c r="CQ10" s="128">
        <v>2</v>
      </c>
      <c r="CR10" s="128">
        <v>2.0099999999999998</v>
      </c>
      <c r="CS10" s="128">
        <v>2.02</v>
      </c>
      <c r="CT10" s="128">
        <v>2.0299999999999998</v>
      </c>
      <c r="CU10" s="128">
        <v>2.04</v>
      </c>
      <c r="CV10" s="128">
        <v>2.0499999999999998</v>
      </c>
      <c r="CW10" s="128">
        <v>2.06</v>
      </c>
      <c r="CX10" s="128">
        <v>2.0699999999999998</v>
      </c>
      <c r="CZ10" s="126">
        <f>SUMIF(MatrixF5[[1]:[2]],MatrixF5[[#This Row],[Столбец1]])/MatrixF5[[#This Row],[Столбец1]]</f>
        <v>6</v>
      </c>
      <c r="DA10" s="126">
        <f>SUMIF(MatrixF5[[1]:[2]],MatrixF5[[#This Row],[Столбец1]]+1)/(MatrixF5[[#This Row],[Столбец1]]+1)</f>
        <v>108.99999999999973</v>
      </c>
    </row>
    <row r="11" spans="1:105" ht="21" customHeight="1" x14ac:dyDescent="0.25">
      <c r="A11" s="127">
        <v>1.08</v>
      </c>
      <c r="B11" s="128">
        <v>1.08</v>
      </c>
      <c r="C11" s="128">
        <v>1.1000000000000001</v>
      </c>
      <c r="D11" s="128">
        <v>1.1200000000000001</v>
      </c>
      <c r="E11" s="128">
        <v>1.1399999999999999</v>
      </c>
      <c r="F11" s="128">
        <v>1.1499999999999999</v>
      </c>
      <c r="G11" s="128">
        <v>1.17</v>
      </c>
      <c r="H11" s="128">
        <v>1.19</v>
      </c>
      <c r="I11" s="128">
        <v>1.21</v>
      </c>
      <c r="J11" s="128">
        <v>1.22</v>
      </c>
      <c r="K11" s="128">
        <v>1.23</v>
      </c>
      <c r="L11" s="128">
        <v>1.24</v>
      </c>
      <c r="M11" s="128">
        <v>1.25</v>
      </c>
      <c r="N11" s="128">
        <v>1.26</v>
      </c>
      <c r="O11" s="128">
        <v>1.27</v>
      </c>
      <c r="P11" s="128">
        <v>1.28</v>
      </c>
      <c r="Q11" s="128">
        <v>1.29</v>
      </c>
      <c r="R11" s="128">
        <v>1.3</v>
      </c>
      <c r="S11" s="128">
        <v>1.31</v>
      </c>
      <c r="T11" s="128">
        <v>1.31</v>
      </c>
      <c r="U11" s="128">
        <v>1.32</v>
      </c>
      <c r="V11" s="128">
        <v>1.33</v>
      </c>
      <c r="W11" s="128">
        <v>1.34</v>
      </c>
      <c r="X11" s="128">
        <v>1.35</v>
      </c>
      <c r="Y11" s="128">
        <v>1.36</v>
      </c>
      <c r="Z11" s="128">
        <v>1.37</v>
      </c>
      <c r="AA11" s="128">
        <v>1.38</v>
      </c>
      <c r="AB11" s="128">
        <v>1.39</v>
      </c>
      <c r="AC11" s="128">
        <v>1.4</v>
      </c>
      <c r="AD11" s="128">
        <v>1.41</v>
      </c>
      <c r="AE11" s="128">
        <v>1.42</v>
      </c>
      <c r="AF11" s="128">
        <v>1.43</v>
      </c>
      <c r="AG11" s="128">
        <v>1.44</v>
      </c>
      <c r="AH11" s="128">
        <v>1.44</v>
      </c>
      <c r="AI11" s="128">
        <v>1.45</v>
      </c>
      <c r="AJ11" s="128">
        <v>1.46</v>
      </c>
      <c r="AK11" s="128">
        <v>1.47</v>
      </c>
      <c r="AL11" s="128">
        <v>1.48</v>
      </c>
      <c r="AM11" s="128">
        <v>1.49</v>
      </c>
      <c r="AN11" s="128">
        <v>1.5</v>
      </c>
      <c r="AO11" s="128">
        <v>1.51</v>
      </c>
      <c r="AP11" s="128">
        <v>1.52</v>
      </c>
      <c r="AQ11" s="128">
        <v>1.53</v>
      </c>
      <c r="AR11" s="128">
        <v>1.54</v>
      </c>
      <c r="AS11" s="128">
        <v>1.55</v>
      </c>
      <c r="AT11" s="128">
        <v>1.56</v>
      </c>
      <c r="AU11" s="128">
        <v>1.56</v>
      </c>
      <c r="AV11" s="128">
        <v>1.57</v>
      </c>
      <c r="AW11" s="128">
        <v>1.58</v>
      </c>
      <c r="AX11" s="128">
        <v>1.59</v>
      </c>
      <c r="AY11" s="128">
        <v>1.6</v>
      </c>
      <c r="AZ11" s="128">
        <v>1.61</v>
      </c>
      <c r="BA11" s="128">
        <v>1.62</v>
      </c>
      <c r="BB11" s="128">
        <v>1.63</v>
      </c>
      <c r="BC11" s="128">
        <v>1.64</v>
      </c>
      <c r="BD11" s="128">
        <v>1.65</v>
      </c>
      <c r="BE11" s="128">
        <v>1.66</v>
      </c>
      <c r="BF11" s="128">
        <v>1.67</v>
      </c>
      <c r="BG11" s="128">
        <v>1.68</v>
      </c>
      <c r="BH11" s="128">
        <v>1.69</v>
      </c>
      <c r="BI11" s="128">
        <v>1.69</v>
      </c>
      <c r="BJ11" s="128">
        <v>1.7</v>
      </c>
      <c r="BK11" s="128">
        <v>1.71</v>
      </c>
      <c r="BL11" s="128">
        <v>1.72</v>
      </c>
      <c r="BM11" s="128">
        <v>1.73</v>
      </c>
      <c r="BN11" s="128">
        <v>1.74</v>
      </c>
      <c r="BO11" s="128">
        <v>1.75</v>
      </c>
      <c r="BP11" s="128">
        <v>1.76</v>
      </c>
      <c r="BQ11" s="128">
        <v>1.77</v>
      </c>
      <c r="BR11" s="128">
        <v>1.78</v>
      </c>
      <c r="BS11" s="128">
        <v>1.79</v>
      </c>
      <c r="BT11" s="128">
        <v>1.8</v>
      </c>
      <c r="BU11" s="128">
        <v>1.81</v>
      </c>
      <c r="BV11" s="128">
        <v>1.81</v>
      </c>
      <c r="BW11" s="128">
        <v>1.82</v>
      </c>
      <c r="BX11" s="128">
        <v>1.83</v>
      </c>
      <c r="BY11" s="128">
        <v>1.84</v>
      </c>
      <c r="BZ11" s="128">
        <v>1.85</v>
      </c>
      <c r="CA11" s="128">
        <v>1.86</v>
      </c>
      <c r="CB11" s="128">
        <v>1.87</v>
      </c>
      <c r="CC11" s="128">
        <v>1.88</v>
      </c>
      <c r="CD11" s="128">
        <v>1.89</v>
      </c>
      <c r="CE11" s="128">
        <v>1.9</v>
      </c>
      <c r="CF11" s="128">
        <v>1.91</v>
      </c>
      <c r="CG11" s="128">
        <v>1.92</v>
      </c>
      <c r="CH11" s="128">
        <v>1.93</v>
      </c>
      <c r="CI11" s="128">
        <v>1.94</v>
      </c>
      <c r="CJ11" s="128">
        <v>1.94</v>
      </c>
      <c r="CK11" s="128">
        <v>1.95</v>
      </c>
      <c r="CL11" s="128">
        <v>1.96</v>
      </c>
      <c r="CM11" s="128">
        <v>1.97</v>
      </c>
      <c r="CN11" s="128">
        <v>1.98</v>
      </c>
      <c r="CO11" s="128">
        <v>1.99</v>
      </c>
      <c r="CP11" s="128">
        <v>2</v>
      </c>
      <c r="CQ11" s="128">
        <v>2.0099999999999998</v>
      </c>
      <c r="CR11" s="128">
        <v>2.02</v>
      </c>
      <c r="CS11" s="128">
        <v>2.0299999999999998</v>
      </c>
      <c r="CT11" s="128">
        <v>2.04</v>
      </c>
      <c r="CU11" s="128">
        <v>2.0499999999999998</v>
      </c>
      <c r="CV11" s="128">
        <v>2.06</v>
      </c>
      <c r="CW11" s="128">
        <v>2.0699999999999998</v>
      </c>
      <c r="CX11" s="128">
        <v>2.08</v>
      </c>
      <c r="CZ11" s="126">
        <f>SUMIF(MatrixF5[[1]:[2]],MatrixF5[[#This Row],[Столбец1]])/MatrixF5[[#This Row],[Столбец1]]</f>
        <v>6</v>
      </c>
      <c r="DA11" s="126">
        <f>SUMIF(MatrixF5[[1]:[2]],MatrixF5[[#This Row],[Столбец1]]+1)/(MatrixF5[[#This Row],[Столбец1]]+1)</f>
        <v>111.00000000000026</v>
      </c>
    </row>
    <row r="12" spans="1:105" ht="21" customHeight="1" x14ac:dyDescent="0.25">
      <c r="A12" s="127">
        <v>1.0900000000000001</v>
      </c>
      <c r="B12" s="128">
        <v>1.0900000000000001</v>
      </c>
      <c r="C12" s="128">
        <v>1.1100000000000001</v>
      </c>
      <c r="D12" s="128">
        <v>1.1299999999999999</v>
      </c>
      <c r="E12" s="128">
        <v>1.1499999999999999</v>
      </c>
      <c r="F12" s="128">
        <v>1.1599999999999999</v>
      </c>
      <c r="G12" s="128">
        <v>1.18</v>
      </c>
      <c r="H12" s="128">
        <v>1.2</v>
      </c>
      <c r="I12" s="128">
        <v>1.21</v>
      </c>
      <c r="J12" s="128">
        <v>1.23</v>
      </c>
      <c r="K12" s="128">
        <v>1.25</v>
      </c>
      <c r="L12" s="128">
        <v>1.26</v>
      </c>
      <c r="M12" s="128">
        <v>1.27</v>
      </c>
      <c r="N12" s="128">
        <v>1.28</v>
      </c>
      <c r="O12" s="128">
        <v>1.28</v>
      </c>
      <c r="P12" s="128">
        <v>1.29</v>
      </c>
      <c r="Q12" s="128">
        <v>1.3</v>
      </c>
      <c r="R12" s="128">
        <v>1.31</v>
      </c>
      <c r="S12" s="128">
        <v>1.32</v>
      </c>
      <c r="T12" s="128">
        <v>1.33</v>
      </c>
      <c r="U12" s="128">
        <v>1.34</v>
      </c>
      <c r="V12" s="128">
        <v>1.35</v>
      </c>
      <c r="W12" s="128">
        <v>1.36</v>
      </c>
      <c r="X12" s="128">
        <v>1.37</v>
      </c>
      <c r="Y12" s="128">
        <v>1.38</v>
      </c>
      <c r="Z12" s="128">
        <v>1.39</v>
      </c>
      <c r="AA12" s="128">
        <v>1.39</v>
      </c>
      <c r="AB12" s="128">
        <v>1.4</v>
      </c>
      <c r="AC12" s="128">
        <v>1.41</v>
      </c>
      <c r="AD12" s="128">
        <v>1.42</v>
      </c>
      <c r="AE12" s="128">
        <v>1.43</v>
      </c>
      <c r="AF12" s="128">
        <v>1.44</v>
      </c>
      <c r="AG12" s="128">
        <v>1.45</v>
      </c>
      <c r="AH12" s="128">
        <v>1.46</v>
      </c>
      <c r="AI12" s="128">
        <v>1.47</v>
      </c>
      <c r="AJ12" s="128">
        <v>1.48</v>
      </c>
      <c r="AK12" s="128">
        <v>1.49</v>
      </c>
      <c r="AL12" s="128">
        <v>1.5</v>
      </c>
      <c r="AM12" s="128">
        <v>1.5</v>
      </c>
      <c r="AN12" s="128">
        <v>1.51</v>
      </c>
      <c r="AO12" s="128">
        <v>1.52</v>
      </c>
      <c r="AP12" s="128">
        <v>1.53</v>
      </c>
      <c r="AQ12" s="128">
        <v>1.54</v>
      </c>
      <c r="AR12" s="128">
        <v>1.55</v>
      </c>
      <c r="AS12" s="128">
        <v>1.56</v>
      </c>
      <c r="AT12" s="128">
        <v>1.57</v>
      </c>
      <c r="AU12" s="128">
        <v>1.58</v>
      </c>
      <c r="AV12" s="128">
        <v>1.59</v>
      </c>
      <c r="AW12" s="128">
        <v>1.6</v>
      </c>
      <c r="AX12" s="128">
        <v>1.61</v>
      </c>
      <c r="AY12" s="128">
        <v>1.61</v>
      </c>
      <c r="AZ12" s="128">
        <v>1.62</v>
      </c>
      <c r="BA12" s="128">
        <v>1.63</v>
      </c>
      <c r="BB12" s="128">
        <v>1.64</v>
      </c>
      <c r="BC12" s="128">
        <v>1.65</v>
      </c>
      <c r="BD12" s="128">
        <v>1.66</v>
      </c>
      <c r="BE12" s="128">
        <v>1.67</v>
      </c>
      <c r="BF12" s="128">
        <v>1.68</v>
      </c>
      <c r="BG12" s="128">
        <v>1.69</v>
      </c>
      <c r="BH12" s="128">
        <v>1.7</v>
      </c>
      <c r="BI12" s="128">
        <v>1.71</v>
      </c>
      <c r="BJ12" s="128">
        <v>1.72</v>
      </c>
      <c r="BK12" s="128">
        <v>1.72</v>
      </c>
      <c r="BL12" s="128">
        <v>1.73</v>
      </c>
      <c r="BM12" s="128">
        <v>1.74</v>
      </c>
      <c r="BN12" s="128">
        <v>1.75</v>
      </c>
      <c r="BO12" s="128">
        <v>1.76</v>
      </c>
      <c r="BP12" s="128">
        <v>1.77</v>
      </c>
      <c r="BQ12" s="128">
        <v>1.78</v>
      </c>
      <c r="BR12" s="128">
        <v>1.79</v>
      </c>
      <c r="BS12" s="128">
        <v>1.8</v>
      </c>
      <c r="BT12" s="128">
        <v>1.81</v>
      </c>
      <c r="BU12" s="128">
        <v>1.82</v>
      </c>
      <c r="BV12" s="128">
        <v>1.83</v>
      </c>
      <c r="BW12" s="128">
        <v>1.83</v>
      </c>
      <c r="BX12" s="128">
        <v>1.84</v>
      </c>
      <c r="BY12" s="128">
        <v>1.85</v>
      </c>
      <c r="BZ12" s="128">
        <v>1.86</v>
      </c>
      <c r="CA12" s="128">
        <v>1.87</v>
      </c>
      <c r="CB12" s="128">
        <v>1.88</v>
      </c>
      <c r="CC12" s="128">
        <v>1.89</v>
      </c>
      <c r="CD12" s="128">
        <v>1.9</v>
      </c>
      <c r="CE12" s="128">
        <v>1.91</v>
      </c>
      <c r="CF12" s="128">
        <v>1.92</v>
      </c>
      <c r="CG12" s="128">
        <v>1.93</v>
      </c>
      <c r="CH12" s="128">
        <v>1.94</v>
      </c>
      <c r="CI12" s="128">
        <v>1.94</v>
      </c>
      <c r="CJ12" s="128">
        <v>1.95</v>
      </c>
      <c r="CK12" s="128">
        <v>1.96</v>
      </c>
      <c r="CL12" s="128">
        <v>1.97</v>
      </c>
      <c r="CM12" s="128">
        <v>1.98</v>
      </c>
      <c r="CN12" s="128">
        <v>1.99</v>
      </c>
      <c r="CO12" s="128">
        <v>2</v>
      </c>
      <c r="CP12" s="128">
        <v>2.0099999999999998</v>
      </c>
      <c r="CQ12" s="128">
        <v>2.02</v>
      </c>
      <c r="CR12" s="128">
        <v>2.0299999999999998</v>
      </c>
      <c r="CS12" s="128">
        <v>2.04</v>
      </c>
      <c r="CT12" s="128">
        <v>2.0499999999999998</v>
      </c>
      <c r="CU12" s="128">
        <v>2.06</v>
      </c>
      <c r="CV12" s="128">
        <v>2.0699999999999998</v>
      </c>
      <c r="CW12" s="128">
        <v>2.08</v>
      </c>
      <c r="CX12" s="128">
        <v>2.09</v>
      </c>
      <c r="CZ12" s="126">
        <f>SUMIF(MatrixF5[[1]:[2]],MatrixF5[[#This Row],[Столбец1]])/MatrixF5[[#This Row],[Столбец1]]</f>
        <v>6.9999999999999991</v>
      </c>
      <c r="DA12" s="126">
        <f>SUMIF(MatrixF5[[1]:[2]],MatrixF5[[#This Row],[Столбец1]]+1)/(MatrixF5[[#This Row],[Столбец1]]+1)</f>
        <v>108.00000000000016</v>
      </c>
    </row>
    <row r="13" spans="1:105" ht="21" customHeight="1" x14ac:dyDescent="0.25">
      <c r="A13" s="127">
        <v>1.1000000000000001</v>
      </c>
      <c r="B13" s="128">
        <v>1.1000000000000001</v>
      </c>
      <c r="C13" s="128">
        <v>1.1200000000000001</v>
      </c>
      <c r="D13" s="128">
        <v>1.1399999999999999</v>
      </c>
      <c r="E13" s="128">
        <v>1.1599999999999999</v>
      </c>
      <c r="F13" s="128">
        <v>1.17</v>
      </c>
      <c r="G13" s="128">
        <v>1.19</v>
      </c>
      <c r="H13" s="128">
        <v>1.21</v>
      </c>
      <c r="I13" s="128">
        <v>1.22</v>
      </c>
      <c r="J13" s="128">
        <v>1.24</v>
      </c>
      <c r="K13" s="128">
        <v>1.26</v>
      </c>
      <c r="L13" s="128">
        <v>1.27</v>
      </c>
      <c r="M13" s="128">
        <v>1.28</v>
      </c>
      <c r="N13" s="128">
        <v>1.29</v>
      </c>
      <c r="O13" s="128">
        <v>1.3</v>
      </c>
      <c r="P13" s="128">
        <v>1.31</v>
      </c>
      <c r="Q13" s="128">
        <v>1.32</v>
      </c>
      <c r="R13" s="128">
        <v>1.33</v>
      </c>
      <c r="S13" s="128">
        <v>1.34</v>
      </c>
      <c r="T13" s="128">
        <v>1.35</v>
      </c>
      <c r="U13" s="128">
        <v>1.35</v>
      </c>
      <c r="V13" s="128">
        <v>1.36</v>
      </c>
      <c r="W13" s="128">
        <v>1.37</v>
      </c>
      <c r="X13" s="128">
        <v>1.38</v>
      </c>
      <c r="Y13" s="128">
        <v>1.39</v>
      </c>
      <c r="Z13" s="128">
        <v>1.4</v>
      </c>
      <c r="AA13" s="128">
        <v>1.41</v>
      </c>
      <c r="AB13" s="128">
        <v>1.42</v>
      </c>
      <c r="AC13" s="128">
        <v>1.43</v>
      </c>
      <c r="AD13" s="128">
        <v>1.44</v>
      </c>
      <c r="AE13" s="128">
        <v>1.45</v>
      </c>
      <c r="AF13" s="128">
        <v>1.45</v>
      </c>
      <c r="AG13" s="128">
        <v>1.46</v>
      </c>
      <c r="AH13" s="128">
        <v>1.47</v>
      </c>
      <c r="AI13" s="128">
        <v>1.48</v>
      </c>
      <c r="AJ13" s="128">
        <v>1.49</v>
      </c>
      <c r="AK13" s="128">
        <v>1.5</v>
      </c>
      <c r="AL13" s="128">
        <v>1.51</v>
      </c>
      <c r="AM13" s="128">
        <v>1.52</v>
      </c>
      <c r="AN13" s="128">
        <v>1.53</v>
      </c>
      <c r="AO13" s="128">
        <v>1.54</v>
      </c>
      <c r="AP13" s="128">
        <v>1.55</v>
      </c>
      <c r="AQ13" s="128">
        <v>1.55</v>
      </c>
      <c r="AR13" s="128">
        <v>1.56</v>
      </c>
      <c r="AS13" s="128">
        <v>1.57</v>
      </c>
      <c r="AT13" s="128">
        <v>1.58</v>
      </c>
      <c r="AU13" s="128">
        <v>1.59</v>
      </c>
      <c r="AV13" s="128">
        <v>1.6</v>
      </c>
      <c r="AW13" s="128">
        <v>1.61</v>
      </c>
      <c r="AX13" s="128">
        <v>1.62</v>
      </c>
      <c r="AY13" s="128">
        <v>1.63</v>
      </c>
      <c r="AZ13" s="128">
        <v>1.64</v>
      </c>
      <c r="BA13" s="128">
        <v>1.65</v>
      </c>
      <c r="BB13" s="128">
        <v>1.65</v>
      </c>
      <c r="BC13" s="128">
        <v>1.66</v>
      </c>
      <c r="BD13" s="128">
        <v>1.67</v>
      </c>
      <c r="BE13" s="128">
        <v>1.68</v>
      </c>
      <c r="BF13" s="128">
        <v>1.69</v>
      </c>
      <c r="BG13" s="128">
        <v>1.7</v>
      </c>
      <c r="BH13" s="128">
        <v>1.71</v>
      </c>
      <c r="BI13" s="128">
        <v>1.72</v>
      </c>
      <c r="BJ13" s="128">
        <v>1.73</v>
      </c>
      <c r="BK13" s="128">
        <v>1.74</v>
      </c>
      <c r="BL13" s="128">
        <v>1.75</v>
      </c>
      <c r="BM13" s="128">
        <v>1.75</v>
      </c>
      <c r="BN13" s="128">
        <v>1.76</v>
      </c>
      <c r="BO13" s="128">
        <v>1.77</v>
      </c>
      <c r="BP13" s="128">
        <v>1.78</v>
      </c>
      <c r="BQ13" s="128">
        <v>1.79</v>
      </c>
      <c r="BR13" s="128">
        <v>1.8</v>
      </c>
      <c r="BS13" s="128">
        <v>1.81</v>
      </c>
      <c r="BT13" s="128">
        <v>1.82</v>
      </c>
      <c r="BU13" s="128">
        <v>1.83</v>
      </c>
      <c r="BV13" s="128">
        <v>1.84</v>
      </c>
      <c r="BW13" s="128">
        <v>1.85</v>
      </c>
      <c r="BX13" s="128">
        <v>1.85</v>
      </c>
      <c r="BY13" s="128">
        <v>1.86</v>
      </c>
      <c r="BZ13" s="128">
        <v>1.87</v>
      </c>
      <c r="CA13" s="128">
        <v>1.88</v>
      </c>
      <c r="CB13" s="128">
        <v>1.89</v>
      </c>
      <c r="CC13" s="128">
        <v>1.9</v>
      </c>
      <c r="CD13" s="128">
        <v>1.91</v>
      </c>
      <c r="CE13" s="128">
        <v>1.92</v>
      </c>
      <c r="CF13" s="128">
        <v>1.93</v>
      </c>
      <c r="CG13" s="128">
        <v>1.94</v>
      </c>
      <c r="CH13" s="128">
        <v>1.95</v>
      </c>
      <c r="CI13" s="128">
        <v>1.95</v>
      </c>
      <c r="CJ13" s="128">
        <v>1.96</v>
      </c>
      <c r="CK13" s="128">
        <v>1.97</v>
      </c>
      <c r="CL13" s="128">
        <v>1.98</v>
      </c>
      <c r="CM13" s="128">
        <v>1.99</v>
      </c>
      <c r="CN13" s="128">
        <v>2</v>
      </c>
      <c r="CO13" s="128">
        <v>2.0099999999999998</v>
      </c>
      <c r="CP13" s="128">
        <v>2.02</v>
      </c>
      <c r="CQ13" s="128">
        <v>2.0299999999999998</v>
      </c>
      <c r="CR13" s="128">
        <v>2.04</v>
      </c>
      <c r="CS13" s="128">
        <v>2.0499999999999998</v>
      </c>
      <c r="CT13" s="128">
        <v>2.06</v>
      </c>
      <c r="CU13" s="128">
        <v>2.0699999999999998</v>
      </c>
      <c r="CV13" s="128">
        <v>2.08</v>
      </c>
      <c r="CW13" s="128">
        <v>2.09</v>
      </c>
      <c r="CX13" s="128">
        <v>2.1</v>
      </c>
      <c r="CZ13" s="126">
        <f>SUMIF(MatrixF5[[1]:[2]],MatrixF5[[#This Row],[Столбец1]])/MatrixF5[[#This Row],[Столбец1]]</f>
        <v>7.9999999999999982</v>
      </c>
      <c r="DA13" s="126">
        <f>SUMIF(MatrixF5[[1]:[2]],MatrixF5[[#This Row],[Столбец1]]+1)/(MatrixF5[[#This Row],[Столбец1]]+1)</f>
        <v>102.99999999999982</v>
      </c>
    </row>
    <row r="14" spans="1:105" ht="21" customHeight="1" x14ac:dyDescent="0.25">
      <c r="A14" s="127">
        <v>1.1100000000000001</v>
      </c>
      <c r="B14" s="128">
        <v>1.1100000000000001</v>
      </c>
      <c r="C14" s="128">
        <v>1.1299999999999999</v>
      </c>
      <c r="D14" s="128">
        <v>1.1499999999999999</v>
      </c>
      <c r="E14" s="128">
        <v>1.17</v>
      </c>
      <c r="F14" s="128">
        <v>1.18</v>
      </c>
      <c r="G14" s="128">
        <v>1.2</v>
      </c>
      <c r="H14" s="128">
        <v>1.22</v>
      </c>
      <c r="I14" s="128">
        <v>1.23</v>
      </c>
      <c r="J14" s="128">
        <v>1.25</v>
      </c>
      <c r="K14" s="128">
        <v>1.27</v>
      </c>
      <c r="L14" s="128">
        <v>1.28</v>
      </c>
      <c r="M14" s="128">
        <v>1.3</v>
      </c>
      <c r="N14" s="128">
        <v>1.31</v>
      </c>
      <c r="O14" s="128">
        <v>1.32</v>
      </c>
      <c r="P14" s="128">
        <v>1.32</v>
      </c>
      <c r="Q14" s="128">
        <v>1.33</v>
      </c>
      <c r="R14" s="128">
        <v>1.34</v>
      </c>
      <c r="S14" s="128">
        <v>1.35</v>
      </c>
      <c r="T14" s="128">
        <v>1.36</v>
      </c>
      <c r="U14" s="128">
        <v>1.37</v>
      </c>
      <c r="V14" s="128">
        <v>1.38</v>
      </c>
      <c r="W14" s="128">
        <v>1.39</v>
      </c>
      <c r="X14" s="128">
        <v>1.4</v>
      </c>
      <c r="Y14" s="128">
        <v>1.41</v>
      </c>
      <c r="Z14" s="128">
        <v>1.41</v>
      </c>
      <c r="AA14" s="128">
        <v>1.42</v>
      </c>
      <c r="AB14" s="128">
        <v>1.43</v>
      </c>
      <c r="AC14" s="128">
        <v>1.44</v>
      </c>
      <c r="AD14" s="128">
        <v>1.45</v>
      </c>
      <c r="AE14" s="128">
        <v>1.46</v>
      </c>
      <c r="AF14" s="128">
        <v>1.47</v>
      </c>
      <c r="AG14" s="128">
        <v>1.48</v>
      </c>
      <c r="AH14" s="128">
        <v>1.49</v>
      </c>
      <c r="AI14" s="128">
        <v>1.5</v>
      </c>
      <c r="AJ14" s="128">
        <v>1.5</v>
      </c>
      <c r="AK14" s="128">
        <v>1.51</v>
      </c>
      <c r="AL14" s="128">
        <v>1.52</v>
      </c>
      <c r="AM14" s="128">
        <v>1.53</v>
      </c>
      <c r="AN14" s="128">
        <v>1.54</v>
      </c>
      <c r="AO14" s="128">
        <v>1.55</v>
      </c>
      <c r="AP14" s="128">
        <v>1.56</v>
      </c>
      <c r="AQ14" s="128">
        <v>1.57</v>
      </c>
      <c r="AR14" s="128">
        <v>1.58</v>
      </c>
      <c r="AS14" s="128">
        <v>1.59</v>
      </c>
      <c r="AT14" s="128">
        <v>1.59</v>
      </c>
      <c r="AU14" s="128">
        <v>1.6</v>
      </c>
      <c r="AV14" s="128">
        <v>1.61</v>
      </c>
      <c r="AW14" s="128">
        <v>1.62</v>
      </c>
      <c r="AX14" s="128">
        <v>1.63</v>
      </c>
      <c r="AY14" s="128">
        <v>1.64</v>
      </c>
      <c r="AZ14" s="128">
        <v>1.65</v>
      </c>
      <c r="BA14" s="128">
        <v>1.66</v>
      </c>
      <c r="BB14" s="128">
        <v>1.67</v>
      </c>
      <c r="BC14" s="128">
        <v>1.68</v>
      </c>
      <c r="BD14" s="128">
        <v>1.68</v>
      </c>
      <c r="BE14" s="128">
        <v>1.69</v>
      </c>
      <c r="BF14" s="128">
        <v>1.7</v>
      </c>
      <c r="BG14" s="128">
        <v>1.71</v>
      </c>
      <c r="BH14" s="128">
        <v>1.72</v>
      </c>
      <c r="BI14" s="128">
        <v>1.73</v>
      </c>
      <c r="BJ14" s="128">
        <v>1.74</v>
      </c>
      <c r="BK14" s="128">
        <v>1.75</v>
      </c>
      <c r="BL14" s="128">
        <v>1.76</v>
      </c>
      <c r="BM14" s="128">
        <v>1.77</v>
      </c>
      <c r="BN14" s="128">
        <v>1.77</v>
      </c>
      <c r="BO14" s="128">
        <v>1.78</v>
      </c>
      <c r="BP14" s="128">
        <v>1.79</v>
      </c>
      <c r="BQ14" s="128">
        <v>1.8</v>
      </c>
      <c r="BR14" s="128">
        <v>1.81</v>
      </c>
      <c r="BS14" s="128">
        <v>1.82</v>
      </c>
      <c r="BT14" s="128">
        <v>1.83</v>
      </c>
      <c r="BU14" s="128">
        <v>1.84</v>
      </c>
      <c r="BV14" s="128">
        <v>1.85</v>
      </c>
      <c r="BW14" s="128">
        <v>1.86</v>
      </c>
      <c r="BX14" s="128">
        <v>1.86</v>
      </c>
      <c r="BY14" s="128">
        <v>1.87</v>
      </c>
      <c r="BZ14" s="128">
        <v>1.88</v>
      </c>
      <c r="CA14" s="128">
        <v>1.89</v>
      </c>
      <c r="CB14" s="128">
        <v>1.9</v>
      </c>
      <c r="CC14" s="128">
        <v>1.91</v>
      </c>
      <c r="CD14" s="128">
        <v>1.92</v>
      </c>
      <c r="CE14" s="128">
        <v>1.93</v>
      </c>
      <c r="CF14" s="128">
        <v>1.94</v>
      </c>
      <c r="CG14" s="128">
        <v>1.95</v>
      </c>
      <c r="CH14" s="128">
        <v>1.95</v>
      </c>
      <c r="CI14" s="128">
        <v>1.96</v>
      </c>
      <c r="CJ14" s="128">
        <v>1.97</v>
      </c>
      <c r="CK14" s="128">
        <v>1.98</v>
      </c>
      <c r="CL14" s="128">
        <v>1.99</v>
      </c>
      <c r="CM14" s="128">
        <v>2</v>
      </c>
      <c r="CN14" s="128">
        <v>2.0099999999999998</v>
      </c>
      <c r="CO14" s="128">
        <v>2.02</v>
      </c>
      <c r="CP14" s="128">
        <v>2.0299999999999998</v>
      </c>
      <c r="CQ14" s="128">
        <v>2.04</v>
      </c>
      <c r="CR14" s="128">
        <v>2.0499999999999998</v>
      </c>
      <c r="CS14" s="128">
        <v>2.06</v>
      </c>
      <c r="CT14" s="128">
        <v>2.0699999999999998</v>
      </c>
      <c r="CU14" s="128">
        <v>2.08</v>
      </c>
      <c r="CV14" s="128">
        <v>2.09</v>
      </c>
      <c r="CW14" s="128">
        <v>2.1</v>
      </c>
      <c r="CX14" s="128">
        <v>2.11</v>
      </c>
      <c r="CZ14" s="126">
        <f>SUMIF(MatrixF5[[1]:[2]],MatrixF5[[#This Row],[Столбец1]])/MatrixF5[[#This Row],[Столбец1]]</f>
        <v>8</v>
      </c>
      <c r="DA14" s="126">
        <f>SUMIF(MatrixF5[[1]:[2]],MatrixF5[[#This Row],[Столбец1]]+1)/(MatrixF5[[#This Row],[Столбец1]]+1)</f>
        <v>103.00000000000024</v>
      </c>
    </row>
    <row r="15" spans="1:105" ht="21" customHeight="1" x14ac:dyDescent="0.25">
      <c r="A15" s="127">
        <v>1.1200000000000001</v>
      </c>
      <c r="B15" s="128">
        <v>1.1200000000000001</v>
      </c>
      <c r="C15" s="128">
        <v>1.1399999999999999</v>
      </c>
      <c r="D15" s="128">
        <v>1.1599999999999999</v>
      </c>
      <c r="E15" s="128">
        <v>1.17</v>
      </c>
      <c r="F15" s="128">
        <v>1.19</v>
      </c>
      <c r="G15" s="128">
        <v>1.21</v>
      </c>
      <c r="H15" s="128">
        <v>1.23</v>
      </c>
      <c r="I15" s="128">
        <v>1.24</v>
      </c>
      <c r="J15" s="128">
        <v>1.26</v>
      </c>
      <c r="K15" s="128">
        <v>1.28</v>
      </c>
      <c r="L15" s="128">
        <v>1.29</v>
      </c>
      <c r="M15" s="128">
        <v>1.31</v>
      </c>
      <c r="N15" s="128">
        <v>1.32</v>
      </c>
      <c r="O15" s="128">
        <v>1.33</v>
      </c>
      <c r="P15" s="128">
        <v>1.34</v>
      </c>
      <c r="Q15" s="128">
        <v>1.35</v>
      </c>
      <c r="R15" s="128">
        <v>1.36</v>
      </c>
      <c r="S15" s="128">
        <v>1.37</v>
      </c>
      <c r="T15" s="128">
        <v>1.38</v>
      </c>
      <c r="U15" s="128">
        <v>1.38</v>
      </c>
      <c r="V15" s="128">
        <v>1.39</v>
      </c>
      <c r="W15" s="128">
        <v>1.4</v>
      </c>
      <c r="X15" s="128">
        <v>1.41</v>
      </c>
      <c r="Y15" s="128">
        <v>1.42</v>
      </c>
      <c r="Z15" s="128">
        <v>1.43</v>
      </c>
      <c r="AA15" s="128">
        <v>1.44</v>
      </c>
      <c r="AB15" s="128">
        <v>1.45</v>
      </c>
      <c r="AC15" s="128">
        <v>1.46</v>
      </c>
      <c r="AD15" s="128">
        <v>1.46</v>
      </c>
      <c r="AE15" s="128">
        <v>1.47</v>
      </c>
      <c r="AF15" s="128">
        <v>1.48</v>
      </c>
      <c r="AG15" s="128">
        <v>1.49</v>
      </c>
      <c r="AH15" s="128">
        <v>1.5</v>
      </c>
      <c r="AI15" s="128">
        <v>1.51</v>
      </c>
      <c r="AJ15" s="128">
        <v>1.52</v>
      </c>
      <c r="AK15" s="128">
        <v>1.53</v>
      </c>
      <c r="AL15" s="128">
        <v>1.54</v>
      </c>
      <c r="AM15" s="128">
        <v>1.54</v>
      </c>
      <c r="AN15" s="128">
        <v>1.55</v>
      </c>
      <c r="AO15" s="128">
        <v>1.56</v>
      </c>
      <c r="AP15" s="128">
        <v>1.57</v>
      </c>
      <c r="AQ15" s="128">
        <v>1.58</v>
      </c>
      <c r="AR15" s="128">
        <v>1.59</v>
      </c>
      <c r="AS15" s="128">
        <v>1.6</v>
      </c>
      <c r="AT15" s="128">
        <v>1.61</v>
      </c>
      <c r="AU15" s="128">
        <v>1.62</v>
      </c>
      <c r="AV15" s="128">
        <v>1.62</v>
      </c>
      <c r="AW15" s="128">
        <v>1.63</v>
      </c>
      <c r="AX15" s="128">
        <v>1.64</v>
      </c>
      <c r="AY15" s="128">
        <v>1.65</v>
      </c>
      <c r="AZ15" s="128">
        <v>1.66</v>
      </c>
      <c r="BA15" s="128">
        <v>1.67</v>
      </c>
      <c r="BB15" s="128">
        <v>1.68</v>
      </c>
      <c r="BC15" s="128">
        <v>1.69</v>
      </c>
      <c r="BD15" s="128">
        <v>1.7</v>
      </c>
      <c r="BE15" s="128">
        <v>1.71</v>
      </c>
      <c r="BF15" s="128">
        <v>1.71</v>
      </c>
      <c r="BG15" s="128">
        <v>1.72</v>
      </c>
      <c r="BH15" s="128">
        <v>1.73</v>
      </c>
      <c r="BI15" s="128">
        <v>1.74</v>
      </c>
      <c r="BJ15" s="128">
        <v>1.75</v>
      </c>
      <c r="BK15" s="128">
        <v>1.76</v>
      </c>
      <c r="BL15" s="128">
        <v>1.77</v>
      </c>
      <c r="BM15" s="128">
        <v>1.78</v>
      </c>
      <c r="BN15" s="128">
        <v>1.79</v>
      </c>
      <c r="BO15" s="128">
        <v>1.79</v>
      </c>
      <c r="BP15" s="128">
        <v>1.8</v>
      </c>
      <c r="BQ15" s="128">
        <v>1.81</v>
      </c>
      <c r="BR15" s="128">
        <v>1.82</v>
      </c>
      <c r="BS15" s="128">
        <v>1.83</v>
      </c>
      <c r="BT15" s="128">
        <v>1.84</v>
      </c>
      <c r="BU15" s="128">
        <v>1.85</v>
      </c>
      <c r="BV15" s="128">
        <v>1.86</v>
      </c>
      <c r="BW15" s="128">
        <v>1.87</v>
      </c>
      <c r="BX15" s="128">
        <v>1.87</v>
      </c>
      <c r="BY15" s="128">
        <v>1.88</v>
      </c>
      <c r="BZ15" s="128">
        <v>1.89</v>
      </c>
      <c r="CA15" s="128">
        <v>1.9</v>
      </c>
      <c r="CB15" s="128">
        <v>1.91</v>
      </c>
      <c r="CC15" s="128">
        <v>1.92</v>
      </c>
      <c r="CD15" s="128">
        <v>1.93</v>
      </c>
      <c r="CE15" s="128">
        <v>1.94</v>
      </c>
      <c r="CF15" s="128">
        <v>1.95</v>
      </c>
      <c r="CG15" s="128">
        <v>1.96</v>
      </c>
      <c r="CH15" s="128">
        <v>1.96</v>
      </c>
      <c r="CI15" s="128">
        <v>1.97</v>
      </c>
      <c r="CJ15" s="128">
        <v>1.98</v>
      </c>
      <c r="CK15" s="128">
        <v>1.99</v>
      </c>
      <c r="CL15" s="128">
        <v>2</v>
      </c>
      <c r="CM15" s="128">
        <v>2.0099999999999998</v>
      </c>
      <c r="CN15" s="128">
        <v>2.02</v>
      </c>
      <c r="CO15" s="128">
        <v>2.0299999999999998</v>
      </c>
      <c r="CP15" s="128">
        <v>2.04</v>
      </c>
      <c r="CQ15" s="128">
        <v>2.0499999999999998</v>
      </c>
      <c r="CR15" s="128">
        <v>2.06</v>
      </c>
      <c r="CS15" s="128">
        <v>2.0699999999999998</v>
      </c>
      <c r="CT15" s="128">
        <v>2.08</v>
      </c>
      <c r="CU15" s="128">
        <v>2.09</v>
      </c>
      <c r="CV15" s="128">
        <v>2.1</v>
      </c>
      <c r="CW15" s="128">
        <v>2.11</v>
      </c>
      <c r="CX15" s="128">
        <v>2.12</v>
      </c>
      <c r="CZ15" s="126">
        <f>SUMIF(MatrixF5[[1]:[2]],MatrixF5[[#This Row],[Столбец1]])/MatrixF5[[#This Row],[Столбец1]]</f>
        <v>11.000000000000002</v>
      </c>
      <c r="DA15" s="126">
        <f>SUMIF(MatrixF5[[1]:[2]],MatrixF5[[#This Row],[Столбец1]]+1)/(MatrixF5[[#This Row],[Столбец1]]+1)</f>
        <v>108.00000000000014</v>
      </c>
    </row>
    <row r="16" spans="1:105" ht="21" customHeight="1" x14ac:dyDescent="0.25">
      <c r="A16" s="127">
        <v>1.1299999999999999</v>
      </c>
      <c r="B16" s="128">
        <v>1.1299999999999999</v>
      </c>
      <c r="C16" s="128">
        <v>1.1499999999999999</v>
      </c>
      <c r="D16" s="128">
        <v>1.17</v>
      </c>
      <c r="E16" s="128">
        <v>1.18</v>
      </c>
      <c r="F16" s="128">
        <v>1.2</v>
      </c>
      <c r="G16" s="128">
        <v>1.22</v>
      </c>
      <c r="H16" s="128">
        <v>1.24</v>
      </c>
      <c r="I16" s="128">
        <v>1.25</v>
      </c>
      <c r="J16" s="128">
        <v>1.27</v>
      </c>
      <c r="K16" s="128">
        <v>1.28</v>
      </c>
      <c r="L16" s="128">
        <v>1.3</v>
      </c>
      <c r="M16" s="128">
        <v>1.32</v>
      </c>
      <c r="N16" s="128">
        <v>1.33</v>
      </c>
      <c r="O16" s="128">
        <v>1.35</v>
      </c>
      <c r="P16" s="128">
        <v>1.35</v>
      </c>
      <c r="Q16" s="128">
        <v>1.36</v>
      </c>
      <c r="R16" s="128">
        <v>1.37</v>
      </c>
      <c r="S16" s="128">
        <v>1.38</v>
      </c>
      <c r="T16" s="128">
        <v>1.39</v>
      </c>
      <c r="U16" s="128">
        <v>1.4</v>
      </c>
      <c r="V16" s="128">
        <v>1.41</v>
      </c>
      <c r="W16" s="128">
        <v>1.42</v>
      </c>
      <c r="X16" s="128">
        <v>1.42</v>
      </c>
      <c r="Y16" s="128">
        <v>1.43</v>
      </c>
      <c r="Z16" s="128">
        <v>1.44</v>
      </c>
      <c r="AA16" s="128">
        <v>1.45</v>
      </c>
      <c r="AB16" s="128">
        <v>1.46</v>
      </c>
      <c r="AC16" s="128">
        <v>1.47</v>
      </c>
      <c r="AD16" s="128">
        <v>1.48</v>
      </c>
      <c r="AE16" s="128">
        <v>1.49</v>
      </c>
      <c r="AF16" s="128">
        <v>1.5</v>
      </c>
      <c r="AG16" s="128">
        <v>1.5</v>
      </c>
      <c r="AH16" s="128">
        <v>1.51</v>
      </c>
      <c r="AI16" s="128">
        <v>1.52</v>
      </c>
      <c r="AJ16" s="128">
        <v>1.53</v>
      </c>
      <c r="AK16" s="128">
        <v>1.54</v>
      </c>
      <c r="AL16" s="128">
        <v>1.55</v>
      </c>
      <c r="AM16" s="128">
        <v>1.56</v>
      </c>
      <c r="AN16" s="128">
        <v>1.57</v>
      </c>
      <c r="AO16" s="128">
        <v>1.58</v>
      </c>
      <c r="AP16" s="128">
        <v>1.58</v>
      </c>
      <c r="AQ16" s="128">
        <v>1.59</v>
      </c>
      <c r="AR16" s="128">
        <v>1.6</v>
      </c>
      <c r="AS16" s="128">
        <v>1.61</v>
      </c>
      <c r="AT16" s="128">
        <v>1.62</v>
      </c>
      <c r="AU16" s="128">
        <v>1.63</v>
      </c>
      <c r="AV16" s="128">
        <v>1.64</v>
      </c>
      <c r="AW16" s="128">
        <v>1.65</v>
      </c>
      <c r="AX16" s="128">
        <v>1.65</v>
      </c>
      <c r="AY16" s="128">
        <v>1.66</v>
      </c>
      <c r="AZ16" s="128">
        <v>1.67</v>
      </c>
      <c r="BA16" s="128">
        <v>1.68</v>
      </c>
      <c r="BB16" s="128">
        <v>1.69</v>
      </c>
      <c r="BC16" s="128">
        <v>1.7</v>
      </c>
      <c r="BD16" s="128">
        <v>1.71</v>
      </c>
      <c r="BE16" s="128">
        <v>1.72</v>
      </c>
      <c r="BF16" s="128">
        <v>1.73</v>
      </c>
      <c r="BG16" s="128">
        <v>1.73</v>
      </c>
      <c r="BH16" s="128">
        <v>1.74</v>
      </c>
      <c r="BI16" s="128">
        <v>1.75</v>
      </c>
      <c r="BJ16" s="128">
        <v>1.76</v>
      </c>
      <c r="BK16" s="128">
        <v>1.77</v>
      </c>
      <c r="BL16" s="128">
        <v>1.78</v>
      </c>
      <c r="BM16" s="128">
        <v>1.79</v>
      </c>
      <c r="BN16" s="128">
        <v>1.8</v>
      </c>
      <c r="BO16" s="128">
        <v>1.81</v>
      </c>
      <c r="BP16" s="128">
        <v>1.81</v>
      </c>
      <c r="BQ16" s="128">
        <v>1.82</v>
      </c>
      <c r="BR16" s="128">
        <v>1.83</v>
      </c>
      <c r="BS16" s="128">
        <v>1.84</v>
      </c>
      <c r="BT16" s="128">
        <v>1.85</v>
      </c>
      <c r="BU16" s="128">
        <v>1.86</v>
      </c>
      <c r="BV16" s="128">
        <v>1.87</v>
      </c>
      <c r="BW16" s="128">
        <v>1.88</v>
      </c>
      <c r="BX16" s="128">
        <v>1.88</v>
      </c>
      <c r="BY16" s="128">
        <v>1.89</v>
      </c>
      <c r="BZ16" s="128">
        <v>1.9</v>
      </c>
      <c r="CA16" s="128">
        <v>1.91</v>
      </c>
      <c r="CB16" s="128">
        <v>1.92</v>
      </c>
      <c r="CC16" s="128">
        <v>1.93</v>
      </c>
      <c r="CD16" s="128">
        <v>1.94</v>
      </c>
      <c r="CE16" s="128">
        <v>1.95</v>
      </c>
      <c r="CF16" s="128">
        <v>1.96</v>
      </c>
      <c r="CG16" s="128">
        <v>1.96</v>
      </c>
      <c r="CH16" s="128">
        <v>1.97</v>
      </c>
      <c r="CI16" s="128">
        <v>1.98</v>
      </c>
      <c r="CJ16" s="128">
        <v>1.99</v>
      </c>
      <c r="CK16" s="128">
        <v>2</v>
      </c>
      <c r="CL16" s="128">
        <v>2.0099999999999998</v>
      </c>
      <c r="CM16" s="128">
        <v>2.02</v>
      </c>
      <c r="CN16" s="128">
        <v>2.0299999999999998</v>
      </c>
      <c r="CO16" s="128">
        <v>2.04</v>
      </c>
      <c r="CP16" s="128">
        <v>2.0499999999999998</v>
      </c>
      <c r="CQ16" s="128">
        <v>2.06</v>
      </c>
      <c r="CR16" s="128">
        <v>2.0699999999999998</v>
      </c>
      <c r="CS16" s="128">
        <v>2.08</v>
      </c>
      <c r="CT16" s="128">
        <v>2.09</v>
      </c>
      <c r="CU16" s="128">
        <v>2.1</v>
      </c>
      <c r="CV16" s="128">
        <v>2.11</v>
      </c>
      <c r="CW16" s="128">
        <v>2.12</v>
      </c>
      <c r="CX16" s="128">
        <v>2.13</v>
      </c>
      <c r="CZ16" s="126">
        <f>SUMIF(MatrixF5[[1]:[2]],MatrixF5[[#This Row],[Столбец1]])/MatrixF5[[#This Row],[Столбец1]]</f>
        <v>9.9999999999999982</v>
      </c>
      <c r="DA16" s="126">
        <f>SUMIF(MatrixF5[[1]:[2]],MatrixF5[[#This Row],[Столбец1]]+1)/(MatrixF5[[#This Row],[Столбец1]]+1)</f>
        <v>92.999999999999886</v>
      </c>
    </row>
    <row r="17" spans="1:105" ht="21" customHeight="1" x14ac:dyDescent="0.25">
      <c r="A17" s="127">
        <v>1.1399999999999999</v>
      </c>
      <c r="B17" s="128">
        <v>1.1399999999999999</v>
      </c>
      <c r="C17" s="128">
        <v>1.1599999999999999</v>
      </c>
      <c r="D17" s="128">
        <v>1.18</v>
      </c>
      <c r="E17" s="128">
        <v>1.19</v>
      </c>
      <c r="F17" s="128">
        <v>1.21</v>
      </c>
      <c r="G17" s="128">
        <v>1.23</v>
      </c>
      <c r="H17" s="128">
        <v>1.25</v>
      </c>
      <c r="I17" s="128">
        <v>1.26</v>
      </c>
      <c r="J17" s="128">
        <v>1.28</v>
      </c>
      <c r="K17" s="128">
        <v>1.29</v>
      </c>
      <c r="L17" s="128">
        <v>1.31</v>
      </c>
      <c r="M17" s="128">
        <v>1.32</v>
      </c>
      <c r="N17" s="128">
        <v>1.34</v>
      </c>
      <c r="O17" s="128">
        <v>1.35</v>
      </c>
      <c r="P17" s="128">
        <v>1.37</v>
      </c>
      <c r="Q17" s="128">
        <v>1.38</v>
      </c>
      <c r="R17" s="128">
        <v>1.39</v>
      </c>
      <c r="S17" s="128">
        <v>1.39</v>
      </c>
      <c r="T17" s="128">
        <v>1.4</v>
      </c>
      <c r="U17" s="128">
        <v>1.41</v>
      </c>
      <c r="V17" s="128">
        <v>1.42</v>
      </c>
      <c r="W17" s="128">
        <v>1.43</v>
      </c>
      <c r="X17" s="128">
        <v>1.44</v>
      </c>
      <c r="Y17" s="128">
        <v>1.45</v>
      </c>
      <c r="Z17" s="128">
        <v>1.46</v>
      </c>
      <c r="AA17" s="128">
        <v>1.46</v>
      </c>
      <c r="AB17" s="128">
        <v>1.47</v>
      </c>
      <c r="AC17" s="128">
        <v>1.48</v>
      </c>
      <c r="AD17" s="128">
        <v>1.49</v>
      </c>
      <c r="AE17" s="128">
        <v>1.5</v>
      </c>
      <c r="AF17" s="128">
        <v>1.51</v>
      </c>
      <c r="AG17" s="128">
        <v>1.52</v>
      </c>
      <c r="AH17" s="128">
        <v>1.53</v>
      </c>
      <c r="AI17" s="128">
        <v>1.54</v>
      </c>
      <c r="AJ17" s="128">
        <v>1.54</v>
      </c>
      <c r="AK17" s="128">
        <v>1.55</v>
      </c>
      <c r="AL17" s="128">
        <v>1.56</v>
      </c>
      <c r="AM17" s="128">
        <v>1.57</v>
      </c>
      <c r="AN17" s="128">
        <v>1.58</v>
      </c>
      <c r="AO17" s="128">
        <v>1.59</v>
      </c>
      <c r="AP17" s="128">
        <v>1.6</v>
      </c>
      <c r="AQ17" s="128">
        <v>1.61</v>
      </c>
      <c r="AR17" s="128">
        <v>1.61</v>
      </c>
      <c r="AS17" s="128">
        <v>1.62</v>
      </c>
      <c r="AT17" s="128">
        <v>1.63</v>
      </c>
      <c r="AU17" s="128">
        <v>1.64</v>
      </c>
      <c r="AV17" s="128">
        <v>1.65</v>
      </c>
      <c r="AW17" s="128">
        <v>1.66</v>
      </c>
      <c r="AX17" s="128">
        <v>1.67</v>
      </c>
      <c r="AY17" s="128">
        <v>1.68</v>
      </c>
      <c r="AZ17" s="128">
        <v>1.68</v>
      </c>
      <c r="BA17" s="128">
        <v>1.69</v>
      </c>
      <c r="BB17" s="128">
        <v>1.7</v>
      </c>
      <c r="BC17" s="128">
        <v>1.71</v>
      </c>
      <c r="BD17" s="128">
        <v>1.72</v>
      </c>
      <c r="BE17" s="128">
        <v>1.73</v>
      </c>
      <c r="BF17" s="128">
        <v>1.74</v>
      </c>
      <c r="BG17" s="128">
        <v>1.75</v>
      </c>
      <c r="BH17" s="128">
        <v>1.75</v>
      </c>
      <c r="BI17" s="128">
        <v>1.76</v>
      </c>
      <c r="BJ17" s="128">
        <v>1.77</v>
      </c>
      <c r="BK17" s="128">
        <v>1.78</v>
      </c>
      <c r="BL17" s="128">
        <v>1.79</v>
      </c>
      <c r="BM17" s="128">
        <v>1.8</v>
      </c>
      <c r="BN17" s="128">
        <v>1.81</v>
      </c>
      <c r="BO17" s="128">
        <v>1.82</v>
      </c>
      <c r="BP17" s="128">
        <v>1.82</v>
      </c>
      <c r="BQ17" s="128">
        <v>1.83</v>
      </c>
      <c r="BR17" s="128">
        <v>1.84</v>
      </c>
      <c r="BS17" s="128">
        <v>1.85</v>
      </c>
      <c r="BT17" s="128">
        <v>1.86</v>
      </c>
      <c r="BU17" s="128">
        <v>1.87</v>
      </c>
      <c r="BV17" s="128">
        <v>1.88</v>
      </c>
      <c r="BW17" s="128">
        <v>1.89</v>
      </c>
      <c r="BX17" s="128">
        <v>1.89</v>
      </c>
      <c r="BY17" s="128">
        <v>1.9</v>
      </c>
      <c r="BZ17" s="128">
        <v>1.91</v>
      </c>
      <c r="CA17" s="128">
        <v>1.92</v>
      </c>
      <c r="CB17" s="128">
        <v>1.93</v>
      </c>
      <c r="CC17" s="128">
        <v>1.94</v>
      </c>
      <c r="CD17" s="128">
        <v>1.95</v>
      </c>
      <c r="CE17" s="128">
        <v>1.96</v>
      </c>
      <c r="CF17" s="128">
        <v>1.96</v>
      </c>
      <c r="CG17" s="128">
        <v>1.97</v>
      </c>
      <c r="CH17" s="128">
        <v>1.98</v>
      </c>
      <c r="CI17" s="128">
        <v>1.99</v>
      </c>
      <c r="CJ17" s="128">
        <v>2</v>
      </c>
      <c r="CK17" s="128">
        <v>2.0099999999999998</v>
      </c>
      <c r="CL17" s="128">
        <v>2.02</v>
      </c>
      <c r="CM17" s="128">
        <v>2.0299999999999998</v>
      </c>
      <c r="CN17" s="128">
        <v>2.04</v>
      </c>
      <c r="CO17" s="128">
        <v>2.0499999999999998</v>
      </c>
      <c r="CP17" s="128">
        <v>2.06</v>
      </c>
      <c r="CQ17" s="128">
        <v>2.0699999999999998</v>
      </c>
      <c r="CR17" s="128">
        <v>2.08</v>
      </c>
      <c r="CS17" s="128">
        <v>2.09</v>
      </c>
      <c r="CT17" s="128">
        <v>2.1</v>
      </c>
      <c r="CU17" s="128">
        <v>2.11</v>
      </c>
      <c r="CV17" s="128">
        <v>2.12</v>
      </c>
      <c r="CW17" s="128">
        <v>2.13</v>
      </c>
      <c r="CX17" s="128">
        <v>2.14</v>
      </c>
      <c r="CZ17" s="126">
        <f>SUMIF(MatrixF5[[1]:[2]],MatrixF5[[#This Row],[Столбец1]])/MatrixF5[[#This Row],[Столбец1]]</f>
        <v>11.000000000000002</v>
      </c>
      <c r="DA17" s="126">
        <f>SUMIF(MatrixF5[[1]:[2]],MatrixF5[[#This Row],[Столбец1]]+1)/(MatrixF5[[#This Row],[Столбец1]]+1)</f>
        <v>96.999999999999787</v>
      </c>
    </row>
    <row r="18" spans="1:105" ht="21" customHeight="1" x14ac:dyDescent="0.25">
      <c r="A18" s="127">
        <v>1.1499999999999999</v>
      </c>
      <c r="B18" s="128">
        <v>1.1499999999999999</v>
      </c>
      <c r="C18" s="128">
        <v>1.17</v>
      </c>
      <c r="D18" s="128">
        <v>1.19</v>
      </c>
      <c r="E18" s="128">
        <v>1.2</v>
      </c>
      <c r="F18" s="128">
        <v>1.22</v>
      </c>
      <c r="G18" s="128">
        <v>1.24</v>
      </c>
      <c r="H18" s="128">
        <v>1.25</v>
      </c>
      <c r="I18" s="128">
        <v>1.27</v>
      </c>
      <c r="J18" s="128">
        <v>1.29</v>
      </c>
      <c r="K18" s="128">
        <v>1.3</v>
      </c>
      <c r="L18" s="128">
        <v>1.32</v>
      </c>
      <c r="M18" s="128">
        <v>1.33</v>
      </c>
      <c r="N18" s="128">
        <v>1.35</v>
      </c>
      <c r="O18" s="128">
        <v>1.36</v>
      </c>
      <c r="P18" s="128">
        <v>1.38</v>
      </c>
      <c r="Q18" s="128">
        <v>1.39</v>
      </c>
      <c r="R18" s="128">
        <v>1.4</v>
      </c>
      <c r="S18" s="128">
        <v>1.41</v>
      </c>
      <c r="T18" s="128">
        <v>1.42</v>
      </c>
      <c r="U18" s="128">
        <v>1.43</v>
      </c>
      <c r="V18" s="128">
        <v>1.43</v>
      </c>
      <c r="W18" s="128">
        <v>1.44</v>
      </c>
      <c r="X18" s="128">
        <v>1.45</v>
      </c>
      <c r="Y18" s="128">
        <v>1.46</v>
      </c>
      <c r="Z18" s="128">
        <v>1.47</v>
      </c>
      <c r="AA18" s="128">
        <v>1.48</v>
      </c>
      <c r="AB18" s="128">
        <v>1.49</v>
      </c>
      <c r="AC18" s="128">
        <v>1.5</v>
      </c>
      <c r="AD18" s="128">
        <v>1.5</v>
      </c>
      <c r="AE18" s="128">
        <v>1.51</v>
      </c>
      <c r="AF18" s="128">
        <v>1.52</v>
      </c>
      <c r="AG18" s="128">
        <v>1.53</v>
      </c>
      <c r="AH18" s="128">
        <v>1.54</v>
      </c>
      <c r="AI18" s="128">
        <v>1.55</v>
      </c>
      <c r="AJ18" s="128">
        <v>1.56</v>
      </c>
      <c r="AK18" s="128">
        <v>1.57</v>
      </c>
      <c r="AL18" s="128">
        <v>1.57</v>
      </c>
      <c r="AM18" s="128">
        <v>1.58</v>
      </c>
      <c r="AN18" s="128">
        <v>1.59</v>
      </c>
      <c r="AO18" s="128">
        <v>1.6</v>
      </c>
      <c r="AP18" s="128">
        <v>1.61</v>
      </c>
      <c r="AQ18" s="128">
        <v>1.62</v>
      </c>
      <c r="AR18" s="128">
        <v>1.63</v>
      </c>
      <c r="AS18" s="128">
        <v>1.63</v>
      </c>
      <c r="AT18" s="128">
        <v>1.64</v>
      </c>
      <c r="AU18" s="128">
        <v>1.65</v>
      </c>
      <c r="AV18" s="128">
        <v>1.66</v>
      </c>
      <c r="AW18" s="128">
        <v>1.67</v>
      </c>
      <c r="AX18" s="128">
        <v>1.68</v>
      </c>
      <c r="AY18" s="128">
        <v>1.69</v>
      </c>
      <c r="AZ18" s="128">
        <v>1.7</v>
      </c>
      <c r="BA18" s="128">
        <v>1.7</v>
      </c>
      <c r="BB18" s="128">
        <v>1.71</v>
      </c>
      <c r="BC18" s="128">
        <v>1.72</v>
      </c>
      <c r="BD18" s="128">
        <v>1.73</v>
      </c>
      <c r="BE18" s="128">
        <v>1.74</v>
      </c>
      <c r="BF18" s="128">
        <v>1.75</v>
      </c>
      <c r="BG18" s="128">
        <v>1.76</v>
      </c>
      <c r="BH18" s="128">
        <v>1.77</v>
      </c>
      <c r="BI18" s="128">
        <v>1.77</v>
      </c>
      <c r="BJ18" s="128">
        <v>1.78</v>
      </c>
      <c r="BK18" s="128">
        <v>1.79</v>
      </c>
      <c r="BL18" s="128">
        <v>1.8</v>
      </c>
      <c r="BM18" s="128">
        <v>1.81</v>
      </c>
      <c r="BN18" s="128">
        <v>1.82</v>
      </c>
      <c r="BO18" s="128">
        <v>1.83</v>
      </c>
      <c r="BP18" s="128">
        <v>1.83</v>
      </c>
      <c r="BQ18" s="128">
        <v>1.84</v>
      </c>
      <c r="BR18" s="128">
        <v>1.85</v>
      </c>
      <c r="BS18" s="128">
        <v>1.86</v>
      </c>
      <c r="BT18" s="128">
        <v>1.87</v>
      </c>
      <c r="BU18" s="128">
        <v>1.88</v>
      </c>
      <c r="BV18" s="128">
        <v>1.89</v>
      </c>
      <c r="BW18" s="128">
        <v>1.9</v>
      </c>
      <c r="BX18" s="128">
        <v>1.9</v>
      </c>
      <c r="BY18" s="128">
        <v>1.91</v>
      </c>
      <c r="BZ18" s="128">
        <v>1.92</v>
      </c>
      <c r="CA18" s="128">
        <v>1.93</v>
      </c>
      <c r="CB18" s="128">
        <v>1.94</v>
      </c>
      <c r="CC18" s="128">
        <v>1.95</v>
      </c>
      <c r="CD18" s="128">
        <v>1.96</v>
      </c>
      <c r="CE18" s="128">
        <v>1.97</v>
      </c>
      <c r="CF18" s="128">
        <v>1.97</v>
      </c>
      <c r="CG18" s="128">
        <v>1.98</v>
      </c>
      <c r="CH18" s="128">
        <v>1.99</v>
      </c>
      <c r="CI18" s="128">
        <v>2</v>
      </c>
      <c r="CJ18" s="128">
        <v>2.0099999999999998</v>
      </c>
      <c r="CK18" s="128">
        <v>2.02</v>
      </c>
      <c r="CL18" s="128">
        <v>2.0299999999999998</v>
      </c>
      <c r="CM18" s="128">
        <v>2.04</v>
      </c>
      <c r="CN18" s="128">
        <v>2.0499999999999998</v>
      </c>
      <c r="CO18" s="128">
        <v>2.06</v>
      </c>
      <c r="CP18" s="128">
        <v>2.06</v>
      </c>
      <c r="CQ18" s="128">
        <v>2.0699999999999998</v>
      </c>
      <c r="CR18" s="128">
        <v>2.08</v>
      </c>
      <c r="CS18" s="128">
        <v>2.1</v>
      </c>
      <c r="CT18" s="128">
        <v>2.11</v>
      </c>
      <c r="CU18" s="128">
        <v>2.12</v>
      </c>
      <c r="CV18" s="128">
        <v>2.13</v>
      </c>
      <c r="CW18" s="128">
        <v>2.14</v>
      </c>
      <c r="CX18" s="128">
        <v>2.15</v>
      </c>
      <c r="CZ18" s="126">
        <f>SUMIF(MatrixF5[[1]:[2]],MatrixF5[[#This Row],[Столбец1]])/MatrixF5[[#This Row],[Столбец1]]</f>
        <v>12.000000000000004</v>
      </c>
      <c r="DA18" s="126">
        <f>SUMIF(MatrixF5[[1]:[2]],MatrixF5[[#This Row],[Столбец1]]+1)/(MatrixF5[[#This Row],[Столбец1]]+1)</f>
        <v>96.000000000000171</v>
      </c>
    </row>
    <row r="19" spans="1:105" ht="21" customHeight="1" x14ac:dyDescent="0.25">
      <c r="A19" s="127">
        <v>1.1599999999999999</v>
      </c>
      <c r="B19" s="128">
        <v>1.1599999999999999</v>
      </c>
      <c r="C19" s="128">
        <v>1.18</v>
      </c>
      <c r="D19" s="128">
        <v>1.2</v>
      </c>
      <c r="E19" s="128">
        <v>1.21</v>
      </c>
      <c r="F19" s="128">
        <v>1.23</v>
      </c>
      <c r="G19" s="128">
        <v>1.25</v>
      </c>
      <c r="H19" s="128">
        <v>1.26</v>
      </c>
      <c r="I19" s="128">
        <v>1.28</v>
      </c>
      <c r="J19" s="128">
        <v>1.3</v>
      </c>
      <c r="K19" s="128">
        <v>1.31</v>
      </c>
      <c r="L19" s="128">
        <v>1.33</v>
      </c>
      <c r="M19" s="128">
        <v>1.34</v>
      </c>
      <c r="N19" s="128">
        <v>1.36</v>
      </c>
      <c r="O19" s="128">
        <v>1.37</v>
      </c>
      <c r="P19" s="128">
        <v>1.39</v>
      </c>
      <c r="Q19" s="128">
        <v>1.4</v>
      </c>
      <c r="R19" s="128">
        <v>1.41</v>
      </c>
      <c r="S19" s="128">
        <v>1.42</v>
      </c>
      <c r="T19" s="128">
        <v>1.43</v>
      </c>
      <c r="U19" s="128">
        <v>1.44</v>
      </c>
      <c r="V19" s="128">
        <v>1.45</v>
      </c>
      <c r="W19" s="128">
        <v>1.46</v>
      </c>
      <c r="X19" s="128">
        <v>1.47</v>
      </c>
      <c r="Y19" s="128">
        <v>1.47</v>
      </c>
      <c r="Z19" s="128">
        <v>1.48</v>
      </c>
      <c r="AA19" s="128">
        <v>1.49</v>
      </c>
      <c r="AB19" s="128">
        <v>1.5</v>
      </c>
      <c r="AC19" s="128">
        <v>1.51</v>
      </c>
      <c r="AD19" s="128">
        <v>1.52</v>
      </c>
      <c r="AE19" s="128">
        <v>1.53</v>
      </c>
      <c r="AF19" s="128">
        <v>1.53</v>
      </c>
      <c r="AG19" s="128">
        <v>1.54</v>
      </c>
      <c r="AH19" s="128">
        <v>1.55</v>
      </c>
      <c r="AI19" s="128">
        <v>1.56</v>
      </c>
      <c r="AJ19" s="128">
        <v>1.57</v>
      </c>
      <c r="AK19" s="128">
        <v>1.58</v>
      </c>
      <c r="AL19" s="128">
        <v>1.59</v>
      </c>
      <c r="AM19" s="128">
        <v>1.59</v>
      </c>
      <c r="AN19" s="128">
        <v>1.6</v>
      </c>
      <c r="AO19" s="128">
        <v>1.61</v>
      </c>
      <c r="AP19" s="128">
        <v>1.62</v>
      </c>
      <c r="AQ19" s="128">
        <v>1.63</v>
      </c>
      <c r="AR19" s="128">
        <v>1.64</v>
      </c>
      <c r="AS19" s="128">
        <v>1.65</v>
      </c>
      <c r="AT19" s="128">
        <v>1.66</v>
      </c>
      <c r="AU19" s="128">
        <v>1.66</v>
      </c>
      <c r="AV19" s="128">
        <v>1.67</v>
      </c>
      <c r="AW19" s="128">
        <v>1.68</v>
      </c>
      <c r="AX19" s="128">
        <v>1.69</v>
      </c>
      <c r="AY19" s="128">
        <v>1.7</v>
      </c>
      <c r="AZ19" s="128">
        <v>1.71</v>
      </c>
      <c r="BA19" s="128">
        <v>1.72</v>
      </c>
      <c r="BB19" s="128">
        <v>1.72</v>
      </c>
      <c r="BC19" s="128">
        <v>1.73</v>
      </c>
      <c r="BD19" s="128">
        <v>1.74</v>
      </c>
      <c r="BE19" s="128">
        <v>1.75</v>
      </c>
      <c r="BF19" s="128">
        <v>1.76</v>
      </c>
      <c r="BG19" s="128">
        <v>1.77</v>
      </c>
      <c r="BH19" s="128">
        <v>1.78</v>
      </c>
      <c r="BI19" s="128">
        <v>1.78</v>
      </c>
      <c r="BJ19" s="128">
        <v>1.79</v>
      </c>
      <c r="BK19" s="128">
        <v>1.8</v>
      </c>
      <c r="BL19" s="128">
        <v>1.81</v>
      </c>
      <c r="BM19" s="128">
        <v>1.82</v>
      </c>
      <c r="BN19" s="128">
        <v>1.83</v>
      </c>
      <c r="BO19" s="128">
        <v>1.84</v>
      </c>
      <c r="BP19" s="128">
        <v>1.84</v>
      </c>
      <c r="BQ19" s="128">
        <v>1.85</v>
      </c>
      <c r="BR19" s="128">
        <v>1.86</v>
      </c>
      <c r="BS19" s="128">
        <v>1.87</v>
      </c>
      <c r="BT19" s="128">
        <v>1.88</v>
      </c>
      <c r="BU19" s="128">
        <v>1.89</v>
      </c>
      <c r="BV19" s="128">
        <v>1.9</v>
      </c>
      <c r="BW19" s="128">
        <v>1.91</v>
      </c>
      <c r="BX19" s="128">
        <v>1.91</v>
      </c>
      <c r="BY19" s="128">
        <v>1.92</v>
      </c>
      <c r="BZ19" s="128">
        <v>1.93</v>
      </c>
      <c r="CA19" s="128">
        <v>1.94</v>
      </c>
      <c r="CB19" s="128">
        <v>1.95</v>
      </c>
      <c r="CC19" s="128">
        <v>1.96</v>
      </c>
      <c r="CD19" s="128">
        <v>1.97</v>
      </c>
      <c r="CE19" s="128">
        <v>1.97</v>
      </c>
      <c r="CF19" s="128">
        <v>1.98</v>
      </c>
      <c r="CG19" s="128">
        <v>1.99</v>
      </c>
      <c r="CH19" s="128">
        <v>2</v>
      </c>
      <c r="CI19" s="128">
        <v>2.0099999999999998</v>
      </c>
      <c r="CJ19" s="128">
        <v>2.02</v>
      </c>
      <c r="CK19" s="128">
        <v>2.0299999999999998</v>
      </c>
      <c r="CL19" s="128">
        <v>2.04</v>
      </c>
      <c r="CM19" s="128">
        <v>2.0499999999999998</v>
      </c>
      <c r="CN19" s="128">
        <v>2.0499999999999998</v>
      </c>
      <c r="CO19" s="128">
        <v>2.06</v>
      </c>
      <c r="CP19" s="128">
        <v>2.0699999999999998</v>
      </c>
      <c r="CQ19" s="128">
        <v>2.08</v>
      </c>
      <c r="CR19" s="128">
        <v>2.09</v>
      </c>
      <c r="CS19" s="128">
        <v>2.1</v>
      </c>
      <c r="CT19" s="128">
        <v>2.12</v>
      </c>
      <c r="CU19" s="128">
        <v>2.13</v>
      </c>
      <c r="CV19" s="128">
        <v>2.14</v>
      </c>
      <c r="CW19" s="128">
        <v>2.15</v>
      </c>
      <c r="CX19" s="128">
        <v>2.16</v>
      </c>
      <c r="CZ19" s="126">
        <f>SUMIF(MatrixF5[[1]:[2]],MatrixF5[[#This Row],[Столбец1]])/MatrixF5[[#This Row],[Столбец1]]</f>
        <v>12</v>
      </c>
      <c r="DA19" s="126">
        <f>SUMIF(MatrixF5[[1]:[2]],MatrixF5[[#This Row],[Столбец1]]+1)/(MatrixF5[[#This Row],[Столбец1]]+1)</f>
        <v>90.999999999999872</v>
      </c>
    </row>
    <row r="20" spans="1:105" ht="21" customHeight="1" x14ac:dyDescent="0.25">
      <c r="A20" s="127">
        <v>1.17</v>
      </c>
      <c r="B20" s="128">
        <v>1.17</v>
      </c>
      <c r="C20" s="128">
        <v>1.19</v>
      </c>
      <c r="D20" s="128">
        <v>1.21</v>
      </c>
      <c r="E20" s="128">
        <v>1.22</v>
      </c>
      <c r="F20" s="128">
        <v>1.24</v>
      </c>
      <c r="G20" s="128">
        <v>1.26</v>
      </c>
      <c r="H20" s="128">
        <v>1.27</v>
      </c>
      <c r="I20" s="128">
        <v>1.29</v>
      </c>
      <c r="J20" s="128">
        <v>1.31</v>
      </c>
      <c r="K20" s="128">
        <v>1.32</v>
      </c>
      <c r="L20" s="128">
        <v>1.34</v>
      </c>
      <c r="M20" s="128">
        <v>1.35</v>
      </c>
      <c r="N20" s="128">
        <v>1.37</v>
      </c>
      <c r="O20" s="128">
        <v>1.38</v>
      </c>
      <c r="P20" s="128">
        <v>1.39</v>
      </c>
      <c r="Q20" s="128">
        <v>1.41</v>
      </c>
      <c r="R20" s="128">
        <v>1.42</v>
      </c>
      <c r="S20" s="128">
        <v>1.44</v>
      </c>
      <c r="T20" s="128">
        <v>1.44</v>
      </c>
      <c r="U20" s="128">
        <v>1.45</v>
      </c>
      <c r="V20" s="128">
        <v>1.46</v>
      </c>
      <c r="W20" s="128">
        <v>1.47</v>
      </c>
      <c r="X20" s="128">
        <v>1.48</v>
      </c>
      <c r="Y20" s="128">
        <v>1.49</v>
      </c>
      <c r="Z20" s="128">
        <v>1.5</v>
      </c>
      <c r="AA20" s="128">
        <v>1.5</v>
      </c>
      <c r="AB20" s="128">
        <v>1.51</v>
      </c>
      <c r="AC20" s="128">
        <v>1.52</v>
      </c>
      <c r="AD20" s="128">
        <v>1.53</v>
      </c>
      <c r="AE20" s="128">
        <v>1.54</v>
      </c>
      <c r="AF20" s="128">
        <v>1.55</v>
      </c>
      <c r="AG20" s="128">
        <v>1.56</v>
      </c>
      <c r="AH20" s="128">
        <v>1.56</v>
      </c>
      <c r="AI20" s="128">
        <v>1.57</v>
      </c>
      <c r="AJ20" s="128">
        <v>1.58</v>
      </c>
      <c r="AK20" s="128">
        <v>1.59</v>
      </c>
      <c r="AL20" s="128">
        <v>1.6</v>
      </c>
      <c r="AM20" s="128">
        <v>1.61</v>
      </c>
      <c r="AN20" s="128">
        <v>1.62</v>
      </c>
      <c r="AO20" s="128">
        <v>1.62</v>
      </c>
      <c r="AP20" s="128">
        <v>1.63</v>
      </c>
      <c r="AQ20" s="128">
        <v>1.64</v>
      </c>
      <c r="AR20" s="128">
        <v>1.65</v>
      </c>
      <c r="AS20" s="128">
        <v>1.66</v>
      </c>
      <c r="AT20" s="128">
        <v>1.67</v>
      </c>
      <c r="AU20" s="128">
        <v>1.68</v>
      </c>
      <c r="AV20" s="128">
        <v>1.68</v>
      </c>
      <c r="AW20" s="128">
        <v>1.69</v>
      </c>
      <c r="AX20" s="128">
        <v>1.7</v>
      </c>
      <c r="AY20" s="128">
        <v>1.71</v>
      </c>
      <c r="AZ20" s="128">
        <v>1.72</v>
      </c>
      <c r="BA20" s="128">
        <v>1.73</v>
      </c>
      <c r="BB20" s="128">
        <v>1.74</v>
      </c>
      <c r="BC20" s="128">
        <v>1.74</v>
      </c>
      <c r="BD20" s="128">
        <v>1.75</v>
      </c>
      <c r="BE20" s="128">
        <v>1.76</v>
      </c>
      <c r="BF20" s="128">
        <v>1.77</v>
      </c>
      <c r="BG20" s="128">
        <v>1.78</v>
      </c>
      <c r="BH20" s="128">
        <v>1.79</v>
      </c>
      <c r="BI20" s="128">
        <v>1.79</v>
      </c>
      <c r="BJ20" s="128">
        <v>1.8</v>
      </c>
      <c r="BK20" s="128">
        <v>1.81</v>
      </c>
      <c r="BL20" s="128">
        <v>1.82</v>
      </c>
      <c r="BM20" s="128">
        <v>1.83</v>
      </c>
      <c r="BN20" s="128">
        <v>1.84</v>
      </c>
      <c r="BO20" s="128">
        <v>1.85</v>
      </c>
      <c r="BP20" s="128">
        <v>1.85</v>
      </c>
      <c r="BQ20" s="128">
        <v>1.86</v>
      </c>
      <c r="BR20" s="128">
        <v>1.87</v>
      </c>
      <c r="BS20" s="128">
        <v>1.88</v>
      </c>
      <c r="BT20" s="128">
        <v>1.89</v>
      </c>
      <c r="BU20" s="128">
        <v>1.9</v>
      </c>
      <c r="BV20" s="128">
        <v>1.91</v>
      </c>
      <c r="BW20" s="128">
        <v>1.91</v>
      </c>
      <c r="BX20" s="128">
        <v>1.92</v>
      </c>
      <c r="BY20" s="128">
        <v>1.93</v>
      </c>
      <c r="BZ20" s="128">
        <v>1.94</v>
      </c>
      <c r="CA20" s="128">
        <v>1.95</v>
      </c>
      <c r="CB20" s="128">
        <v>1.96</v>
      </c>
      <c r="CC20" s="128">
        <v>1.97</v>
      </c>
      <c r="CD20" s="128">
        <v>1.97</v>
      </c>
      <c r="CE20" s="128">
        <v>1.98</v>
      </c>
      <c r="CF20" s="128">
        <v>1.99</v>
      </c>
      <c r="CG20" s="128">
        <v>2</v>
      </c>
      <c r="CH20" s="128">
        <v>2.0099999999999998</v>
      </c>
      <c r="CI20" s="128">
        <v>2.02</v>
      </c>
      <c r="CJ20" s="128">
        <v>2.0299999999999998</v>
      </c>
      <c r="CK20" s="128">
        <v>2.04</v>
      </c>
      <c r="CL20" s="128">
        <v>2.04</v>
      </c>
      <c r="CM20" s="128">
        <v>2.0499999999999998</v>
      </c>
      <c r="CN20" s="128">
        <v>2.06</v>
      </c>
      <c r="CO20" s="128">
        <v>2.0699999999999998</v>
      </c>
      <c r="CP20" s="128">
        <v>2.08</v>
      </c>
      <c r="CQ20" s="128">
        <v>2.09</v>
      </c>
      <c r="CR20" s="128">
        <v>2.1</v>
      </c>
      <c r="CS20" s="128">
        <v>2.11</v>
      </c>
      <c r="CT20" s="128">
        <v>2.12</v>
      </c>
      <c r="CU20" s="128">
        <v>2.14</v>
      </c>
      <c r="CV20" s="128">
        <v>2.15</v>
      </c>
      <c r="CW20" s="128">
        <v>2.16</v>
      </c>
      <c r="CX20" s="128">
        <v>2.17</v>
      </c>
      <c r="CZ20" s="126">
        <f>SUMIF(MatrixF5[[1]:[2]],MatrixF5[[#This Row],[Столбец1]])/MatrixF5[[#This Row],[Столбец1]]</f>
        <v>14.999999999999998</v>
      </c>
      <c r="DA20" s="126">
        <f>SUMIF(MatrixF5[[1]:[2]],MatrixF5[[#This Row],[Столбец1]]+1)/(MatrixF5[[#This Row],[Столбец1]]+1)</f>
        <v>94.999999999999829</v>
      </c>
    </row>
    <row r="21" spans="1:105" ht="21" customHeight="1" x14ac:dyDescent="0.25">
      <c r="A21" s="127">
        <v>1.18</v>
      </c>
      <c r="B21" s="128">
        <v>1.18</v>
      </c>
      <c r="C21" s="128">
        <v>1.2</v>
      </c>
      <c r="D21" s="128">
        <v>1.22</v>
      </c>
      <c r="E21" s="128">
        <v>1.23</v>
      </c>
      <c r="F21" s="128">
        <v>1.25</v>
      </c>
      <c r="G21" s="128">
        <v>1.27</v>
      </c>
      <c r="H21" s="128">
        <v>1.28</v>
      </c>
      <c r="I21" s="128">
        <v>1.3</v>
      </c>
      <c r="J21" s="128">
        <v>1.31</v>
      </c>
      <c r="K21" s="128">
        <v>1.33</v>
      </c>
      <c r="L21" s="128">
        <v>1.35</v>
      </c>
      <c r="M21" s="128">
        <v>1.36</v>
      </c>
      <c r="N21" s="128">
        <v>1.38</v>
      </c>
      <c r="O21" s="128">
        <v>1.39</v>
      </c>
      <c r="P21" s="128">
        <v>1.4</v>
      </c>
      <c r="Q21" s="128">
        <v>1.42</v>
      </c>
      <c r="R21" s="128">
        <v>1.43</v>
      </c>
      <c r="S21" s="128">
        <v>1.44</v>
      </c>
      <c r="T21" s="128">
        <v>1.46</v>
      </c>
      <c r="U21" s="128">
        <v>1.47</v>
      </c>
      <c r="V21" s="128">
        <v>1.47</v>
      </c>
      <c r="W21" s="128">
        <v>1.48</v>
      </c>
      <c r="X21" s="128">
        <v>1.49</v>
      </c>
      <c r="Y21" s="128">
        <v>1.5</v>
      </c>
      <c r="Z21" s="128">
        <v>1.51</v>
      </c>
      <c r="AA21" s="128">
        <v>1.52</v>
      </c>
      <c r="AB21" s="128">
        <v>1.53</v>
      </c>
      <c r="AC21" s="128">
        <v>1.53</v>
      </c>
      <c r="AD21" s="128">
        <v>1.54</v>
      </c>
      <c r="AE21" s="128">
        <v>1.55</v>
      </c>
      <c r="AF21" s="128">
        <v>1.56</v>
      </c>
      <c r="AG21" s="128">
        <v>1.57</v>
      </c>
      <c r="AH21" s="128">
        <v>1.58</v>
      </c>
      <c r="AI21" s="128">
        <v>1.58</v>
      </c>
      <c r="AJ21" s="128">
        <v>1.59</v>
      </c>
      <c r="AK21" s="128">
        <v>1.6</v>
      </c>
      <c r="AL21" s="128">
        <v>1.61</v>
      </c>
      <c r="AM21" s="128">
        <v>1.62</v>
      </c>
      <c r="AN21" s="128">
        <v>1.63</v>
      </c>
      <c r="AO21" s="128">
        <v>1.64</v>
      </c>
      <c r="AP21" s="128">
        <v>1.64</v>
      </c>
      <c r="AQ21" s="128">
        <v>1.65</v>
      </c>
      <c r="AR21" s="128">
        <v>1.66</v>
      </c>
      <c r="AS21" s="128">
        <v>1.67</v>
      </c>
      <c r="AT21" s="128">
        <v>1.68</v>
      </c>
      <c r="AU21" s="128">
        <v>1.69</v>
      </c>
      <c r="AV21" s="128">
        <v>1.69</v>
      </c>
      <c r="AW21" s="128">
        <v>1.7</v>
      </c>
      <c r="AX21" s="128">
        <v>1.71</v>
      </c>
      <c r="AY21" s="128">
        <v>1.72</v>
      </c>
      <c r="AZ21" s="128">
        <v>1.73</v>
      </c>
      <c r="BA21" s="128">
        <v>1.74</v>
      </c>
      <c r="BB21" s="128">
        <v>1.75</v>
      </c>
      <c r="BC21" s="128">
        <v>1.75</v>
      </c>
      <c r="BD21" s="128">
        <v>1.76</v>
      </c>
      <c r="BE21" s="128">
        <v>1.77</v>
      </c>
      <c r="BF21" s="128">
        <v>1.78</v>
      </c>
      <c r="BG21" s="128">
        <v>1.79</v>
      </c>
      <c r="BH21" s="128">
        <v>1.8</v>
      </c>
      <c r="BI21" s="128">
        <v>1.81</v>
      </c>
      <c r="BJ21" s="128">
        <v>1.81</v>
      </c>
      <c r="BK21" s="128">
        <v>1.82</v>
      </c>
      <c r="BL21" s="128">
        <v>1.83</v>
      </c>
      <c r="BM21" s="128">
        <v>1.84</v>
      </c>
      <c r="BN21" s="128">
        <v>1.85</v>
      </c>
      <c r="BO21" s="128">
        <v>1.86</v>
      </c>
      <c r="BP21" s="128">
        <v>1.86</v>
      </c>
      <c r="BQ21" s="128">
        <v>1.87</v>
      </c>
      <c r="BR21" s="128">
        <v>1.88</v>
      </c>
      <c r="BS21" s="128">
        <v>1.89</v>
      </c>
      <c r="BT21" s="128">
        <v>1.9</v>
      </c>
      <c r="BU21" s="128">
        <v>1.91</v>
      </c>
      <c r="BV21" s="128">
        <v>1.92</v>
      </c>
      <c r="BW21" s="128">
        <v>1.92</v>
      </c>
      <c r="BX21" s="128">
        <v>1.93</v>
      </c>
      <c r="BY21" s="128">
        <v>1.94</v>
      </c>
      <c r="BZ21" s="128">
        <v>1.95</v>
      </c>
      <c r="CA21" s="128">
        <v>1.96</v>
      </c>
      <c r="CB21" s="128">
        <v>1.97</v>
      </c>
      <c r="CC21" s="128">
        <v>1.97</v>
      </c>
      <c r="CD21" s="128">
        <v>1.98</v>
      </c>
      <c r="CE21" s="128">
        <v>1.99</v>
      </c>
      <c r="CF21" s="128">
        <v>2</v>
      </c>
      <c r="CG21" s="128">
        <v>2.0099999999999998</v>
      </c>
      <c r="CH21" s="128">
        <v>2.02</v>
      </c>
      <c r="CI21" s="128">
        <v>2.0299999999999998</v>
      </c>
      <c r="CJ21" s="128">
        <v>2.04</v>
      </c>
      <c r="CK21" s="128">
        <v>2.04</v>
      </c>
      <c r="CL21" s="128">
        <v>2.0499999999999998</v>
      </c>
      <c r="CM21" s="128">
        <v>2.06</v>
      </c>
      <c r="CN21" s="128">
        <v>2.0699999999999998</v>
      </c>
      <c r="CO21" s="128">
        <v>2.08</v>
      </c>
      <c r="CP21" s="128">
        <v>2.09</v>
      </c>
      <c r="CQ21" s="128">
        <v>2.1</v>
      </c>
      <c r="CR21" s="128">
        <v>2.11</v>
      </c>
      <c r="CS21" s="128">
        <v>2.12</v>
      </c>
      <c r="CT21" s="128">
        <v>2.13</v>
      </c>
      <c r="CU21" s="128">
        <v>2.15</v>
      </c>
      <c r="CV21" s="128">
        <v>2.16</v>
      </c>
      <c r="CW21" s="128">
        <v>2.17</v>
      </c>
      <c r="CX21" s="128">
        <v>2.1800000000000002</v>
      </c>
      <c r="CZ21" s="126">
        <f>SUMIF(MatrixF5[[1]:[2]],MatrixF5[[#This Row],[Столбец1]])/MatrixF5[[#This Row],[Столбец1]]</f>
        <v>14</v>
      </c>
      <c r="DA21" s="126">
        <f>SUMIF(MatrixF5[[1]:[2]],MatrixF5[[#This Row],[Столбец1]]+1)/(MatrixF5[[#This Row],[Столбец1]]+1)</f>
        <v>92.000000000000213</v>
      </c>
    </row>
    <row r="22" spans="1:105" ht="21" customHeight="1" x14ac:dyDescent="0.25">
      <c r="A22" s="127">
        <v>1.19</v>
      </c>
      <c r="B22" s="128">
        <v>1.19</v>
      </c>
      <c r="C22" s="128">
        <v>1.21</v>
      </c>
      <c r="D22" s="128">
        <v>1.23</v>
      </c>
      <c r="E22" s="128">
        <v>1.24</v>
      </c>
      <c r="F22" s="128">
        <v>1.26</v>
      </c>
      <c r="G22" s="128">
        <v>1.28</v>
      </c>
      <c r="H22" s="128">
        <v>1.29</v>
      </c>
      <c r="I22" s="128">
        <v>1.31</v>
      </c>
      <c r="J22" s="128">
        <v>1.32</v>
      </c>
      <c r="K22" s="128">
        <v>1.34</v>
      </c>
      <c r="L22" s="128">
        <v>1.35</v>
      </c>
      <c r="M22" s="128">
        <v>1.37</v>
      </c>
      <c r="N22" s="128">
        <v>1.38</v>
      </c>
      <c r="O22" s="128">
        <v>1.4</v>
      </c>
      <c r="P22" s="128">
        <v>1.41</v>
      </c>
      <c r="Q22" s="128">
        <v>1.43</v>
      </c>
      <c r="R22" s="128">
        <v>1.44</v>
      </c>
      <c r="S22" s="128">
        <v>1.45</v>
      </c>
      <c r="T22" s="128">
        <v>1.47</v>
      </c>
      <c r="U22" s="128">
        <v>1.48</v>
      </c>
      <c r="V22" s="128">
        <v>1.49</v>
      </c>
      <c r="W22" s="128">
        <v>1.5</v>
      </c>
      <c r="X22" s="128">
        <v>1.5</v>
      </c>
      <c r="Y22" s="128">
        <v>1.51</v>
      </c>
      <c r="Z22" s="128">
        <v>1.52</v>
      </c>
      <c r="AA22" s="128">
        <v>1.53</v>
      </c>
      <c r="AB22" s="128">
        <v>1.54</v>
      </c>
      <c r="AC22" s="128">
        <v>1.55</v>
      </c>
      <c r="AD22" s="128">
        <v>1.55</v>
      </c>
      <c r="AE22" s="128">
        <v>1.56</v>
      </c>
      <c r="AF22" s="128">
        <v>1.57</v>
      </c>
      <c r="AG22" s="128">
        <v>1.58</v>
      </c>
      <c r="AH22" s="128">
        <v>1.59</v>
      </c>
      <c r="AI22" s="128">
        <v>1.6</v>
      </c>
      <c r="AJ22" s="128">
        <v>1.61</v>
      </c>
      <c r="AK22" s="128">
        <v>1.61</v>
      </c>
      <c r="AL22" s="128">
        <v>1.62</v>
      </c>
      <c r="AM22" s="128">
        <v>1.63</v>
      </c>
      <c r="AN22" s="128">
        <v>1.64</v>
      </c>
      <c r="AO22" s="128">
        <v>1.65</v>
      </c>
      <c r="AP22" s="128">
        <v>1.66</v>
      </c>
      <c r="AQ22" s="128">
        <v>1.66</v>
      </c>
      <c r="AR22" s="128">
        <v>1.67</v>
      </c>
      <c r="AS22" s="128">
        <v>1.68</v>
      </c>
      <c r="AT22" s="128">
        <v>1.69</v>
      </c>
      <c r="AU22" s="128">
        <v>1.7</v>
      </c>
      <c r="AV22" s="128">
        <v>1.71</v>
      </c>
      <c r="AW22" s="128">
        <v>1.71</v>
      </c>
      <c r="AX22" s="128">
        <v>1.72</v>
      </c>
      <c r="AY22" s="128">
        <v>1.73</v>
      </c>
      <c r="AZ22" s="128">
        <v>1.74</v>
      </c>
      <c r="BA22" s="128">
        <v>1.75</v>
      </c>
      <c r="BB22" s="128">
        <v>1.76</v>
      </c>
      <c r="BC22" s="128">
        <v>1.76</v>
      </c>
      <c r="BD22" s="128">
        <v>1.77</v>
      </c>
      <c r="BE22" s="128">
        <v>1.78</v>
      </c>
      <c r="BF22" s="128">
        <v>1.79</v>
      </c>
      <c r="BG22" s="128">
        <v>1.8</v>
      </c>
      <c r="BH22" s="128">
        <v>1.81</v>
      </c>
      <c r="BI22" s="128">
        <v>1.82</v>
      </c>
      <c r="BJ22" s="128">
        <v>1.82</v>
      </c>
      <c r="BK22" s="128">
        <v>1.83</v>
      </c>
      <c r="BL22" s="128">
        <v>1.84</v>
      </c>
      <c r="BM22" s="128">
        <v>1.85</v>
      </c>
      <c r="BN22" s="128">
        <v>1.86</v>
      </c>
      <c r="BO22" s="128">
        <v>1.87</v>
      </c>
      <c r="BP22" s="128">
        <v>1.87</v>
      </c>
      <c r="BQ22" s="128">
        <v>1.88</v>
      </c>
      <c r="BR22" s="128">
        <v>1.89</v>
      </c>
      <c r="BS22" s="128">
        <v>1.9</v>
      </c>
      <c r="BT22" s="128">
        <v>1.91</v>
      </c>
      <c r="BU22" s="128">
        <v>1.92</v>
      </c>
      <c r="BV22" s="128">
        <v>1.92</v>
      </c>
      <c r="BW22" s="128">
        <v>1.93</v>
      </c>
      <c r="BX22" s="128">
        <v>1.94</v>
      </c>
      <c r="BY22" s="128">
        <v>1.95</v>
      </c>
      <c r="BZ22" s="128">
        <v>1.96</v>
      </c>
      <c r="CA22" s="128">
        <v>1.97</v>
      </c>
      <c r="CB22" s="128">
        <v>1.97</v>
      </c>
      <c r="CC22" s="128">
        <v>1.98</v>
      </c>
      <c r="CD22" s="128">
        <v>1.99</v>
      </c>
      <c r="CE22" s="128">
        <v>2</v>
      </c>
      <c r="CF22" s="128">
        <v>2.0099999999999998</v>
      </c>
      <c r="CG22" s="128">
        <v>2.02</v>
      </c>
      <c r="CH22" s="128">
        <v>2.0299999999999998</v>
      </c>
      <c r="CI22" s="128">
        <v>2.0299999999999998</v>
      </c>
      <c r="CJ22" s="128">
        <v>2.04</v>
      </c>
      <c r="CK22" s="128">
        <v>2.0499999999999998</v>
      </c>
      <c r="CL22" s="128">
        <v>2.06</v>
      </c>
      <c r="CM22" s="128">
        <v>2.0699999999999998</v>
      </c>
      <c r="CN22" s="128">
        <v>2.08</v>
      </c>
      <c r="CO22" s="128">
        <v>2.09</v>
      </c>
      <c r="CP22" s="128">
        <v>2.1</v>
      </c>
      <c r="CQ22" s="128">
        <v>2.11</v>
      </c>
      <c r="CR22" s="128">
        <v>2.12</v>
      </c>
      <c r="CS22" s="128">
        <v>2.13</v>
      </c>
      <c r="CT22" s="128">
        <v>2.14</v>
      </c>
      <c r="CU22" s="128">
        <v>2.16</v>
      </c>
      <c r="CV22" s="128">
        <v>2.17</v>
      </c>
      <c r="CW22" s="128">
        <v>2.1800000000000002</v>
      </c>
      <c r="CX22" s="128">
        <v>2.19</v>
      </c>
      <c r="CZ22" s="126">
        <f>SUMIF(MatrixF5[[1]:[2]],MatrixF5[[#This Row],[Столбец1]])/MatrixF5[[#This Row],[Столбец1]]</f>
        <v>13.999999999999998</v>
      </c>
      <c r="DA22" s="126">
        <f>SUMIF(MatrixF5[[1]:[2]],MatrixF5[[#This Row],[Столбец1]]+1)/(MatrixF5[[#This Row],[Столбец1]]+1)</f>
        <v>88.999999999999929</v>
      </c>
    </row>
    <row r="23" spans="1:105" ht="21" customHeight="1" x14ac:dyDescent="0.25">
      <c r="A23" s="127">
        <v>1.2</v>
      </c>
      <c r="B23" s="128">
        <v>1.2</v>
      </c>
      <c r="C23" s="128">
        <v>1.22</v>
      </c>
      <c r="D23" s="128">
        <v>1.24</v>
      </c>
      <c r="E23" s="128">
        <v>1.25</v>
      </c>
      <c r="F23" s="128">
        <v>1.27</v>
      </c>
      <c r="G23" s="128">
        <v>1.29</v>
      </c>
      <c r="H23" s="128">
        <v>1.3</v>
      </c>
      <c r="I23" s="128">
        <v>1.32</v>
      </c>
      <c r="J23" s="128">
        <v>1.33</v>
      </c>
      <c r="K23" s="128">
        <v>1.35</v>
      </c>
      <c r="L23" s="128">
        <v>1.36</v>
      </c>
      <c r="M23" s="128">
        <v>1.38</v>
      </c>
      <c r="N23" s="128">
        <v>1.39</v>
      </c>
      <c r="O23" s="128">
        <v>1.41</v>
      </c>
      <c r="P23" s="128">
        <v>1.42</v>
      </c>
      <c r="Q23" s="128">
        <v>1.43</v>
      </c>
      <c r="R23" s="128">
        <v>1.45</v>
      </c>
      <c r="S23" s="128">
        <v>1.46</v>
      </c>
      <c r="T23" s="128">
        <v>1.47</v>
      </c>
      <c r="U23" s="128">
        <v>1.49</v>
      </c>
      <c r="V23" s="128">
        <v>1.5</v>
      </c>
      <c r="W23" s="128">
        <v>1.51</v>
      </c>
      <c r="X23" s="128">
        <v>1.52</v>
      </c>
      <c r="Y23" s="128">
        <v>1.52</v>
      </c>
      <c r="Z23" s="128">
        <v>1.53</v>
      </c>
      <c r="AA23" s="128">
        <v>1.54</v>
      </c>
      <c r="AB23" s="128">
        <v>1.55</v>
      </c>
      <c r="AC23" s="128">
        <v>1.56</v>
      </c>
      <c r="AD23" s="128">
        <v>1.57</v>
      </c>
      <c r="AE23" s="128">
        <v>1.58</v>
      </c>
      <c r="AF23" s="128">
        <v>1.58</v>
      </c>
      <c r="AG23" s="128">
        <v>1.59</v>
      </c>
      <c r="AH23" s="128">
        <v>1.6</v>
      </c>
      <c r="AI23" s="128">
        <v>1.61</v>
      </c>
      <c r="AJ23" s="128">
        <v>1.62</v>
      </c>
      <c r="AK23" s="128">
        <v>1.62</v>
      </c>
      <c r="AL23" s="128">
        <v>1.63</v>
      </c>
      <c r="AM23" s="128">
        <v>1.64</v>
      </c>
      <c r="AN23" s="128">
        <v>1.65</v>
      </c>
      <c r="AO23" s="128">
        <v>1.66</v>
      </c>
      <c r="AP23" s="128">
        <v>1.67</v>
      </c>
      <c r="AQ23" s="128">
        <v>1.68</v>
      </c>
      <c r="AR23" s="128">
        <v>1.68</v>
      </c>
      <c r="AS23" s="128">
        <v>1.69</v>
      </c>
      <c r="AT23" s="128">
        <v>1.7</v>
      </c>
      <c r="AU23" s="128">
        <v>1.71</v>
      </c>
      <c r="AV23" s="128">
        <v>1.72</v>
      </c>
      <c r="AW23" s="128">
        <v>1.72</v>
      </c>
      <c r="AX23" s="128">
        <v>1.73</v>
      </c>
      <c r="AY23" s="128">
        <v>1.74</v>
      </c>
      <c r="AZ23" s="128">
        <v>1.75</v>
      </c>
      <c r="BA23" s="128">
        <v>1.76</v>
      </c>
      <c r="BB23" s="128">
        <v>1.77</v>
      </c>
      <c r="BC23" s="128">
        <v>1.78</v>
      </c>
      <c r="BD23" s="128">
        <v>1.78</v>
      </c>
      <c r="BE23" s="128">
        <v>1.79</v>
      </c>
      <c r="BF23" s="128">
        <v>1.8</v>
      </c>
      <c r="BG23" s="128">
        <v>1.81</v>
      </c>
      <c r="BH23" s="128">
        <v>1.82</v>
      </c>
      <c r="BI23" s="128">
        <v>1.82</v>
      </c>
      <c r="BJ23" s="128">
        <v>1.83</v>
      </c>
      <c r="BK23" s="128">
        <v>1.84</v>
      </c>
      <c r="BL23" s="128">
        <v>1.85</v>
      </c>
      <c r="BM23" s="128">
        <v>1.86</v>
      </c>
      <c r="BN23" s="128">
        <v>1.87</v>
      </c>
      <c r="BO23" s="128">
        <v>1.87</v>
      </c>
      <c r="BP23" s="128">
        <v>1.88</v>
      </c>
      <c r="BQ23" s="128">
        <v>1.89</v>
      </c>
      <c r="BR23" s="128">
        <v>1.9</v>
      </c>
      <c r="BS23" s="128">
        <v>1.91</v>
      </c>
      <c r="BT23" s="128">
        <v>1.92</v>
      </c>
      <c r="BU23" s="128">
        <v>1.92</v>
      </c>
      <c r="BV23" s="128">
        <v>1.93</v>
      </c>
      <c r="BW23" s="128">
        <v>1.94</v>
      </c>
      <c r="BX23" s="128">
        <v>1.95</v>
      </c>
      <c r="BY23" s="128">
        <v>1.96</v>
      </c>
      <c r="BZ23" s="128">
        <v>1.97</v>
      </c>
      <c r="CA23" s="128">
        <v>1.97</v>
      </c>
      <c r="CB23" s="128">
        <v>1.98</v>
      </c>
      <c r="CC23" s="128">
        <v>1.99</v>
      </c>
      <c r="CD23" s="128">
        <v>2</v>
      </c>
      <c r="CE23" s="128">
        <v>2.0099999999999998</v>
      </c>
      <c r="CF23" s="128">
        <v>2.02</v>
      </c>
      <c r="CG23" s="128">
        <v>2.0299999999999998</v>
      </c>
      <c r="CH23" s="128">
        <v>2.0299999999999998</v>
      </c>
      <c r="CI23" s="128">
        <v>2.04</v>
      </c>
      <c r="CJ23" s="128">
        <v>2.0499999999999998</v>
      </c>
      <c r="CK23" s="128">
        <v>2.06</v>
      </c>
      <c r="CL23" s="128">
        <v>2.0699999999999998</v>
      </c>
      <c r="CM23" s="128">
        <v>2.08</v>
      </c>
      <c r="CN23" s="128">
        <v>2.09</v>
      </c>
      <c r="CO23" s="128">
        <v>2.1</v>
      </c>
      <c r="CP23" s="128">
        <v>2.11</v>
      </c>
      <c r="CQ23" s="128">
        <v>2.12</v>
      </c>
      <c r="CR23" s="128">
        <v>2.13</v>
      </c>
      <c r="CS23" s="128">
        <v>2.14</v>
      </c>
      <c r="CT23" s="128">
        <v>2.15</v>
      </c>
      <c r="CU23" s="128">
        <v>2.17</v>
      </c>
      <c r="CV23" s="128">
        <v>2.1800000000000002</v>
      </c>
      <c r="CW23" s="128">
        <v>2.19</v>
      </c>
      <c r="CX23" s="128">
        <v>2.2000000000000002</v>
      </c>
      <c r="CZ23" s="126">
        <f>SUMIF(MatrixF5[[1]:[2]],MatrixF5[[#This Row],[Столбец1]])/MatrixF5[[#This Row],[Столбец1]]</f>
        <v>14.999999999999998</v>
      </c>
      <c r="DA23" s="126">
        <f>SUMIF(MatrixF5[[1]:[2]],MatrixF5[[#This Row],[Столбец1]]+1)/(MatrixF5[[#This Row],[Столбец1]]+1)</f>
        <v>85.999999999999901</v>
      </c>
    </row>
    <row r="24" spans="1:105" ht="21" customHeight="1" x14ac:dyDescent="0.25">
      <c r="A24" s="127">
        <v>1.21</v>
      </c>
      <c r="B24" s="128">
        <v>1.21</v>
      </c>
      <c r="C24" s="128">
        <v>1.23</v>
      </c>
      <c r="D24" s="128">
        <v>1.25</v>
      </c>
      <c r="E24" s="128">
        <v>1.26</v>
      </c>
      <c r="F24" s="128">
        <v>1.28</v>
      </c>
      <c r="G24" s="128">
        <v>1.3</v>
      </c>
      <c r="H24" s="128">
        <v>1.31</v>
      </c>
      <c r="I24" s="128">
        <v>1.33</v>
      </c>
      <c r="J24" s="128">
        <v>1.34</v>
      </c>
      <c r="K24" s="128">
        <v>1.36</v>
      </c>
      <c r="L24" s="128">
        <v>1.37</v>
      </c>
      <c r="M24" s="128">
        <v>1.39</v>
      </c>
      <c r="N24" s="128">
        <v>1.4</v>
      </c>
      <c r="O24" s="128">
        <v>1.42</v>
      </c>
      <c r="P24" s="128">
        <v>1.43</v>
      </c>
      <c r="Q24" s="128">
        <v>1.44</v>
      </c>
      <c r="R24" s="128">
        <v>1.46</v>
      </c>
      <c r="S24" s="128">
        <v>1.47</v>
      </c>
      <c r="T24" s="128">
        <v>1.48</v>
      </c>
      <c r="U24" s="128">
        <v>1.5</v>
      </c>
      <c r="V24" s="128">
        <v>1.51</v>
      </c>
      <c r="W24" s="128">
        <v>1.52</v>
      </c>
      <c r="X24" s="128">
        <v>1.53</v>
      </c>
      <c r="Y24" s="128">
        <v>1.54</v>
      </c>
      <c r="Z24" s="128">
        <v>1.55</v>
      </c>
      <c r="AA24" s="128">
        <v>1.55</v>
      </c>
      <c r="AB24" s="128">
        <v>1.56</v>
      </c>
      <c r="AC24" s="128">
        <v>1.57</v>
      </c>
      <c r="AD24" s="128">
        <v>1.58</v>
      </c>
      <c r="AE24" s="128">
        <v>1.59</v>
      </c>
      <c r="AF24" s="128">
        <v>1.6</v>
      </c>
      <c r="AG24" s="128">
        <v>1.6</v>
      </c>
      <c r="AH24" s="128">
        <v>1.61</v>
      </c>
      <c r="AI24" s="128">
        <v>1.62</v>
      </c>
      <c r="AJ24" s="128">
        <v>1.63</v>
      </c>
      <c r="AK24" s="128">
        <v>1.64</v>
      </c>
      <c r="AL24" s="128">
        <v>1.64</v>
      </c>
      <c r="AM24" s="128">
        <v>1.65</v>
      </c>
      <c r="AN24" s="128">
        <v>1.66</v>
      </c>
      <c r="AO24" s="128">
        <v>1.67</v>
      </c>
      <c r="AP24" s="128">
        <v>1.68</v>
      </c>
      <c r="AQ24" s="128">
        <v>1.69</v>
      </c>
      <c r="AR24" s="128">
        <v>1.69</v>
      </c>
      <c r="AS24" s="128">
        <v>1.7</v>
      </c>
      <c r="AT24" s="128">
        <v>1.71</v>
      </c>
      <c r="AU24" s="128">
        <v>1.72</v>
      </c>
      <c r="AV24" s="128">
        <v>1.73</v>
      </c>
      <c r="AW24" s="128">
        <v>1.74</v>
      </c>
      <c r="AX24" s="128">
        <v>1.74</v>
      </c>
      <c r="AY24" s="128">
        <v>1.75</v>
      </c>
      <c r="AZ24" s="128">
        <v>1.76</v>
      </c>
      <c r="BA24" s="128">
        <v>1.77</v>
      </c>
      <c r="BB24" s="128">
        <v>1.78</v>
      </c>
      <c r="BC24" s="128">
        <v>1.79</v>
      </c>
      <c r="BD24" s="128">
        <v>1.79</v>
      </c>
      <c r="BE24" s="128">
        <v>1.8</v>
      </c>
      <c r="BF24" s="128">
        <v>1.81</v>
      </c>
      <c r="BG24" s="128">
        <v>1.82</v>
      </c>
      <c r="BH24" s="128">
        <v>1.83</v>
      </c>
      <c r="BI24" s="128">
        <v>1.83</v>
      </c>
      <c r="BJ24" s="128">
        <v>1.84</v>
      </c>
      <c r="BK24" s="128">
        <v>1.85</v>
      </c>
      <c r="BL24" s="128">
        <v>1.86</v>
      </c>
      <c r="BM24" s="128">
        <v>1.87</v>
      </c>
      <c r="BN24" s="128">
        <v>1.88</v>
      </c>
      <c r="BO24" s="128">
        <v>1.88</v>
      </c>
      <c r="BP24" s="128">
        <v>1.89</v>
      </c>
      <c r="BQ24" s="128">
        <v>1.9</v>
      </c>
      <c r="BR24" s="128">
        <v>1.91</v>
      </c>
      <c r="BS24" s="128">
        <v>1.92</v>
      </c>
      <c r="BT24" s="128">
        <v>1.93</v>
      </c>
      <c r="BU24" s="128">
        <v>1.93</v>
      </c>
      <c r="BV24" s="128">
        <v>1.94</v>
      </c>
      <c r="BW24" s="128">
        <v>1.95</v>
      </c>
      <c r="BX24" s="128">
        <v>1.96</v>
      </c>
      <c r="BY24" s="128">
        <v>1.97</v>
      </c>
      <c r="BZ24" s="128">
        <v>1.98</v>
      </c>
      <c r="CA24" s="128">
        <v>1.98</v>
      </c>
      <c r="CB24" s="128">
        <v>1.99</v>
      </c>
      <c r="CC24" s="128">
        <v>2</v>
      </c>
      <c r="CD24" s="128">
        <v>2.0099999999999998</v>
      </c>
      <c r="CE24" s="128">
        <v>2.02</v>
      </c>
      <c r="CF24" s="128">
        <v>2.0299999999999998</v>
      </c>
      <c r="CG24" s="128">
        <v>2.0299999999999998</v>
      </c>
      <c r="CH24" s="128">
        <v>2.04</v>
      </c>
      <c r="CI24" s="128">
        <v>2.0499999999999998</v>
      </c>
      <c r="CJ24" s="128">
        <v>2.06</v>
      </c>
      <c r="CK24" s="128">
        <v>2.0699999999999998</v>
      </c>
      <c r="CL24" s="128">
        <v>2.08</v>
      </c>
      <c r="CM24" s="128">
        <v>2.09</v>
      </c>
      <c r="CN24" s="128">
        <v>2.1</v>
      </c>
      <c r="CO24" s="128">
        <v>2.11</v>
      </c>
      <c r="CP24" s="128">
        <v>2.12</v>
      </c>
      <c r="CQ24" s="128">
        <v>2.13</v>
      </c>
      <c r="CR24" s="128">
        <v>2.14</v>
      </c>
      <c r="CS24" s="128">
        <v>2.15</v>
      </c>
      <c r="CT24" s="128">
        <v>2.16</v>
      </c>
      <c r="CU24" s="128">
        <v>2.17</v>
      </c>
      <c r="CV24" s="128">
        <v>2.19</v>
      </c>
      <c r="CW24" s="128">
        <v>2.2000000000000002</v>
      </c>
      <c r="CX24" s="128">
        <v>2.21</v>
      </c>
      <c r="CZ24" s="126">
        <f>SUMIF(MatrixF5[[1]:[2]],MatrixF5[[#This Row],[Столбец1]])/MatrixF5[[#This Row],[Столбец1]]</f>
        <v>18.000000000000007</v>
      </c>
      <c r="DA24" s="126">
        <f>SUMIF(MatrixF5[[1]:[2]],MatrixF5[[#This Row],[Столбец1]]+1)/(MatrixF5[[#This Row],[Столбец1]]+1)</f>
        <v>87.000000000000028</v>
      </c>
    </row>
    <row r="25" spans="1:105" ht="21" customHeight="1" x14ac:dyDescent="0.25">
      <c r="A25" s="127">
        <v>1.22</v>
      </c>
      <c r="B25" s="128">
        <v>1.22</v>
      </c>
      <c r="C25" s="128">
        <v>1.24</v>
      </c>
      <c r="D25" s="128">
        <v>1.25</v>
      </c>
      <c r="E25" s="128">
        <v>1.27</v>
      </c>
      <c r="F25" s="128">
        <v>1.29</v>
      </c>
      <c r="G25" s="128">
        <v>1.3</v>
      </c>
      <c r="H25" s="128">
        <v>1.32</v>
      </c>
      <c r="I25" s="128">
        <v>1.34</v>
      </c>
      <c r="J25" s="128">
        <v>1.35</v>
      </c>
      <c r="K25" s="128">
        <v>1.37</v>
      </c>
      <c r="L25" s="128">
        <v>1.38</v>
      </c>
      <c r="M25" s="128">
        <v>1.4</v>
      </c>
      <c r="N25" s="128">
        <v>1.41</v>
      </c>
      <c r="O25" s="128">
        <v>1.42</v>
      </c>
      <c r="P25" s="128">
        <v>1.44</v>
      </c>
      <c r="Q25" s="128">
        <v>1.45</v>
      </c>
      <c r="R25" s="128">
        <v>1.47</v>
      </c>
      <c r="S25" s="128">
        <v>1.48</v>
      </c>
      <c r="T25" s="128">
        <v>1.49</v>
      </c>
      <c r="U25" s="128">
        <v>1.5</v>
      </c>
      <c r="V25" s="128">
        <v>1.52</v>
      </c>
      <c r="W25" s="128">
        <v>1.53</v>
      </c>
      <c r="X25" s="128">
        <v>1.54</v>
      </c>
      <c r="Y25" s="128">
        <v>1.55</v>
      </c>
      <c r="Z25" s="128">
        <v>1.56</v>
      </c>
      <c r="AA25" s="128">
        <v>1.57</v>
      </c>
      <c r="AB25" s="128">
        <v>1.57</v>
      </c>
      <c r="AC25" s="128">
        <v>1.58</v>
      </c>
      <c r="AD25" s="128">
        <v>1.59</v>
      </c>
      <c r="AE25" s="128">
        <v>1.6</v>
      </c>
      <c r="AF25" s="128">
        <v>1.61</v>
      </c>
      <c r="AG25" s="128">
        <v>1.61</v>
      </c>
      <c r="AH25" s="128">
        <v>1.62</v>
      </c>
      <c r="AI25" s="128">
        <v>1.63</v>
      </c>
      <c r="AJ25" s="128">
        <v>1.64</v>
      </c>
      <c r="AK25" s="128">
        <v>1.65</v>
      </c>
      <c r="AL25" s="128">
        <v>1.66</v>
      </c>
      <c r="AM25" s="128">
        <v>1.66</v>
      </c>
      <c r="AN25" s="128">
        <v>1.67</v>
      </c>
      <c r="AO25" s="128">
        <v>1.68</v>
      </c>
      <c r="AP25" s="128">
        <v>1.69</v>
      </c>
      <c r="AQ25" s="128">
        <v>1.7</v>
      </c>
      <c r="AR25" s="128">
        <v>1.7</v>
      </c>
      <c r="AS25" s="128">
        <v>1.71</v>
      </c>
      <c r="AT25" s="128">
        <v>1.72</v>
      </c>
      <c r="AU25" s="128">
        <v>1.73</v>
      </c>
      <c r="AV25" s="128">
        <v>1.74</v>
      </c>
      <c r="AW25" s="128">
        <v>1.75</v>
      </c>
      <c r="AX25" s="128">
        <v>1.75</v>
      </c>
      <c r="AY25" s="128">
        <v>1.76</v>
      </c>
      <c r="AZ25" s="128">
        <v>1.77</v>
      </c>
      <c r="BA25" s="128">
        <v>1.78</v>
      </c>
      <c r="BB25" s="128">
        <v>1.79</v>
      </c>
      <c r="BC25" s="128">
        <v>1.8</v>
      </c>
      <c r="BD25" s="128">
        <v>1.8</v>
      </c>
      <c r="BE25" s="128">
        <v>1.81</v>
      </c>
      <c r="BF25" s="128">
        <v>1.82</v>
      </c>
      <c r="BG25" s="128">
        <v>1.83</v>
      </c>
      <c r="BH25" s="128">
        <v>1.84</v>
      </c>
      <c r="BI25" s="128">
        <v>1.84</v>
      </c>
      <c r="BJ25" s="128">
        <v>1.85</v>
      </c>
      <c r="BK25" s="128">
        <v>1.86</v>
      </c>
      <c r="BL25" s="128">
        <v>1.87</v>
      </c>
      <c r="BM25" s="128">
        <v>1.88</v>
      </c>
      <c r="BN25" s="128">
        <v>1.89</v>
      </c>
      <c r="BO25" s="128">
        <v>1.89</v>
      </c>
      <c r="BP25" s="128">
        <v>1.9</v>
      </c>
      <c r="BQ25" s="128">
        <v>1.91</v>
      </c>
      <c r="BR25" s="128">
        <v>1.92</v>
      </c>
      <c r="BS25" s="128">
        <v>1.93</v>
      </c>
      <c r="BT25" s="128">
        <v>1.93</v>
      </c>
      <c r="BU25" s="128">
        <v>1.94</v>
      </c>
      <c r="BV25" s="128">
        <v>1.95</v>
      </c>
      <c r="BW25" s="128">
        <v>1.96</v>
      </c>
      <c r="BX25" s="128">
        <v>1.97</v>
      </c>
      <c r="BY25" s="128">
        <v>1.98</v>
      </c>
      <c r="BZ25" s="128">
        <v>1.98</v>
      </c>
      <c r="CA25" s="128">
        <v>1.99</v>
      </c>
      <c r="CB25" s="128">
        <v>2</v>
      </c>
      <c r="CC25" s="128">
        <v>2.0099999999999998</v>
      </c>
      <c r="CD25" s="128">
        <v>2.02</v>
      </c>
      <c r="CE25" s="128">
        <v>2.0299999999999998</v>
      </c>
      <c r="CF25" s="128">
        <v>2.0299999999999998</v>
      </c>
      <c r="CG25" s="128">
        <v>2.04</v>
      </c>
      <c r="CH25" s="128">
        <v>2.0499999999999998</v>
      </c>
      <c r="CI25" s="128">
        <v>2.06</v>
      </c>
      <c r="CJ25" s="128">
        <v>2.0699999999999998</v>
      </c>
      <c r="CK25" s="128">
        <v>2.08</v>
      </c>
      <c r="CL25" s="128">
        <v>2.09</v>
      </c>
      <c r="CM25" s="128">
        <v>2.1</v>
      </c>
      <c r="CN25" s="128">
        <v>2.11</v>
      </c>
      <c r="CO25" s="128">
        <v>2.12</v>
      </c>
      <c r="CP25" s="128">
        <v>2.13</v>
      </c>
      <c r="CQ25" s="128">
        <v>2.14</v>
      </c>
      <c r="CR25" s="128">
        <v>2.15</v>
      </c>
      <c r="CS25" s="128">
        <v>2.16</v>
      </c>
      <c r="CT25" s="128">
        <v>2.17</v>
      </c>
      <c r="CU25" s="128">
        <v>2.1800000000000002</v>
      </c>
      <c r="CV25" s="128">
        <v>2.2000000000000002</v>
      </c>
      <c r="CW25" s="128">
        <v>2.21</v>
      </c>
      <c r="CX25" s="128">
        <v>2.2200000000000002</v>
      </c>
      <c r="CZ25" s="126">
        <f>SUMIF(MatrixF5[[1]:[2]],MatrixF5[[#This Row],[Столбец1]])/MatrixF5[[#This Row],[Столбец1]]</f>
        <v>17</v>
      </c>
      <c r="DA25" s="126">
        <f>SUMIF(MatrixF5[[1]:[2]],MatrixF5[[#This Row],[Столбец1]]+1)/(MatrixF5[[#This Row],[Столбец1]]+1)</f>
        <v>80.999999999999986</v>
      </c>
    </row>
    <row r="26" spans="1:105" ht="21" customHeight="1" x14ac:dyDescent="0.25">
      <c r="A26" s="127">
        <v>1.23</v>
      </c>
      <c r="B26" s="128">
        <v>1.23</v>
      </c>
      <c r="C26" s="128">
        <v>1.25</v>
      </c>
      <c r="D26" s="128">
        <v>1.26</v>
      </c>
      <c r="E26" s="128">
        <v>1.28</v>
      </c>
      <c r="F26" s="128">
        <v>1.3</v>
      </c>
      <c r="G26" s="128">
        <v>1.31</v>
      </c>
      <c r="H26" s="128">
        <v>1.33</v>
      </c>
      <c r="I26" s="128">
        <v>1.35</v>
      </c>
      <c r="J26" s="128">
        <v>1.36</v>
      </c>
      <c r="K26" s="128">
        <v>1.38</v>
      </c>
      <c r="L26" s="128">
        <v>1.39</v>
      </c>
      <c r="M26" s="128">
        <v>1.41</v>
      </c>
      <c r="N26" s="128">
        <v>1.42</v>
      </c>
      <c r="O26" s="128">
        <v>1.43</v>
      </c>
      <c r="P26" s="128">
        <v>1.45</v>
      </c>
      <c r="Q26" s="128">
        <v>1.46</v>
      </c>
      <c r="R26" s="128">
        <v>1.47</v>
      </c>
      <c r="S26" s="128">
        <v>1.49</v>
      </c>
      <c r="T26" s="128">
        <v>1.5</v>
      </c>
      <c r="U26" s="128">
        <v>1.51</v>
      </c>
      <c r="V26" s="128">
        <v>1.52</v>
      </c>
      <c r="W26" s="128">
        <v>1.54</v>
      </c>
      <c r="X26" s="128">
        <v>1.55</v>
      </c>
      <c r="Y26" s="128">
        <v>1.56</v>
      </c>
      <c r="Z26" s="128">
        <v>1.57</v>
      </c>
      <c r="AA26" s="128">
        <v>1.58</v>
      </c>
      <c r="AB26" s="128">
        <v>1.59</v>
      </c>
      <c r="AC26" s="128">
        <v>1.59</v>
      </c>
      <c r="AD26" s="128">
        <v>1.6</v>
      </c>
      <c r="AE26" s="128">
        <v>1.61</v>
      </c>
      <c r="AF26" s="128">
        <v>1.62</v>
      </c>
      <c r="AG26" s="128">
        <v>1.63</v>
      </c>
      <c r="AH26" s="128">
        <v>1.63</v>
      </c>
      <c r="AI26" s="128">
        <v>1.64</v>
      </c>
      <c r="AJ26" s="128">
        <v>1.65</v>
      </c>
      <c r="AK26" s="128">
        <v>1.66</v>
      </c>
      <c r="AL26" s="128">
        <v>1.67</v>
      </c>
      <c r="AM26" s="128">
        <v>1.67</v>
      </c>
      <c r="AN26" s="128">
        <v>1.68</v>
      </c>
      <c r="AO26" s="128">
        <v>1.69</v>
      </c>
      <c r="AP26" s="128">
        <v>1.7</v>
      </c>
      <c r="AQ26" s="128">
        <v>1.71</v>
      </c>
      <c r="AR26" s="128">
        <v>1.72</v>
      </c>
      <c r="AS26" s="128">
        <v>1.72</v>
      </c>
      <c r="AT26" s="128">
        <v>1.73</v>
      </c>
      <c r="AU26" s="128">
        <v>1.74</v>
      </c>
      <c r="AV26" s="128">
        <v>1.75</v>
      </c>
      <c r="AW26" s="128">
        <v>1.76</v>
      </c>
      <c r="AX26" s="128">
        <v>1.76</v>
      </c>
      <c r="AY26" s="128">
        <v>1.77</v>
      </c>
      <c r="AZ26" s="128">
        <v>1.78</v>
      </c>
      <c r="BA26" s="128">
        <v>1.79</v>
      </c>
      <c r="BB26" s="128">
        <v>1.8</v>
      </c>
      <c r="BC26" s="128">
        <v>1.8</v>
      </c>
      <c r="BD26" s="128">
        <v>1.81</v>
      </c>
      <c r="BE26" s="128">
        <v>1.82</v>
      </c>
      <c r="BF26" s="128">
        <v>1.83</v>
      </c>
      <c r="BG26" s="128">
        <v>1.84</v>
      </c>
      <c r="BH26" s="128">
        <v>1.85</v>
      </c>
      <c r="BI26" s="128">
        <v>1.85</v>
      </c>
      <c r="BJ26" s="128">
        <v>1.86</v>
      </c>
      <c r="BK26" s="128">
        <v>1.87</v>
      </c>
      <c r="BL26" s="128">
        <v>1.88</v>
      </c>
      <c r="BM26" s="128">
        <v>1.89</v>
      </c>
      <c r="BN26" s="128">
        <v>1.89</v>
      </c>
      <c r="BO26" s="128">
        <v>1.9</v>
      </c>
      <c r="BP26" s="128">
        <v>1.91</v>
      </c>
      <c r="BQ26" s="128">
        <v>1.92</v>
      </c>
      <c r="BR26" s="128">
        <v>1.93</v>
      </c>
      <c r="BS26" s="128">
        <v>1.93</v>
      </c>
      <c r="BT26" s="128">
        <v>1.94</v>
      </c>
      <c r="BU26" s="128">
        <v>1.95</v>
      </c>
      <c r="BV26" s="128">
        <v>1.96</v>
      </c>
      <c r="BW26" s="128">
        <v>1.97</v>
      </c>
      <c r="BX26" s="128">
        <v>1.98</v>
      </c>
      <c r="BY26" s="128">
        <v>1.98</v>
      </c>
      <c r="BZ26" s="128">
        <v>1.99</v>
      </c>
      <c r="CA26" s="128">
        <v>2</v>
      </c>
      <c r="CB26" s="128">
        <v>2.0099999999999998</v>
      </c>
      <c r="CC26" s="128">
        <v>2.02</v>
      </c>
      <c r="CD26" s="128">
        <v>2.0299999999999998</v>
      </c>
      <c r="CE26" s="128">
        <v>2.0299999999999998</v>
      </c>
      <c r="CF26" s="128">
        <v>2.04</v>
      </c>
      <c r="CG26" s="128">
        <v>2.0499999999999998</v>
      </c>
      <c r="CH26" s="128">
        <v>2.06</v>
      </c>
      <c r="CI26" s="128">
        <v>2.0699999999999998</v>
      </c>
      <c r="CJ26" s="128">
        <v>2.08</v>
      </c>
      <c r="CK26" s="128">
        <v>2.09</v>
      </c>
      <c r="CL26" s="128">
        <v>2.1</v>
      </c>
      <c r="CM26" s="128">
        <v>2.11</v>
      </c>
      <c r="CN26" s="128">
        <v>2.12</v>
      </c>
      <c r="CO26" s="128">
        <v>2.13</v>
      </c>
      <c r="CP26" s="128">
        <v>2.14</v>
      </c>
      <c r="CQ26" s="128">
        <v>2.15</v>
      </c>
      <c r="CR26" s="128">
        <v>2.16</v>
      </c>
      <c r="CS26" s="128">
        <v>2.17</v>
      </c>
      <c r="CT26" s="128">
        <v>2.1800000000000002</v>
      </c>
      <c r="CU26" s="128">
        <v>2.19</v>
      </c>
      <c r="CV26" s="128">
        <v>2.21</v>
      </c>
      <c r="CW26" s="128">
        <v>2.2200000000000002</v>
      </c>
      <c r="CX26" s="128">
        <v>2.23</v>
      </c>
      <c r="CZ26" s="126">
        <f>SUMIF(MatrixF5[[1]:[2]],MatrixF5[[#This Row],[Столбец1]])/MatrixF5[[#This Row],[Столбец1]]</f>
        <v>18.000000000000004</v>
      </c>
      <c r="DA26" s="126">
        <f>SUMIF(MatrixF5[[1]:[2]],MatrixF5[[#This Row],[Столбец1]]+1)/(MatrixF5[[#This Row],[Столбец1]]+1)</f>
        <v>83.999999999999915</v>
      </c>
    </row>
    <row r="27" spans="1:105" ht="21" customHeight="1" x14ac:dyDescent="0.25">
      <c r="A27" s="127">
        <v>1.24</v>
      </c>
      <c r="B27" s="128">
        <v>1.24</v>
      </c>
      <c r="C27" s="128">
        <v>1.26</v>
      </c>
      <c r="D27" s="128">
        <v>1.27</v>
      </c>
      <c r="E27" s="128">
        <v>1.29</v>
      </c>
      <c r="F27" s="128">
        <v>1.31</v>
      </c>
      <c r="G27" s="128">
        <v>1.32</v>
      </c>
      <c r="H27" s="128">
        <v>1.34</v>
      </c>
      <c r="I27" s="128">
        <v>1.36</v>
      </c>
      <c r="J27" s="128">
        <v>1.37</v>
      </c>
      <c r="K27" s="128">
        <v>1.39</v>
      </c>
      <c r="L27" s="128">
        <v>1.4</v>
      </c>
      <c r="M27" s="128">
        <v>1.41</v>
      </c>
      <c r="N27" s="128">
        <v>1.43</v>
      </c>
      <c r="O27" s="128">
        <v>1.44</v>
      </c>
      <c r="P27" s="128">
        <v>1.46</v>
      </c>
      <c r="Q27" s="128">
        <v>1.47</v>
      </c>
      <c r="R27" s="128">
        <v>1.48</v>
      </c>
      <c r="S27" s="128">
        <v>1.5</v>
      </c>
      <c r="T27" s="128">
        <v>1.51</v>
      </c>
      <c r="U27" s="128">
        <v>1.52</v>
      </c>
      <c r="V27" s="128">
        <v>1.53</v>
      </c>
      <c r="W27" s="128">
        <v>1.55</v>
      </c>
      <c r="X27" s="128">
        <v>1.56</v>
      </c>
      <c r="Y27" s="128">
        <v>1.57</v>
      </c>
      <c r="Z27" s="128">
        <v>1.58</v>
      </c>
      <c r="AA27" s="128">
        <v>1.59</v>
      </c>
      <c r="AB27" s="128">
        <v>1.6</v>
      </c>
      <c r="AC27" s="128">
        <v>1.6</v>
      </c>
      <c r="AD27" s="128">
        <v>1.61</v>
      </c>
      <c r="AE27" s="128">
        <v>1.62</v>
      </c>
      <c r="AF27" s="128">
        <v>1.63</v>
      </c>
      <c r="AG27" s="128">
        <v>1.64</v>
      </c>
      <c r="AH27" s="128">
        <v>1.65</v>
      </c>
      <c r="AI27" s="128">
        <v>1.65</v>
      </c>
      <c r="AJ27" s="128">
        <v>1.66</v>
      </c>
      <c r="AK27" s="128">
        <v>1.67</v>
      </c>
      <c r="AL27" s="128">
        <v>1.68</v>
      </c>
      <c r="AM27" s="128">
        <v>1.69</v>
      </c>
      <c r="AN27" s="128">
        <v>1.69</v>
      </c>
      <c r="AO27" s="128">
        <v>1.7</v>
      </c>
      <c r="AP27" s="128">
        <v>1.71</v>
      </c>
      <c r="AQ27" s="128">
        <v>1.72</v>
      </c>
      <c r="AR27" s="128">
        <v>1.73</v>
      </c>
      <c r="AS27" s="128">
        <v>1.73</v>
      </c>
      <c r="AT27" s="128">
        <v>1.74</v>
      </c>
      <c r="AU27" s="128">
        <v>1.75</v>
      </c>
      <c r="AV27" s="128">
        <v>1.76</v>
      </c>
      <c r="AW27" s="128">
        <v>1.77</v>
      </c>
      <c r="AX27" s="128">
        <v>1.77</v>
      </c>
      <c r="AY27" s="128">
        <v>1.78</v>
      </c>
      <c r="AZ27" s="128">
        <v>1.79</v>
      </c>
      <c r="BA27" s="128">
        <v>1.8</v>
      </c>
      <c r="BB27" s="128">
        <v>1.81</v>
      </c>
      <c r="BC27" s="128">
        <v>1.81</v>
      </c>
      <c r="BD27" s="128">
        <v>1.82</v>
      </c>
      <c r="BE27" s="128">
        <v>1.83</v>
      </c>
      <c r="BF27" s="128">
        <v>1.84</v>
      </c>
      <c r="BG27" s="128">
        <v>1.85</v>
      </c>
      <c r="BH27" s="128">
        <v>1.85</v>
      </c>
      <c r="BI27" s="128">
        <v>1.86</v>
      </c>
      <c r="BJ27" s="128">
        <v>1.87</v>
      </c>
      <c r="BK27" s="128">
        <v>1.88</v>
      </c>
      <c r="BL27" s="128">
        <v>1.89</v>
      </c>
      <c r="BM27" s="128">
        <v>1.9</v>
      </c>
      <c r="BN27" s="128">
        <v>1.9</v>
      </c>
      <c r="BO27" s="128">
        <v>1.91</v>
      </c>
      <c r="BP27" s="128">
        <v>1.92</v>
      </c>
      <c r="BQ27" s="128">
        <v>1.93</v>
      </c>
      <c r="BR27" s="128">
        <v>1.94</v>
      </c>
      <c r="BS27" s="128">
        <v>1.94</v>
      </c>
      <c r="BT27" s="128">
        <v>1.95</v>
      </c>
      <c r="BU27" s="128">
        <v>1.96</v>
      </c>
      <c r="BV27" s="128">
        <v>1.97</v>
      </c>
      <c r="BW27" s="128">
        <v>1.98</v>
      </c>
      <c r="BX27" s="128">
        <v>1.98</v>
      </c>
      <c r="BY27" s="128">
        <v>1.99</v>
      </c>
      <c r="BZ27" s="128">
        <v>2</v>
      </c>
      <c r="CA27" s="128">
        <v>2.0099999999999998</v>
      </c>
      <c r="CB27" s="128">
        <v>2.02</v>
      </c>
      <c r="CC27" s="128">
        <v>2.02</v>
      </c>
      <c r="CD27" s="128">
        <v>2.0299999999999998</v>
      </c>
      <c r="CE27" s="128">
        <v>2.04</v>
      </c>
      <c r="CF27" s="128">
        <v>2.0499999999999998</v>
      </c>
      <c r="CG27" s="128">
        <v>2.06</v>
      </c>
      <c r="CH27" s="128">
        <v>2.0699999999999998</v>
      </c>
      <c r="CI27" s="128">
        <v>2.08</v>
      </c>
      <c r="CJ27" s="128">
        <v>2.09</v>
      </c>
      <c r="CK27" s="128">
        <v>2.1</v>
      </c>
      <c r="CL27" s="128">
        <v>2.11</v>
      </c>
      <c r="CM27" s="128">
        <v>2.12</v>
      </c>
      <c r="CN27" s="128">
        <v>2.13</v>
      </c>
      <c r="CO27" s="128">
        <v>2.14</v>
      </c>
      <c r="CP27" s="128">
        <v>2.15</v>
      </c>
      <c r="CQ27" s="128">
        <v>2.16</v>
      </c>
      <c r="CR27" s="128">
        <v>2.17</v>
      </c>
      <c r="CS27" s="128">
        <v>2.1800000000000002</v>
      </c>
      <c r="CT27" s="128">
        <v>2.19</v>
      </c>
      <c r="CU27" s="128">
        <v>2.2000000000000002</v>
      </c>
      <c r="CV27" s="128">
        <v>2.2200000000000002</v>
      </c>
      <c r="CW27" s="128">
        <v>2.23</v>
      </c>
      <c r="CX27" s="128">
        <v>2.2400000000000002</v>
      </c>
      <c r="CZ27" s="126">
        <f>SUMIF(MatrixF5[[1]:[2]],MatrixF5[[#This Row],[Столбец1]])/MatrixF5[[#This Row],[Столбец1]]</f>
        <v>17.999999999999993</v>
      </c>
      <c r="DA27" s="126">
        <f>SUMIF(MatrixF5[[1]:[2]],MatrixF5[[#This Row],[Столбец1]]+1)/(MatrixF5[[#This Row],[Столбец1]]+1)</f>
        <v>77.000000000000028</v>
      </c>
    </row>
    <row r="28" spans="1:105" ht="21" customHeight="1" x14ac:dyDescent="0.25">
      <c r="A28" s="127">
        <v>1.25</v>
      </c>
      <c r="B28" s="128">
        <v>1.25</v>
      </c>
      <c r="C28" s="128">
        <v>1.27</v>
      </c>
      <c r="D28" s="128">
        <v>1.28</v>
      </c>
      <c r="E28" s="128">
        <v>1.3</v>
      </c>
      <c r="F28" s="128">
        <v>1.32</v>
      </c>
      <c r="G28" s="128">
        <v>1.33</v>
      </c>
      <c r="H28" s="128">
        <v>1.35</v>
      </c>
      <c r="I28" s="128">
        <v>1.36</v>
      </c>
      <c r="J28" s="128">
        <v>1.38</v>
      </c>
      <c r="K28" s="128">
        <v>1.39</v>
      </c>
      <c r="L28" s="128">
        <v>1.41</v>
      </c>
      <c r="M28" s="128">
        <v>1.42</v>
      </c>
      <c r="N28" s="128">
        <v>1.44</v>
      </c>
      <c r="O28" s="128">
        <v>1.45</v>
      </c>
      <c r="P28" s="128">
        <v>1.46</v>
      </c>
      <c r="Q28" s="128">
        <v>1.48</v>
      </c>
      <c r="R28" s="128">
        <v>1.49</v>
      </c>
      <c r="S28" s="128">
        <v>1.5</v>
      </c>
      <c r="T28" s="128">
        <v>1.52</v>
      </c>
      <c r="U28" s="128">
        <v>1.53</v>
      </c>
      <c r="V28" s="128">
        <v>1.54</v>
      </c>
      <c r="W28" s="128">
        <v>1.55</v>
      </c>
      <c r="X28" s="128">
        <v>1.57</v>
      </c>
      <c r="Y28" s="128">
        <v>1.58</v>
      </c>
      <c r="Z28" s="128">
        <v>1.59</v>
      </c>
      <c r="AA28" s="128">
        <v>1.6</v>
      </c>
      <c r="AB28" s="128">
        <v>1.61</v>
      </c>
      <c r="AC28" s="128">
        <v>1.62</v>
      </c>
      <c r="AD28" s="128">
        <v>1.62</v>
      </c>
      <c r="AE28" s="128">
        <v>1.63</v>
      </c>
      <c r="AF28" s="128">
        <v>1.64</v>
      </c>
      <c r="AG28" s="128">
        <v>1.65</v>
      </c>
      <c r="AH28" s="128">
        <v>1.66</v>
      </c>
      <c r="AI28" s="128">
        <v>1.66</v>
      </c>
      <c r="AJ28" s="128">
        <v>1.67</v>
      </c>
      <c r="AK28" s="128">
        <v>1.68</v>
      </c>
      <c r="AL28" s="128">
        <v>1.69</v>
      </c>
      <c r="AM28" s="128">
        <v>1.7</v>
      </c>
      <c r="AN28" s="128">
        <v>1.7</v>
      </c>
      <c r="AO28" s="128">
        <v>1.71</v>
      </c>
      <c r="AP28" s="128">
        <v>1.72</v>
      </c>
      <c r="AQ28" s="128">
        <v>1.73</v>
      </c>
      <c r="AR28" s="128">
        <v>1.74</v>
      </c>
      <c r="AS28" s="128">
        <v>1.74</v>
      </c>
      <c r="AT28" s="128">
        <v>1.75</v>
      </c>
      <c r="AU28" s="128">
        <v>1.76</v>
      </c>
      <c r="AV28" s="128">
        <v>1.77</v>
      </c>
      <c r="AW28" s="128">
        <v>1.78</v>
      </c>
      <c r="AX28" s="128">
        <v>1.78</v>
      </c>
      <c r="AY28" s="128">
        <v>1.79</v>
      </c>
      <c r="AZ28" s="128">
        <v>1.8</v>
      </c>
      <c r="BA28" s="128">
        <v>1.81</v>
      </c>
      <c r="BB28" s="128">
        <v>1.82</v>
      </c>
      <c r="BC28" s="128">
        <v>1.82</v>
      </c>
      <c r="BD28" s="128">
        <v>1.83</v>
      </c>
      <c r="BE28" s="128">
        <v>1.84</v>
      </c>
      <c r="BF28" s="128">
        <v>1.85</v>
      </c>
      <c r="BG28" s="128">
        <v>1.86</v>
      </c>
      <c r="BH28" s="128">
        <v>1.86</v>
      </c>
      <c r="BI28" s="128">
        <v>1.87</v>
      </c>
      <c r="BJ28" s="128">
        <v>1.88</v>
      </c>
      <c r="BK28" s="128">
        <v>1.89</v>
      </c>
      <c r="BL28" s="128">
        <v>1.9</v>
      </c>
      <c r="BM28" s="128">
        <v>1.9</v>
      </c>
      <c r="BN28" s="128">
        <v>1.91</v>
      </c>
      <c r="BO28" s="128">
        <v>1.92</v>
      </c>
      <c r="BP28" s="128">
        <v>1.93</v>
      </c>
      <c r="BQ28" s="128">
        <v>1.94</v>
      </c>
      <c r="BR28" s="128">
        <v>1.94</v>
      </c>
      <c r="BS28" s="128">
        <v>1.95</v>
      </c>
      <c r="BT28" s="128">
        <v>1.96</v>
      </c>
      <c r="BU28" s="128">
        <v>1.97</v>
      </c>
      <c r="BV28" s="128">
        <v>1.98</v>
      </c>
      <c r="BW28" s="128">
        <v>1.98</v>
      </c>
      <c r="BX28" s="128">
        <v>1.99</v>
      </c>
      <c r="BY28" s="128">
        <v>2</v>
      </c>
      <c r="BZ28" s="128">
        <v>2.0099999999999998</v>
      </c>
      <c r="CA28" s="128">
        <v>2.02</v>
      </c>
      <c r="CB28" s="128">
        <v>2.02</v>
      </c>
      <c r="CC28" s="128">
        <v>2.0299999999999998</v>
      </c>
      <c r="CD28" s="128">
        <v>2.04</v>
      </c>
      <c r="CE28" s="128">
        <v>2.0499999999999998</v>
      </c>
      <c r="CF28" s="128">
        <v>2.06</v>
      </c>
      <c r="CG28" s="128">
        <v>2.0699999999999998</v>
      </c>
      <c r="CH28" s="128">
        <v>2.08</v>
      </c>
      <c r="CI28" s="128">
        <v>2.09</v>
      </c>
      <c r="CJ28" s="128">
        <v>2.1</v>
      </c>
      <c r="CK28" s="128">
        <v>2.11</v>
      </c>
      <c r="CL28" s="128">
        <v>2.12</v>
      </c>
      <c r="CM28" s="128">
        <v>2.13</v>
      </c>
      <c r="CN28" s="128">
        <v>2.14</v>
      </c>
      <c r="CO28" s="128">
        <v>2.15</v>
      </c>
      <c r="CP28" s="128">
        <v>2.16</v>
      </c>
      <c r="CQ28" s="128">
        <v>2.17</v>
      </c>
      <c r="CR28" s="128">
        <v>2.1800000000000002</v>
      </c>
      <c r="CS28" s="128">
        <v>2.19</v>
      </c>
      <c r="CT28" s="128">
        <v>2.2000000000000002</v>
      </c>
      <c r="CU28" s="128">
        <v>2.21</v>
      </c>
      <c r="CV28" s="128">
        <v>2.23</v>
      </c>
      <c r="CW28" s="128">
        <v>2.2400000000000002</v>
      </c>
      <c r="CX28" s="128">
        <v>2.25</v>
      </c>
      <c r="CZ28" s="126">
        <f>SUMIF(MatrixF5[[1]:[2]],MatrixF5[[#This Row],[Столбец1]])/MatrixF5[[#This Row],[Столбец1]]</f>
        <v>23</v>
      </c>
      <c r="DA28" s="126">
        <f>SUMIF(MatrixF5[[1]:[2]],MatrixF5[[#This Row],[Столбец1]]+1)/(MatrixF5[[#This Row],[Столбец1]]+1)</f>
        <v>84</v>
      </c>
    </row>
    <row r="29" spans="1:105" ht="21" customHeight="1" x14ac:dyDescent="0.25">
      <c r="A29" s="127">
        <v>1.26</v>
      </c>
      <c r="B29" s="128">
        <v>1.26</v>
      </c>
      <c r="C29" s="128">
        <v>1.28</v>
      </c>
      <c r="D29" s="128">
        <v>1.29</v>
      </c>
      <c r="E29" s="128">
        <v>1.31</v>
      </c>
      <c r="F29" s="128">
        <v>1.33</v>
      </c>
      <c r="G29" s="128">
        <v>1.34</v>
      </c>
      <c r="H29" s="128">
        <v>1.36</v>
      </c>
      <c r="I29" s="128">
        <v>1.37</v>
      </c>
      <c r="J29" s="128">
        <v>1.39</v>
      </c>
      <c r="K29" s="128">
        <v>1.4</v>
      </c>
      <c r="L29" s="128">
        <v>1.42</v>
      </c>
      <c r="M29" s="128">
        <v>1.43</v>
      </c>
      <c r="N29" s="128">
        <v>1.45</v>
      </c>
      <c r="O29" s="128">
        <v>1.46</v>
      </c>
      <c r="P29" s="128">
        <v>1.47</v>
      </c>
      <c r="Q29" s="128">
        <v>1.49</v>
      </c>
      <c r="R29" s="128">
        <v>1.5</v>
      </c>
      <c r="S29" s="128">
        <v>1.51</v>
      </c>
      <c r="T29" s="128">
        <v>1.53</v>
      </c>
      <c r="U29" s="128">
        <v>1.54</v>
      </c>
      <c r="V29" s="128">
        <v>1.55</v>
      </c>
      <c r="W29" s="128">
        <v>1.56</v>
      </c>
      <c r="X29" s="128">
        <v>1.57</v>
      </c>
      <c r="Y29" s="128">
        <v>1.59</v>
      </c>
      <c r="Z29" s="128">
        <v>1.6</v>
      </c>
      <c r="AA29" s="128">
        <v>1.61</v>
      </c>
      <c r="AB29" s="128">
        <v>1.62</v>
      </c>
      <c r="AC29" s="128">
        <v>1.63</v>
      </c>
      <c r="AD29" s="128">
        <v>1.63</v>
      </c>
      <c r="AE29" s="128">
        <v>1.64</v>
      </c>
      <c r="AF29" s="128">
        <v>1.65</v>
      </c>
      <c r="AG29" s="128">
        <v>1.66</v>
      </c>
      <c r="AH29" s="128">
        <v>1.67</v>
      </c>
      <c r="AI29" s="128">
        <v>1.67</v>
      </c>
      <c r="AJ29" s="128">
        <v>1.68</v>
      </c>
      <c r="AK29" s="128">
        <v>1.69</v>
      </c>
      <c r="AL29" s="128">
        <v>1.7</v>
      </c>
      <c r="AM29" s="128">
        <v>1.71</v>
      </c>
      <c r="AN29" s="128">
        <v>1.71</v>
      </c>
      <c r="AO29" s="128">
        <v>1.72</v>
      </c>
      <c r="AP29" s="128">
        <v>1.73</v>
      </c>
      <c r="AQ29" s="128">
        <v>1.74</v>
      </c>
      <c r="AR29" s="128">
        <v>1.75</v>
      </c>
      <c r="AS29" s="128">
        <v>1.75</v>
      </c>
      <c r="AT29" s="128">
        <v>1.76</v>
      </c>
      <c r="AU29" s="128">
        <v>1.77</v>
      </c>
      <c r="AV29" s="128">
        <v>1.78</v>
      </c>
      <c r="AW29" s="128">
        <v>1.79</v>
      </c>
      <c r="AX29" s="128">
        <v>1.79</v>
      </c>
      <c r="AY29" s="128">
        <v>1.8</v>
      </c>
      <c r="AZ29" s="128">
        <v>1.81</v>
      </c>
      <c r="BA29" s="128">
        <v>1.82</v>
      </c>
      <c r="BB29" s="128">
        <v>1.83</v>
      </c>
      <c r="BC29" s="128">
        <v>1.83</v>
      </c>
      <c r="BD29" s="128">
        <v>1.84</v>
      </c>
      <c r="BE29" s="128">
        <v>1.85</v>
      </c>
      <c r="BF29" s="128">
        <v>1.86</v>
      </c>
      <c r="BG29" s="128">
        <v>1.87</v>
      </c>
      <c r="BH29" s="128">
        <v>1.87</v>
      </c>
      <c r="BI29" s="128">
        <v>1.88</v>
      </c>
      <c r="BJ29" s="128">
        <v>1.89</v>
      </c>
      <c r="BK29" s="128">
        <v>1.9</v>
      </c>
      <c r="BL29" s="128">
        <v>1.9</v>
      </c>
      <c r="BM29" s="128">
        <v>1.91</v>
      </c>
      <c r="BN29" s="128">
        <v>1.92</v>
      </c>
      <c r="BO29" s="128">
        <v>1.93</v>
      </c>
      <c r="BP29" s="128">
        <v>1.94</v>
      </c>
      <c r="BQ29" s="128">
        <v>1.94</v>
      </c>
      <c r="BR29" s="128">
        <v>1.95</v>
      </c>
      <c r="BS29" s="128">
        <v>1.96</v>
      </c>
      <c r="BT29" s="128">
        <v>1.97</v>
      </c>
      <c r="BU29" s="128">
        <v>1.98</v>
      </c>
      <c r="BV29" s="128">
        <v>1.98</v>
      </c>
      <c r="BW29" s="128">
        <v>1.99</v>
      </c>
      <c r="BX29" s="128">
        <v>2</v>
      </c>
      <c r="BY29" s="128">
        <v>2.0099999999999998</v>
      </c>
      <c r="BZ29" s="128">
        <v>2.02</v>
      </c>
      <c r="CA29" s="128">
        <v>2.02</v>
      </c>
      <c r="CB29" s="128">
        <v>2.0299999999999998</v>
      </c>
      <c r="CC29" s="128">
        <v>2.04</v>
      </c>
      <c r="CD29" s="128">
        <v>2.0499999999999998</v>
      </c>
      <c r="CE29" s="128">
        <v>2.06</v>
      </c>
      <c r="CF29" s="128">
        <v>2.0699999999999998</v>
      </c>
      <c r="CG29" s="128">
        <v>2.08</v>
      </c>
      <c r="CH29" s="128">
        <v>2.09</v>
      </c>
      <c r="CI29" s="128">
        <v>2.1</v>
      </c>
      <c r="CJ29" s="128">
        <v>2.11</v>
      </c>
      <c r="CK29" s="128">
        <v>2.12</v>
      </c>
      <c r="CL29" s="128">
        <v>2.12</v>
      </c>
      <c r="CM29" s="128">
        <v>2.14</v>
      </c>
      <c r="CN29" s="128">
        <v>2.15</v>
      </c>
      <c r="CO29" s="128">
        <v>2.16</v>
      </c>
      <c r="CP29" s="128">
        <v>2.17</v>
      </c>
      <c r="CQ29" s="128">
        <v>2.1800000000000002</v>
      </c>
      <c r="CR29" s="128">
        <v>2.19</v>
      </c>
      <c r="CS29" s="128">
        <v>2.2000000000000002</v>
      </c>
      <c r="CT29" s="128">
        <v>2.21</v>
      </c>
      <c r="CU29" s="128">
        <v>2.2200000000000002</v>
      </c>
      <c r="CV29" s="128">
        <v>2.2400000000000002</v>
      </c>
      <c r="CW29" s="128">
        <v>2.25</v>
      </c>
      <c r="CX29" s="128">
        <v>2.2599999999999998</v>
      </c>
      <c r="CZ29" s="126">
        <f>SUMIF(MatrixF5[[1]:[2]],MatrixF5[[#This Row],[Столбец1]])/MatrixF5[[#This Row],[Столбец1]]</f>
        <v>20.000000000000007</v>
      </c>
      <c r="DA29" s="126">
        <f>SUMIF(MatrixF5[[1]:[2]],MatrixF5[[#This Row],[Столбец1]]+1)/(MatrixF5[[#This Row],[Столбец1]]+1)</f>
        <v>74.999999999999986</v>
      </c>
    </row>
    <row r="30" spans="1:105" ht="21" customHeight="1" x14ac:dyDescent="0.25">
      <c r="A30" s="127">
        <v>1.27</v>
      </c>
      <c r="B30" s="128">
        <v>1.27</v>
      </c>
      <c r="C30" s="128">
        <v>1.29</v>
      </c>
      <c r="D30" s="128">
        <v>1.3</v>
      </c>
      <c r="E30" s="128">
        <v>1.32</v>
      </c>
      <c r="F30" s="128">
        <v>1.34</v>
      </c>
      <c r="G30" s="128">
        <v>1.35</v>
      </c>
      <c r="H30" s="128">
        <v>1.37</v>
      </c>
      <c r="I30" s="128">
        <v>1.38</v>
      </c>
      <c r="J30" s="128">
        <v>1.4</v>
      </c>
      <c r="K30" s="128">
        <v>1.41</v>
      </c>
      <c r="L30" s="128">
        <v>1.43</v>
      </c>
      <c r="M30" s="128">
        <v>1.44</v>
      </c>
      <c r="N30" s="128">
        <v>1.46</v>
      </c>
      <c r="O30" s="128">
        <v>1.47</v>
      </c>
      <c r="P30" s="128">
        <v>1.48</v>
      </c>
      <c r="Q30" s="128">
        <v>1.5</v>
      </c>
      <c r="R30" s="128">
        <v>1.51</v>
      </c>
      <c r="S30" s="128">
        <v>1.52</v>
      </c>
      <c r="T30" s="128">
        <v>1.53</v>
      </c>
      <c r="U30" s="128">
        <v>1.55</v>
      </c>
      <c r="V30" s="128">
        <v>1.56</v>
      </c>
      <c r="W30" s="128">
        <v>1.57</v>
      </c>
      <c r="X30" s="128">
        <v>1.58</v>
      </c>
      <c r="Y30" s="128">
        <v>1.59</v>
      </c>
      <c r="Z30" s="128">
        <v>1.6</v>
      </c>
      <c r="AA30" s="128">
        <v>1.62</v>
      </c>
      <c r="AB30" s="128">
        <v>1.63</v>
      </c>
      <c r="AC30" s="128">
        <v>1.64</v>
      </c>
      <c r="AD30" s="128">
        <v>1.65</v>
      </c>
      <c r="AE30" s="128">
        <v>1.65</v>
      </c>
      <c r="AF30" s="128">
        <v>1.66</v>
      </c>
      <c r="AG30" s="128">
        <v>1.67</v>
      </c>
      <c r="AH30" s="128">
        <v>1.68</v>
      </c>
      <c r="AI30" s="128">
        <v>1.69</v>
      </c>
      <c r="AJ30" s="128">
        <v>1.69</v>
      </c>
      <c r="AK30" s="128">
        <v>1.7</v>
      </c>
      <c r="AL30" s="128">
        <v>1.71</v>
      </c>
      <c r="AM30" s="128">
        <v>1.72</v>
      </c>
      <c r="AN30" s="128">
        <v>1.72</v>
      </c>
      <c r="AO30" s="128">
        <v>1.73</v>
      </c>
      <c r="AP30" s="128">
        <v>1.74</v>
      </c>
      <c r="AQ30" s="128">
        <v>1.75</v>
      </c>
      <c r="AR30" s="128">
        <v>1.76</v>
      </c>
      <c r="AS30" s="128">
        <v>1.76</v>
      </c>
      <c r="AT30" s="128">
        <v>1.77</v>
      </c>
      <c r="AU30" s="128">
        <v>1.78</v>
      </c>
      <c r="AV30" s="128">
        <v>1.79</v>
      </c>
      <c r="AW30" s="128">
        <v>1.8</v>
      </c>
      <c r="AX30" s="128">
        <v>1.8</v>
      </c>
      <c r="AY30" s="128">
        <v>1.81</v>
      </c>
      <c r="AZ30" s="128">
        <v>1.82</v>
      </c>
      <c r="BA30" s="128">
        <v>1.83</v>
      </c>
      <c r="BB30" s="128">
        <v>1.83</v>
      </c>
      <c r="BC30" s="128">
        <v>1.84</v>
      </c>
      <c r="BD30" s="128">
        <v>1.85</v>
      </c>
      <c r="BE30" s="128">
        <v>1.86</v>
      </c>
      <c r="BF30" s="128">
        <v>1.87</v>
      </c>
      <c r="BG30" s="128">
        <v>1.87</v>
      </c>
      <c r="BH30" s="128">
        <v>1.88</v>
      </c>
      <c r="BI30" s="128">
        <v>1.89</v>
      </c>
      <c r="BJ30" s="128">
        <v>1.9</v>
      </c>
      <c r="BK30" s="128">
        <v>1.91</v>
      </c>
      <c r="BL30" s="128">
        <v>1.91</v>
      </c>
      <c r="BM30" s="128">
        <v>1.92</v>
      </c>
      <c r="BN30" s="128">
        <v>1.93</v>
      </c>
      <c r="BO30" s="128">
        <v>1.94</v>
      </c>
      <c r="BP30" s="128">
        <v>1.94</v>
      </c>
      <c r="BQ30" s="128">
        <v>1.95</v>
      </c>
      <c r="BR30" s="128">
        <v>1.96</v>
      </c>
      <c r="BS30" s="128">
        <v>1.97</v>
      </c>
      <c r="BT30" s="128">
        <v>1.98</v>
      </c>
      <c r="BU30" s="128">
        <v>1.98</v>
      </c>
      <c r="BV30" s="128">
        <v>1.99</v>
      </c>
      <c r="BW30" s="128">
        <v>2</v>
      </c>
      <c r="BX30" s="128">
        <v>2.0099999999999998</v>
      </c>
      <c r="BY30" s="128">
        <v>2.02</v>
      </c>
      <c r="BZ30" s="128">
        <v>2.02</v>
      </c>
      <c r="CA30" s="128">
        <v>2.0299999999999998</v>
      </c>
      <c r="CB30" s="128">
        <v>2.04</v>
      </c>
      <c r="CC30" s="128">
        <v>2.0499999999999998</v>
      </c>
      <c r="CD30" s="128">
        <v>2.06</v>
      </c>
      <c r="CE30" s="128">
        <v>2.0699999999999998</v>
      </c>
      <c r="CF30" s="128">
        <v>2.08</v>
      </c>
      <c r="CG30" s="128">
        <v>2.09</v>
      </c>
      <c r="CH30" s="128">
        <v>2.09</v>
      </c>
      <c r="CI30" s="128">
        <v>2.1</v>
      </c>
      <c r="CJ30" s="128">
        <v>2.11</v>
      </c>
      <c r="CK30" s="128">
        <v>2.12</v>
      </c>
      <c r="CL30" s="128">
        <v>2.13</v>
      </c>
      <c r="CM30" s="128">
        <v>2.14</v>
      </c>
      <c r="CN30" s="128">
        <v>2.15</v>
      </c>
      <c r="CO30" s="128">
        <v>2.17</v>
      </c>
      <c r="CP30" s="128">
        <v>2.1800000000000002</v>
      </c>
      <c r="CQ30" s="128">
        <v>2.19</v>
      </c>
      <c r="CR30" s="128">
        <v>2.2000000000000002</v>
      </c>
      <c r="CS30" s="128">
        <v>2.21</v>
      </c>
      <c r="CT30" s="128">
        <v>2.2200000000000002</v>
      </c>
      <c r="CU30" s="128">
        <v>2.23</v>
      </c>
      <c r="CV30" s="128">
        <v>2.25</v>
      </c>
      <c r="CW30" s="128">
        <v>2.2599999999999998</v>
      </c>
      <c r="CX30" s="128">
        <v>2.27</v>
      </c>
      <c r="CZ30" s="126">
        <f>SUMIF(MatrixF5[[1]:[2]],MatrixF5[[#This Row],[Столбец1]])/MatrixF5[[#This Row],[Столбец1]]</f>
        <v>20.999999999999996</v>
      </c>
      <c r="DA30" s="126">
        <f>SUMIF(MatrixF5[[1]:[2]],MatrixF5[[#This Row],[Столбец1]]+1)/(MatrixF5[[#This Row],[Столбец1]]+1)</f>
        <v>77.000000000000057</v>
      </c>
    </row>
    <row r="31" spans="1:105" ht="21" customHeight="1" x14ac:dyDescent="0.25">
      <c r="A31" s="127">
        <v>1.28</v>
      </c>
      <c r="B31" s="128">
        <v>1.28</v>
      </c>
      <c r="C31" s="128">
        <v>1.3</v>
      </c>
      <c r="D31" s="128">
        <v>1.31</v>
      </c>
      <c r="E31" s="128">
        <v>1.33</v>
      </c>
      <c r="F31" s="128">
        <v>1.35</v>
      </c>
      <c r="G31" s="128">
        <v>1.36</v>
      </c>
      <c r="H31" s="128">
        <v>1.38</v>
      </c>
      <c r="I31" s="128">
        <v>1.39</v>
      </c>
      <c r="J31" s="128">
        <v>1.41</v>
      </c>
      <c r="K31" s="128">
        <v>1.42</v>
      </c>
      <c r="L31" s="128">
        <v>1.44</v>
      </c>
      <c r="M31" s="128">
        <v>1.45</v>
      </c>
      <c r="N31" s="128">
        <v>1.46</v>
      </c>
      <c r="O31" s="128">
        <v>1.48</v>
      </c>
      <c r="P31" s="128">
        <v>1.49</v>
      </c>
      <c r="Q31" s="128">
        <v>1.5</v>
      </c>
      <c r="R31" s="128">
        <v>1.52</v>
      </c>
      <c r="S31" s="128">
        <v>1.53</v>
      </c>
      <c r="T31" s="128">
        <v>1.54</v>
      </c>
      <c r="U31" s="128">
        <v>1.55</v>
      </c>
      <c r="V31" s="128">
        <v>1.57</v>
      </c>
      <c r="W31" s="128">
        <v>1.58</v>
      </c>
      <c r="X31" s="128">
        <v>1.59</v>
      </c>
      <c r="Y31" s="128">
        <v>1.6</v>
      </c>
      <c r="Z31" s="128">
        <v>1.61</v>
      </c>
      <c r="AA31" s="128">
        <v>1.62</v>
      </c>
      <c r="AB31" s="128">
        <v>1.63</v>
      </c>
      <c r="AC31" s="128">
        <v>1.65</v>
      </c>
      <c r="AD31" s="128">
        <v>1.66</v>
      </c>
      <c r="AE31" s="128">
        <v>1.66</v>
      </c>
      <c r="AF31" s="128">
        <v>1.67</v>
      </c>
      <c r="AG31" s="128">
        <v>1.68</v>
      </c>
      <c r="AH31" s="128">
        <v>1.69</v>
      </c>
      <c r="AI31" s="128">
        <v>1.7</v>
      </c>
      <c r="AJ31" s="128">
        <v>1.7</v>
      </c>
      <c r="AK31" s="128">
        <v>1.71</v>
      </c>
      <c r="AL31" s="128">
        <v>1.72</v>
      </c>
      <c r="AM31" s="128">
        <v>1.73</v>
      </c>
      <c r="AN31" s="128">
        <v>1.73</v>
      </c>
      <c r="AO31" s="128">
        <v>1.74</v>
      </c>
      <c r="AP31" s="128">
        <v>1.75</v>
      </c>
      <c r="AQ31" s="128">
        <v>1.76</v>
      </c>
      <c r="AR31" s="128">
        <v>1.77</v>
      </c>
      <c r="AS31" s="128">
        <v>1.77</v>
      </c>
      <c r="AT31" s="128">
        <v>1.78</v>
      </c>
      <c r="AU31" s="128">
        <v>1.79</v>
      </c>
      <c r="AV31" s="128">
        <v>1.8</v>
      </c>
      <c r="AW31" s="128">
        <v>1.8</v>
      </c>
      <c r="AX31" s="128">
        <v>1.81</v>
      </c>
      <c r="AY31" s="128">
        <v>1.82</v>
      </c>
      <c r="AZ31" s="128">
        <v>1.83</v>
      </c>
      <c r="BA31" s="128">
        <v>1.84</v>
      </c>
      <c r="BB31" s="128">
        <v>1.84</v>
      </c>
      <c r="BC31" s="128">
        <v>1.85</v>
      </c>
      <c r="BD31" s="128">
        <v>1.86</v>
      </c>
      <c r="BE31" s="128">
        <v>1.87</v>
      </c>
      <c r="BF31" s="128">
        <v>1.88</v>
      </c>
      <c r="BG31" s="128">
        <v>1.88</v>
      </c>
      <c r="BH31" s="128">
        <v>1.89</v>
      </c>
      <c r="BI31" s="128">
        <v>1.9</v>
      </c>
      <c r="BJ31" s="128">
        <v>1.91</v>
      </c>
      <c r="BK31" s="128">
        <v>1.91</v>
      </c>
      <c r="BL31" s="128">
        <v>1.92</v>
      </c>
      <c r="BM31" s="128">
        <v>1.93</v>
      </c>
      <c r="BN31" s="128">
        <v>1.94</v>
      </c>
      <c r="BO31" s="128">
        <v>1.95</v>
      </c>
      <c r="BP31" s="128">
        <v>1.95</v>
      </c>
      <c r="BQ31" s="128">
        <v>1.96</v>
      </c>
      <c r="BR31" s="128">
        <v>1.97</v>
      </c>
      <c r="BS31" s="128">
        <v>1.98</v>
      </c>
      <c r="BT31" s="128">
        <v>1.98</v>
      </c>
      <c r="BU31" s="128">
        <v>1.99</v>
      </c>
      <c r="BV31" s="128">
        <v>2</v>
      </c>
      <c r="BW31" s="128">
        <v>2.0099999999999998</v>
      </c>
      <c r="BX31" s="128">
        <v>2.02</v>
      </c>
      <c r="BY31" s="128">
        <v>2.02</v>
      </c>
      <c r="BZ31" s="128">
        <v>2.0299999999999998</v>
      </c>
      <c r="CA31" s="128">
        <v>2.04</v>
      </c>
      <c r="CB31" s="128">
        <v>2.0499999999999998</v>
      </c>
      <c r="CC31" s="128">
        <v>2.06</v>
      </c>
      <c r="CD31" s="128">
        <v>2.0699999999999998</v>
      </c>
      <c r="CE31" s="128">
        <v>2.08</v>
      </c>
      <c r="CF31" s="128">
        <v>2.08</v>
      </c>
      <c r="CG31" s="128">
        <v>2.09</v>
      </c>
      <c r="CH31" s="128">
        <v>2.1</v>
      </c>
      <c r="CI31" s="128">
        <v>2.11</v>
      </c>
      <c r="CJ31" s="128">
        <v>2.12</v>
      </c>
      <c r="CK31" s="128">
        <v>2.13</v>
      </c>
      <c r="CL31" s="128">
        <v>2.14</v>
      </c>
      <c r="CM31" s="128">
        <v>2.15</v>
      </c>
      <c r="CN31" s="128">
        <v>2.16</v>
      </c>
      <c r="CO31" s="128">
        <v>2.17</v>
      </c>
      <c r="CP31" s="128">
        <v>2.19</v>
      </c>
      <c r="CQ31" s="128">
        <v>2.2000000000000002</v>
      </c>
      <c r="CR31" s="128">
        <v>2.21</v>
      </c>
      <c r="CS31" s="128">
        <v>2.2200000000000002</v>
      </c>
      <c r="CT31" s="128">
        <v>2.23</v>
      </c>
      <c r="CU31" s="128">
        <v>2.2400000000000002</v>
      </c>
      <c r="CV31" s="128">
        <v>2.25</v>
      </c>
      <c r="CW31" s="128">
        <v>2.27</v>
      </c>
      <c r="CX31" s="128">
        <v>2.2799999999999998</v>
      </c>
      <c r="CZ31" s="126">
        <f>SUMIF(MatrixF5[[1]:[2]],MatrixF5[[#This Row],[Столбец1]])/MatrixF5[[#This Row],[Столбец1]]</f>
        <v>24.000000000000007</v>
      </c>
      <c r="DA31" s="126">
        <f>SUMIF(MatrixF5[[1]:[2]],MatrixF5[[#This Row],[Столбец1]]+1)/(MatrixF5[[#This Row],[Столбец1]]+1)</f>
        <v>74.000000000000014</v>
      </c>
    </row>
    <row r="32" spans="1:105" ht="21" customHeight="1" x14ac:dyDescent="0.25">
      <c r="A32" s="127">
        <v>1.29</v>
      </c>
      <c r="B32" s="128">
        <v>1.29</v>
      </c>
      <c r="C32" s="128">
        <v>1.31</v>
      </c>
      <c r="D32" s="128">
        <v>1.32</v>
      </c>
      <c r="E32" s="128">
        <v>1.34</v>
      </c>
      <c r="F32" s="128">
        <v>1.36</v>
      </c>
      <c r="G32" s="128">
        <v>1.37</v>
      </c>
      <c r="H32" s="128">
        <v>1.39</v>
      </c>
      <c r="I32" s="128">
        <v>1.4</v>
      </c>
      <c r="J32" s="128">
        <v>1.42</v>
      </c>
      <c r="K32" s="128">
        <v>1.43</v>
      </c>
      <c r="L32" s="128">
        <v>1.45</v>
      </c>
      <c r="M32" s="128">
        <v>1.46</v>
      </c>
      <c r="N32" s="128">
        <v>1.47</v>
      </c>
      <c r="O32" s="128">
        <v>1.49</v>
      </c>
      <c r="P32" s="128">
        <v>1.5</v>
      </c>
      <c r="Q32" s="128">
        <v>1.51</v>
      </c>
      <c r="R32" s="128">
        <v>1.53</v>
      </c>
      <c r="S32" s="128">
        <v>1.54</v>
      </c>
      <c r="T32" s="128">
        <v>1.55</v>
      </c>
      <c r="U32" s="128">
        <v>1.56</v>
      </c>
      <c r="V32" s="128">
        <v>1.58</v>
      </c>
      <c r="W32" s="128">
        <v>1.59</v>
      </c>
      <c r="X32" s="128">
        <v>1.6</v>
      </c>
      <c r="Y32" s="128">
        <v>1.61</v>
      </c>
      <c r="Z32" s="128">
        <v>1.62</v>
      </c>
      <c r="AA32" s="128">
        <v>1.63</v>
      </c>
      <c r="AB32" s="128">
        <v>1.64</v>
      </c>
      <c r="AC32" s="128">
        <v>1.65</v>
      </c>
      <c r="AD32" s="128">
        <v>1.66</v>
      </c>
      <c r="AE32" s="128">
        <v>1.67</v>
      </c>
      <c r="AF32" s="128">
        <v>1.68</v>
      </c>
      <c r="AG32" s="128">
        <v>1.69</v>
      </c>
      <c r="AH32" s="128">
        <v>1.7</v>
      </c>
      <c r="AI32" s="128">
        <v>1.71</v>
      </c>
      <c r="AJ32" s="128">
        <v>1.71</v>
      </c>
      <c r="AK32" s="128">
        <v>1.72</v>
      </c>
      <c r="AL32" s="128">
        <v>1.73</v>
      </c>
      <c r="AM32" s="128">
        <v>1.74</v>
      </c>
      <c r="AN32" s="128">
        <v>1.74</v>
      </c>
      <c r="AO32" s="128">
        <v>1.75</v>
      </c>
      <c r="AP32" s="128">
        <v>1.76</v>
      </c>
      <c r="AQ32" s="128">
        <v>1.77</v>
      </c>
      <c r="AR32" s="128">
        <v>1.78</v>
      </c>
      <c r="AS32" s="128">
        <v>1.78</v>
      </c>
      <c r="AT32" s="128">
        <v>1.79</v>
      </c>
      <c r="AU32" s="128">
        <v>1.8</v>
      </c>
      <c r="AV32" s="128">
        <v>1.81</v>
      </c>
      <c r="AW32" s="128">
        <v>1.81</v>
      </c>
      <c r="AX32" s="128">
        <v>1.82</v>
      </c>
      <c r="AY32" s="128">
        <v>1.83</v>
      </c>
      <c r="AZ32" s="128">
        <v>1.84</v>
      </c>
      <c r="BA32" s="128">
        <v>1.84</v>
      </c>
      <c r="BB32" s="128">
        <v>1.85</v>
      </c>
      <c r="BC32" s="128">
        <v>1.86</v>
      </c>
      <c r="BD32" s="128">
        <v>1.87</v>
      </c>
      <c r="BE32" s="128">
        <v>1.88</v>
      </c>
      <c r="BF32" s="128">
        <v>1.88</v>
      </c>
      <c r="BG32" s="128">
        <v>1.89</v>
      </c>
      <c r="BH32" s="128">
        <v>1.9</v>
      </c>
      <c r="BI32" s="128">
        <v>1.91</v>
      </c>
      <c r="BJ32" s="128">
        <v>1.91</v>
      </c>
      <c r="BK32" s="128">
        <v>1.92</v>
      </c>
      <c r="BL32" s="128">
        <v>1.93</v>
      </c>
      <c r="BM32" s="128">
        <v>1.94</v>
      </c>
      <c r="BN32" s="128">
        <v>1.95</v>
      </c>
      <c r="BO32" s="128">
        <v>1.95</v>
      </c>
      <c r="BP32" s="128">
        <v>1.96</v>
      </c>
      <c r="BQ32" s="128">
        <v>1.97</v>
      </c>
      <c r="BR32" s="128">
        <v>1.98</v>
      </c>
      <c r="BS32" s="128">
        <v>1.98</v>
      </c>
      <c r="BT32" s="128">
        <v>1.99</v>
      </c>
      <c r="BU32" s="128">
        <v>2</v>
      </c>
      <c r="BV32" s="128">
        <v>2.0099999999999998</v>
      </c>
      <c r="BW32" s="128">
        <v>2.02</v>
      </c>
      <c r="BX32" s="128">
        <v>2.02</v>
      </c>
      <c r="BY32" s="128">
        <v>2.0299999999999998</v>
      </c>
      <c r="BZ32" s="128">
        <v>2.04</v>
      </c>
      <c r="CA32" s="128">
        <v>2.0499999999999998</v>
      </c>
      <c r="CB32" s="128">
        <v>2.06</v>
      </c>
      <c r="CC32" s="128">
        <v>2.0699999999999998</v>
      </c>
      <c r="CD32" s="128">
        <v>2.08</v>
      </c>
      <c r="CE32" s="128">
        <v>2.08</v>
      </c>
      <c r="CF32" s="128">
        <v>2.09</v>
      </c>
      <c r="CG32" s="128">
        <v>2.1</v>
      </c>
      <c r="CH32" s="128">
        <v>2.11</v>
      </c>
      <c r="CI32" s="128">
        <v>2.12</v>
      </c>
      <c r="CJ32" s="128">
        <v>2.13</v>
      </c>
      <c r="CK32" s="128">
        <v>2.14</v>
      </c>
      <c r="CL32" s="128">
        <v>2.15</v>
      </c>
      <c r="CM32" s="128">
        <v>2.16</v>
      </c>
      <c r="CN32" s="128">
        <v>2.17</v>
      </c>
      <c r="CO32" s="128">
        <v>2.1800000000000002</v>
      </c>
      <c r="CP32" s="128">
        <v>2.19</v>
      </c>
      <c r="CQ32" s="128">
        <v>2.21</v>
      </c>
      <c r="CR32" s="128">
        <v>2.2200000000000002</v>
      </c>
      <c r="CS32" s="128">
        <v>2.23</v>
      </c>
      <c r="CT32" s="128">
        <v>2.2400000000000002</v>
      </c>
      <c r="CU32" s="128">
        <v>2.25</v>
      </c>
      <c r="CV32" s="128">
        <v>2.2599999999999998</v>
      </c>
      <c r="CW32" s="128">
        <v>2.2799999999999998</v>
      </c>
      <c r="CX32" s="128">
        <v>2.29</v>
      </c>
      <c r="CZ32" s="126">
        <f>SUMIF(MatrixF5[[1]:[2]],MatrixF5[[#This Row],[Столбец1]])/MatrixF5[[#This Row],[Столбец1]]</f>
        <v>21.999999999999989</v>
      </c>
      <c r="DA32" s="126">
        <f>SUMIF(MatrixF5[[1]:[2]],MatrixF5[[#This Row],[Столбец1]]+1)/(MatrixF5[[#This Row],[Столбец1]]+1)</f>
        <v>71.000000000000014</v>
      </c>
    </row>
    <row r="33" spans="1:105" ht="21" customHeight="1" x14ac:dyDescent="0.25">
      <c r="A33" s="127">
        <v>1.3</v>
      </c>
      <c r="B33" s="128">
        <v>1.3</v>
      </c>
      <c r="C33" s="128">
        <v>1.32</v>
      </c>
      <c r="D33" s="128">
        <v>1.33</v>
      </c>
      <c r="E33" s="128">
        <v>1.35</v>
      </c>
      <c r="F33" s="128">
        <v>1.37</v>
      </c>
      <c r="G33" s="128">
        <v>1.38</v>
      </c>
      <c r="H33" s="128">
        <v>1.4</v>
      </c>
      <c r="I33" s="128">
        <v>1.41</v>
      </c>
      <c r="J33" s="128">
        <v>1.43</v>
      </c>
      <c r="K33" s="128">
        <v>1.44</v>
      </c>
      <c r="L33" s="128">
        <v>1.45</v>
      </c>
      <c r="M33" s="128">
        <v>1.47</v>
      </c>
      <c r="N33" s="128">
        <v>1.48</v>
      </c>
      <c r="O33" s="128">
        <v>1.5</v>
      </c>
      <c r="P33" s="128">
        <v>1.51</v>
      </c>
      <c r="Q33" s="128">
        <v>1.52</v>
      </c>
      <c r="R33" s="128">
        <v>1.53</v>
      </c>
      <c r="S33" s="128">
        <v>1.55</v>
      </c>
      <c r="T33" s="128">
        <v>1.56</v>
      </c>
      <c r="U33" s="128">
        <v>1.57</v>
      </c>
      <c r="V33" s="128">
        <v>1.58</v>
      </c>
      <c r="W33" s="128">
        <v>1.6</v>
      </c>
      <c r="X33" s="128">
        <v>1.61</v>
      </c>
      <c r="Y33" s="128">
        <v>1.62</v>
      </c>
      <c r="Z33" s="128">
        <v>1.63</v>
      </c>
      <c r="AA33" s="128">
        <v>1.64</v>
      </c>
      <c r="AB33" s="128">
        <v>1.65</v>
      </c>
      <c r="AC33" s="128">
        <v>1.66</v>
      </c>
      <c r="AD33" s="128">
        <v>1.67</v>
      </c>
      <c r="AE33" s="128">
        <v>1.68</v>
      </c>
      <c r="AF33" s="128">
        <v>1.69</v>
      </c>
      <c r="AG33" s="128">
        <v>1.7</v>
      </c>
      <c r="AH33" s="128">
        <v>1.71</v>
      </c>
      <c r="AI33" s="128">
        <v>1.72</v>
      </c>
      <c r="AJ33" s="128">
        <v>1.72</v>
      </c>
      <c r="AK33" s="128">
        <v>1.73</v>
      </c>
      <c r="AL33" s="128">
        <v>1.74</v>
      </c>
      <c r="AM33" s="128">
        <v>1.75</v>
      </c>
      <c r="AN33" s="128">
        <v>1.75</v>
      </c>
      <c r="AO33" s="128">
        <v>1.76</v>
      </c>
      <c r="AP33" s="128">
        <v>1.77</v>
      </c>
      <c r="AQ33" s="128">
        <v>1.78</v>
      </c>
      <c r="AR33" s="128">
        <v>1.78</v>
      </c>
      <c r="AS33" s="128">
        <v>1.79</v>
      </c>
      <c r="AT33" s="128">
        <v>1.8</v>
      </c>
      <c r="AU33" s="128">
        <v>1.81</v>
      </c>
      <c r="AV33" s="128">
        <v>1.82</v>
      </c>
      <c r="AW33" s="128">
        <v>1.82</v>
      </c>
      <c r="AX33" s="128">
        <v>1.83</v>
      </c>
      <c r="AY33" s="128">
        <v>1.84</v>
      </c>
      <c r="AZ33" s="128">
        <v>1.85</v>
      </c>
      <c r="BA33" s="128">
        <v>1.85</v>
      </c>
      <c r="BB33" s="128">
        <v>1.86</v>
      </c>
      <c r="BC33" s="128">
        <v>1.87</v>
      </c>
      <c r="BD33" s="128">
        <v>1.88</v>
      </c>
      <c r="BE33" s="128">
        <v>1.88</v>
      </c>
      <c r="BF33" s="128">
        <v>1.89</v>
      </c>
      <c r="BG33" s="128">
        <v>1.9</v>
      </c>
      <c r="BH33" s="128">
        <v>1.91</v>
      </c>
      <c r="BI33" s="128">
        <v>1.92</v>
      </c>
      <c r="BJ33" s="128">
        <v>1.92</v>
      </c>
      <c r="BK33" s="128">
        <v>1.93</v>
      </c>
      <c r="BL33" s="128">
        <v>1.94</v>
      </c>
      <c r="BM33" s="128">
        <v>1.95</v>
      </c>
      <c r="BN33" s="128">
        <v>1.95</v>
      </c>
      <c r="BO33" s="128">
        <v>1.96</v>
      </c>
      <c r="BP33" s="128">
        <v>1.97</v>
      </c>
      <c r="BQ33" s="128">
        <v>1.98</v>
      </c>
      <c r="BR33" s="128">
        <v>1.98</v>
      </c>
      <c r="BS33" s="128">
        <v>1.99</v>
      </c>
      <c r="BT33" s="128">
        <v>2</v>
      </c>
      <c r="BU33" s="128">
        <v>2.0099999999999998</v>
      </c>
      <c r="BV33" s="128">
        <v>2.02</v>
      </c>
      <c r="BW33" s="128">
        <v>2.02</v>
      </c>
      <c r="BX33" s="128">
        <v>2.0299999999999998</v>
      </c>
      <c r="BY33" s="128">
        <v>2.04</v>
      </c>
      <c r="BZ33" s="128">
        <v>2.0499999999999998</v>
      </c>
      <c r="CA33" s="128">
        <v>2.06</v>
      </c>
      <c r="CB33" s="128">
        <v>2.0699999999999998</v>
      </c>
      <c r="CC33" s="128">
        <v>2.0699999999999998</v>
      </c>
      <c r="CD33" s="128">
        <v>2.08</v>
      </c>
      <c r="CE33" s="128">
        <v>2.09</v>
      </c>
      <c r="CF33" s="128">
        <v>2.1</v>
      </c>
      <c r="CG33" s="128">
        <v>2.11</v>
      </c>
      <c r="CH33" s="128">
        <v>2.12</v>
      </c>
      <c r="CI33" s="128">
        <v>2.13</v>
      </c>
      <c r="CJ33" s="128">
        <v>2.14</v>
      </c>
      <c r="CK33" s="128">
        <v>2.15</v>
      </c>
      <c r="CL33" s="128">
        <v>2.16</v>
      </c>
      <c r="CM33" s="128">
        <v>2.17</v>
      </c>
      <c r="CN33" s="128">
        <v>2.1800000000000002</v>
      </c>
      <c r="CO33" s="128">
        <v>2.19</v>
      </c>
      <c r="CP33" s="128">
        <v>2.2000000000000002</v>
      </c>
      <c r="CQ33" s="128">
        <v>2.21</v>
      </c>
      <c r="CR33" s="128">
        <v>2.23</v>
      </c>
      <c r="CS33" s="128">
        <v>2.2400000000000002</v>
      </c>
      <c r="CT33" s="128">
        <v>2.25</v>
      </c>
      <c r="CU33" s="128">
        <v>2.2599999999999998</v>
      </c>
      <c r="CV33" s="128">
        <v>2.27</v>
      </c>
      <c r="CW33" s="128">
        <v>2.29</v>
      </c>
      <c r="CX33" s="128">
        <v>2.2999999999999998</v>
      </c>
      <c r="CZ33" s="126">
        <f>SUMIF(MatrixF5[[1]:[2]],MatrixF5[[#This Row],[Столбец1]])/MatrixF5[[#This Row],[Столбец1]]</f>
        <v>25.000000000000004</v>
      </c>
      <c r="DA33" s="126">
        <f>SUMIF(MatrixF5[[1]:[2]],MatrixF5[[#This Row],[Столбец1]]+1)/(MatrixF5[[#This Row],[Столбец1]]+1)</f>
        <v>72.000000000000043</v>
      </c>
    </row>
    <row r="34" spans="1:105" ht="21" customHeight="1" x14ac:dyDescent="0.25">
      <c r="A34" s="127">
        <v>1.31</v>
      </c>
      <c r="B34" s="128">
        <v>1.31</v>
      </c>
      <c r="C34" s="128">
        <v>1.33</v>
      </c>
      <c r="D34" s="128">
        <v>1.34</v>
      </c>
      <c r="E34" s="128">
        <v>1.36</v>
      </c>
      <c r="F34" s="128">
        <v>1.38</v>
      </c>
      <c r="G34" s="128">
        <v>1.39</v>
      </c>
      <c r="H34" s="128">
        <v>1.41</v>
      </c>
      <c r="I34" s="128">
        <v>1.42</v>
      </c>
      <c r="J34" s="128">
        <v>1.44</v>
      </c>
      <c r="K34" s="128">
        <v>1.45</v>
      </c>
      <c r="L34" s="128">
        <v>1.46</v>
      </c>
      <c r="M34" s="128">
        <v>1.48</v>
      </c>
      <c r="N34" s="128">
        <v>1.49</v>
      </c>
      <c r="O34" s="128">
        <v>1.5</v>
      </c>
      <c r="P34" s="128">
        <v>1.52</v>
      </c>
      <c r="Q34" s="128">
        <v>1.53</v>
      </c>
      <c r="R34" s="128">
        <v>1.54</v>
      </c>
      <c r="S34" s="128">
        <v>1.56</v>
      </c>
      <c r="T34" s="128">
        <v>1.57</v>
      </c>
      <c r="U34" s="128">
        <v>1.58</v>
      </c>
      <c r="V34" s="128">
        <v>1.59</v>
      </c>
      <c r="W34" s="128">
        <v>1.6</v>
      </c>
      <c r="X34" s="128">
        <v>1.61</v>
      </c>
      <c r="Y34" s="128">
        <v>1.63</v>
      </c>
      <c r="Z34" s="128">
        <v>1.64</v>
      </c>
      <c r="AA34" s="128">
        <v>1.65</v>
      </c>
      <c r="AB34" s="128">
        <v>1.66</v>
      </c>
      <c r="AC34" s="128">
        <v>1.67</v>
      </c>
      <c r="AD34" s="128">
        <v>1.68</v>
      </c>
      <c r="AE34" s="128">
        <v>1.69</v>
      </c>
      <c r="AF34" s="128">
        <v>1.7</v>
      </c>
      <c r="AG34" s="128">
        <v>1.71</v>
      </c>
      <c r="AH34" s="128">
        <v>1.72</v>
      </c>
      <c r="AI34" s="128">
        <v>1.73</v>
      </c>
      <c r="AJ34" s="128">
        <v>1.73</v>
      </c>
      <c r="AK34" s="128">
        <v>1.74</v>
      </c>
      <c r="AL34" s="128">
        <v>1.75</v>
      </c>
      <c r="AM34" s="128">
        <v>1.76</v>
      </c>
      <c r="AN34" s="128">
        <v>1.76</v>
      </c>
      <c r="AO34" s="128">
        <v>1.77</v>
      </c>
      <c r="AP34" s="128">
        <v>1.78</v>
      </c>
      <c r="AQ34" s="128">
        <v>1.79</v>
      </c>
      <c r="AR34" s="128">
        <v>1.79</v>
      </c>
      <c r="AS34" s="128">
        <v>1.8</v>
      </c>
      <c r="AT34" s="128">
        <v>1.81</v>
      </c>
      <c r="AU34" s="128">
        <v>1.82</v>
      </c>
      <c r="AV34" s="128">
        <v>1.82</v>
      </c>
      <c r="AW34" s="128">
        <v>1.83</v>
      </c>
      <c r="AX34" s="128">
        <v>1.84</v>
      </c>
      <c r="AY34" s="128">
        <v>1.85</v>
      </c>
      <c r="AZ34" s="128">
        <v>1.85</v>
      </c>
      <c r="BA34" s="128">
        <v>1.86</v>
      </c>
      <c r="BB34" s="128">
        <v>1.87</v>
      </c>
      <c r="BC34" s="128">
        <v>1.88</v>
      </c>
      <c r="BD34" s="128">
        <v>1.89</v>
      </c>
      <c r="BE34" s="128">
        <v>1.89</v>
      </c>
      <c r="BF34" s="128">
        <v>1.9</v>
      </c>
      <c r="BG34" s="128">
        <v>1.91</v>
      </c>
      <c r="BH34" s="128">
        <v>1.92</v>
      </c>
      <c r="BI34" s="128">
        <v>1.92</v>
      </c>
      <c r="BJ34" s="128">
        <v>1.93</v>
      </c>
      <c r="BK34" s="128">
        <v>1.94</v>
      </c>
      <c r="BL34" s="128">
        <v>1.95</v>
      </c>
      <c r="BM34" s="128">
        <v>1.95</v>
      </c>
      <c r="BN34" s="128">
        <v>1.96</v>
      </c>
      <c r="BO34" s="128">
        <v>1.97</v>
      </c>
      <c r="BP34" s="128">
        <v>1.98</v>
      </c>
      <c r="BQ34" s="128">
        <v>1.98</v>
      </c>
      <c r="BR34" s="128">
        <v>1.99</v>
      </c>
      <c r="BS34" s="128">
        <v>2</v>
      </c>
      <c r="BT34" s="128">
        <v>2.0099999999999998</v>
      </c>
      <c r="BU34" s="128">
        <v>2.02</v>
      </c>
      <c r="BV34" s="128">
        <v>2.02</v>
      </c>
      <c r="BW34" s="128">
        <v>2.0299999999999998</v>
      </c>
      <c r="BX34" s="128">
        <v>2.04</v>
      </c>
      <c r="BY34" s="128">
        <v>2.0499999999999998</v>
      </c>
      <c r="BZ34" s="128">
        <v>2.06</v>
      </c>
      <c r="CA34" s="128">
        <v>2.0699999999999998</v>
      </c>
      <c r="CB34" s="128">
        <v>2.0699999999999998</v>
      </c>
      <c r="CC34" s="128">
        <v>2.08</v>
      </c>
      <c r="CD34" s="128">
        <v>2.09</v>
      </c>
      <c r="CE34" s="128">
        <v>2.1</v>
      </c>
      <c r="CF34" s="128">
        <v>2.11</v>
      </c>
      <c r="CG34" s="128">
        <v>2.12</v>
      </c>
      <c r="CH34" s="128">
        <v>2.13</v>
      </c>
      <c r="CI34" s="128">
        <v>2.14</v>
      </c>
      <c r="CJ34" s="128">
        <v>2.15</v>
      </c>
      <c r="CK34" s="128">
        <v>2.16</v>
      </c>
      <c r="CL34" s="128">
        <v>2.17</v>
      </c>
      <c r="CM34" s="128">
        <v>2.1800000000000002</v>
      </c>
      <c r="CN34" s="128">
        <v>2.19</v>
      </c>
      <c r="CO34" s="128">
        <v>2.2000000000000002</v>
      </c>
      <c r="CP34" s="128">
        <v>2.21</v>
      </c>
      <c r="CQ34" s="128">
        <v>2.2200000000000002</v>
      </c>
      <c r="CR34" s="128">
        <v>2.2400000000000002</v>
      </c>
      <c r="CS34" s="128">
        <v>2.25</v>
      </c>
      <c r="CT34" s="128">
        <v>2.2599999999999998</v>
      </c>
      <c r="CU34" s="128">
        <v>2.27</v>
      </c>
      <c r="CV34" s="128">
        <v>2.2799999999999998</v>
      </c>
      <c r="CW34" s="128">
        <v>2.2999999999999998</v>
      </c>
      <c r="CX34" s="128">
        <v>2.31</v>
      </c>
      <c r="CZ34" s="126">
        <f>SUMIF(MatrixF5[[1]:[2]],MatrixF5[[#This Row],[Столбец1]])/MatrixF5[[#This Row],[Столбец1]]</f>
        <v>25.999999999999996</v>
      </c>
      <c r="DA34" s="126">
        <f>SUMIF(MatrixF5[[1]:[2]],MatrixF5[[#This Row],[Столбец1]]+1)/(MatrixF5[[#This Row],[Столбец1]]+1)</f>
        <v>71.000000000000043</v>
      </c>
    </row>
    <row r="35" spans="1:105" ht="21" customHeight="1" x14ac:dyDescent="0.25">
      <c r="A35" s="127">
        <v>1.32</v>
      </c>
      <c r="B35" s="128">
        <v>1.32</v>
      </c>
      <c r="C35" s="128">
        <v>1.34</v>
      </c>
      <c r="D35" s="128">
        <v>1.35</v>
      </c>
      <c r="E35" s="128">
        <v>1.37</v>
      </c>
      <c r="F35" s="128">
        <v>1.38</v>
      </c>
      <c r="G35" s="128">
        <v>1.4</v>
      </c>
      <c r="H35" s="128">
        <v>1.42</v>
      </c>
      <c r="I35" s="128">
        <v>1.43</v>
      </c>
      <c r="J35" s="128">
        <v>1.44</v>
      </c>
      <c r="K35" s="128">
        <v>1.46</v>
      </c>
      <c r="L35" s="128">
        <v>1.47</v>
      </c>
      <c r="M35" s="128">
        <v>1.49</v>
      </c>
      <c r="N35" s="128">
        <v>1.5</v>
      </c>
      <c r="O35" s="128">
        <v>1.51</v>
      </c>
      <c r="P35" s="128">
        <v>1.53</v>
      </c>
      <c r="Q35" s="128">
        <v>1.54</v>
      </c>
      <c r="R35" s="128">
        <v>1.55</v>
      </c>
      <c r="S35" s="128">
        <v>1.56</v>
      </c>
      <c r="T35" s="128">
        <v>1.58</v>
      </c>
      <c r="U35" s="128">
        <v>1.59</v>
      </c>
      <c r="V35" s="128">
        <v>1.6</v>
      </c>
      <c r="W35" s="128">
        <v>1.61</v>
      </c>
      <c r="X35" s="128">
        <v>1.62</v>
      </c>
      <c r="Y35" s="128">
        <v>1.63</v>
      </c>
      <c r="Z35" s="128">
        <v>1.65</v>
      </c>
      <c r="AA35" s="128">
        <v>1.66</v>
      </c>
      <c r="AB35" s="128">
        <v>1.67</v>
      </c>
      <c r="AC35" s="128">
        <v>1.68</v>
      </c>
      <c r="AD35" s="128">
        <v>1.69</v>
      </c>
      <c r="AE35" s="128">
        <v>1.7</v>
      </c>
      <c r="AF35" s="128">
        <v>1.71</v>
      </c>
      <c r="AG35" s="128">
        <v>1.72</v>
      </c>
      <c r="AH35" s="128">
        <v>1.73</v>
      </c>
      <c r="AI35" s="128">
        <v>1.73</v>
      </c>
      <c r="AJ35" s="128">
        <v>1.74</v>
      </c>
      <c r="AK35" s="128">
        <v>1.75</v>
      </c>
      <c r="AL35" s="128">
        <v>1.76</v>
      </c>
      <c r="AM35" s="128">
        <v>1.77</v>
      </c>
      <c r="AN35" s="128">
        <v>1.77</v>
      </c>
      <c r="AO35" s="128">
        <v>1.78</v>
      </c>
      <c r="AP35" s="128">
        <v>1.79</v>
      </c>
      <c r="AQ35" s="128">
        <v>1.8</v>
      </c>
      <c r="AR35" s="128">
        <v>1.8</v>
      </c>
      <c r="AS35" s="128">
        <v>1.81</v>
      </c>
      <c r="AT35" s="128">
        <v>1.82</v>
      </c>
      <c r="AU35" s="128">
        <v>1.83</v>
      </c>
      <c r="AV35" s="128">
        <v>1.83</v>
      </c>
      <c r="AW35" s="128">
        <v>1.84</v>
      </c>
      <c r="AX35" s="128">
        <v>1.85</v>
      </c>
      <c r="AY35" s="128">
        <v>1.86</v>
      </c>
      <c r="AZ35" s="128">
        <v>1.86</v>
      </c>
      <c r="BA35" s="128">
        <v>1.87</v>
      </c>
      <c r="BB35" s="128">
        <v>1.88</v>
      </c>
      <c r="BC35" s="128">
        <v>1.89</v>
      </c>
      <c r="BD35" s="128">
        <v>1.89</v>
      </c>
      <c r="BE35" s="128">
        <v>1.9</v>
      </c>
      <c r="BF35" s="128">
        <v>1.91</v>
      </c>
      <c r="BG35" s="128">
        <v>1.92</v>
      </c>
      <c r="BH35" s="128">
        <v>1.92</v>
      </c>
      <c r="BI35" s="128">
        <v>1.93</v>
      </c>
      <c r="BJ35" s="128">
        <v>1.94</v>
      </c>
      <c r="BK35" s="128">
        <v>1.95</v>
      </c>
      <c r="BL35" s="128">
        <v>1.95</v>
      </c>
      <c r="BM35" s="128">
        <v>1.96</v>
      </c>
      <c r="BN35" s="128">
        <v>1.97</v>
      </c>
      <c r="BO35" s="128">
        <v>1.98</v>
      </c>
      <c r="BP35" s="128">
        <v>1.98</v>
      </c>
      <c r="BQ35" s="128">
        <v>1.99</v>
      </c>
      <c r="BR35" s="128">
        <v>2</v>
      </c>
      <c r="BS35" s="128">
        <v>2.0099999999999998</v>
      </c>
      <c r="BT35" s="128">
        <v>2.02</v>
      </c>
      <c r="BU35" s="128">
        <v>2.02</v>
      </c>
      <c r="BV35" s="128">
        <v>2.0299999999999998</v>
      </c>
      <c r="BW35" s="128">
        <v>2.04</v>
      </c>
      <c r="BX35" s="128">
        <v>2.0499999999999998</v>
      </c>
      <c r="BY35" s="128">
        <v>2.06</v>
      </c>
      <c r="BZ35" s="128">
        <v>2.06</v>
      </c>
      <c r="CA35" s="128">
        <v>2.0699999999999998</v>
      </c>
      <c r="CB35" s="128">
        <v>2.08</v>
      </c>
      <c r="CC35" s="128">
        <v>2.09</v>
      </c>
      <c r="CD35" s="128">
        <v>2.1</v>
      </c>
      <c r="CE35" s="128">
        <v>2.11</v>
      </c>
      <c r="CF35" s="128">
        <v>2.12</v>
      </c>
      <c r="CG35" s="128">
        <v>2.13</v>
      </c>
      <c r="CH35" s="128">
        <v>2.14</v>
      </c>
      <c r="CI35" s="128">
        <v>2.15</v>
      </c>
      <c r="CJ35" s="128">
        <v>2.16</v>
      </c>
      <c r="CK35" s="128">
        <v>2.17</v>
      </c>
      <c r="CL35" s="128">
        <v>2.1800000000000002</v>
      </c>
      <c r="CM35" s="128">
        <v>2.19</v>
      </c>
      <c r="CN35" s="128">
        <v>2.2000000000000002</v>
      </c>
      <c r="CO35" s="128">
        <v>2.21</v>
      </c>
      <c r="CP35" s="128">
        <v>2.2200000000000002</v>
      </c>
      <c r="CQ35" s="128">
        <v>2.23</v>
      </c>
      <c r="CR35" s="128">
        <v>2.25</v>
      </c>
      <c r="CS35" s="128">
        <v>2.2599999999999998</v>
      </c>
      <c r="CT35" s="128">
        <v>2.27</v>
      </c>
      <c r="CU35" s="128">
        <v>2.2799999999999998</v>
      </c>
      <c r="CV35" s="128">
        <v>2.29</v>
      </c>
      <c r="CW35" s="128">
        <v>2.31</v>
      </c>
      <c r="CX35" s="128">
        <v>2.3199999999999998</v>
      </c>
      <c r="CZ35" s="126">
        <f>SUMIF(MatrixF5[[1]:[2]],MatrixF5[[#This Row],[Столбец1]])/MatrixF5[[#This Row],[Столбец1]]</f>
        <v>27</v>
      </c>
      <c r="DA35" s="126">
        <f>SUMIF(MatrixF5[[1]:[2]],MatrixF5[[#This Row],[Столбец1]]+1)/(MatrixF5[[#This Row],[Столбец1]]+1)</f>
        <v>67.999999999999872</v>
      </c>
    </row>
    <row r="36" spans="1:105" ht="21" customHeight="1" x14ac:dyDescent="0.25">
      <c r="A36" s="127">
        <v>1.33</v>
      </c>
      <c r="B36" s="128">
        <v>1.33</v>
      </c>
      <c r="C36" s="128">
        <v>1.35</v>
      </c>
      <c r="D36" s="128">
        <v>1.36</v>
      </c>
      <c r="E36" s="128">
        <v>1.38</v>
      </c>
      <c r="F36" s="128">
        <v>1.39</v>
      </c>
      <c r="G36" s="128">
        <v>1.41</v>
      </c>
      <c r="H36" s="128">
        <v>1.42</v>
      </c>
      <c r="I36" s="128">
        <v>1.44</v>
      </c>
      <c r="J36" s="128">
        <v>1.45</v>
      </c>
      <c r="K36" s="128">
        <v>1.47</v>
      </c>
      <c r="L36" s="128">
        <v>1.48</v>
      </c>
      <c r="M36" s="128">
        <v>1.5</v>
      </c>
      <c r="N36" s="128">
        <v>1.51</v>
      </c>
      <c r="O36" s="128">
        <v>1.52</v>
      </c>
      <c r="P36" s="128">
        <v>1.54</v>
      </c>
      <c r="Q36" s="128">
        <v>1.55</v>
      </c>
      <c r="R36" s="128">
        <v>1.56</v>
      </c>
      <c r="S36" s="128">
        <v>1.57</v>
      </c>
      <c r="T36" s="128">
        <v>1.58</v>
      </c>
      <c r="U36" s="128">
        <v>1.6</v>
      </c>
      <c r="V36" s="128">
        <v>1.61</v>
      </c>
      <c r="W36" s="128">
        <v>1.62</v>
      </c>
      <c r="X36" s="128">
        <v>1.63</v>
      </c>
      <c r="Y36" s="128">
        <v>1.64</v>
      </c>
      <c r="Z36" s="128">
        <v>1.65</v>
      </c>
      <c r="AA36" s="128">
        <v>1.66</v>
      </c>
      <c r="AB36" s="128">
        <v>1.67</v>
      </c>
      <c r="AC36" s="128">
        <v>1.69</v>
      </c>
      <c r="AD36" s="128">
        <v>1.7</v>
      </c>
      <c r="AE36" s="128">
        <v>1.71</v>
      </c>
      <c r="AF36" s="128">
        <v>1.72</v>
      </c>
      <c r="AG36" s="128">
        <v>1.73</v>
      </c>
      <c r="AH36" s="128">
        <v>1.73</v>
      </c>
      <c r="AI36" s="128">
        <v>1.74</v>
      </c>
      <c r="AJ36" s="128">
        <v>1.75</v>
      </c>
      <c r="AK36" s="128">
        <v>1.76</v>
      </c>
      <c r="AL36" s="128">
        <v>1.77</v>
      </c>
      <c r="AM36" s="128">
        <v>1.77</v>
      </c>
      <c r="AN36" s="128">
        <v>1.78</v>
      </c>
      <c r="AO36" s="128">
        <v>1.79</v>
      </c>
      <c r="AP36" s="128">
        <v>1.8</v>
      </c>
      <c r="AQ36" s="128">
        <v>1.8</v>
      </c>
      <c r="AR36" s="128">
        <v>1.81</v>
      </c>
      <c r="AS36" s="128">
        <v>1.82</v>
      </c>
      <c r="AT36" s="128">
        <v>1.83</v>
      </c>
      <c r="AU36" s="128">
        <v>1.83</v>
      </c>
      <c r="AV36" s="128">
        <v>1.84</v>
      </c>
      <c r="AW36" s="128">
        <v>1.85</v>
      </c>
      <c r="AX36" s="128">
        <v>1.86</v>
      </c>
      <c r="AY36" s="128">
        <v>1.86</v>
      </c>
      <c r="AZ36" s="128">
        <v>1.87</v>
      </c>
      <c r="BA36" s="128">
        <v>1.88</v>
      </c>
      <c r="BB36" s="128">
        <v>1.89</v>
      </c>
      <c r="BC36" s="128">
        <v>1.89</v>
      </c>
      <c r="BD36" s="128">
        <v>1.9</v>
      </c>
      <c r="BE36" s="128">
        <v>1.91</v>
      </c>
      <c r="BF36" s="128">
        <v>1.92</v>
      </c>
      <c r="BG36" s="128">
        <v>1.92</v>
      </c>
      <c r="BH36" s="128">
        <v>1.93</v>
      </c>
      <c r="BI36" s="128">
        <v>1.94</v>
      </c>
      <c r="BJ36" s="128">
        <v>1.95</v>
      </c>
      <c r="BK36" s="128">
        <v>1.95</v>
      </c>
      <c r="BL36" s="128">
        <v>1.96</v>
      </c>
      <c r="BM36" s="128">
        <v>1.97</v>
      </c>
      <c r="BN36" s="128">
        <v>1.98</v>
      </c>
      <c r="BO36" s="128">
        <v>1.98</v>
      </c>
      <c r="BP36" s="128">
        <v>1.99</v>
      </c>
      <c r="BQ36" s="128">
        <v>2</v>
      </c>
      <c r="BR36" s="128">
        <v>2.0099999999999998</v>
      </c>
      <c r="BS36" s="128">
        <v>2.02</v>
      </c>
      <c r="BT36" s="128">
        <v>2.02</v>
      </c>
      <c r="BU36" s="128">
        <v>2.0299999999999998</v>
      </c>
      <c r="BV36" s="128">
        <v>2.04</v>
      </c>
      <c r="BW36" s="128">
        <v>2.0499999999999998</v>
      </c>
      <c r="BX36" s="128">
        <v>2.06</v>
      </c>
      <c r="BY36" s="128">
        <v>2.06</v>
      </c>
      <c r="BZ36" s="128">
        <v>2.0699999999999998</v>
      </c>
      <c r="CA36" s="128">
        <v>2.08</v>
      </c>
      <c r="CB36" s="128">
        <v>2.09</v>
      </c>
      <c r="CC36" s="128">
        <v>2.1</v>
      </c>
      <c r="CD36" s="128">
        <v>2.11</v>
      </c>
      <c r="CE36" s="128">
        <v>2.12</v>
      </c>
      <c r="CF36" s="128">
        <v>2.13</v>
      </c>
      <c r="CG36" s="128">
        <v>2.14</v>
      </c>
      <c r="CH36" s="128">
        <v>2.15</v>
      </c>
      <c r="CI36" s="128">
        <v>2.16</v>
      </c>
      <c r="CJ36" s="128">
        <v>2.17</v>
      </c>
      <c r="CK36" s="128">
        <v>2.1800000000000002</v>
      </c>
      <c r="CL36" s="128">
        <v>2.19</v>
      </c>
      <c r="CM36" s="128">
        <v>2.2000000000000002</v>
      </c>
      <c r="CN36" s="128">
        <v>2.21</v>
      </c>
      <c r="CO36" s="128">
        <v>2.2200000000000002</v>
      </c>
      <c r="CP36" s="128">
        <v>2.23</v>
      </c>
      <c r="CQ36" s="128">
        <v>2.2400000000000002</v>
      </c>
      <c r="CR36" s="128">
        <v>2.25</v>
      </c>
      <c r="CS36" s="128">
        <v>2.27</v>
      </c>
      <c r="CT36" s="128">
        <v>2.2799999999999998</v>
      </c>
      <c r="CU36" s="128">
        <v>2.29</v>
      </c>
      <c r="CV36" s="128">
        <v>2.2999999999999998</v>
      </c>
      <c r="CW36" s="128">
        <v>2.3199999999999998</v>
      </c>
      <c r="CX36" s="128">
        <v>2.33</v>
      </c>
      <c r="CZ36" s="126">
        <f>SUMIF(MatrixF5[[1]:[2]],MatrixF5[[#This Row],[Столбец1]])/MatrixF5[[#This Row],[Столбец1]]</f>
        <v>25.999999999999982</v>
      </c>
      <c r="DA36" s="126">
        <f>SUMIF(MatrixF5[[1]:[2]],MatrixF5[[#This Row],[Столбец1]]+1)/(MatrixF5[[#This Row],[Столбец1]]+1)</f>
        <v>63.000000000000007</v>
      </c>
    </row>
    <row r="37" spans="1:105" ht="21" customHeight="1" x14ac:dyDescent="0.25">
      <c r="A37" s="127">
        <v>1.34</v>
      </c>
      <c r="B37" s="128">
        <v>1.34</v>
      </c>
      <c r="C37" s="128">
        <v>1.36</v>
      </c>
      <c r="D37" s="128">
        <v>1.37</v>
      </c>
      <c r="E37" s="128">
        <v>1.39</v>
      </c>
      <c r="F37" s="128">
        <v>1.4</v>
      </c>
      <c r="G37" s="128">
        <v>1.42</v>
      </c>
      <c r="H37" s="128">
        <v>1.43</v>
      </c>
      <c r="I37" s="128">
        <v>1.45</v>
      </c>
      <c r="J37" s="128">
        <v>1.46</v>
      </c>
      <c r="K37" s="128">
        <v>1.48</v>
      </c>
      <c r="L37" s="128">
        <v>1.49</v>
      </c>
      <c r="M37" s="128">
        <v>1.5</v>
      </c>
      <c r="N37" s="128">
        <v>1.52</v>
      </c>
      <c r="O37" s="128">
        <v>1.53</v>
      </c>
      <c r="P37" s="128">
        <v>1.54</v>
      </c>
      <c r="Q37" s="128">
        <v>1.56</v>
      </c>
      <c r="R37" s="128">
        <v>1.57</v>
      </c>
      <c r="S37" s="128">
        <v>1.58</v>
      </c>
      <c r="T37" s="128">
        <v>1.59</v>
      </c>
      <c r="U37" s="128">
        <v>1.61</v>
      </c>
      <c r="V37" s="128">
        <v>1.62</v>
      </c>
      <c r="W37" s="128">
        <v>1.63</v>
      </c>
      <c r="X37" s="128">
        <v>1.64</v>
      </c>
      <c r="Y37" s="128">
        <v>1.65</v>
      </c>
      <c r="Z37" s="128">
        <v>1.66</v>
      </c>
      <c r="AA37" s="128">
        <v>1.67</v>
      </c>
      <c r="AB37" s="128">
        <v>1.68</v>
      </c>
      <c r="AC37" s="128">
        <v>1.69</v>
      </c>
      <c r="AD37" s="128">
        <v>1.7</v>
      </c>
      <c r="AE37" s="128">
        <v>1.71</v>
      </c>
      <c r="AF37" s="128">
        <v>1.72</v>
      </c>
      <c r="AG37" s="128">
        <v>1.73</v>
      </c>
      <c r="AH37" s="128">
        <v>1.74</v>
      </c>
      <c r="AI37" s="128">
        <v>1.75</v>
      </c>
      <c r="AJ37" s="128">
        <v>1.76</v>
      </c>
      <c r="AK37" s="128">
        <v>1.77</v>
      </c>
      <c r="AL37" s="128">
        <v>1.78</v>
      </c>
      <c r="AM37" s="128">
        <v>1.78</v>
      </c>
      <c r="AN37" s="128">
        <v>1.79</v>
      </c>
      <c r="AO37" s="128">
        <v>1.8</v>
      </c>
      <c r="AP37" s="128">
        <v>1.81</v>
      </c>
      <c r="AQ37" s="128">
        <v>1.81</v>
      </c>
      <c r="AR37" s="128">
        <v>1.82</v>
      </c>
      <c r="AS37" s="128">
        <v>1.83</v>
      </c>
      <c r="AT37" s="128">
        <v>1.84</v>
      </c>
      <c r="AU37" s="128">
        <v>1.84</v>
      </c>
      <c r="AV37" s="128">
        <v>1.85</v>
      </c>
      <c r="AW37" s="128">
        <v>1.86</v>
      </c>
      <c r="AX37" s="128">
        <v>1.87</v>
      </c>
      <c r="AY37" s="128">
        <v>1.87</v>
      </c>
      <c r="AZ37" s="128">
        <v>1.88</v>
      </c>
      <c r="BA37" s="128">
        <v>1.89</v>
      </c>
      <c r="BB37" s="128">
        <v>1.9</v>
      </c>
      <c r="BC37" s="128">
        <v>1.9</v>
      </c>
      <c r="BD37" s="128">
        <v>1.91</v>
      </c>
      <c r="BE37" s="128">
        <v>1.92</v>
      </c>
      <c r="BF37" s="128">
        <v>1.93</v>
      </c>
      <c r="BG37" s="128">
        <v>1.93</v>
      </c>
      <c r="BH37" s="128">
        <v>1.94</v>
      </c>
      <c r="BI37" s="128">
        <v>1.95</v>
      </c>
      <c r="BJ37" s="128">
        <v>1.96</v>
      </c>
      <c r="BK37" s="128">
        <v>1.96</v>
      </c>
      <c r="BL37" s="128">
        <v>1.97</v>
      </c>
      <c r="BM37" s="128">
        <v>1.98</v>
      </c>
      <c r="BN37" s="128">
        <v>1.99</v>
      </c>
      <c r="BO37" s="128">
        <v>1.99</v>
      </c>
      <c r="BP37" s="128">
        <v>2</v>
      </c>
      <c r="BQ37" s="128">
        <v>2.0099999999999998</v>
      </c>
      <c r="BR37" s="128">
        <v>2.02</v>
      </c>
      <c r="BS37" s="128">
        <v>2.02</v>
      </c>
      <c r="BT37" s="128">
        <v>2.0299999999999998</v>
      </c>
      <c r="BU37" s="128">
        <v>2.04</v>
      </c>
      <c r="BV37" s="128">
        <v>2.0499999999999998</v>
      </c>
      <c r="BW37" s="128">
        <v>2.06</v>
      </c>
      <c r="BX37" s="128">
        <v>2.06</v>
      </c>
      <c r="BY37" s="128">
        <v>2.0699999999999998</v>
      </c>
      <c r="BZ37" s="128">
        <v>2.08</v>
      </c>
      <c r="CA37" s="128">
        <v>2.09</v>
      </c>
      <c r="CB37" s="128">
        <v>2.1</v>
      </c>
      <c r="CC37" s="128">
        <v>2.11</v>
      </c>
      <c r="CD37" s="128">
        <v>2.12</v>
      </c>
      <c r="CE37" s="128">
        <v>2.13</v>
      </c>
      <c r="CF37" s="128">
        <v>2.14</v>
      </c>
      <c r="CG37" s="128">
        <v>2.15</v>
      </c>
      <c r="CH37" s="128">
        <v>2.16</v>
      </c>
      <c r="CI37" s="128">
        <v>2.17</v>
      </c>
      <c r="CJ37" s="128">
        <v>2.1800000000000002</v>
      </c>
      <c r="CK37" s="128">
        <v>2.19</v>
      </c>
      <c r="CL37" s="128">
        <v>2.2000000000000002</v>
      </c>
      <c r="CM37" s="128">
        <v>2.21</v>
      </c>
      <c r="CN37" s="128">
        <v>2.2200000000000002</v>
      </c>
      <c r="CO37" s="128">
        <v>2.23</v>
      </c>
      <c r="CP37" s="128">
        <v>2.2400000000000002</v>
      </c>
      <c r="CQ37" s="128">
        <v>2.25</v>
      </c>
      <c r="CR37" s="128">
        <v>2.2599999999999998</v>
      </c>
      <c r="CS37" s="128">
        <v>2.2799999999999998</v>
      </c>
      <c r="CT37" s="128">
        <v>2.29</v>
      </c>
      <c r="CU37" s="128">
        <v>2.2999999999999998</v>
      </c>
      <c r="CV37" s="128">
        <v>2.31</v>
      </c>
      <c r="CW37" s="128">
        <v>2.33</v>
      </c>
      <c r="CX37" s="128">
        <v>2.34</v>
      </c>
      <c r="CZ37" s="126">
        <f>SUMIF(MatrixF5[[1]:[2]],MatrixF5[[#This Row],[Столбец1]])/MatrixF5[[#This Row],[Столбец1]]</f>
        <v>26.000000000000007</v>
      </c>
      <c r="DA37" s="126">
        <f>SUMIF(MatrixF5[[1]:[2]],MatrixF5[[#This Row],[Столбец1]]+1)/(MatrixF5[[#This Row],[Столбец1]]+1)</f>
        <v>67.000000000000071</v>
      </c>
    </row>
    <row r="38" spans="1:105" ht="21" customHeight="1" x14ac:dyDescent="0.25">
      <c r="A38" s="127">
        <v>1.35</v>
      </c>
      <c r="B38" s="128">
        <v>1.35</v>
      </c>
      <c r="C38" s="128">
        <v>1.37</v>
      </c>
      <c r="D38" s="128">
        <v>1.38</v>
      </c>
      <c r="E38" s="128">
        <v>1.4</v>
      </c>
      <c r="F38" s="128">
        <v>1.41</v>
      </c>
      <c r="G38" s="128">
        <v>1.43</v>
      </c>
      <c r="H38" s="128">
        <v>1.44</v>
      </c>
      <c r="I38" s="128">
        <v>1.46</v>
      </c>
      <c r="J38" s="128">
        <v>1.47</v>
      </c>
      <c r="K38" s="128">
        <v>1.49</v>
      </c>
      <c r="L38" s="128">
        <v>1.5</v>
      </c>
      <c r="M38" s="128">
        <v>1.51</v>
      </c>
      <c r="N38" s="128">
        <v>1.53</v>
      </c>
      <c r="O38" s="128">
        <v>1.54</v>
      </c>
      <c r="P38" s="128">
        <v>1.55</v>
      </c>
      <c r="Q38" s="128">
        <v>1.57</v>
      </c>
      <c r="R38" s="128">
        <v>1.58</v>
      </c>
      <c r="S38" s="128">
        <v>1.59</v>
      </c>
      <c r="T38" s="128">
        <v>1.6</v>
      </c>
      <c r="U38" s="128">
        <v>1.61</v>
      </c>
      <c r="V38" s="128">
        <v>1.62</v>
      </c>
      <c r="W38" s="128">
        <v>1.64</v>
      </c>
      <c r="X38" s="128">
        <v>1.65</v>
      </c>
      <c r="Y38" s="128">
        <v>1.66</v>
      </c>
      <c r="Z38" s="128">
        <v>1.67</v>
      </c>
      <c r="AA38" s="128">
        <v>1.68</v>
      </c>
      <c r="AB38" s="128">
        <v>1.69</v>
      </c>
      <c r="AC38" s="128">
        <v>1.7</v>
      </c>
      <c r="AD38" s="128">
        <v>1.71</v>
      </c>
      <c r="AE38" s="128">
        <v>1.72</v>
      </c>
      <c r="AF38" s="128">
        <v>1.73</v>
      </c>
      <c r="AG38" s="128">
        <v>1.74</v>
      </c>
      <c r="AH38" s="128">
        <v>1.75</v>
      </c>
      <c r="AI38" s="128">
        <v>1.76</v>
      </c>
      <c r="AJ38" s="128">
        <v>1.77</v>
      </c>
      <c r="AK38" s="128">
        <v>1.78</v>
      </c>
      <c r="AL38" s="128">
        <v>1.79</v>
      </c>
      <c r="AM38" s="128">
        <v>1.79</v>
      </c>
      <c r="AN38" s="128">
        <v>1.8</v>
      </c>
      <c r="AO38" s="128">
        <v>1.81</v>
      </c>
      <c r="AP38" s="128">
        <v>1.81</v>
      </c>
      <c r="AQ38" s="128">
        <v>1.82</v>
      </c>
      <c r="AR38" s="128">
        <v>1.83</v>
      </c>
      <c r="AS38" s="128">
        <v>1.84</v>
      </c>
      <c r="AT38" s="128">
        <v>1.84</v>
      </c>
      <c r="AU38" s="128">
        <v>1.85</v>
      </c>
      <c r="AV38" s="128">
        <v>1.86</v>
      </c>
      <c r="AW38" s="128">
        <v>1.87</v>
      </c>
      <c r="AX38" s="128">
        <v>1.87</v>
      </c>
      <c r="AY38" s="128">
        <v>1.88</v>
      </c>
      <c r="AZ38" s="128">
        <v>1.89</v>
      </c>
      <c r="BA38" s="128">
        <v>1.9</v>
      </c>
      <c r="BB38" s="128">
        <v>1.9</v>
      </c>
      <c r="BC38" s="128">
        <v>1.91</v>
      </c>
      <c r="BD38" s="128">
        <v>1.92</v>
      </c>
      <c r="BE38" s="128">
        <v>1.93</v>
      </c>
      <c r="BF38" s="128">
        <v>1.93</v>
      </c>
      <c r="BG38" s="128">
        <v>1.94</v>
      </c>
      <c r="BH38" s="128">
        <v>1.95</v>
      </c>
      <c r="BI38" s="128">
        <v>1.96</v>
      </c>
      <c r="BJ38" s="128">
        <v>1.96</v>
      </c>
      <c r="BK38" s="128">
        <v>1.97</v>
      </c>
      <c r="BL38" s="128">
        <v>1.98</v>
      </c>
      <c r="BM38" s="128">
        <v>1.99</v>
      </c>
      <c r="BN38" s="128">
        <v>1.99</v>
      </c>
      <c r="BO38" s="128">
        <v>2</v>
      </c>
      <c r="BP38" s="128">
        <v>2.0099999999999998</v>
      </c>
      <c r="BQ38" s="128">
        <v>2.02</v>
      </c>
      <c r="BR38" s="128">
        <v>2.02</v>
      </c>
      <c r="BS38" s="128">
        <v>2.0299999999999998</v>
      </c>
      <c r="BT38" s="128">
        <v>2.04</v>
      </c>
      <c r="BU38" s="128">
        <v>2.0499999999999998</v>
      </c>
      <c r="BV38" s="128">
        <v>2.0499999999999998</v>
      </c>
      <c r="BW38" s="128">
        <v>2.06</v>
      </c>
      <c r="BX38" s="128">
        <v>2.0699999999999998</v>
      </c>
      <c r="BY38" s="128">
        <v>2.08</v>
      </c>
      <c r="BZ38" s="128">
        <v>2.09</v>
      </c>
      <c r="CA38" s="128">
        <v>2.1</v>
      </c>
      <c r="CB38" s="128">
        <v>2.11</v>
      </c>
      <c r="CC38" s="128">
        <v>2.12</v>
      </c>
      <c r="CD38" s="128">
        <v>2.12</v>
      </c>
      <c r="CE38" s="128">
        <v>2.13</v>
      </c>
      <c r="CF38" s="128">
        <v>2.14</v>
      </c>
      <c r="CG38" s="128">
        <v>2.15</v>
      </c>
      <c r="CH38" s="128">
        <v>2.16</v>
      </c>
      <c r="CI38" s="128">
        <v>2.17</v>
      </c>
      <c r="CJ38" s="128">
        <v>2.1800000000000002</v>
      </c>
      <c r="CK38" s="128">
        <v>2.19</v>
      </c>
      <c r="CL38" s="128">
        <v>2.21</v>
      </c>
      <c r="CM38" s="128">
        <v>2.2200000000000002</v>
      </c>
      <c r="CN38" s="128">
        <v>2.23</v>
      </c>
      <c r="CO38" s="128">
        <v>2.2400000000000002</v>
      </c>
      <c r="CP38" s="128">
        <v>2.25</v>
      </c>
      <c r="CQ38" s="128">
        <v>2.2599999999999998</v>
      </c>
      <c r="CR38" s="128">
        <v>2.27</v>
      </c>
      <c r="CS38" s="128">
        <v>2.29</v>
      </c>
      <c r="CT38" s="128">
        <v>2.2999999999999998</v>
      </c>
      <c r="CU38" s="128">
        <v>2.31</v>
      </c>
      <c r="CV38" s="128">
        <v>2.3199999999999998</v>
      </c>
      <c r="CW38" s="128">
        <v>2.34</v>
      </c>
      <c r="CX38" s="128">
        <v>2.35</v>
      </c>
      <c r="CZ38" s="126">
        <f>SUMIF(MatrixF5[[1]:[2]],MatrixF5[[#This Row],[Столбец1]])/MatrixF5[[#This Row],[Столбец1]]</f>
        <v>31.000000000000014</v>
      </c>
      <c r="DA38" s="126">
        <f>SUMIF(MatrixF5[[1]:[2]],MatrixF5[[#This Row],[Столбец1]]+1)/(MatrixF5[[#This Row],[Столбец1]]+1)</f>
        <v>63.999999999999929</v>
      </c>
    </row>
    <row r="39" spans="1:105" ht="21" customHeight="1" x14ac:dyDescent="0.25">
      <c r="A39" s="127">
        <v>1.36</v>
      </c>
      <c r="B39" s="128">
        <v>1.36</v>
      </c>
      <c r="C39" s="128">
        <v>1.38</v>
      </c>
      <c r="D39" s="128">
        <v>1.39</v>
      </c>
      <c r="E39" s="128">
        <v>1.41</v>
      </c>
      <c r="F39" s="128">
        <v>1.42</v>
      </c>
      <c r="G39" s="128">
        <v>1.44</v>
      </c>
      <c r="H39" s="128">
        <v>1.45</v>
      </c>
      <c r="I39" s="128">
        <v>1.47</v>
      </c>
      <c r="J39" s="128">
        <v>1.48</v>
      </c>
      <c r="K39" s="128">
        <v>1.5</v>
      </c>
      <c r="L39" s="128">
        <v>1.51</v>
      </c>
      <c r="M39" s="128">
        <v>1.52</v>
      </c>
      <c r="N39" s="128">
        <v>1.54</v>
      </c>
      <c r="O39" s="128">
        <v>1.55</v>
      </c>
      <c r="P39" s="128">
        <v>1.56</v>
      </c>
      <c r="Q39" s="128">
        <v>1.57</v>
      </c>
      <c r="R39" s="128">
        <v>1.59</v>
      </c>
      <c r="S39" s="128">
        <v>1.6</v>
      </c>
      <c r="T39" s="128">
        <v>1.61</v>
      </c>
      <c r="U39" s="128">
        <v>1.62</v>
      </c>
      <c r="V39" s="128">
        <v>1.63</v>
      </c>
      <c r="W39" s="128">
        <v>1.64</v>
      </c>
      <c r="X39" s="128">
        <v>1.66</v>
      </c>
      <c r="Y39" s="128">
        <v>1.67</v>
      </c>
      <c r="Z39" s="128">
        <v>1.68</v>
      </c>
      <c r="AA39" s="128">
        <v>1.69</v>
      </c>
      <c r="AB39" s="128">
        <v>1.7</v>
      </c>
      <c r="AC39" s="128">
        <v>1.71</v>
      </c>
      <c r="AD39" s="128">
        <v>1.72</v>
      </c>
      <c r="AE39" s="128">
        <v>1.73</v>
      </c>
      <c r="AF39" s="128">
        <v>1.74</v>
      </c>
      <c r="AG39" s="128">
        <v>1.75</v>
      </c>
      <c r="AH39" s="128">
        <v>1.76</v>
      </c>
      <c r="AI39" s="128">
        <v>1.77</v>
      </c>
      <c r="AJ39" s="128">
        <v>1.78</v>
      </c>
      <c r="AK39" s="128">
        <v>1.79</v>
      </c>
      <c r="AL39" s="128">
        <v>1.79</v>
      </c>
      <c r="AM39" s="128">
        <v>1.8</v>
      </c>
      <c r="AN39" s="128">
        <v>1.81</v>
      </c>
      <c r="AO39" s="128">
        <v>1.82</v>
      </c>
      <c r="AP39" s="128">
        <v>1.82</v>
      </c>
      <c r="AQ39" s="128">
        <v>1.83</v>
      </c>
      <c r="AR39" s="128">
        <v>1.84</v>
      </c>
      <c r="AS39" s="128">
        <v>1.85</v>
      </c>
      <c r="AT39" s="128">
        <v>1.85</v>
      </c>
      <c r="AU39" s="128">
        <v>1.86</v>
      </c>
      <c r="AV39" s="128">
        <v>1.87</v>
      </c>
      <c r="AW39" s="128">
        <v>1.88</v>
      </c>
      <c r="AX39" s="128">
        <v>1.88</v>
      </c>
      <c r="AY39" s="128">
        <v>1.89</v>
      </c>
      <c r="AZ39" s="128">
        <v>1.9</v>
      </c>
      <c r="BA39" s="128">
        <v>1.9</v>
      </c>
      <c r="BB39" s="128">
        <v>1.91</v>
      </c>
      <c r="BC39" s="128">
        <v>1.92</v>
      </c>
      <c r="BD39" s="128">
        <v>1.93</v>
      </c>
      <c r="BE39" s="128">
        <v>1.93</v>
      </c>
      <c r="BF39" s="128">
        <v>1.94</v>
      </c>
      <c r="BG39" s="128">
        <v>1.95</v>
      </c>
      <c r="BH39" s="128">
        <v>1.96</v>
      </c>
      <c r="BI39" s="128">
        <v>1.96</v>
      </c>
      <c r="BJ39" s="128">
        <v>1.97</v>
      </c>
      <c r="BK39" s="128">
        <v>1.98</v>
      </c>
      <c r="BL39" s="128">
        <v>1.99</v>
      </c>
      <c r="BM39" s="128">
        <v>1.99</v>
      </c>
      <c r="BN39" s="128">
        <v>2</v>
      </c>
      <c r="BO39" s="128">
        <v>2.0099999999999998</v>
      </c>
      <c r="BP39" s="128">
        <v>2.0099999999999998</v>
      </c>
      <c r="BQ39" s="128">
        <v>2.02</v>
      </c>
      <c r="BR39" s="128">
        <v>2.0299999999999998</v>
      </c>
      <c r="BS39" s="128">
        <v>2.04</v>
      </c>
      <c r="BT39" s="128">
        <v>2.0499999999999998</v>
      </c>
      <c r="BU39" s="128">
        <v>2.0499999999999998</v>
      </c>
      <c r="BV39" s="128">
        <v>2.06</v>
      </c>
      <c r="BW39" s="128">
        <v>2.0699999999999998</v>
      </c>
      <c r="BX39" s="128">
        <v>2.08</v>
      </c>
      <c r="BY39" s="128">
        <v>2.09</v>
      </c>
      <c r="BZ39" s="128">
        <v>2.1</v>
      </c>
      <c r="CA39" s="128">
        <v>2.11</v>
      </c>
      <c r="CB39" s="128">
        <v>2.11</v>
      </c>
      <c r="CC39" s="128">
        <v>2.12</v>
      </c>
      <c r="CD39" s="128">
        <v>2.13</v>
      </c>
      <c r="CE39" s="128">
        <v>2.14</v>
      </c>
      <c r="CF39" s="128">
        <v>2.15</v>
      </c>
      <c r="CG39" s="128">
        <v>2.16</v>
      </c>
      <c r="CH39" s="128">
        <v>2.17</v>
      </c>
      <c r="CI39" s="128">
        <v>2.1800000000000002</v>
      </c>
      <c r="CJ39" s="128">
        <v>2.19</v>
      </c>
      <c r="CK39" s="128">
        <v>2.2000000000000002</v>
      </c>
      <c r="CL39" s="128">
        <v>2.21</v>
      </c>
      <c r="CM39" s="128">
        <v>2.23</v>
      </c>
      <c r="CN39" s="128">
        <v>2.2400000000000002</v>
      </c>
      <c r="CO39" s="128">
        <v>2.25</v>
      </c>
      <c r="CP39" s="128">
        <v>2.2599999999999998</v>
      </c>
      <c r="CQ39" s="128">
        <v>2.27</v>
      </c>
      <c r="CR39" s="128">
        <v>2.2799999999999998</v>
      </c>
      <c r="CS39" s="128">
        <v>2.2999999999999998</v>
      </c>
      <c r="CT39" s="128">
        <v>2.31</v>
      </c>
      <c r="CU39" s="128">
        <v>2.3199999999999998</v>
      </c>
      <c r="CV39" s="128">
        <v>2.33</v>
      </c>
      <c r="CW39" s="128">
        <v>2.35</v>
      </c>
      <c r="CX39" s="128">
        <v>2.36</v>
      </c>
      <c r="CZ39" s="126">
        <f>SUMIF(MatrixF5[[1]:[2]],MatrixF5[[#This Row],[Столбец1]])/MatrixF5[[#This Row],[Столбец1]]</f>
        <v>29.999999999999989</v>
      </c>
      <c r="DA39" s="126">
        <f>SUMIF(MatrixF5[[1]:[2]],MatrixF5[[#This Row],[Столбец1]]+1)/(MatrixF5[[#This Row],[Столбец1]]+1)</f>
        <v>61.000000000000021</v>
      </c>
    </row>
    <row r="40" spans="1:105" ht="21" customHeight="1" x14ac:dyDescent="0.25">
      <c r="A40" s="127">
        <v>1.37</v>
      </c>
      <c r="B40" s="128">
        <v>1.37</v>
      </c>
      <c r="C40" s="128">
        <v>1.39</v>
      </c>
      <c r="D40" s="128">
        <v>1.4</v>
      </c>
      <c r="E40" s="128">
        <v>1.42</v>
      </c>
      <c r="F40" s="128">
        <v>1.43</v>
      </c>
      <c r="G40" s="128">
        <v>1.45</v>
      </c>
      <c r="H40" s="128">
        <v>1.46</v>
      </c>
      <c r="I40" s="128">
        <v>1.48</v>
      </c>
      <c r="J40" s="128">
        <v>1.49</v>
      </c>
      <c r="K40" s="128">
        <v>1.5</v>
      </c>
      <c r="L40" s="128">
        <v>1.52</v>
      </c>
      <c r="M40" s="128">
        <v>1.53</v>
      </c>
      <c r="N40" s="128">
        <v>1.54</v>
      </c>
      <c r="O40" s="128">
        <v>1.56</v>
      </c>
      <c r="P40" s="128">
        <v>1.57</v>
      </c>
      <c r="Q40" s="128">
        <v>1.58</v>
      </c>
      <c r="R40" s="128">
        <v>1.59</v>
      </c>
      <c r="S40" s="128">
        <v>1.61</v>
      </c>
      <c r="T40" s="128">
        <v>1.62</v>
      </c>
      <c r="U40" s="128">
        <v>1.63</v>
      </c>
      <c r="V40" s="128">
        <v>1.64</v>
      </c>
      <c r="W40" s="128">
        <v>1.65</v>
      </c>
      <c r="X40" s="128">
        <v>1.66</v>
      </c>
      <c r="Y40" s="128">
        <v>1.67</v>
      </c>
      <c r="Z40" s="128">
        <v>1.69</v>
      </c>
      <c r="AA40" s="128">
        <v>1.7</v>
      </c>
      <c r="AB40" s="128">
        <v>1.71</v>
      </c>
      <c r="AC40" s="128">
        <v>1.72</v>
      </c>
      <c r="AD40" s="128">
        <v>1.73</v>
      </c>
      <c r="AE40" s="128">
        <v>1.74</v>
      </c>
      <c r="AF40" s="128">
        <v>1.75</v>
      </c>
      <c r="AG40" s="128">
        <v>1.76</v>
      </c>
      <c r="AH40" s="128">
        <v>1.77</v>
      </c>
      <c r="AI40" s="128">
        <v>1.77</v>
      </c>
      <c r="AJ40" s="128">
        <v>1.78</v>
      </c>
      <c r="AK40" s="128">
        <v>1.79</v>
      </c>
      <c r="AL40" s="128">
        <v>1.8</v>
      </c>
      <c r="AM40" s="128">
        <v>1.81</v>
      </c>
      <c r="AN40" s="128">
        <v>1.82</v>
      </c>
      <c r="AO40" s="128">
        <v>1.82</v>
      </c>
      <c r="AP40" s="128">
        <v>1.83</v>
      </c>
      <c r="AQ40" s="128">
        <v>1.84</v>
      </c>
      <c r="AR40" s="128">
        <v>1.85</v>
      </c>
      <c r="AS40" s="128">
        <v>1.85</v>
      </c>
      <c r="AT40" s="128">
        <v>1.86</v>
      </c>
      <c r="AU40" s="128">
        <v>1.87</v>
      </c>
      <c r="AV40" s="128">
        <v>1.88</v>
      </c>
      <c r="AW40" s="128">
        <v>1.88</v>
      </c>
      <c r="AX40" s="128">
        <v>1.89</v>
      </c>
      <c r="AY40" s="128">
        <v>1.9</v>
      </c>
      <c r="AZ40" s="128">
        <v>1.91</v>
      </c>
      <c r="BA40" s="128">
        <v>1.91</v>
      </c>
      <c r="BB40" s="128">
        <v>1.92</v>
      </c>
      <c r="BC40" s="128">
        <v>1.93</v>
      </c>
      <c r="BD40" s="128">
        <v>1.93</v>
      </c>
      <c r="BE40" s="128">
        <v>1.94</v>
      </c>
      <c r="BF40" s="128">
        <v>1.95</v>
      </c>
      <c r="BG40" s="128">
        <v>1.96</v>
      </c>
      <c r="BH40" s="128">
        <v>1.96</v>
      </c>
      <c r="BI40" s="128">
        <v>1.97</v>
      </c>
      <c r="BJ40" s="128">
        <v>1.98</v>
      </c>
      <c r="BK40" s="128">
        <v>1.99</v>
      </c>
      <c r="BL40" s="128">
        <v>1.99</v>
      </c>
      <c r="BM40" s="128">
        <v>2</v>
      </c>
      <c r="BN40" s="128">
        <v>2.0099999999999998</v>
      </c>
      <c r="BO40" s="128">
        <v>2.0099999999999998</v>
      </c>
      <c r="BP40" s="128">
        <v>2.02</v>
      </c>
      <c r="BQ40" s="128">
        <v>2.0299999999999998</v>
      </c>
      <c r="BR40" s="128">
        <v>2.04</v>
      </c>
      <c r="BS40" s="128">
        <v>2.0499999999999998</v>
      </c>
      <c r="BT40" s="128">
        <v>2.0499999999999998</v>
      </c>
      <c r="BU40" s="128">
        <v>2.06</v>
      </c>
      <c r="BV40" s="128">
        <v>2.0699999999999998</v>
      </c>
      <c r="BW40" s="128">
        <v>2.08</v>
      </c>
      <c r="BX40" s="128">
        <v>2.09</v>
      </c>
      <c r="BY40" s="128">
        <v>2.1</v>
      </c>
      <c r="BZ40" s="128">
        <v>2.1</v>
      </c>
      <c r="CA40" s="128">
        <v>2.11</v>
      </c>
      <c r="CB40" s="128">
        <v>2.12</v>
      </c>
      <c r="CC40" s="128">
        <v>2.13</v>
      </c>
      <c r="CD40" s="128">
        <v>2.14</v>
      </c>
      <c r="CE40" s="128">
        <v>2.15</v>
      </c>
      <c r="CF40" s="128">
        <v>2.16</v>
      </c>
      <c r="CG40" s="128">
        <v>2.17</v>
      </c>
      <c r="CH40" s="128">
        <v>2.1800000000000002</v>
      </c>
      <c r="CI40" s="128">
        <v>2.19</v>
      </c>
      <c r="CJ40" s="128">
        <v>2.2000000000000002</v>
      </c>
      <c r="CK40" s="128">
        <v>2.21</v>
      </c>
      <c r="CL40" s="128">
        <v>2.2200000000000002</v>
      </c>
      <c r="CM40" s="128">
        <v>2.23</v>
      </c>
      <c r="CN40" s="128">
        <v>2.25</v>
      </c>
      <c r="CO40" s="128">
        <v>2.2599999999999998</v>
      </c>
      <c r="CP40" s="128">
        <v>2.27</v>
      </c>
      <c r="CQ40" s="128">
        <v>2.2799999999999998</v>
      </c>
      <c r="CR40" s="128">
        <v>2.29</v>
      </c>
      <c r="CS40" s="128">
        <v>2.2999999999999998</v>
      </c>
      <c r="CT40" s="128">
        <v>2.3199999999999998</v>
      </c>
      <c r="CU40" s="128">
        <v>2.33</v>
      </c>
      <c r="CV40" s="128">
        <v>2.34</v>
      </c>
      <c r="CW40" s="128">
        <v>2.36</v>
      </c>
      <c r="CX40" s="128">
        <v>2.37</v>
      </c>
      <c r="CZ40" s="126">
        <f>SUMIF(MatrixF5[[1]:[2]],MatrixF5[[#This Row],[Столбец1]])/MatrixF5[[#This Row],[Столбец1]]</f>
        <v>29</v>
      </c>
      <c r="DA40" s="126">
        <f>SUMIF(MatrixF5[[1]:[2]],MatrixF5[[#This Row],[Столбец1]]+1)/(MatrixF5[[#This Row],[Столбец1]]+1)</f>
        <v>62.000000000000043</v>
      </c>
    </row>
    <row r="41" spans="1:105" ht="21" customHeight="1" x14ac:dyDescent="0.25">
      <c r="A41" s="127">
        <v>1.38</v>
      </c>
      <c r="B41" s="128">
        <v>1.38</v>
      </c>
      <c r="C41" s="128">
        <v>1.4</v>
      </c>
      <c r="D41" s="128">
        <v>1.41</v>
      </c>
      <c r="E41" s="128">
        <v>1.43</v>
      </c>
      <c r="F41" s="128">
        <v>1.44</v>
      </c>
      <c r="G41" s="128">
        <v>1.46</v>
      </c>
      <c r="H41" s="128">
        <v>1.47</v>
      </c>
      <c r="I41" s="128">
        <v>1.49</v>
      </c>
      <c r="J41" s="128">
        <v>1.5</v>
      </c>
      <c r="K41" s="128">
        <v>1.51</v>
      </c>
      <c r="L41" s="128">
        <v>1.53</v>
      </c>
      <c r="M41" s="128">
        <v>1.54</v>
      </c>
      <c r="N41" s="128">
        <v>1.55</v>
      </c>
      <c r="O41" s="128">
        <v>1.57</v>
      </c>
      <c r="P41" s="128">
        <v>1.58</v>
      </c>
      <c r="Q41" s="128">
        <v>1.59</v>
      </c>
      <c r="R41" s="128">
        <v>1.6</v>
      </c>
      <c r="S41" s="128">
        <v>1.62</v>
      </c>
      <c r="T41" s="128">
        <v>1.63</v>
      </c>
      <c r="U41" s="128">
        <v>1.64</v>
      </c>
      <c r="V41" s="128">
        <v>1.65</v>
      </c>
      <c r="W41" s="128">
        <v>1.66</v>
      </c>
      <c r="X41" s="128">
        <v>1.67</v>
      </c>
      <c r="Y41" s="128">
        <v>1.68</v>
      </c>
      <c r="Z41" s="128">
        <v>1.69</v>
      </c>
      <c r="AA41" s="128">
        <v>1.7</v>
      </c>
      <c r="AB41" s="128">
        <v>1.71</v>
      </c>
      <c r="AC41" s="128">
        <v>1.72</v>
      </c>
      <c r="AD41" s="128">
        <v>1.73</v>
      </c>
      <c r="AE41" s="128">
        <v>1.74</v>
      </c>
      <c r="AF41" s="128">
        <v>1.75</v>
      </c>
      <c r="AG41" s="128">
        <v>1.76</v>
      </c>
      <c r="AH41" s="128">
        <v>1.77</v>
      </c>
      <c r="AI41" s="128">
        <v>1.78</v>
      </c>
      <c r="AJ41" s="128">
        <v>1.79</v>
      </c>
      <c r="AK41" s="128">
        <v>1.8</v>
      </c>
      <c r="AL41" s="128">
        <v>1.81</v>
      </c>
      <c r="AM41" s="128">
        <v>1.82</v>
      </c>
      <c r="AN41" s="128">
        <v>1.83</v>
      </c>
      <c r="AO41" s="128">
        <v>1.83</v>
      </c>
      <c r="AP41" s="128">
        <v>1.84</v>
      </c>
      <c r="AQ41" s="128">
        <v>1.85</v>
      </c>
      <c r="AR41" s="128">
        <v>1.86</v>
      </c>
      <c r="AS41" s="128">
        <v>1.86</v>
      </c>
      <c r="AT41" s="128">
        <v>1.87</v>
      </c>
      <c r="AU41" s="128">
        <v>1.88</v>
      </c>
      <c r="AV41" s="128">
        <v>1.88</v>
      </c>
      <c r="AW41" s="128">
        <v>1.89</v>
      </c>
      <c r="AX41" s="128">
        <v>1.9</v>
      </c>
      <c r="AY41" s="128">
        <v>1.91</v>
      </c>
      <c r="AZ41" s="128">
        <v>1.91</v>
      </c>
      <c r="BA41" s="128">
        <v>1.92</v>
      </c>
      <c r="BB41" s="128">
        <v>1.93</v>
      </c>
      <c r="BC41" s="128">
        <v>1.93</v>
      </c>
      <c r="BD41" s="128">
        <v>1.94</v>
      </c>
      <c r="BE41" s="128">
        <v>1.95</v>
      </c>
      <c r="BF41" s="128">
        <v>1.96</v>
      </c>
      <c r="BG41" s="128">
        <v>1.96</v>
      </c>
      <c r="BH41" s="128">
        <v>1.97</v>
      </c>
      <c r="BI41" s="128">
        <v>1.98</v>
      </c>
      <c r="BJ41" s="128">
        <v>1.99</v>
      </c>
      <c r="BK41" s="128">
        <v>1.99</v>
      </c>
      <c r="BL41" s="128">
        <v>2</v>
      </c>
      <c r="BM41" s="128">
        <v>2.0099999999999998</v>
      </c>
      <c r="BN41" s="128">
        <v>2.0099999999999998</v>
      </c>
      <c r="BO41" s="128">
        <v>2.02</v>
      </c>
      <c r="BP41" s="128">
        <v>2.0299999999999998</v>
      </c>
      <c r="BQ41" s="128">
        <v>2.04</v>
      </c>
      <c r="BR41" s="128">
        <v>2.0499999999999998</v>
      </c>
      <c r="BS41" s="128">
        <v>2.0499999999999998</v>
      </c>
      <c r="BT41" s="128">
        <v>2.06</v>
      </c>
      <c r="BU41" s="128">
        <v>2.0699999999999998</v>
      </c>
      <c r="BV41" s="128">
        <v>2.08</v>
      </c>
      <c r="BW41" s="128">
        <v>2.09</v>
      </c>
      <c r="BX41" s="128">
        <v>2.1</v>
      </c>
      <c r="BY41" s="128">
        <v>2.1</v>
      </c>
      <c r="BZ41" s="128">
        <v>2.11</v>
      </c>
      <c r="CA41" s="128">
        <v>2.12</v>
      </c>
      <c r="CB41" s="128">
        <v>2.13</v>
      </c>
      <c r="CC41" s="128">
        <v>2.14</v>
      </c>
      <c r="CD41" s="128">
        <v>2.15</v>
      </c>
      <c r="CE41" s="128">
        <v>2.16</v>
      </c>
      <c r="CF41" s="128">
        <v>2.17</v>
      </c>
      <c r="CG41" s="128">
        <v>2.1800000000000002</v>
      </c>
      <c r="CH41" s="128">
        <v>2.19</v>
      </c>
      <c r="CI41" s="128">
        <v>2.2000000000000002</v>
      </c>
      <c r="CJ41" s="128">
        <v>2.21</v>
      </c>
      <c r="CK41" s="128">
        <v>2.2200000000000002</v>
      </c>
      <c r="CL41" s="128">
        <v>2.23</v>
      </c>
      <c r="CM41" s="128">
        <v>2.2400000000000002</v>
      </c>
      <c r="CN41" s="128">
        <v>2.25</v>
      </c>
      <c r="CO41" s="128">
        <v>2.27</v>
      </c>
      <c r="CP41" s="128">
        <v>2.2799999999999998</v>
      </c>
      <c r="CQ41" s="128">
        <v>2.29</v>
      </c>
      <c r="CR41" s="128">
        <v>2.2999999999999998</v>
      </c>
      <c r="CS41" s="128">
        <v>2.31</v>
      </c>
      <c r="CT41" s="128">
        <v>2.33</v>
      </c>
      <c r="CU41" s="128">
        <v>2.34</v>
      </c>
      <c r="CV41" s="128">
        <v>2.35</v>
      </c>
      <c r="CW41" s="128">
        <v>2.37</v>
      </c>
      <c r="CX41" s="128">
        <v>2.38</v>
      </c>
      <c r="CZ41" s="126">
        <f>SUMIF(MatrixF5[[1]:[2]],MatrixF5[[#This Row],[Столбец1]])/MatrixF5[[#This Row],[Столбец1]]</f>
        <v>34.000000000000007</v>
      </c>
      <c r="DA41" s="126">
        <f>SUMIF(MatrixF5[[1]:[2]],MatrixF5[[#This Row],[Столбец1]]+1)/(MatrixF5[[#This Row],[Столбец1]]+1)</f>
        <v>60.999999999999943</v>
      </c>
    </row>
    <row r="42" spans="1:105" ht="21" customHeight="1" x14ac:dyDescent="0.25">
      <c r="A42" s="127">
        <v>1.39</v>
      </c>
      <c r="B42" s="128">
        <v>1.39</v>
      </c>
      <c r="C42" s="128">
        <v>1.41</v>
      </c>
      <c r="D42" s="128">
        <v>1.42</v>
      </c>
      <c r="E42" s="128">
        <v>1.44</v>
      </c>
      <c r="F42" s="128">
        <v>1.45</v>
      </c>
      <c r="G42" s="128">
        <v>1.47</v>
      </c>
      <c r="H42" s="128">
        <v>1.48</v>
      </c>
      <c r="I42" s="128">
        <v>1.5</v>
      </c>
      <c r="J42" s="128">
        <v>1.51</v>
      </c>
      <c r="K42" s="128">
        <v>1.52</v>
      </c>
      <c r="L42" s="128">
        <v>1.54</v>
      </c>
      <c r="M42" s="128">
        <v>1.55</v>
      </c>
      <c r="N42" s="128">
        <v>1.56</v>
      </c>
      <c r="O42" s="128">
        <v>1.58</v>
      </c>
      <c r="P42" s="128">
        <v>1.59</v>
      </c>
      <c r="Q42" s="128">
        <v>1.6</v>
      </c>
      <c r="R42" s="128">
        <v>1.61</v>
      </c>
      <c r="S42" s="128">
        <v>1.62</v>
      </c>
      <c r="T42" s="128">
        <v>1.64</v>
      </c>
      <c r="U42" s="128">
        <v>1.65</v>
      </c>
      <c r="V42" s="128">
        <v>1.66</v>
      </c>
      <c r="W42" s="128">
        <v>1.67</v>
      </c>
      <c r="X42" s="128">
        <v>1.68</v>
      </c>
      <c r="Y42" s="128">
        <v>1.69</v>
      </c>
      <c r="Z42" s="128">
        <v>1.7</v>
      </c>
      <c r="AA42" s="128">
        <v>1.71</v>
      </c>
      <c r="AB42" s="128">
        <v>1.72</v>
      </c>
      <c r="AC42" s="128">
        <v>1.73</v>
      </c>
      <c r="AD42" s="128">
        <v>1.74</v>
      </c>
      <c r="AE42" s="128">
        <v>1.75</v>
      </c>
      <c r="AF42" s="128">
        <v>1.76</v>
      </c>
      <c r="AG42" s="128">
        <v>1.77</v>
      </c>
      <c r="AH42" s="128">
        <v>1.78</v>
      </c>
      <c r="AI42" s="128">
        <v>1.79</v>
      </c>
      <c r="AJ42" s="128">
        <v>1.8</v>
      </c>
      <c r="AK42" s="128">
        <v>1.81</v>
      </c>
      <c r="AL42" s="128">
        <v>1.82</v>
      </c>
      <c r="AM42" s="128">
        <v>1.82</v>
      </c>
      <c r="AN42" s="128">
        <v>1.83</v>
      </c>
      <c r="AO42" s="128">
        <v>1.84</v>
      </c>
      <c r="AP42" s="128">
        <v>1.85</v>
      </c>
      <c r="AQ42" s="128">
        <v>1.86</v>
      </c>
      <c r="AR42" s="128">
        <v>1.86</v>
      </c>
      <c r="AS42" s="128">
        <v>1.87</v>
      </c>
      <c r="AT42" s="128">
        <v>1.88</v>
      </c>
      <c r="AU42" s="128">
        <v>1.88</v>
      </c>
      <c r="AV42" s="128">
        <v>1.89</v>
      </c>
      <c r="AW42" s="128">
        <v>1.9</v>
      </c>
      <c r="AX42" s="128">
        <v>1.91</v>
      </c>
      <c r="AY42" s="128">
        <v>1.91</v>
      </c>
      <c r="AZ42" s="128">
        <v>1.92</v>
      </c>
      <c r="BA42" s="128">
        <v>1.93</v>
      </c>
      <c r="BB42" s="128">
        <v>1.94</v>
      </c>
      <c r="BC42" s="128">
        <v>1.94</v>
      </c>
      <c r="BD42" s="128">
        <v>1.95</v>
      </c>
      <c r="BE42" s="128">
        <v>1.96</v>
      </c>
      <c r="BF42" s="128">
        <v>1.96</v>
      </c>
      <c r="BG42" s="128">
        <v>1.97</v>
      </c>
      <c r="BH42" s="128">
        <v>1.98</v>
      </c>
      <c r="BI42" s="128">
        <v>1.99</v>
      </c>
      <c r="BJ42" s="128">
        <v>1.99</v>
      </c>
      <c r="BK42" s="128">
        <v>2</v>
      </c>
      <c r="BL42" s="128">
        <v>2.0099999999999998</v>
      </c>
      <c r="BM42" s="128">
        <v>2.0099999999999998</v>
      </c>
      <c r="BN42" s="128">
        <v>2.02</v>
      </c>
      <c r="BO42" s="128">
        <v>2.0299999999999998</v>
      </c>
      <c r="BP42" s="128">
        <v>2.04</v>
      </c>
      <c r="BQ42" s="128">
        <v>2.0499999999999998</v>
      </c>
      <c r="BR42" s="128">
        <v>2.0499999999999998</v>
      </c>
      <c r="BS42" s="128">
        <v>2.06</v>
      </c>
      <c r="BT42" s="128">
        <v>2.0699999999999998</v>
      </c>
      <c r="BU42" s="128">
        <v>2.08</v>
      </c>
      <c r="BV42" s="128">
        <v>2.09</v>
      </c>
      <c r="BW42" s="128">
        <v>2.09</v>
      </c>
      <c r="BX42" s="128">
        <v>2.1</v>
      </c>
      <c r="BY42" s="128">
        <v>2.11</v>
      </c>
      <c r="BZ42" s="128">
        <v>2.12</v>
      </c>
      <c r="CA42" s="128">
        <v>2.13</v>
      </c>
      <c r="CB42" s="128">
        <v>2.14</v>
      </c>
      <c r="CC42" s="128">
        <v>2.15</v>
      </c>
      <c r="CD42" s="128">
        <v>2.16</v>
      </c>
      <c r="CE42" s="128">
        <v>2.17</v>
      </c>
      <c r="CF42" s="128">
        <v>2.1800000000000002</v>
      </c>
      <c r="CG42" s="128">
        <v>2.19</v>
      </c>
      <c r="CH42" s="128">
        <v>2.2000000000000002</v>
      </c>
      <c r="CI42" s="128">
        <v>2.21</v>
      </c>
      <c r="CJ42" s="128">
        <v>2.2200000000000002</v>
      </c>
      <c r="CK42" s="128">
        <v>2.23</v>
      </c>
      <c r="CL42" s="128">
        <v>2.2400000000000002</v>
      </c>
      <c r="CM42" s="128">
        <v>2.25</v>
      </c>
      <c r="CN42" s="128">
        <v>2.2599999999999998</v>
      </c>
      <c r="CO42" s="128">
        <v>2.2799999999999998</v>
      </c>
      <c r="CP42" s="128">
        <v>2.29</v>
      </c>
      <c r="CQ42" s="128">
        <v>2.2999999999999998</v>
      </c>
      <c r="CR42" s="128">
        <v>2.31</v>
      </c>
      <c r="CS42" s="128">
        <v>2.3199999999999998</v>
      </c>
      <c r="CT42" s="128">
        <v>2.34</v>
      </c>
      <c r="CU42" s="128">
        <v>2.35</v>
      </c>
      <c r="CV42" s="128">
        <v>2.36</v>
      </c>
      <c r="CW42" s="128">
        <v>2.38</v>
      </c>
      <c r="CX42" s="128">
        <v>2.39</v>
      </c>
      <c r="CZ42" s="126">
        <f>SUMIF(MatrixF5[[1]:[2]],MatrixF5[[#This Row],[Столбец1]])/MatrixF5[[#This Row],[Столбец1]]</f>
        <v>35.000000000000014</v>
      </c>
      <c r="DA42" s="126">
        <f>SUMIF(MatrixF5[[1]:[2]],MatrixF5[[#This Row],[Столбец1]]+1)/(MatrixF5[[#This Row],[Столбец1]]+1)</f>
        <v>59.999999999999972</v>
      </c>
    </row>
    <row r="43" spans="1:105" ht="21" customHeight="1" x14ac:dyDescent="0.25">
      <c r="A43" s="127">
        <v>1.4</v>
      </c>
      <c r="B43" s="128">
        <v>1.4</v>
      </c>
      <c r="C43" s="128">
        <v>1.42</v>
      </c>
      <c r="D43" s="128">
        <v>1.43</v>
      </c>
      <c r="E43" s="128">
        <v>1.45</v>
      </c>
      <c r="F43" s="128">
        <v>1.46</v>
      </c>
      <c r="G43" s="128">
        <v>1.48</v>
      </c>
      <c r="H43" s="128">
        <v>1.49</v>
      </c>
      <c r="I43" s="128">
        <v>1.5</v>
      </c>
      <c r="J43" s="128">
        <v>1.52</v>
      </c>
      <c r="K43" s="128">
        <v>1.53</v>
      </c>
      <c r="L43" s="128">
        <v>1.55</v>
      </c>
      <c r="M43" s="128">
        <v>1.56</v>
      </c>
      <c r="N43" s="128">
        <v>1.57</v>
      </c>
      <c r="O43" s="128">
        <v>1.58</v>
      </c>
      <c r="P43" s="128">
        <v>1.6</v>
      </c>
      <c r="Q43" s="128">
        <v>1.61</v>
      </c>
      <c r="R43" s="128">
        <v>1.62</v>
      </c>
      <c r="S43" s="128">
        <v>1.63</v>
      </c>
      <c r="T43" s="128">
        <v>1.64</v>
      </c>
      <c r="U43" s="128">
        <v>1.66</v>
      </c>
      <c r="V43" s="128">
        <v>1.67</v>
      </c>
      <c r="W43" s="128">
        <v>1.68</v>
      </c>
      <c r="X43" s="128">
        <v>1.69</v>
      </c>
      <c r="Y43" s="128">
        <v>1.7</v>
      </c>
      <c r="Z43" s="128">
        <v>1.71</v>
      </c>
      <c r="AA43" s="128">
        <v>1.72</v>
      </c>
      <c r="AB43" s="128">
        <v>1.73</v>
      </c>
      <c r="AC43" s="128">
        <v>1.74</v>
      </c>
      <c r="AD43" s="128">
        <v>1.75</v>
      </c>
      <c r="AE43" s="128">
        <v>1.76</v>
      </c>
      <c r="AF43" s="128">
        <v>1.77</v>
      </c>
      <c r="AG43" s="128">
        <v>1.78</v>
      </c>
      <c r="AH43" s="128">
        <v>1.79</v>
      </c>
      <c r="AI43" s="128">
        <v>1.8</v>
      </c>
      <c r="AJ43" s="128">
        <v>1.81</v>
      </c>
      <c r="AK43" s="128">
        <v>1.81</v>
      </c>
      <c r="AL43" s="128">
        <v>1.82</v>
      </c>
      <c r="AM43" s="128">
        <v>1.83</v>
      </c>
      <c r="AN43" s="128">
        <v>1.84</v>
      </c>
      <c r="AO43" s="128">
        <v>1.85</v>
      </c>
      <c r="AP43" s="128">
        <v>1.86</v>
      </c>
      <c r="AQ43" s="128">
        <v>1.86</v>
      </c>
      <c r="AR43" s="128">
        <v>1.87</v>
      </c>
      <c r="AS43" s="128">
        <v>1.88</v>
      </c>
      <c r="AT43" s="128">
        <v>1.89</v>
      </c>
      <c r="AU43" s="128">
        <v>1.89</v>
      </c>
      <c r="AV43" s="128">
        <v>1.9</v>
      </c>
      <c r="AW43" s="128">
        <v>1.91</v>
      </c>
      <c r="AX43" s="128">
        <v>1.91</v>
      </c>
      <c r="AY43" s="128">
        <v>1.92</v>
      </c>
      <c r="AZ43" s="128">
        <v>1.93</v>
      </c>
      <c r="BA43" s="128">
        <v>1.94</v>
      </c>
      <c r="BB43" s="128">
        <v>1.94</v>
      </c>
      <c r="BC43" s="128">
        <v>1.95</v>
      </c>
      <c r="BD43" s="128">
        <v>1.96</v>
      </c>
      <c r="BE43" s="128">
        <v>1.96</v>
      </c>
      <c r="BF43" s="128">
        <v>1.97</v>
      </c>
      <c r="BG43" s="128">
        <v>1.98</v>
      </c>
      <c r="BH43" s="128">
        <v>1.99</v>
      </c>
      <c r="BI43" s="128">
        <v>1.99</v>
      </c>
      <c r="BJ43" s="128">
        <v>2</v>
      </c>
      <c r="BK43" s="128">
        <v>2.0099999999999998</v>
      </c>
      <c r="BL43" s="128">
        <v>2.0099999999999998</v>
      </c>
      <c r="BM43" s="128">
        <v>2.02</v>
      </c>
      <c r="BN43" s="128">
        <v>2.0299999999999998</v>
      </c>
      <c r="BO43" s="128">
        <v>2.04</v>
      </c>
      <c r="BP43" s="128">
        <v>2.04</v>
      </c>
      <c r="BQ43" s="128">
        <v>2.0499999999999998</v>
      </c>
      <c r="BR43" s="128">
        <v>2.06</v>
      </c>
      <c r="BS43" s="128">
        <v>2.0699999999999998</v>
      </c>
      <c r="BT43" s="128">
        <v>2.08</v>
      </c>
      <c r="BU43" s="128">
        <v>2.09</v>
      </c>
      <c r="BV43" s="128">
        <v>2.09</v>
      </c>
      <c r="BW43" s="128">
        <v>2.1</v>
      </c>
      <c r="BX43" s="128">
        <v>2.11</v>
      </c>
      <c r="BY43" s="128">
        <v>2.12</v>
      </c>
      <c r="BZ43" s="128">
        <v>2.13</v>
      </c>
      <c r="CA43" s="128">
        <v>2.14</v>
      </c>
      <c r="CB43" s="128">
        <v>2.15</v>
      </c>
      <c r="CC43" s="128">
        <v>2.16</v>
      </c>
      <c r="CD43" s="128">
        <v>2.17</v>
      </c>
      <c r="CE43" s="128">
        <v>2.1800000000000002</v>
      </c>
      <c r="CF43" s="128">
        <v>2.19</v>
      </c>
      <c r="CG43" s="128">
        <v>2.2000000000000002</v>
      </c>
      <c r="CH43" s="128">
        <v>2.21</v>
      </c>
      <c r="CI43" s="128">
        <v>2.2200000000000002</v>
      </c>
      <c r="CJ43" s="128">
        <v>2.23</v>
      </c>
      <c r="CK43" s="128">
        <v>2.2400000000000002</v>
      </c>
      <c r="CL43" s="128">
        <v>2.25</v>
      </c>
      <c r="CM43" s="128">
        <v>2.2599999999999998</v>
      </c>
      <c r="CN43" s="128">
        <v>2.27</v>
      </c>
      <c r="CO43" s="128">
        <v>2.2799999999999998</v>
      </c>
      <c r="CP43" s="128">
        <v>2.2999999999999998</v>
      </c>
      <c r="CQ43" s="128">
        <v>2.31</v>
      </c>
      <c r="CR43" s="128">
        <v>2.3199999999999998</v>
      </c>
      <c r="CS43" s="128">
        <v>2.33</v>
      </c>
      <c r="CT43" s="128">
        <v>2.35</v>
      </c>
      <c r="CU43" s="128">
        <v>2.36</v>
      </c>
      <c r="CV43" s="128">
        <v>2.37</v>
      </c>
      <c r="CW43" s="128">
        <v>2.39</v>
      </c>
      <c r="CX43" s="128">
        <v>2.4</v>
      </c>
      <c r="CZ43" s="126">
        <f>SUMIF(MatrixF5[[1]:[2]],MatrixF5[[#This Row],[Столбец1]])/MatrixF5[[#This Row],[Столбец1]]</f>
        <v>31.999999999999986</v>
      </c>
      <c r="DA43" s="126">
        <f>SUMIF(MatrixF5[[1]:[2]],MatrixF5[[#This Row],[Столбец1]]+1)/(MatrixF5[[#This Row],[Столбец1]]+1)</f>
        <v>55.000000000000064</v>
      </c>
    </row>
    <row r="44" spans="1:105" ht="21" customHeight="1" x14ac:dyDescent="0.25">
      <c r="A44" s="127">
        <v>1.41</v>
      </c>
      <c r="B44" s="128">
        <v>1.41</v>
      </c>
      <c r="C44" s="128">
        <v>1.43</v>
      </c>
      <c r="D44" s="128">
        <v>1.44</v>
      </c>
      <c r="E44" s="128">
        <v>1.46</v>
      </c>
      <c r="F44" s="128">
        <v>1.47</v>
      </c>
      <c r="G44" s="128">
        <v>1.49</v>
      </c>
      <c r="H44" s="128">
        <v>1.5</v>
      </c>
      <c r="I44" s="128">
        <v>1.51</v>
      </c>
      <c r="J44" s="128">
        <v>1.53</v>
      </c>
      <c r="K44" s="128">
        <v>1.54</v>
      </c>
      <c r="L44" s="128">
        <v>1.55</v>
      </c>
      <c r="M44" s="128">
        <v>1.57</v>
      </c>
      <c r="N44" s="128">
        <v>1.58</v>
      </c>
      <c r="O44" s="128">
        <v>1.59</v>
      </c>
      <c r="P44" s="128">
        <v>1.61</v>
      </c>
      <c r="Q44" s="128">
        <v>1.62</v>
      </c>
      <c r="R44" s="128">
        <v>1.63</v>
      </c>
      <c r="S44" s="128">
        <v>1.64</v>
      </c>
      <c r="T44" s="128">
        <v>1.65</v>
      </c>
      <c r="U44" s="128">
        <v>1.66</v>
      </c>
      <c r="V44" s="128">
        <v>1.68</v>
      </c>
      <c r="W44" s="128">
        <v>1.69</v>
      </c>
      <c r="X44" s="128">
        <v>1.7</v>
      </c>
      <c r="Y44" s="128">
        <v>1.71</v>
      </c>
      <c r="Z44" s="128">
        <v>1.72</v>
      </c>
      <c r="AA44" s="128">
        <v>1.73</v>
      </c>
      <c r="AB44" s="128">
        <v>1.74</v>
      </c>
      <c r="AC44" s="128">
        <v>1.75</v>
      </c>
      <c r="AD44" s="128">
        <v>1.76</v>
      </c>
      <c r="AE44" s="128">
        <v>1.77</v>
      </c>
      <c r="AF44" s="128">
        <v>1.78</v>
      </c>
      <c r="AG44" s="128">
        <v>1.79</v>
      </c>
      <c r="AH44" s="128">
        <v>1.8</v>
      </c>
      <c r="AI44" s="128">
        <v>1.8</v>
      </c>
      <c r="AJ44" s="128">
        <v>1.81</v>
      </c>
      <c r="AK44" s="128">
        <v>1.82</v>
      </c>
      <c r="AL44" s="128">
        <v>1.83</v>
      </c>
      <c r="AM44" s="128">
        <v>1.84</v>
      </c>
      <c r="AN44" s="128">
        <v>1.85</v>
      </c>
      <c r="AO44" s="128">
        <v>1.86</v>
      </c>
      <c r="AP44" s="128">
        <v>1.86</v>
      </c>
      <c r="AQ44" s="128">
        <v>1.87</v>
      </c>
      <c r="AR44" s="128">
        <v>1.88</v>
      </c>
      <c r="AS44" s="128">
        <v>1.89</v>
      </c>
      <c r="AT44" s="128">
        <v>1.89</v>
      </c>
      <c r="AU44" s="128">
        <v>1.9</v>
      </c>
      <c r="AV44" s="128">
        <v>1.91</v>
      </c>
      <c r="AW44" s="128">
        <v>1.91</v>
      </c>
      <c r="AX44" s="128">
        <v>1.92</v>
      </c>
      <c r="AY44" s="128">
        <v>1.93</v>
      </c>
      <c r="AZ44" s="128">
        <v>1.94</v>
      </c>
      <c r="BA44" s="128">
        <v>1.94</v>
      </c>
      <c r="BB44" s="128">
        <v>1.95</v>
      </c>
      <c r="BC44" s="128">
        <v>1.96</v>
      </c>
      <c r="BD44" s="128">
        <v>1.96</v>
      </c>
      <c r="BE44" s="128">
        <v>1.97</v>
      </c>
      <c r="BF44" s="128">
        <v>1.98</v>
      </c>
      <c r="BG44" s="128">
        <v>1.99</v>
      </c>
      <c r="BH44" s="128">
        <v>1.99</v>
      </c>
      <c r="BI44" s="128">
        <v>2</v>
      </c>
      <c r="BJ44" s="128">
        <v>2.0099999999999998</v>
      </c>
      <c r="BK44" s="128">
        <v>2.0099999999999998</v>
      </c>
      <c r="BL44" s="128">
        <v>2.02</v>
      </c>
      <c r="BM44" s="128">
        <v>2.0299999999999998</v>
      </c>
      <c r="BN44" s="128">
        <v>2.04</v>
      </c>
      <c r="BO44" s="128">
        <v>2.04</v>
      </c>
      <c r="BP44" s="128">
        <v>2.0499999999999998</v>
      </c>
      <c r="BQ44" s="128">
        <v>2.06</v>
      </c>
      <c r="BR44" s="128">
        <v>2.0699999999999998</v>
      </c>
      <c r="BS44" s="128">
        <v>2.08</v>
      </c>
      <c r="BT44" s="128">
        <v>2.08</v>
      </c>
      <c r="BU44" s="128">
        <v>2.09</v>
      </c>
      <c r="BV44" s="128">
        <v>2.1</v>
      </c>
      <c r="BW44" s="128">
        <v>2.11</v>
      </c>
      <c r="BX44" s="128">
        <v>2.12</v>
      </c>
      <c r="BY44" s="128">
        <v>2.13</v>
      </c>
      <c r="BZ44" s="128">
        <v>2.14</v>
      </c>
      <c r="CA44" s="128">
        <v>2.15</v>
      </c>
      <c r="CB44" s="128">
        <v>2.16</v>
      </c>
      <c r="CC44" s="128">
        <v>2.17</v>
      </c>
      <c r="CD44" s="128">
        <v>2.1800000000000002</v>
      </c>
      <c r="CE44" s="128">
        <v>2.1800000000000002</v>
      </c>
      <c r="CF44" s="128">
        <v>2.19</v>
      </c>
      <c r="CG44" s="128">
        <v>2.21</v>
      </c>
      <c r="CH44" s="128">
        <v>2.2200000000000002</v>
      </c>
      <c r="CI44" s="128">
        <v>2.23</v>
      </c>
      <c r="CJ44" s="128">
        <v>2.2400000000000002</v>
      </c>
      <c r="CK44" s="128">
        <v>2.25</v>
      </c>
      <c r="CL44" s="128">
        <v>2.2599999999999998</v>
      </c>
      <c r="CM44" s="128">
        <v>2.27</v>
      </c>
      <c r="CN44" s="128">
        <v>2.2799999999999998</v>
      </c>
      <c r="CO44" s="128">
        <v>2.29</v>
      </c>
      <c r="CP44" s="128">
        <v>2.31</v>
      </c>
      <c r="CQ44" s="128">
        <v>2.3199999999999998</v>
      </c>
      <c r="CR44" s="128">
        <v>2.33</v>
      </c>
      <c r="CS44" s="128">
        <v>2.34</v>
      </c>
      <c r="CT44" s="128">
        <v>2.36</v>
      </c>
      <c r="CU44" s="128">
        <v>2.37</v>
      </c>
      <c r="CV44" s="128">
        <v>2.38</v>
      </c>
      <c r="CW44" s="128">
        <v>2.4</v>
      </c>
      <c r="CX44" s="128">
        <v>2.41</v>
      </c>
      <c r="CZ44" s="126">
        <f>SUMIF(MatrixF5[[1]:[2]],MatrixF5[[#This Row],[Столбец1]])/MatrixF5[[#This Row],[Столбец1]]</f>
        <v>34.999999999999972</v>
      </c>
      <c r="DA44" s="126">
        <f>SUMIF(MatrixF5[[1]:[2]],MatrixF5[[#This Row],[Столбец1]]+1)/(MatrixF5[[#This Row],[Столбец1]]+1)</f>
        <v>55.999999999999943</v>
      </c>
    </row>
    <row r="45" spans="1:105" ht="21" customHeight="1" x14ac:dyDescent="0.25">
      <c r="A45" s="127">
        <v>1.42</v>
      </c>
      <c r="B45" s="128">
        <v>1.42</v>
      </c>
      <c r="C45" s="128">
        <v>1.44</v>
      </c>
      <c r="D45" s="128">
        <v>1.45</v>
      </c>
      <c r="E45" s="128">
        <v>1.47</v>
      </c>
      <c r="F45" s="128">
        <v>1.48</v>
      </c>
      <c r="G45" s="128">
        <v>1.5</v>
      </c>
      <c r="H45" s="128">
        <v>1.51</v>
      </c>
      <c r="I45" s="128">
        <v>1.52</v>
      </c>
      <c r="J45" s="128">
        <v>1.54</v>
      </c>
      <c r="K45" s="128">
        <v>1.55</v>
      </c>
      <c r="L45" s="128">
        <v>1.56</v>
      </c>
      <c r="M45" s="128">
        <v>1.58</v>
      </c>
      <c r="N45" s="128">
        <v>1.59</v>
      </c>
      <c r="O45" s="128">
        <v>1.6</v>
      </c>
      <c r="P45" s="128">
        <v>1.61</v>
      </c>
      <c r="Q45" s="128">
        <v>1.63</v>
      </c>
      <c r="R45" s="128">
        <v>1.64</v>
      </c>
      <c r="S45" s="128">
        <v>1.65</v>
      </c>
      <c r="T45" s="128">
        <v>1.66</v>
      </c>
      <c r="U45" s="128">
        <v>1.67</v>
      </c>
      <c r="V45" s="128">
        <v>1.68</v>
      </c>
      <c r="W45" s="128">
        <v>1.69</v>
      </c>
      <c r="X45" s="128">
        <v>1.7</v>
      </c>
      <c r="Y45" s="128">
        <v>1.72</v>
      </c>
      <c r="Z45" s="128">
        <v>1.73</v>
      </c>
      <c r="AA45" s="128">
        <v>1.74</v>
      </c>
      <c r="AB45" s="128">
        <v>1.75</v>
      </c>
      <c r="AC45" s="128">
        <v>1.76</v>
      </c>
      <c r="AD45" s="128">
        <v>1.77</v>
      </c>
      <c r="AE45" s="128">
        <v>1.78</v>
      </c>
      <c r="AF45" s="128">
        <v>1.78</v>
      </c>
      <c r="AG45" s="128">
        <v>1.79</v>
      </c>
      <c r="AH45" s="128">
        <v>1.8</v>
      </c>
      <c r="AI45" s="128">
        <v>1.81</v>
      </c>
      <c r="AJ45" s="128">
        <v>1.82</v>
      </c>
      <c r="AK45" s="128">
        <v>1.83</v>
      </c>
      <c r="AL45" s="128">
        <v>1.84</v>
      </c>
      <c r="AM45" s="128">
        <v>1.85</v>
      </c>
      <c r="AN45" s="128">
        <v>1.86</v>
      </c>
      <c r="AO45" s="128">
        <v>1.86</v>
      </c>
      <c r="AP45" s="128">
        <v>1.87</v>
      </c>
      <c r="AQ45" s="128">
        <v>1.88</v>
      </c>
      <c r="AR45" s="128">
        <v>1.89</v>
      </c>
      <c r="AS45" s="128">
        <v>1.89</v>
      </c>
      <c r="AT45" s="128">
        <v>1.9</v>
      </c>
      <c r="AU45" s="128">
        <v>1.91</v>
      </c>
      <c r="AV45" s="128">
        <v>1.92</v>
      </c>
      <c r="AW45" s="128">
        <v>1.92</v>
      </c>
      <c r="AX45" s="128">
        <v>1.93</v>
      </c>
      <c r="AY45" s="128">
        <v>1.94</v>
      </c>
      <c r="AZ45" s="128">
        <v>1.94</v>
      </c>
      <c r="BA45" s="128">
        <v>1.95</v>
      </c>
      <c r="BB45" s="128">
        <v>1.96</v>
      </c>
      <c r="BC45" s="128">
        <v>1.96</v>
      </c>
      <c r="BD45" s="128">
        <v>1.97</v>
      </c>
      <c r="BE45" s="128">
        <v>1.98</v>
      </c>
      <c r="BF45" s="128">
        <v>1.99</v>
      </c>
      <c r="BG45" s="128">
        <v>1.99</v>
      </c>
      <c r="BH45" s="128">
        <v>2</v>
      </c>
      <c r="BI45" s="128">
        <v>2.0099999999999998</v>
      </c>
      <c r="BJ45" s="128">
        <v>2.0099999999999998</v>
      </c>
      <c r="BK45" s="128">
        <v>2.02</v>
      </c>
      <c r="BL45" s="128">
        <v>2.0299999999999998</v>
      </c>
      <c r="BM45" s="128">
        <v>2.04</v>
      </c>
      <c r="BN45" s="128">
        <v>2.04</v>
      </c>
      <c r="BO45" s="128">
        <v>2.0499999999999998</v>
      </c>
      <c r="BP45" s="128">
        <v>2.06</v>
      </c>
      <c r="BQ45" s="128">
        <v>2.0699999999999998</v>
      </c>
      <c r="BR45" s="128">
        <v>2.08</v>
      </c>
      <c r="BS45" s="128">
        <v>2.08</v>
      </c>
      <c r="BT45" s="128">
        <v>2.09</v>
      </c>
      <c r="BU45" s="128">
        <v>2.1</v>
      </c>
      <c r="BV45" s="128">
        <v>2.11</v>
      </c>
      <c r="BW45" s="128">
        <v>2.12</v>
      </c>
      <c r="BX45" s="128">
        <v>2.13</v>
      </c>
      <c r="BY45" s="128">
        <v>2.14</v>
      </c>
      <c r="BZ45" s="128">
        <v>2.15</v>
      </c>
      <c r="CA45" s="128">
        <v>2.15</v>
      </c>
      <c r="CB45" s="128">
        <v>2.16</v>
      </c>
      <c r="CC45" s="128">
        <v>2.17</v>
      </c>
      <c r="CD45" s="128">
        <v>2.1800000000000002</v>
      </c>
      <c r="CE45" s="128">
        <v>2.19</v>
      </c>
      <c r="CF45" s="128">
        <v>2.2000000000000002</v>
      </c>
      <c r="CG45" s="128">
        <v>2.21</v>
      </c>
      <c r="CH45" s="128">
        <v>2.2200000000000002</v>
      </c>
      <c r="CI45" s="128">
        <v>2.23</v>
      </c>
      <c r="CJ45" s="128">
        <v>2.25</v>
      </c>
      <c r="CK45" s="128">
        <v>2.2599999999999998</v>
      </c>
      <c r="CL45" s="128">
        <v>2.27</v>
      </c>
      <c r="CM45" s="128">
        <v>2.2799999999999998</v>
      </c>
      <c r="CN45" s="128">
        <v>2.29</v>
      </c>
      <c r="CO45" s="128">
        <v>2.2999999999999998</v>
      </c>
      <c r="CP45" s="128">
        <v>2.31</v>
      </c>
      <c r="CQ45" s="128">
        <v>2.33</v>
      </c>
      <c r="CR45" s="128">
        <v>2.34</v>
      </c>
      <c r="CS45" s="128">
        <v>2.35</v>
      </c>
      <c r="CT45" s="128">
        <v>2.37</v>
      </c>
      <c r="CU45" s="128">
        <v>2.38</v>
      </c>
      <c r="CV45" s="128">
        <v>2.39</v>
      </c>
      <c r="CW45" s="128">
        <v>2.41</v>
      </c>
      <c r="CX45" s="128">
        <v>2.42</v>
      </c>
      <c r="CZ45" s="126">
        <f>SUMIF(MatrixF5[[1]:[2]],MatrixF5[[#This Row],[Столбец1]])/MatrixF5[[#This Row],[Столбец1]]</f>
        <v>38.000000000000036</v>
      </c>
      <c r="DA45" s="126">
        <f>SUMIF(MatrixF5[[1]:[2]],MatrixF5[[#This Row],[Столбец1]]+1)/(MatrixF5[[#This Row],[Столбец1]]+1)</f>
        <v>57.000000000000014</v>
      </c>
    </row>
    <row r="46" spans="1:105" ht="21" customHeight="1" x14ac:dyDescent="0.25">
      <c r="A46" s="127">
        <v>1.43</v>
      </c>
      <c r="B46" s="128">
        <v>1.43</v>
      </c>
      <c r="C46" s="128">
        <v>1.45</v>
      </c>
      <c r="D46" s="128">
        <v>1.46</v>
      </c>
      <c r="E46" s="128">
        <v>1.48</v>
      </c>
      <c r="F46" s="128">
        <v>1.49</v>
      </c>
      <c r="G46" s="128">
        <v>1.5</v>
      </c>
      <c r="H46" s="128">
        <v>1.52</v>
      </c>
      <c r="I46" s="128">
        <v>1.53</v>
      </c>
      <c r="J46" s="128">
        <v>1.55</v>
      </c>
      <c r="K46" s="128">
        <v>1.56</v>
      </c>
      <c r="L46" s="128">
        <v>1.57</v>
      </c>
      <c r="M46" s="128">
        <v>1.59</v>
      </c>
      <c r="N46" s="128">
        <v>1.6</v>
      </c>
      <c r="O46" s="128">
        <v>1.61</v>
      </c>
      <c r="P46" s="128">
        <v>1.62</v>
      </c>
      <c r="Q46" s="128">
        <v>1.63</v>
      </c>
      <c r="R46" s="128">
        <v>1.65</v>
      </c>
      <c r="S46" s="128">
        <v>1.66</v>
      </c>
      <c r="T46" s="128">
        <v>1.67</v>
      </c>
      <c r="U46" s="128">
        <v>1.68</v>
      </c>
      <c r="V46" s="128">
        <v>1.69</v>
      </c>
      <c r="W46" s="128">
        <v>1.7</v>
      </c>
      <c r="X46" s="128">
        <v>1.71</v>
      </c>
      <c r="Y46" s="128">
        <v>1.72</v>
      </c>
      <c r="Z46" s="128">
        <v>1.73</v>
      </c>
      <c r="AA46" s="128">
        <v>1.74</v>
      </c>
      <c r="AB46" s="128">
        <v>1.75</v>
      </c>
      <c r="AC46" s="128">
        <v>1.76</v>
      </c>
      <c r="AD46" s="128">
        <v>1.77</v>
      </c>
      <c r="AE46" s="128">
        <v>1.78</v>
      </c>
      <c r="AF46" s="128">
        <v>1.79</v>
      </c>
      <c r="AG46" s="128">
        <v>1.8</v>
      </c>
      <c r="AH46" s="128">
        <v>1.81</v>
      </c>
      <c r="AI46" s="128">
        <v>1.82</v>
      </c>
      <c r="AJ46" s="128">
        <v>1.83</v>
      </c>
      <c r="AK46" s="128">
        <v>1.84</v>
      </c>
      <c r="AL46" s="128">
        <v>1.85</v>
      </c>
      <c r="AM46" s="128">
        <v>1.85</v>
      </c>
      <c r="AN46" s="128">
        <v>1.86</v>
      </c>
      <c r="AO46" s="128">
        <v>1.87</v>
      </c>
      <c r="AP46" s="128">
        <v>1.88</v>
      </c>
      <c r="AQ46" s="128">
        <v>1.89</v>
      </c>
      <c r="AR46" s="128">
        <v>1.89</v>
      </c>
      <c r="AS46" s="128">
        <v>1.9</v>
      </c>
      <c r="AT46" s="128">
        <v>1.91</v>
      </c>
      <c r="AU46" s="128">
        <v>1.92</v>
      </c>
      <c r="AV46" s="128">
        <v>1.92</v>
      </c>
      <c r="AW46" s="128">
        <v>1.93</v>
      </c>
      <c r="AX46" s="128">
        <v>1.94</v>
      </c>
      <c r="AY46" s="128">
        <v>1.94</v>
      </c>
      <c r="AZ46" s="128">
        <v>1.95</v>
      </c>
      <c r="BA46" s="128">
        <v>1.96</v>
      </c>
      <c r="BB46" s="128">
        <v>1.97</v>
      </c>
      <c r="BC46" s="128">
        <v>1.97</v>
      </c>
      <c r="BD46" s="128">
        <v>1.98</v>
      </c>
      <c r="BE46" s="128">
        <v>1.99</v>
      </c>
      <c r="BF46" s="128">
        <v>1.99</v>
      </c>
      <c r="BG46" s="128">
        <v>2</v>
      </c>
      <c r="BH46" s="128">
        <v>2.0099999999999998</v>
      </c>
      <c r="BI46" s="128">
        <v>2.0099999999999998</v>
      </c>
      <c r="BJ46" s="128">
        <v>2.02</v>
      </c>
      <c r="BK46" s="128">
        <v>2.0299999999999998</v>
      </c>
      <c r="BL46" s="128">
        <v>2.04</v>
      </c>
      <c r="BM46" s="128">
        <v>2.04</v>
      </c>
      <c r="BN46" s="128">
        <v>2.0499999999999998</v>
      </c>
      <c r="BO46" s="128">
        <v>2.06</v>
      </c>
      <c r="BP46" s="128">
        <v>2.0699999999999998</v>
      </c>
      <c r="BQ46" s="128">
        <v>2.08</v>
      </c>
      <c r="BR46" s="128">
        <v>2.08</v>
      </c>
      <c r="BS46" s="128">
        <v>2.09</v>
      </c>
      <c r="BT46" s="128">
        <v>2.1</v>
      </c>
      <c r="BU46" s="128">
        <v>2.11</v>
      </c>
      <c r="BV46" s="128">
        <v>2.12</v>
      </c>
      <c r="BW46" s="128">
        <v>2.13</v>
      </c>
      <c r="BX46" s="128">
        <v>2.13</v>
      </c>
      <c r="BY46" s="128">
        <v>2.14</v>
      </c>
      <c r="BZ46" s="128">
        <v>2.15</v>
      </c>
      <c r="CA46" s="128">
        <v>2.16</v>
      </c>
      <c r="CB46" s="128">
        <v>2.17</v>
      </c>
      <c r="CC46" s="128">
        <v>2.1800000000000002</v>
      </c>
      <c r="CD46" s="128">
        <v>2.19</v>
      </c>
      <c r="CE46" s="128">
        <v>2.2000000000000002</v>
      </c>
      <c r="CF46" s="128">
        <v>2.21</v>
      </c>
      <c r="CG46" s="128">
        <v>2.2200000000000002</v>
      </c>
      <c r="CH46" s="128">
        <v>2.23</v>
      </c>
      <c r="CI46" s="128">
        <v>2.2400000000000002</v>
      </c>
      <c r="CJ46" s="128">
        <v>2.25</v>
      </c>
      <c r="CK46" s="128">
        <v>2.27</v>
      </c>
      <c r="CL46" s="128">
        <v>2.2799999999999998</v>
      </c>
      <c r="CM46" s="128">
        <v>2.29</v>
      </c>
      <c r="CN46" s="128">
        <v>2.2999999999999998</v>
      </c>
      <c r="CO46" s="128">
        <v>2.31</v>
      </c>
      <c r="CP46" s="128">
        <v>2.3199999999999998</v>
      </c>
      <c r="CQ46" s="128">
        <v>2.34</v>
      </c>
      <c r="CR46" s="128">
        <v>2.35</v>
      </c>
      <c r="CS46" s="128">
        <v>2.36</v>
      </c>
      <c r="CT46" s="128">
        <v>2.38</v>
      </c>
      <c r="CU46" s="128">
        <v>2.39</v>
      </c>
      <c r="CV46" s="128">
        <v>2.4</v>
      </c>
      <c r="CW46" s="128">
        <v>2.42</v>
      </c>
      <c r="CX46" s="128">
        <v>2.4300000000000002</v>
      </c>
      <c r="CZ46" s="126">
        <f>SUMIF(MatrixF5[[1]:[2]],MatrixF5[[#This Row],[Столбец1]])/MatrixF5[[#This Row],[Столбец1]]</f>
        <v>36</v>
      </c>
      <c r="DA46" s="126">
        <f>SUMIF(MatrixF5[[1]:[2]],MatrixF5[[#This Row],[Столбец1]]+1)/(MatrixF5[[#This Row],[Столбец1]]+1)</f>
        <v>52.000000000000078</v>
      </c>
    </row>
    <row r="47" spans="1:105" ht="21" customHeight="1" x14ac:dyDescent="0.25">
      <c r="A47" s="127">
        <v>1.44</v>
      </c>
      <c r="B47" s="128">
        <v>1.44</v>
      </c>
      <c r="C47" s="128">
        <v>1.46</v>
      </c>
      <c r="D47" s="128">
        <v>1.47</v>
      </c>
      <c r="E47" s="128">
        <v>1.49</v>
      </c>
      <c r="F47" s="128">
        <v>1.5</v>
      </c>
      <c r="G47" s="128">
        <v>1.51</v>
      </c>
      <c r="H47" s="128">
        <v>1.53</v>
      </c>
      <c r="I47" s="128">
        <v>1.54</v>
      </c>
      <c r="J47" s="128">
        <v>1.56</v>
      </c>
      <c r="K47" s="128">
        <v>1.57</v>
      </c>
      <c r="L47" s="128">
        <v>1.58</v>
      </c>
      <c r="M47" s="128">
        <v>1.59</v>
      </c>
      <c r="N47" s="128">
        <v>1.61</v>
      </c>
      <c r="O47" s="128">
        <v>1.62</v>
      </c>
      <c r="P47" s="128">
        <v>1.63</v>
      </c>
      <c r="Q47" s="128">
        <v>1.64</v>
      </c>
      <c r="R47" s="128">
        <v>1.66</v>
      </c>
      <c r="S47" s="128">
        <v>1.67</v>
      </c>
      <c r="T47" s="128">
        <v>1.68</v>
      </c>
      <c r="U47" s="128">
        <v>1.69</v>
      </c>
      <c r="V47" s="128">
        <v>1.7</v>
      </c>
      <c r="W47" s="128">
        <v>1.71</v>
      </c>
      <c r="X47" s="128">
        <v>1.72</v>
      </c>
      <c r="Y47" s="128">
        <v>1.73</v>
      </c>
      <c r="Z47" s="128">
        <v>1.74</v>
      </c>
      <c r="AA47" s="128">
        <v>1.75</v>
      </c>
      <c r="AB47" s="128">
        <v>1.76</v>
      </c>
      <c r="AC47" s="128">
        <v>1.77</v>
      </c>
      <c r="AD47" s="128">
        <v>1.78</v>
      </c>
      <c r="AE47" s="128">
        <v>1.79</v>
      </c>
      <c r="AF47" s="128">
        <v>1.8</v>
      </c>
      <c r="AG47" s="128">
        <v>1.81</v>
      </c>
      <c r="AH47" s="128">
        <v>1.82</v>
      </c>
      <c r="AI47" s="128">
        <v>1.83</v>
      </c>
      <c r="AJ47" s="128">
        <v>1.84</v>
      </c>
      <c r="AK47" s="128">
        <v>1.84</v>
      </c>
      <c r="AL47" s="128">
        <v>1.85</v>
      </c>
      <c r="AM47" s="128">
        <v>1.86</v>
      </c>
      <c r="AN47" s="128">
        <v>1.87</v>
      </c>
      <c r="AO47" s="128">
        <v>1.88</v>
      </c>
      <c r="AP47" s="128">
        <v>1.89</v>
      </c>
      <c r="AQ47" s="128">
        <v>1.89</v>
      </c>
      <c r="AR47" s="128">
        <v>1.9</v>
      </c>
      <c r="AS47" s="128">
        <v>1.91</v>
      </c>
      <c r="AT47" s="128">
        <v>1.92</v>
      </c>
      <c r="AU47" s="128">
        <v>1.92</v>
      </c>
      <c r="AV47" s="128">
        <v>1.93</v>
      </c>
      <c r="AW47" s="128">
        <v>1.94</v>
      </c>
      <c r="AX47" s="128">
        <v>1.94</v>
      </c>
      <c r="AY47" s="128">
        <v>1.95</v>
      </c>
      <c r="AZ47" s="128">
        <v>1.96</v>
      </c>
      <c r="BA47" s="128">
        <v>1.97</v>
      </c>
      <c r="BB47" s="128">
        <v>1.97</v>
      </c>
      <c r="BC47" s="128">
        <v>1.98</v>
      </c>
      <c r="BD47" s="128">
        <v>1.99</v>
      </c>
      <c r="BE47" s="128">
        <v>1.99</v>
      </c>
      <c r="BF47" s="128">
        <v>2</v>
      </c>
      <c r="BG47" s="128">
        <v>2.0099999999999998</v>
      </c>
      <c r="BH47" s="128">
        <v>2.0099999999999998</v>
      </c>
      <c r="BI47" s="128">
        <v>2.02</v>
      </c>
      <c r="BJ47" s="128">
        <v>2.0299999999999998</v>
      </c>
      <c r="BK47" s="128">
        <v>2.04</v>
      </c>
      <c r="BL47" s="128">
        <v>2.04</v>
      </c>
      <c r="BM47" s="128">
        <v>2.0499999999999998</v>
      </c>
      <c r="BN47" s="128">
        <v>2.06</v>
      </c>
      <c r="BO47" s="128">
        <v>2.0699999999999998</v>
      </c>
      <c r="BP47" s="128">
        <v>2.0699999999999998</v>
      </c>
      <c r="BQ47" s="128">
        <v>2.08</v>
      </c>
      <c r="BR47" s="128">
        <v>2.09</v>
      </c>
      <c r="BS47" s="128">
        <v>2.1</v>
      </c>
      <c r="BT47" s="128">
        <v>2.11</v>
      </c>
      <c r="BU47" s="128">
        <v>2.12</v>
      </c>
      <c r="BV47" s="128">
        <v>2.12</v>
      </c>
      <c r="BW47" s="128">
        <v>2.13</v>
      </c>
      <c r="BX47" s="128">
        <v>2.14</v>
      </c>
      <c r="BY47" s="128">
        <v>2.15</v>
      </c>
      <c r="BZ47" s="128">
        <v>2.16</v>
      </c>
      <c r="CA47" s="128">
        <v>2.17</v>
      </c>
      <c r="CB47" s="128">
        <v>2.1800000000000002</v>
      </c>
      <c r="CC47" s="128">
        <v>2.19</v>
      </c>
      <c r="CD47" s="128">
        <v>2.2000000000000002</v>
      </c>
      <c r="CE47" s="128">
        <v>2.21</v>
      </c>
      <c r="CF47" s="128">
        <v>2.2200000000000002</v>
      </c>
      <c r="CG47" s="128">
        <v>2.23</v>
      </c>
      <c r="CH47" s="128">
        <v>2.2400000000000002</v>
      </c>
      <c r="CI47" s="128">
        <v>2.25</v>
      </c>
      <c r="CJ47" s="128">
        <v>2.2599999999999998</v>
      </c>
      <c r="CK47" s="128">
        <v>2.27</v>
      </c>
      <c r="CL47" s="128">
        <v>2.29</v>
      </c>
      <c r="CM47" s="128">
        <v>2.2999999999999998</v>
      </c>
      <c r="CN47" s="128">
        <v>2.31</v>
      </c>
      <c r="CO47" s="128">
        <v>2.3199999999999998</v>
      </c>
      <c r="CP47" s="128">
        <v>2.33</v>
      </c>
      <c r="CQ47" s="128">
        <v>2.35</v>
      </c>
      <c r="CR47" s="128">
        <v>2.36</v>
      </c>
      <c r="CS47" s="128">
        <v>2.37</v>
      </c>
      <c r="CT47" s="128">
        <v>2.38</v>
      </c>
      <c r="CU47" s="128">
        <v>2.4</v>
      </c>
      <c r="CV47" s="128">
        <v>2.41</v>
      </c>
      <c r="CW47" s="128">
        <v>2.4300000000000002</v>
      </c>
      <c r="CX47" s="128">
        <v>2.44</v>
      </c>
      <c r="CZ47" s="126">
        <f>SUMIF(MatrixF5[[1]:[2]],MatrixF5[[#This Row],[Столбец1]])/MatrixF5[[#This Row],[Столбец1]]</f>
        <v>38.999999999999986</v>
      </c>
      <c r="DA47" s="126">
        <f>SUMIF(MatrixF5[[1]:[2]],MatrixF5[[#This Row],[Столбец1]]+1)/(MatrixF5[[#This Row],[Столбец1]]+1)</f>
        <v>50.999999999999972</v>
      </c>
    </row>
    <row r="48" spans="1:105" ht="21" customHeight="1" x14ac:dyDescent="0.25">
      <c r="A48" s="127">
        <v>1.45</v>
      </c>
      <c r="B48" s="128">
        <v>1.45</v>
      </c>
      <c r="C48" s="128">
        <v>1.47</v>
      </c>
      <c r="D48" s="128">
        <v>1.48</v>
      </c>
      <c r="E48" s="128">
        <v>1.5</v>
      </c>
      <c r="F48" s="128">
        <v>1.51</v>
      </c>
      <c r="G48" s="128">
        <v>1.52</v>
      </c>
      <c r="H48" s="128">
        <v>1.54</v>
      </c>
      <c r="I48" s="128">
        <v>1.55</v>
      </c>
      <c r="J48" s="128">
        <v>1.56</v>
      </c>
      <c r="K48" s="128">
        <v>1.58</v>
      </c>
      <c r="L48" s="128">
        <v>1.59</v>
      </c>
      <c r="M48" s="128">
        <v>1.6</v>
      </c>
      <c r="N48" s="128">
        <v>1.62</v>
      </c>
      <c r="O48" s="128">
        <v>1.63</v>
      </c>
      <c r="P48" s="128">
        <v>1.64</v>
      </c>
      <c r="Q48" s="128">
        <v>1.65</v>
      </c>
      <c r="R48" s="128">
        <v>1.66</v>
      </c>
      <c r="S48" s="128">
        <v>1.68</v>
      </c>
      <c r="T48" s="128">
        <v>1.69</v>
      </c>
      <c r="U48" s="128">
        <v>1.7</v>
      </c>
      <c r="V48" s="128">
        <v>1.71</v>
      </c>
      <c r="W48" s="128">
        <v>1.72</v>
      </c>
      <c r="X48" s="128">
        <v>1.73</v>
      </c>
      <c r="Y48" s="128">
        <v>1.74</v>
      </c>
      <c r="Z48" s="128">
        <v>1.75</v>
      </c>
      <c r="AA48" s="128">
        <v>1.76</v>
      </c>
      <c r="AB48" s="128">
        <v>1.77</v>
      </c>
      <c r="AC48" s="128">
        <v>1.78</v>
      </c>
      <c r="AD48" s="128">
        <v>1.79</v>
      </c>
      <c r="AE48" s="128">
        <v>1.8</v>
      </c>
      <c r="AF48" s="128">
        <v>1.81</v>
      </c>
      <c r="AG48" s="128">
        <v>1.82</v>
      </c>
      <c r="AH48" s="128">
        <v>1.83</v>
      </c>
      <c r="AI48" s="128">
        <v>1.83</v>
      </c>
      <c r="AJ48" s="128">
        <v>1.84</v>
      </c>
      <c r="AK48" s="128">
        <v>1.85</v>
      </c>
      <c r="AL48" s="128">
        <v>1.86</v>
      </c>
      <c r="AM48" s="128">
        <v>1.87</v>
      </c>
      <c r="AN48" s="128">
        <v>1.88</v>
      </c>
      <c r="AO48" s="128">
        <v>1.88</v>
      </c>
      <c r="AP48" s="128">
        <v>1.89</v>
      </c>
      <c r="AQ48" s="128">
        <v>1.9</v>
      </c>
      <c r="AR48" s="128">
        <v>1.91</v>
      </c>
      <c r="AS48" s="128">
        <v>1.92</v>
      </c>
      <c r="AT48" s="128">
        <v>1.92</v>
      </c>
      <c r="AU48" s="128">
        <v>1.93</v>
      </c>
      <c r="AV48" s="128">
        <v>1.94</v>
      </c>
      <c r="AW48" s="128">
        <v>1.94</v>
      </c>
      <c r="AX48" s="128">
        <v>1.95</v>
      </c>
      <c r="AY48" s="128">
        <v>1.96</v>
      </c>
      <c r="AZ48" s="128">
        <v>1.97</v>
      </c>
      <c r="BA48" s="128">
        <v>1.97</v>
      </c>
      <c r="BB48" s="128">
        <v>1.98</v>
      </c>
      <c r="BC48" s="128">
        <v>1.99</v>
      </c>
      <c r="BD48" s="128">
        <v>1.99</v>
      </c>
      <c r="BE48" s="128">
        <v>2</v>
      </c>
      <c r="BF48" s="128">
        <v>2.0099999999999998</v>
      </c>
      <c r="BG48" s="128">
        <v>2.0099999999999998</v>
      </c>
      <c r="BH48" s="128">
        <v>2.02</v>
      </c>
      <c r="BI48" s="128">
        <v>2.0299999999999998</v>
      </c>
      <c r="BJ48" s="128">
        <v>2.04</v>
      </c>
      <c r="BK48" s="128">
        <v>2.04</v>
      </c>
      <c r="BL48" s="128">
        <v>2.0499999999999998</v>
      </c>
      <c r="BM48" s="128">
        <v>2.06</v>
      </c>
      <c r="BN48" s="128">
        <v>2.0699999999999998</v>
      </c>
      <c r="BO48" s="128">
        <v>2.0699999999999998</v>
      </c>
      <c r="BP48" s="128">
        <v>2.08</v>
      </c>
      <c r="BQ48" s="128">
        <v>2.09</v>
      </c>
      <c r="BR48" s="128">
        <v>2.1</v>
      </c>
      <c r="BS48" s="128">
        <v>2.11</v>
      </c>
      <c r="BT48" s="128">
        <v>2.12</v>
      </c>
      <c r="BU48" s="128">
        <v>2.12</v>
      </c>
      <c r="BV48" s="128">
        <v>2.13</v>
      </c>
      <c r="BW48" s="128">
        <v>2.14</v>
      </c>
      <c r="BX48" s="128">
        <v>2.15</v>
      </c>
      <c r="BY48" s="128">
        <v>2.16</v>
      </c>
      <c r="BZ48" s="128">
        <v>2.17</v>
      </c>
      <c r="CA48" s="128">
        <v>2.1800000000000002</v>
      </c>
      <c r="CB48" s="128">
        <v>2.19</v>
      </c>
      <c r="CC48" s="128">
        <v>2.2000000000000002</v>
      </c>
      <c r="CD48" s="128">
        <v>2.21</v>
      </c>
      <c r="CE48" s="128">
        <v>2.2200000000000002</v>
      </c>
      <c r="CF48" s="128">
        <v>2.23</v>
      </c>
      <c r="CG48" s="128">
        <v>2.2400000000000002</v>
      </c>
      <c r="CH48" s="128">
        <v>2.25</v>
      </c>
      <c r="CI48" s="128">
        <v>2.2599999999999998</v>
      </c>
      <c r="CJ48" s="128">
        <v>2.27</v>
      </c>
      <c r="CK48" s="128">
        <v>2.2799999999999998</v>
      </c>
      <c r="CL48" s="128">
        <v>2.29</v>
      </c>
      <c r="CM48" s="128">
        <v>2.31</v>
      </c>
      <c r="CN48" s="128">
        <v>2.3199999999999998</v>
      </c>
      <c r="CO48" s="128">
        <v>2.33</v>
      </c>
      <c r="CP48" s="128">
        <v>2.34</v>
      </c>
      <c r="CQ48" s="128">
        <v>2.36</v>
      </c>
      <c r="CR48" s="128">
        <v>2.37</v>
      </c>
      <c r="CS48" s="128">
        <v>2.38</v>
      </c>
      <c r="CT48" s="128">
        <v>2.39</v>
      </c>
      <c r="CU48" s="128">
        <v>2.41</v>
      </c>
      <c r="CV48" s="128">
        <v>2.42</v>
      </c>
      <c r="CW48" s="128">
        <v>2.44</v>
      </c>
      <c r="CX48" s="128">
        <v>2.4500000000000002</v>
      </c>
      <c r="CZ48" s="126">
        <f>SUMIF(MatrixF5[[1]:[2]],MatrixF5[[#This Row],[Столбец1]])/MatrixF5[[#This Row],[Столбец1]]</f>
        <v>38.000000000000021</v>
      </c>
      <c r="DA48" s="126">
        <f>SUMIF(MatrixF5[[1]:[2]],MatrixF5[[#This Row],[Столбец1]]+1)/(MatrixF5[[#This Row],[Столбец1]]+1)</f>
        <v>52.000000000000043</v>
      </c>
    </row>
    <row r="49" spans="1:105" ht="21" customHeight="1" x14ac:dyDescent="0.25">
      <c r="A49" s="127">
        <v>1.46</v>
      </c>
      <c r="B49" s="128">
        <v>1.46</v>
      </c>
      <c r="C49" s="128">
        <v>1.48</v>
      </c>
      <c r="D49" s="128">
        <v>1.49</v>
      </c>
      <c r="E49" s="128">
        <v>1.5</v>
      </c>
      <c r="F49" s="128">
        <v>1.52</v>
      </c>
      <c r="G49" s="128">
        <v>1.53</v>
      </c>
      <c r="H49" s="128">
        <v>1.55</v>
      </c>
      <c r="I49" s="128">
        <v>1.56</v>
      </c>
      <c r="J49" s="128">
        <v>1.57</v>
      </c>
      <c r="K49" s="128">
        <v>1.59</v>
      </c>
      <c r="L49" s="128">
        <v>1.6</v>
      </c>
      <c r="M49" s="128">
        <v>1.61</v>
      </c>
      <c r="N49" s="128">
        <v>1.62</v>
      </c>
      <c r="O49" s="128">
        <v>1.64</v>
      </c>
      <c r="P49" s="128">
        <v>1.65</v>
      </c>
      <c r="Q49" s="128">
        <v>1.66</v>
      </c>
      <c r="R49" s="128">
        <v>1.67</v>
      </c>
      <c r="S49" s="128">
        <v>1.68</v>
      </c>
      <c r="T49" s="128">
        <v>1.69</v>
      </c>
      <c r="U49" s="128">
        <v>1.71</v>
      </c>
      <c r="V49" s="128">
        <v>1.72</v>
      </c>
      <c r="W49" s="128">
        <v>1.73</v>
      </c>
      <c r="X49" s="128">
        <v>1.74</v>
      </c>
      <c r="Y49" s="128">
        <v>1.75</v>
      </c>
      <c r="Z49" s="128">
        <v>1.76</v>
      </c>
      <c r="AA49" s="128">
        <v>1.77</v>
      </c>
      <c r="AB49" s="128">
        <v>1.78</v>
      </c>
      <c r="AC49" s="128">
        <v>1.79</v>
      </c>
      <c r="AD49" s="128">
        <v>1.8</v>
      </c>
      <c r="AE49" s="128">
        <v>1.81</v>
      </c>
      <c r="AF49" s="128">
        <v>1.82</v>
      </c>
      <c r="AG49" s="128">
        <v>1.82</v>
      </c>
      <c r="AH49" s="128">
        <v>1.83</v>
      </c>
      <c r="AI49" s="128">
        <v>1.84</v>
      </c>
      <c r="AJ49" s="128">
        <v>1.85</v>
      </c>
      <c r="AK49" s="128">
        <v>1.86</v>
      </c>
      <c r="AL49" s="128">
        <v>1.87</v>
      </c>
      <c r="AM49" s="128">
        <v>1.88</v>
      </c>
      <c r="AN49" s="128">
        <v>1.88</v>
      </c>
      <c r="AO49" s="128">
        <v>1.89</v>
      </c>
      <c r="AP49" s="128">
        <v>1.9</v>
      </c>
      <c r="AQ49" s="128">
        <v>1.91</v>
      </c>
      <c r="AR49" s="128">
        <v>1.92</v>
      </c>
      <c r="AS49" s="128">
        <v>1.92</v>
      </c>
      <c r="AT49" s="128">
        <v>1.93</v>
      </c>
      <c r="AU49" s="128">
        <v>1.94</v>
      </c>
      <c r="AV49" s="128">
        <v>1.95</v>
      </c>
      <c r="AW49" s="128">
        <v>1.95</v>
      </c>
      <c r="AX49" s="128">
        <v>1.96</v>
      </c>
      <c r="AY49" s="128">
        <v>1.97</v>
      </c>
      <c r="AZ49" s="128">
        <v>1.97</v>
      </c>
      <c r="BA49" s="128">
        <v>1.98</v>
      </c>
      <c r="BB49" s="128">
        <v>1.99</v>
      </c>
      <c r="BC49" s="128">
        <v>1.99</v>
      </c>
      <c r="BD49" s="128">
        <v>2</v>
      </c>
      <c r="BE49" s="128">
        <v>2.0099999999999998</v>
      </c>
      <c r="BF49" s="128">
        <v>2.0099999999999998</v>
      </c>
      <c r="BG49" s="128">
        <v>2.02</v>
      </c>
      <c r="BH49" s="128">
        <v>2.0299999999999998</v>
      </c>
      <c r="BI49" s="128">
        <v>2.04</v>
      </c>
      <c r="BJ49" s="128">
        <v>2.04</v>
      </c>
      <c r="BK49" s="128">
        <v>2.0499999999999998</v>
      </c>
      <c r="BL49" s="128">
        <v>2.06</v>
      </c>
      <c r="BM49" s="128">
        <v>2.0699999999999998</v>
      </c>
      <c r="BN49" s="128">
        <v>2.0699999999999998</v>
      </c>
      <c r="BO49" s="128">
        <v>2.08</v>
      </c>
      <c r="BP49" s="128">
        <v>2.09</v>
      </c>
      <c r="BQ49" s="128">
        <v>2.1</v>
      </c>
      <c r="BR49" s="128">
        <v>2.11</v>
      </c>
      <c r="BS49" s="128">
        <v>2.11</v>
      </c>
      <c r="BT49" s="128">
        <v>2.12</v>
      </c>
      <c r="BU49" s="128">
        <v>2.13</v>
      </c>
      <c r="BV49" s="128">
        <v>2.14</v>
      </c>
      <c r="BW49" s="128">
        <v>2.15</v>
      </c>
      <c r="BX49" s="128">
        <v>2.16</v>
      </c>
      <c r="BY49" s="128">
        <v>2.17</v>
      </c>
      <c r="BZ49" s="128">
        <v>2.1800000000000002</v>
      </c>
      <c r="CA49" s="128">
        <v>2.19</v>
      </c>
      <c r="CB49" s="128">
        <v>2.2000000000000002</v>
      </c>
      <c r="CC49" s="128">
        <v>2.21</v>
      </c>
      <c r="CD49" s="128">
        <v>2.2200000000000002</v>
      </c>
      <c r="CE49" s="128">
        <v>2.23</v>
      </c>
      <c r="CF49" s="128">
        <v>2.2400000000000002</v>
      </c>
      <c r="CG49" s="128">
        <v>2.25</v>
      </c>
      <c r="CH49" s="128">
        <v>2.2599999999999998</v>
      </c>
      <c r="CI49" s="128">
        <v>2.27</v>
      </c>
      <c r="CJ49" s="128">
        <v>2.2799999999999998</v>
      </c>
      <c r="CK49" s="128">
        <v>2.29</v>
      </c>
      <c r="CL49" s="128">
        <v>2.2999999999999998</v>
      </c>
      <c r="CM49" s="128">
        <v>2.3199999999999998</v>
      </c>
      <c r="CN49" s="128">
        <v>2.33</v>
      </c>
      <c r="CO49" s="128">
        <v>2.34</v>
      </c>
      <c r="CP49" s="128">
        <v>2.35</v>
      </c>
      <c r="CQ49" s="128">
        <v>2.36</v>
      </c>
      <c r="CR49" s="128">
        <v>2.38</v>
      </c>
      <c r="CS49" s="128">
        <v>2.39</v>
      </c>
      <c r="CT49" s="128">
        <v>2.4</v>
      </c>
      <c r="CU49" s="128">
        <v>2.42</v>
      </c>
      <c r="CV49" s="128">
        <v>2.4300000000000002</v>
      </c>
      <c r="CW49" s="128">
        <v>2.4500000000000002</v>
      </c>
      <c r="CX49" s="128">
        <v>2.46</v>
      </c>
      <c r="CZ49" s="126">
        <f>SUMIF(MatrixF5[[1]:[2]],MatrixF5[[#This Row],[Столбец1]])/MatrixF5[[#This Row],[Столбец1]]</f>
        <v>41.000000000000021</v>
      </c>
      <c r="DA49" s="126">
        <f>SUMIF(MatrixF5[[1]:[2]],MatrixF5[[#This Row],[Столбец1]]+1)/(MatrixF5[[#This Row],[Столбец1]]+1)</f>
        <v>48.99999999999995</v>
      </c>
    </row>
    <row r="50" spans="1:105" ht="21" customHeight="1" x14ac:dyDescent="0.25">
      <c r="A50" s="127">
        <v>1.47</v>
      </c>
      <c r="B50" s="128">
        <v>1.47</v>
      </c>
      <c r="C50" s="128">
        <v>1.49</v>
      </c>
      <c r="D50" s="128">
        <v>1.5</v>
      </c>
      <c r="E50" s="128">
        <v>1.51</v>
      </c>
      <c r="F50" s="128">
        <v>1.53</v>
      </c>
      <c r="G50" s="128">
        <v>1.54</v>
      </c>
      <c r="H50" s="128">
        <v>1.56</v>
      </c>
      <c r="I50" s="128">
        <v>1.57</v>
      </c>
      <c r="J50" s="128">
        <v>1.58</v>
      </c>
      <c r="K50" s="128">
        <v>1.6</v>
      </c>
      <c r="L50" s="128">
        <v>1.61</v>
      </c>
      <c r="M50" s="128">
        <v>1.62</v>
      </c>
      <c r="N50" s="128">
        <v>1.63</v>
      </c>
      <c r="O50" s="128">
        <v>1.65</v>
      </c>
      <c r="P50" s="128">
        <v>1.66</v>
      </c>
      <c r="Q50" s="128">
        <v>1.67</v>
      </c>
      <c r="R50" s="128">
        <v>1.68</v>
      </c>
      <c r="S50" s="128">
        <v>1.69</v>
      </c>
      <c r="T50" s="128">
        <v>1.7</v>
      </c>
      <c r="U50" s="128">
        <v>1.71</v>
      </c>
      <c r="V50" s="128">
        <v>1.72</v>
      </c>
      <c r="W50" s="128">
        <v>1.74</v>
      </c>
      <c r="X50" s="128">
        <v>1.75</v>
      </c>
      <c r="Y50" s="128">
        <v>1.76</v>
      </c>
      <c r="Z50" s="128">
        <v>1.77</v>
      </c>
      <c r="AA50" s="128">
        <v>1.78</v>
      </c>
      <c r="AB50" s="128">
        <v>1.79</v>
      </c>
      <c r="AC50" s="128">
        <v>1.8</v>
      </c>
      <c r="AD50" s="128">
        <v>1.8</v>
      </c>
      <c r="AE50" s="128">
        <v>1.81</v>
      </c>
      <c r="AF50" s="128">
        <v>1.82</v>
      </c>
      <c r="AG50" s="128">
        <v>1.83</v>
      </c>
      <c r="AH50" s="128">
        <v>1.84</v>
      </c>
      <c r="AI50" s="128">
        <v>1.85</v>
      </c>
      <c r="AJ50" s="128">
        <v>1.86</v>
      </c>
      <c r="AK50" s="128">
        <v>1.87</v>
      </c>
      <c r="AL50" s="128">
        <v>1.88</v>
      </c>
      <c r="AM50" s="128">
        <v>1.88</v>
      </c>
      <c r="AN50" s="128">
        <v>1.89</v>
      </c>
      <c r="AO50" s="128">
        <v>1.9</v>
      </c>
      <c r="AP50" s="128">
        <v>1.91</v>
      </c>
      <c r="AQ50" s="128">
        <v>1.91</v>
      </c>
      <c r="AR50" s="128">
        <v>1.92</v>
      </c>
      <c r="AS50" s="128">
        <v>1.93</v>
      </c>
      <c r="AT50" s="128">
        <v>1.94</v>
      </c>
      <c r="AU50" s="128">
        <v>1.94</v>
      </c>
      <c r="AV50" s="128">
        <v>1.95</v>
      </c>
      <c r="AW50" s="128">
        <v>1.96</v>
      </c>
      <c r="AX50" s="128">
        <v>1.97</v>
      </c>
      <c r="AY50" s="128">
        <v>1.97</v>
      </c>
      <c r="AZ50" s="128">
        <v>1.98</v>
      </c>
      <c r="BA50" s="128">
        <v>1.99</v>
      </c>
      <c r="BB50" s="128">
        <v>1.99</v>
      </c>
      <c r="BC50" s="128">
        <v>2</v>
      </c>
      <c r="BD50" s="128">
        <v>2.0099999999999998</v>
      </c>
      <c r="BE50" s="128">
        <v>2.0099999999999998</v>
      </c>
      <c r="BF50" s="128">
        <v>2.02</v>
      </c>
      <c r="BG50" s="128">
        <v>2.0299999999999998</v>
      </c>
      <c r="BH50" s="128">
        <v>2.04</v>
      </c>
      <c r="BI50" s="128">
        <v>2.04</v>
      </c>
      <c r="BJ50" s="128">
        <v>2.0499999999999998</v>
      </c>
      <c r="BK50" s="128">
        <v>2.06</v>
      </c>
      <c r="BL50" s="128">
        <v>2.0699999999999998</v>
      </c>
      <c r="BM50" s="128">
        <v>2.0699999999999998</v>
      </c>
      <c r="BN50" s="128">
        <v>2.08</v>
      </c>
      <c r="BO50" s="128">
        <v>2.09</v>
      </c>
      <c r="BP50" s="128">
        <v>2.1</v>
      </c>
      <c r="BQ50" s="128">
        <v>2.11</v>
      </c>
      <c r="BR50" s="128">
        <v>2.11</v>
      </c>
      <c r="BS50" s="128">
        <v>2.12</v>
      </c>
      <c r="BT50" s="128">
        <v>2.13</v>
      </c>
      <c r="BU50" s="128">
        <v>2.14</v>
      </c>
      <c r="BV50" s="128">
        <v>2.15</v>
      </c>
      <c r="BW50" s="128">
        <v>2.16</v>
      </c>
      <c r="BX50" s="128">
        <v>2.17</v>
      </c>
      <c r="BY50" s="128">
        <v>2.1800000000000002</v>
      </c>
      <c r="BZ50" s="128">
        <v>2.19</v>
      </c>
      <c r="CA50" s="128">
        <v>2.2000000000000002</v>
      </c>
      <c r="CB50" s="128">
        <v>2.2000000000000002</v>
      </c>
      <c r="CC50" s="128">
        <v>2.21</v>
      </c>
      <c r="CD50" s="128">
        <v>2.23</v>
      </c>
      <c r="CE50" s="128">
        <v>2.2400000000000002</v>
      </c>
      <c r="CF50" s="128">
        <v>2.25</v>
      </c>
      <c r="CG50" s="128">
        <v>2.2599999999999998</v>
      </c>
      <c r="CH50" s="128">
        <v>2.27</v>
      </c>
      <c r="CI50" s="128">
        <v>2.2799999999999998</v>
      </c>
      <c r="CJ50" s="128">
        <v>2.29</v>
      </c>
      <c r="CK50" s="128">
        <v>2.2999999999999998</v>
      </c>
      <c r="CL50" s="128">
        <v>2.31</v>
      </c>
      <c r="CM50" s="128">
        <v>2.3199999999999998</v>
      </c>
      <c r="CN50" s="128">
        <v>2.34</v>
      </c>
      <c r="CO50" s="128">
        <v>2.35</v>
      </c>
      <c r="CP50" s="128">
        <v>2.36</v>
      </c>
      <c r="CQ50" s="128">
        <v>2.37</v>
      </c>
      <c r="CR50" s="128">
        <v>2.39</v>
      </c>
      <c r="CS50" s="128">
        <v>2.4</v>
      </c>
      <c r="CT50" s="128">
        <v>2.41</v>
      </c>
      <c r="CU50" s="128">
        <v>2.4300000000000002</v>
      </c>
      <c r="CV50" s="128">
        <v>2.44</v>
      </c>
      <c r="CW50" s="128">
        <v>2.46</v>
      </c>
      <c r="CX50" s="128">
        <v>2.4700000000000002</v>
      </c>
      <c r="CZ50" s="126">
        <f>SUMIF(MatrixF5[[1]:[2]],MatrixF5[[#This Row],[Столбец1]])/MatrixF5[[#This Row],[Столбец1]]</f>
        <v>41.999999999999979</v>
      </c>
      <c r="DA50" s="126">
        <f>SUMIF(MatrixF5[[1]:[2]],MatrixF5[[#This Row],[Столбец1]]+1)/(MatrixF5[[#This Row],[Столбец1]]+1)</f>
        <v>49.999999999999986</v>
      </c>
    </row>
    <row r="51" spans="1:105" ht="21" customHeight="1" x14ac:dyDescent="0.25">
      <c r="A51" s="127">
        <v>1.48</v>
      </c>
      <c r="B51" s="128">
        <v>1.48</v>
      </c>
      <c r="C51" s="128">
        <v>1.5</v>
      </c>
      <c r="D51" s="128">
        <v>1.51</v>
      </c>
      <c r="E51" s="128">
        <v>1.52</v>
      </c>
      <c r="F51" s="128">
        <v>1.54</v>
      </c>
      <c r="G51" s="128">
        <v>1.55</v>
      </c>
      <c r="H51" s="128">
        <v>1.57</v>
      </c>
      <c r="I51" s="128">
        <v>1.58</v>
      </c>
      <c r="J51" s="128">
        <v>1.59</v>
      </c>
      <c r="K51" s="128">
        <v>1.61</v>
      </c>
      <c r="L51" s="128">
        <v>1.62</v>
      </c>
      <c r="M51" s="128">
        <v>1.63</v>
      </c>
      <c r="N51" s="128">
        <v>1.64</v>
      </c>
      <c r="O51" s="128">
        <v>1.65</v>
      </c>
      <c r="P51" s="128">
        <v>1.67</v>
      </c>
      <c r="Q51" s="128">
        <v>1.68</v>
      </c>
      <c r="R51" s="128">
        <v>1.69</v>
      </c>
      <c r="S51" s="128">
        <v>1.7</v>
      </c>
      <c r="T51" s="128">
        <v>1.71</v>
      </c>
      <c r="U51" s="128">
        <v>1.72</v>
      </c>
      <c r="V51" s="128">
        <v>1.73</v>
      </c>
      <c r="W51" s="128">
        <v>1.74</v>
      </c>
      <c r="X51" s="128">
        <v>1.75</v>
      </c>
      <c r="Y51" s="128">
        <v>1.76</v>
      </c>
      <c r="Z51" s="128">
        <v>1.77</v>
      </c>
      <c r="AA51" s="128">
        <v>1.78</v>
      </c>
      <c r="AB51" s="128">
        <v>1.79</v>
      </c>
      <c r="AC51" s="128">
        <v>1.8</v>
      </c>
      <c r="AD51" s="128">
        <v>1.81</v>
      </c>
      <c r="AE51" s="128">
        <v>1.82</v>
      </c>
      <c r="AF51" s="128">
        <v>1.83</v>
      </c>
      <c r="AG51" s="128">
        <v>1.84</v>
      </c>
      <c r="AH51" s="128">
        <v>1.85</v>
      </c>
      <c r="AI51" s="128">
        <v>1.86</v>
      </c>
      <c r="AJ51" s="128">
        <v>1.87</v>
      </c>
      <c r="AK51" s="128">
        <v>1.87</v>
      </c>
      <c r="AL51" s="128">
        <v>1.88</v>
      </c>
      <c r="AM51" s="128">
        <v>1.89</v>
      </c>
      <c r="AN51" s="128">
        <v>1.9</v>
      </c>
      <c r="AO51" s="128">
        <v>1.91</v>
      </c>
      <c r="AP51" s="128">
        <v>1.91</v>
      </c>
      <c r="AQ51" s="128">
        <v>1.92</v>
      </c>
      <c r="AR51" s="128">
        <v>1.93</v>
      </c>
      <c r="AS51" s="128">
        <v>1.94</v>
      </c>
      <c r="AT51" s="128">
        <v>1.94</v>
      </c>
      <c r="AU51" s="128">
        <v>1.95</v>
      </c>
      <c r="AV51" s="128">
        <v>1.96</v>
      </c>
      <c r="AW51" s="128">
        <v>1.97</v>
      </c>
      <c r="AX51" s="128">
        <v>1.97</v>
      </c>
      <c r="AY51" s="128">
        <v>1.98</v>
      </c>
      <c r="AZ51" s="128">
        <v>1.99</v>
      </c>
      <c r="BA51" s="128">
        <v>1.99</v>
      </c>
      <c r="BB51" s="128">
        <v>2</v>
      </c>
      <c r="BC51" s="128">
        <v>2.0099999999999998</v>
      </c>
      <c r="BD51" s="128">
        <v>2.0099999999999998</v>
      </c>
      <c r="BE51" s="128">
        <v>2.02</v>
      </c>
      <c r="BF51" s="128">
        <v>2.0299999999999998</v>
      </c>
      <c r="BG51" s="128">
        <v>2.0299999999999998</v>
      </c>
      <c r="BH51" s="128">
        <v>2.04</v>
      </c>
      <c r="BI51" s="128">
        <v>2.0499999999999998</v>
      </c>
      <c r="BJ51" s="128">
        <v>2.06</v>
      </c>
      <c r="BK51" s="128">
        <v>2.06</v>
      </c>
      <c r="BL51" s="128">
        <v>2.0699999999999998</v>
      </c>
      <c r="BM51" s="128">
        <v>2.08</v>
      </c>
      <c r="BN51" s="128">
        <v>2.09</v>
      </c>
      <c r="BO51" s="128">
        <v>2.1</v>
      </c>
      <c r="BP51" s="128">
        <v>2.1</v>
      </c>
      <c r="BQ51" s="128">
        <v>2.11</v>
      </c>
      <c r="BR51" s="128">
        <v>2.12</v>
      </c>
      <c r="BS51" s="128">
        <v>2.13</v>
      </c>
      <c r="BT51" s="128">
        <v>2.14</v>
      </c>
      <c r="BU51" s="128">
        <v>2.15</v>
      </c>
      <c r="BV51" s="128">
        <v>2.16</v>
      </c>
      <c r="BW51" s="128">
        <v>2.17</v>
      </c>
      <c r="BX51" s="128">
        <v>2.17</v>
      </c>
      <c r="BY51" s="128">
        <v>2.1800000000000002</v>
      </c>
      <c r="BZ51" s="128">
        <v>2.19</v>
      </c>
      <c r="CA51" s="128">
        <v>2.2000000000000002</v>
      </c>
      <c r="CB51" s="128">
        <v>2.21</v>
      </c>
      <c r="CC51" s="128">
        <v>2.2200000000000002</v>
      </c>
      <c r="CD51" s="128">
        <v>2.23</v>
      </c>
      <c r="CE51" s="128">
        <v>2.2400000000000002</v>
      </c>
      <c r="CF51" s="128">
        <v>2.25</v>
      </c>
      <c r="CG51" s="128">
        <v>2.2599999999999998</v>
      </c>
      <c r="CH51" s="128">
        <v>2.2799999999999998</v>
      </c>
      <c r="CI51" s="128">
        <v>2.29</v>
      </c>
      <c r="CJ51" s="128">
        <v>2.2999999999999998</v>
      </c>
      <c r="CK51" s="128">
        <v>2.31</v>
      </c>
      <c r="CL51" s="128">
        <v>2.3199999999999998</v>
      </c>
      <c r="CM51" s="128">
        <v>2.33</v>
      </c>
      <c r="CN51" s="128">
        <v>2.35</v>
      </c>
      <c r="CO51" s="128">
        <v>2.36</v>
      </c>
      <c r="CP51" s="128">
        <v>2.37</v>
      </c>
      <c r="CQ51" s="128">
        <v>2.38</v>
      </c>
      <c r="CR51" s="128">
        <v>2.4</v>
      </c>
      <c r="CS51" s="128">
        <v>2.41</v>
      </c>
      <c r="CT51" s="128">
        <v>2.42</v>
      </c>
      <c r="CU51" s="128">
        <v>2.44</v>
      </c>
      <c r="CV51" s="128">
        <v>2.4500000000000002</v>
      </c>
      <c r="CW51" s="128">
        <v>2.4700000000000002</v>
      </c>
      <c r="CX51" s="128">
        <v>2.48</v>
      </c>
      <c r="CZ51" s="126">
        <f>SUMIF(MatrixF5[[1]:[2]],MatrixF5[[#This Row],[Столбец1]])/MatrixF5[[#This Row],[Столбец1]]</f>
        <v>38.999999999999964</v>
      </c>
      <c r="DA51" s="126">
        <f>SUMIF(MatrixF5[[1]:[2]],MatrixF5[[#This Row],[Столбец1]]+1)/(MatrixF5[[#This Row],[Столбец1]]+1)</f>
        <v>43.000000000000014</v>
      </c>
    </row>
    <row r="52" spans="1:105" ht="21" customHeight="1" x14ac:dyDescent="0.25">
      <c r="A52" s="127">
        <v>1.49</v>
      </c>
      <c r="B52" s="128">
        <v>1.49</v>
      </c>
      <c r="C52" s="128">
        <v>1.5</v>
      </c>
      <c r="D52" s="128">
        <v>1.52</v>
      </c>
      <c r="E52" s="128">
        <v>1.53</v>
      </c>
      <c r="F52" s="128">
        <v>1.55</v>
      </c>
      <c r="G52" s="128">
        <v>1.56</v>
      </c>
      <c r="H52" s="128">
        <v>1.58</v>
      </c>
      <c r="I52" s="128">
        <v>1.59</v>
      </c>
      <c r="J52" s="128">
        <v>1.6</v>
      </c>
      <c r="K52" s="128">
        <v>1.61</v>
      </c>
      <c r="L52" s="128">
        <v>1.63</v>
      </c>
      <c r="M52" s="128">
        <v>1.64</v>
      </c>
      <c r="N52" s="128">
        <v>1.65</v>
      </c>
      <c r="O52" s="128">
        <v>1.66</v>
      </c>
      <c r="P52" s="128">
        <v>1.68</v>
      </c>
      <c r="Q52" s="128">
        <v>1.69</v>
      </c>
      <c r="R52" s="128">
        <v>1.7</v>
      </c>
      <c r="S52" s="128">
        <v>1.71</v>
      </c>
      <c r="T52" s="128">
        <v>1.72</v>
      </c>
      <c r="U52" s="128">
        <v>1.73</v>
      </c>
      <c r="V52" s="128">
        <v>1.74</v>
      </c>
      <c r="W52" s="128">
        <v>1.75</v>
      </c>
      <c r="X52" s="128">
        <v>1.76</v>
      </c>
      <c r="Y52" s="128">
        <v>1.77</v>
      </c>
      <c r="Z52" s="128">
        <v>1.78</v>
      </c>
      <c r="AA52" s="128">
        <v>1.79</v>
      </c>
      <c r="AB52" s="128">
        <v>1.8</v>
      </c>
      <c r="AC52" s="128">
        <v>1.81</v>
      </c>
      <c r="AD52" s="128">
        <v>1.82</v>
      </c>
      <c r="AE52" s="128">
        <v>1.83</v>
      </c>
      <c r="AF52" s="128">
        <v>1.84</v>
      </c>
      <c r="AG52" s="128">
        <v>1.85</v>
      </c>
      <c r="AH52" s="128">
        <v>1.86</v>
      </c>
      <c r="AI52" s="128">
        <v>1.86</v>
      </c>
      <c r="AJ52" s="128">
        <v>1.87</v>
      </c>
      <c r="AK52" s="128">
        <v>1.88</v>
      </c>
      <c r="AL52" s="128">
        <v>1.89</v>
      </c>
      <c r="AM52" s="128">
        <v>1.9</v>
      </c>
      <c r="AN52" s="128">
        <v>1.91</v>
      </c>
      <c r="AO52" s="128">
        <v>1.91</v>
      </c>
      <c r="AP52" s="128">
        <v>1.92</v>
      </c>
      <c r="AQ52" s="128">
        <v>1.93</v>
      </c>
      <c r="AR52" s="128">
        <v>1.94</v>
      </c>
      <c r="AS52" s="128">
        <v>1.94</v>
      </c>
      <c r="AT52" s="128">
        <v>1.95</v>
      </c>
      <c r="AU52" s="128">
        <v>1.96</v>
      </c>
      <c r="AV52" s="128">
        <v>1.97</v>
      </c>
      <c r="AW52" s="128">
        <v>1.97</v>
      </c>
      <c r="AX52" s="128">
        <v>1.98</v>
      </c>
      <c r="AY52" s="128">
        <v>1.99</v>
      </c>
      <c r="AZ52" s="128">
        <v>1.99</v>
      </c>
      <c r="BA52" s="128">
        <v>2</v>
      </c>
      <c r="BB52" s="128">
        <v>2.0099999999999998</v>
      </c>
      <c r="BC52" s="128">
        <v>2.0099999999999998</v>
      </c>
      <c r="BD52" s="128">
        <v>2.02</v>
      </c>
      <c r="BE52" s="128">
        <v>2.0299999999999998</v>
      </c>
      <c r="BF52" s="128">
        <v>2.0299999999999998</v>
      </c>
      <c r="BG52" s="128">
        <v>2.04</v>
      </c>
      <c r="BH52" s="128">
        <v>2.0499999999999998</v>
      </c>
      <c r="BI52" s="128">
        <v>2.06</v>
      </c>
      <c r="BJ52" s="128">
        <v>2.06</v>
      </c>
      <c r="BK52" s="128">
        <v>2.0699999999999998</v>
      </c>
      <c r="BL52" s="128">
        <v>2.08</v>
      </c>
      <c r="BM52" s="128">
        <v>2.09</v>
      </c>
      <c r="BN52" s="128">
        <v>2.1</v>
      </c>
      <c r="BO52" s="128">
        <v>2.1</v>
      </c>
      <c r="BP52" s="128">
        <v>2.11</v>
      </c>
      <c r="BQ52" s="128">
        <v>2.12</v>
      </c>
      <c r="BR52" s="128">
        <v>2.13</v>
      </c>
      <c r="BS52" s="128">
        <v>2.14</v>
      </c>
      <c r="BT52" s="128">
        <v>2.15</v>
      </c>
      <c r="BU52" s="128">
        <v>2.16</v>
      </c>
      <c r="BV52" s="128">
        <v>2.16</v>
      </c>
      <c r="BW52" s="128">
        <v>2.17</v>
      </c>
      <c r="BX52" s="128">
        <v>2.1800000000000002</v>
      </c>
      <c r="BY52" s="128">
        <v>2.19</v>
      </c>
      <c r="BZ52" s="128">
        <v>2.2000000000000002</v>
      </c>
      <c r="CA52" s="128">
        <v>2.21</v>
      </c>
      <c r="CB52" s="128">
        <v>2.2200000000000002</v>
      </c>
      <c r="CC52" s="128">
        <v>2.23</v>
      </c>
      <c r="CD52" s="128">
        <v>2.2400000000000002</v>
      </c>
      <c r="CE52" s="128">
        <v>2.25</v>
      </c>
      <c r="CF52" s="128">
        <v>2.2599999999999998</v>
      </c>
      <c r="CG52" s="128">
        <v>2.27</v>
      </c>
      <c r="CH52" s="128">
        <v>2.2799999999999998</v>
      </c>
      <c r="CI52" s="128">
        <v>2.2999999999999998</v>
      </c>
      <c r="CJ52" s="128">
        <v>2.31</v>
      </c>
      <c r="CK52" s="128">
        <v>2.3199999999999998</v>
      </c>
      <c r="CL52" s="128">
        <v>2.33</v>
      </c>
      <c r="CM52" s="128">
        <v>2.34</v>
      </c>
      <c r="CN52" s="128">
        <v>2.35</v>
      </c>
      <c r="CO52" s="128">
        <v>2.37</v>
      </c>
      <c r="CP52" s="128">
        <v>2.38</v>
      </c>
      <c r="CQ52" s="128">
        <v>2.39</v>
      </c>
      <c r="CR52" s="128">
        <v>2.41</v>
      </c>
      <c r="CS52" s="128">
        <v>2.42</v>
      </c>
      <c r="CT52" s="128">
        <v>2.4300000000000002</v>
      </c>
      <c r="CU52" s="128">
        <v>2.4500000000000002</v>
      </c>
      <c r="CV52" s="128">
        <v>2.46</v>
      </c>
      <c r="CW52" s="128">
        <v>2.48</v>
      </c>
      <c r="CX52" s="128">
        <v>2.4900000000000002</v>
      </c>
      <c r="CZ52" s="126">
        <f>SUMIF(MatrixF5[[1]:[2]],MatrixF5[[#This Row],[Столбец1]])/MatrixF5[[#This Row],[Столбец1]]</f>
        <v>40.000000000000014</v>
      </c>
      <c r="DA52" s="126">
        <f>SUMIF(MatrixF5[[1]:[2]],MatrixF5[[#This Row],[Столбец1]]+1)/(MatrixF5[[#This Row],[Столбец1]]+1)</f>
        <v>41.999999999999979</v>
      </c>
    </row>
    <row r="53" spans="1:105" ht="21" customHeight="1" x14ac:dyDescent="0.25">
      <c r="A53" s="127">
        <v>1.5</v>
      </c>
      <c r="B53" s="128">
        <v>1.5</v>
      </c>
      <c r="C53" s="128">
        <v>1.51</v>
      </c>
      <c r="D53" s="128">
        <v>1.53</v>
      </c>
      <c r="E53" s="128">
        <v>1.54</v>
      </c>
      <c r="F53" s="128">
        <v>1.56</v>
      </c>
      <c r="G53" s="128">
        <v>1.57</v>
      </c>
      <c r="H53" s="128">
        <v>1.58</v>
      </c>
      <c r="I53" s="128">
        <v>1.6</v>
      </c>
      <c r="J53" s="128">
        <v>1.61</v>
      </c>
      <c r="K53" s="128">
        <v>1.62</v>
      </c>
      <c r="L53" s="128">
        <v>1.64</v>
      </c>
      <c r="M53" s="128">
        <v>1.65</v>
      </c>
      <c r="N53" s="128">
        <v>1.66</v>
      </c>
      <c r="O53" s="128">
        <v>1.67</v>
      </c>
      <c r="P53" s="128">
        <v>1.68</v>
      </c>
      <c r="Q53" s="128">
        <v>1.7</v>
      </c>
      <c r="R53" s="128">
        <v>1.71</v>
      </c>
      <c r="S53" s="128">
        <v>1.72</v>
      </c>
      <c r="T53" s="128">
        <v>1.73</v>
      </c>
      <c r="U53" s="128">
        <v>1.74</v>
      </c>
      <c r="V53" s="128">
        <v>1.75</v>
      </c>
      <c r="W53" s="128">
        <v>1.76</v>
      </c>
      <c r="X53" s="128">
        <v>1.77</v>
      </c>
      <c r="Y53" s="128">
        <v>1.78</v>
      </c>
      <c r="Z53" s="128">
        <v>1.79</v>
      </c>
      <c r="AA53" s="128">
        <v>1.8</v>
      </c>
      <c r="AB53" s="128">
        <v>1.81</v>
      </c>
      <c r="AC53" s="128">
        <v>1.82</v>
      </c>
      <c r="AD53" s="128">
        <v>1.83</v>
      </c>
      <c r="AE53" s="128">
        <v>1.84</v>
      </c>
      <c r="AF53" s="128">
        <v>1.85</v>
      </c>
      <c r="AG53" s="128">
        <v>1.85</v>
      </c>
      <c r="AH53" s="128">
        <v>1.86</v>
      </c>
      <c r="AI53" s="128">
        <v>1.87</v>
      </c>
      <c r="AJ53" s="128">
        <v>1.88</v>
      </c>
      <c r="AK53" s="128">
        <v>1.89</v>
      </c>
      <c r="AL53" s="128">
        <v>1.9</v>
      </c>
      <c r="AM53" s="128">
        <v>1.91</v>
      </c>
      <c r="AN53" s="128">
        <v>1.91</v>
      </c>
      <c r="AO53" s="128">
        <v>1.92</v>
      </c>
      <c r="AP53" s="128">
        <v>1.93</v>
      </c>
      <c r="AQ53" s="128">
        <v>1.94</v>
      </c>
      <c r="AR53" s="128">
        <v>1.94</v>
      </c>
      <c r="AS53" s="128">
        <v>1.95</v>
      </c>
      <c r="AT53" s="128">
        <v>1.96</v>
      </c>
      <c r="AU53" s="128">
        <v>1.97</v>
      </c>
      <c r="AV53" s="128">
        <v>1.97</v>
      </c>
      <c r="AW53" s="128">
        <v>1.98</v>
      </c>
      <c r="AX53" s="128">
        <v>1.99</v>
      </c>
      <c r="AY53" s="128">
        <v>1.99</v>
      </c>
      <c r="AZ53" s="128">
        <v>2</v>
      </c>
      <c r="BA53" s="128">
        <v>2.0099999999999998</v>
      </c>
      <c r="BB53" s="128">
        <v>2.0099999999999998</v>
      </c>
      <c r="BC53" s="128">
        <v>2.02</v>
      </c>
      <c r="BD53" s="128">
        <v>2.0299999999999998</v>
      </c>
      <c r="BE53" s="128">
        <v>2.0299999999999998</v>
      </c>
      <c r="BF53" s="128">
        <v>2.04</v>
      </c>
      <c r="BG53" s="128">
        <v>2.0499999999999998</v>
      </c>
      <c r="BH53" s="128">
        <v>2.06</v>
      </c>
      <c r="BI53" s="128">
        <v>2.06</v>
      </c>
      <c r="BJ53" s="128">
        <v>2.0699999999999998</v>
      </c>
      <c r="BK53" s="128">
        <v>2.08</v>
      </c>
      <c r="BL53" s="128">
        <v>2.09</v>
      </c>
      <c r="BM53" s="128">
        <v>2.09</v>
      </c>
      <c r="BN53" s="128">
        <v>2.1</v>
      </c>
      <c r="BO53" s="128">
        <v>2.11</v>
      </c>
      <c r="BP53" s="128">
        <v>2.12</v>
      </c>
      <c r="BQ53" s="128">
        <v>2.13</v>
      </c>
      <c r="BR53" s="128">
        <v>2.14</v>
      </c>
      <c r="BS53" s="128">
        <v>2.15</v>
      </c>
      <c r="BT53" s="128">
        <v>2.15</v>
      </c>
      <c r="BU53" s="128">
        <v>2.16</v>
      </c>
      <c r="BV53" s="128">
        <v>2.17</v>
      </c>
      <c r="BW53" s="128">
        <v>2.1800000000000002</v>
      </c>
      <c r="BX53" s="128">
        <v>2.19</v>
      </c>
      <c r="BY53" s="128">
        <v>2.2000000000000002</v>
      </c>
      <c r="BZ53" s="128">
        <v>2.21</v>
      </c>
      <c r="CA53" s="128">
        <v>2.2200000000000002</v>
      </c>
      <c r="CB53" s="128">
        <v>2.23</v>
      </c>
      <c r="CC53" s="128">
        <v>2.2400000000000002</v>
      </c>
      <c r="CD53" s="128">
        <v>2.25</v>
      </c>
      <c r="CE53" s="128">
        <v>2.2599999999999998</v>
      </c>
      <c r="CF53" s="128">
        <v>2.27</v>
      </c>
      <c r="CG53" s="128">
        <v>2.2799999999999998</v>
      </c>
      <c r="CH53" s="128">
        <v>2.29</v>
      </c>
      <c r="CI53" s="128">
        <v>2.2999999999999998</v>
      </c>
      <c r="CJ53" s="128">
        <v>2.3199999999999998</v>
      </c>
      <c r="CK53" s="128">
        <v>2.33</v>
      </c>
      <c r="CL53" s="128">
        <v>2.34</v>
      </c>
      <c r="CM53" s="128">
        <v>2.35</v>
      </c>
      <c r="CN53" s="128">
        <v>2.36</v>
      </c>
      <c r="CO53" s="128">
        <v>2.38</v>
      </c>
      <c r="CP53" s="128">
        <v>2.39</v>
      </c>
      <c r="CQ53" s="128">
        <v>2.4</v>
      </c>
      <c r="CR53" s="128">
        <v>2.42</v>
      </c>
      <c r="CS53" s="128">
        <v>2.4300000000000002</v>
      </c>
      <c r="CT53" s="128">
        <v>2.44</v>
      </c>
      <c r="CU53" s="128">
        <v>2.46</v>
      </c>
      <c r="CV53" s="128">
        <v>2.4700000000000002</v>
      </c>
      <c r="CW53" s="128">
        <v>2.4900000000000002</v>
      </c>
      <c r="CX53" s="128">
        <v>2.5</v>
      </c>
      <c r="CZ53" s="126">
        <f>SUMIF(MatrixF5[[1]:[2]],MatrixF5[[#This Row],[Столбец1]])/MatrixF5[[#This Row],[Столбец1]]</f>
        <v>61</v>
      </c>
      <c r="DA53" s="126">
        <f>SUMIF(MatrixF5[[1]:[2]],MatrixF5[[#This Row],[Столбец1]]+1)/(MatrixF5[[#This Row],[Столбец1]]+1)</f>
        <v>61</v>
      </c>
    </row>
    <row r="54" spans="1:105" ht="21" customHeight="1" x14ac:dyDescent="0.25">
      <c r="A54" s="127">
        <v>1.51</v>
      </c>
      <c r="B54" s="128">
        <v>1.51</v>
      </c>
      <c r="C54" s="128">
        <v>1.52</v>
      </c>
      <c r="D54" s="128">
        <v>1.54</v>
      </c>
      <c r="E54" s="128">
        <v>1.55</v>
      </c>
      <c r="F54" s="128">
        <v>1.57</v>
      </c>
      <c r="G54" s="128">
        <v>1.58</v>
      </c>
      <c r="H54" s="128">
        <v>1.59</v>
      </c>
      <c r="I54" s="128">
        <v>1.61</v>
      </c>
      <c r="J54" s="128">
        <v>1.62</v>
      </c>
      <c r="K54" s="128">
        <v>1.63</v>
      </c>
      <c r="L54" s="128">
        <v>1.65</v>
      </c>
      <c r="M54" s="128">
        <v>1.66</v>
      </c>
      <c r="N54" s="128">
        <v>1.67</v>
      </c>
      <c r="O54" s="128">
        <v>1.68</v>
      </c>
      <c r="P54" s="128">
        <v>1.69</v>
      </c>
      <c r="Q54" s="128">
        <v>1.7</v>
      </c>
      <c r="R54" s="128">
        <v>1.72</v>
      </c>
      <c r="S54" s="128">
        <v>1.73</v>
      </c>
      <c r="T54" s="128">
        <v>1.74</v>
      </c>
      <c r="U54" s="128">
        <v>1.75</v>
      </c>
      <c r="V54" s="128">
        <v>1.76</v>
      </c>
      <c r="W54" s="128">
        <v>1.77</v>
      </c>
      <c r="X54" s="128">
        <v>1.78</v>
      </c>
      <c r="Y54" s="128">
        <v>1.79</v>
      </c>
      <c r="Z54" s="128">
        <v>1.8</v>
      </c>
      <c r="AA54" s="128">
        <v>1.81</v>
      </c>
      <c r="AB54" s="128">
        <v>1.82</v>
      </c>
      <c r="AC54" s="128">
        <v>1.83</v>
      </c>
      <c r="AD54" s="128">
        <v>1.84</v>
      </c>
      <c r="AE54" s="128">
        <v>1.84</v>
      </c>
      <c r="AF54" s="128">
        <v>1.85</v>
      </c>
      <c r="AG54" s="128">
        <v>1.86</v>
      </c>
      <c r="AH54" s="128">
        <v>1.87</v>
      </c>
      <c r="AI54" s="128">
        <v>1.88</v>
      </c>
      <c r="AJ54" s="128">
        <v>1.89</v>
      </c>
      <c r="AK54" s="128">
        <v>1.9</v>
      </c>
      <c r="AL54" s="128">
        <v>1.9</v>
      </c>
      <c r="AM54" s="128">
        <v>1.91</v>
      </c>
      <c r="AN54" s="128">
        <v>1.92</v>
      </c>
      <c r="AO54" s="128">
        <v>1.93</v>
      </c>
      <c r="AP54" s="128">
        <v>1.94</v>
      </c>
      <c r="AQ54" s="128">
        <v>1.94</v>
      </c>
      <c r="AR54" s="128">
        <v>1.95</v>
      </c>
      <c r="AS54" s="128">
        <v>1.96</v>
      </c>
      <c r="AT54" s="128">
        <v>1.97</v>
      </c>
      <c r="AU54" s="128">
        <v>1.97</v>
      </c>
      <c r="AV54" s="128">
        <v>1.98</v>
      </c>
      <c r="AW54" s="128">
        <v>1.99</v>
      </c>
      <c r="AX54" s="128">
        <v>1.99</v>
      </c>
      <c r="AY54" s="128">
        <v>2</v>
      </c>
      <c r="AZ54" s="128">
        <v>2.0099999999999998</v>
      </c>
      <c r="BA54" s="128">
        <v>2.0099999999999998</v>
      </c>
      <c r="BB54" s="128">
        <v>2.02</v>
      </c>
      <c r="BC54" s="128">
        <v>2.0299999999999998</v>
      </c>
      <c r="BD54" s="128">
        <v>2.0299999999999998</v>
      </c>
      <c r="BE54" s="128">
        <v>2.04</v>
      </c>
      <c r="BF54" s="128">
        <v>2.0499999999999998</v>
      </c>
      <c r="BG54" s="128">
        <v>2.06</v>
      </c>
      <c r="BH54" s="128">
        <v>2.06</v>
      </c>
      <c r="BI54" s="128">
        <v>2.0699999999999998</v>
      </c>
      <c r="BJ54" s="128">
        <v>2.08</v>
      </c>
      <c r="BK54" s="128">
        <v>2.09</v>
      </c>
      <c r="BL54" s="128">
        <v>2.09</v>
      </c>
      <c r="BM54" s="128">
        <v>2.1</v>
      </c>
      <c r="BN54" s="128">
        <v>2.11</v>
      </c>
      <c r="BO54" s="128">
        <v>2.12</v>
      </c>
      <c r="BP54" s="128">
        <v>2.13</v>
      </c>
      <c r="BQ54" s="128">
        <v>2.14</v>
      </c>
      <c r="BR54" s="128">
        <v>2.14</v>
      </c>
      <c r="BS54" s="128">
        <v>2.15</v>
      </c>
      <c r="BT54" s="128">
        <v>2.16</v>
      </c>
      <c r="BU54" s="128">
        <v>2.17</v>
      </c>
      <c r="BV54" s="128">
        <v>2.1800000000000002</v>
      </c>
      <c r="BW54" s="128">
        <v>2.19</v>
      </c>
      <c r="BX54" s="128">
        <v>2.2000000000000002</v>
      </c>
      <c r="BY54" s="128">
        <v>2.21</v>
      </c>
      <c r="BZ54" s="128">
        <v>2.2200000000000002</v>
      </c>
      <c r="CA54" s="128">
        <v>2.23</v>
      </c>
      <c r="CB54" s="128">
        <v>2.2400000000000002</v>
      </c>
      <c r="CC54" s="128">
        <v>2.25</v>
      </c>
      <c r="CD54" s="128">
        <v>2.2599999999999998</v>
      </c>
      <c r="CE54" s="128">
        <v>2.27</v>
      </c>
      <c r="CF54" s="128">
        <v>2.2799999999999998</v>
      </c>
      <c r="CG54" s="128">
        <v>2.29</v>
      </c>
      <c r="CH54" s="128">
        <v>2.2999999999999998</v>
      </c>
      <c r="CI54" s="128">
        <v>2.31</v>
      </c>
      <c r="CJ54" s="128">
        <v>2.3199999999999998</v>
      </c>
      <c r="CK54" s="128">
        <v>2.34</v>
      </c>
      <c r="CL54" s="128">
        <v>2.35</v>
      </c>
      <c r="CM54" s="128">
        <v>2.36</v>
      </c>
      <c r="CN54" s="128">
        <v>2.37</v>
      </c>
      <c r="CO54" s="128">
        <v>2.39</v>
      </c>
      <c r="CP54" s="128">
        <v>2.4</v>
      </c>
      <c r="CQ54" s="128">
        <v>2.41</v>
      </c>
      <c r="CR54" s="128">
        <v>2.42</v>
      </c>
      <c r="CS54" s="128">
        <v>2.44</v>
      </c>
      <c r="CT54" s="128">
        <v>2.4500000000000002</v>
      </c>
      <c r="CU54" s="128">
        <v>2.4700000000000002</v>
      </c>
      <c r="CV54" s="128">
        <v>2.48</v>
      </c>
      <c r="CW54" s="128">
        <v>2.5</v>
      </c>
      <c r="CX54" s="128">
        <v>2.5099999999999998</v>
      </c>
      <c r="CZ54" s="126">
        <f>SUMIF(MatrixF5[[1]:[2]],MatrixF5[[#This Row],[Столбец1]])/MatrixF5[[#This Row],[Столбец1]]</f>
        <v>41.999999999999979</v>
      </c>
      <c r="DA54" s="126">
        <f>SUMIF(MatrixF5[[1]:[2]],MatrixF5[[#This Row],[Столбец1]]+1)/(MatrixF5[[#This Row],[Столбец1]]+1)</f>
        <v>40.000000000000014</v>
      </c>
    </row>
    <row r="55" spans="1:105" ht="21" customHeight="1" x14ac:dyDescent="0.25">
      <c r="A55" s="127">
        <v>1.52</v>
      </c>
      <c r="B55" s="128">
        <v>1.52</v>
      </c>
      <c r="C55" s="128">
        <v>1.53</v>
      </c>
      <c r="D55" s="128">
        <v>1.55</v>
      </c>
      <c r="E55" s="128">
        <v>1.56</v>
      </c>
      <c r="F55" s="128">
        <v>1.58</v>
      </c>
      <c r="G55" s="128">
        <v>1.59</v>
      </c>
      <c r="H55" s="128">
        <v>1.6</v>
      </c>
      <c r="I55" s="128">
        <v>1.62</v>
      </c>
      <c r="J55" s="128">
        <v>1.63</v>
      </c>
      <c r="K55" s="128">
        <v>1.64</v>
      </c>
      <c r="L55" s="128">
        <v>1.65</v>
      </c>
      <c r="M55" s="128">
        <v>1.67</v>
      </c>
      <c r="N55" s="128">
        <v>1.68</v>
      </c>
      <c r="O55" s="128">
        <v>1.69</v>
      </c>
      <c r="P55" s="128">
        <v>1.7</v>
      </c>
      <c r="Q55" s="128">
        <v>1.71</v>
      </c>
      <c r="R55" s="128">
        <v>1.72</v>
      </c>
      <c r="S55" s="128">
        <v>1.74</v>
      </c>
      <c r="T55" s="128">
        <v>1.75</v>
      </c>
      <c r="U55" s="128">
        <v>1.76</v>
      </c>
      <c r="V55" s="128">
        <v>1.77</v>
      </c>
      <c r="W55" s="128">
        <v>1.78</v>
      </c>
      <c r="X55" s="128">
        <v>1.79</v>
      </c>
      <c r="Y55" s="128">
        <v>1.8</v>
      </c>
      <c r="Z55" s="128">
        <v>1.81</v>
      </c>
      <c r="AA55" s="128">
        <v>1.82</v>
      </c>
      <c r="AB55" s="128">
        <v>1.83</v>
      </c>
      <c r="AC55" s="128">
        <v>1.83</v>
      </c>
      <c r="AD55" s="128">
        <v>1.84</v>
      </c>
      <c r="AE55" s="128">
        <v>1.85</v>
      </c>
      <c r="AF55" s="128">
        <v>1.86</v>
      </c>
      <c r="AG55" s="128">
        <v>1.87</v>
      </c>
      <c r="AH55" s="128">
        <v>1.88</v>
      </c>
      <c r="AI55" s="128">
        <v>1.89</v>
      </c>
      <c r="AJ55" s="128">
        <v>1.9</v>
      </c>
      <c r="AK55" s="128">
        <v>1.9</v>
      </c>
      <c r="AL55" s="128">
        <v>1.91</v>
      </c>
      <c r="AM55" s="128">
        <v>1.92</v>
      </c>
      <c r="AN55" s="128">
        <v>1.93</v>
      </c>
      <c r="AO55" s="128">
        <v>1.94</v>
      </c>
      <c r="AP55" s="128">
        <v>1.94</v>
      </c>
      <c r="AQ55" s="128">
        <v>1.95</v>
      </c>
      <c r="AR55" s="128">
        <v>1.96</v>
      </c>
      <c r="AS55" s="128">
        <v>1.97</v>
      </c>
      <c r="AT55" s="128">
        <v>1.97</v>
      </c>
      <c r="AU55" s="128">
        <v>1.98</v>
      </c>
      <c r="AV55" s="128">
        <v>1.99</v>
      </c>
      <c r="AW55" s="128">
        <v>1.99</v>
      </c>
      <c r="AX55" s="128">
        <v>2</v>
      </c>
      <c r="AY55" s="128">
        <v>2.0099999999999998</v>
      </c>
      <c r="AZ55" s="128">
        <v>2.0099999999999998</v>
      </c>
      <c r="BA55" s="128">
        <v>2.02</v>
      </c>
      <c r="BB55" s="128">
        <v>2.0299999999999998</v>
      </c>
      <c r="BC55" s="128">
        <v>2.0299999999999998</v>
      </c>
      <c r="BD55" s="128">
        <v>2.04</v>
      </c>
      <c r="BE55" s="128">
        <v>2.0499999999999998</v>
      </c>
      <c r="BF55" s="128">
        <v>2.06</v>
      </c>
      <c r="BG55" s="128">
        <v>2.06</v>
      </c>
      <c r="BH55" s="128">
        <v>2.0699999999999998</v>
      </c>
      <c r="BI55" s="128">
        <v>2.08</v>
      </c>
      <c r="BJ55" s="128">
        <v>2.09</v>
      </c>
      <c r="BK55" s="128">
        <v>2.09</v>
      </c>
      <c r="BL55" s="128">
        <v>2.1</v>
      </c>
      <c r="BM55" s="128">
        <v>2.11</v>
      </c>
      <c r="BN55" s="128">
        <v>2.12</v>
      </c>
      <c r="BO55" s="128">
        <v>2.13</v>
      </c>
      <c r="BP55" s="128">
        <v>2.13</v>
      </c>
      <c r="BQ55" s="128">
        <v>2.14</v>
      </c>
      <c r="BR55" s="128">
        <v>2.15</v>
      </c>
      <c r="BS55" s="128">
        <v>2.16</v>
      </c>
      <c r="BT55" s="128">
        <v>2.17</v>
      </c>
      <c r="BU55" s="128">
        <v>2.1800000000000002</v>
      </c>
      <c r="BV55" s="128">
        <v>2.19</v>
      </c>
      <c r="BW55" s="128">
        <v>2.2000000000000002</v>
      </c>
      <c r="BX55" s="128">
        <v>2.21</v>
      </c>
      <c r="BY55" s="128">
        <v>2.2200000000000002</v>
      </c>
      <c r="BZ55" s="128">
        <v>2.23</v>
      </c>
      <c r="CA55" s="128">
        <v>2.2400000000000002</v>
      </c>
      <c r="CB55" s="128">
        <v>2.25</v>
      </c>
      <c r="CC55" s="128">
        <v>2.2599999999999998</v>
      </c>
      <c r="CD55" s="128">
        <v>2.27</v>
      </c>
      <c r="CE55" s="128">
        <v>2.2799999999999998</v>
      </c>
      <c r="CF55" s="128">
        <v>2.29</v>
      </c>
      <c r="CG55" s="128">
        <v>2.2999999999999998</v>
      </c>
      <c r="CH55" s="128">
        <v>2.31</v>
      </c>
      <c r="CI55" s="128">
        <v>2.3199999999999998</v>
      </c>
      <c r="CJ55" s="128">
        <v>2.33</v>
      </c>
      <c r="CK55" s="128">
        <v>2.35</v>
      </c>
      <c r="CL55" s="128">
        <v>2.36</v>
      </c>
      <c r="CM55" s="128">
        <v>2.37</v>
      </c>
      <c r="CN55" s="128">
        <v>2.38</v>
      </c>
      <c r="CO55" s="128">
        <v>2.39</v>
      </c>
      <c r="CP55" s="128">
        <v>2.41</v>
      </c>
      <c r="CQ55" s="128">
        <v>2.42</v>
      </c>
      <c r="CR55" s="128">
        <v>2.4300000000000002</v>
      </c>
      <c r="CS55" s="128">
        <v>2.4500000000000002</v>
      </c>
      <c r="CT55" s="128">
        <v>2.46</v>
      </c>
      <c r="CU55" s="128">
        <v>2.48</v>
      </c>
      <c r="CV55" s="128">
        <v>2.4900000000000002</v>
      </c>
      <c r="CW55" s="128">
        <v>2.5</v>
      </c>
      <c r="CX55" s="128">
        <v>2.52</v>
      </c>
      <c r="CZ55" s="126">
        <f>SUMIF(MatrixF5[[1]:[2]],MatrixF5[[#This Row],[Столбец1]])/MatrixF5[[#This Row],[Столбец1]]</f>
        <v>45.000000000000028</v>
      </c>
      <c r="DA55" s="126">
        <f>SUMIF(MatrixF5[[1]:[2]],MatrixF5[[#This Row],[Столбец1]]+1)/(MatrixF5[[#This Row],[Столбец1]]+1)</f>
        <v>38.999999999999993</v>
      </c>
    </row>
    <row r="56" spans="1:105" ht="21" customHeight="1" x14ac:dyDescent="0.25">
      <c r="A56" s="127">
        <v>1.53</v>
      </c>
      <c r="B56" s="128">
        <v>1.53</v>
      </c>
      <c r="C56" s="128">
        <v>1.54</v>
      </c>
      <c r="D56" s="128">
        <v>1.56</v>
      </c>
      <c r="E56" s="128">
        <v>1.57</v>
      </c>
      <c r="F56" s="128">
        <v>1.59</v>
      </c>
      <c r="G56" s="128">
        <v>1.6</v>
      </c>
      <c r="H56" s="128">
        <v>1.61</v>
      </c>
      <c r="I56" s="128">
        <v>1.63</v>
      </c>
      <c r="J56" s="128">
        <v>1.64</v>
      </c>
      <c r="K56" s="128">
        <v>1.65</v>
      </c>
      <c r="L56" s="128">
        <v>1.66</v>
      </c>
      <c r="M56" s="128">
        <v>1.68</v>
      </c>
      <c r="N56" s="128">
        <v>1.69</v>
      </c>
      <c r="O56" s="128">
        <v>1.7</v>
      </c>
      <c r="P56" s="128">
        <v>1.71</v>
      </c>
      <c r="Q56" s="128">
        <v>1.72</v>
      </c>
      <c r="R56" s="128">
        <v>1.73</v>
      </c>
      <c r="S56" s="128">
        <v>1.74</v>
      </c>
      <c r="T56" s="128">
        <v>1.75</v>
      </c>
      <c r="U56" s="128">
        <v>1.76</v>
      </c>
      <c r="V56" s="128">
        <v>1.78</v>
      </c>
      <c r="W56" s="128">
        <v>1.79</v>
      </c>
      <c r="X56" s="128">
        <v>1.8</v>
      </c>
      <c r="Y56" s="128">
        <v>1.8</v>
      </c>
      <c r="Z56" s="128">
        <v>1.81</v>
      </c>
      <c r="AA56" s="128">
        <v>1.82</v>
      </c>
      <c r="AB56" s="128">
        <v>1.83</v>
      </c>
      <c r="AC56" s="128">
        <v>1.84</v>
      </c>
      <c r="AD56" s="128">
        <v>1.85</v>
      </c>
      <c r="AE56" s="128">
        <v>1.86</v>
      </c>
      <c r="AF56" s="128">
        <v>1.87</v>
      </c>
      <c r="AG56" s="128">
        <v>1.88</v>
      </c>
      <c r="AH56" s="128">
        <v>1.89</v>
      </c>
      <c r="AI56" s="128">
        <v>1.89</v>
      </c>
      <c r="AJ56" s="128">
        <v>1.9</v>
      </c>
      <c r="AK56" s="128">
        <v>1.91</v>
      </c>
      <c r="AL56" s="128">
        <v>1.92</v>
      </c>
      <c r="AM56" s="128">
        <v>1.93</v>
      </c>
      <c r="AN56" s="128">
        <v>1.93</v>
      </c>
      <c r="AO56" s="128">
        <v>1.94</v>
      </c>
      <c r="AP56" s="128">
        <v>1.95</v>
      </c>
      <c r="AQ56" s="128">
        <v>1.96</v>
      </c>
      <c r="AR56" s="128">
        <v>1.96</v>
      </c>
      <c r="AS56" s="128">
        <v>1.97</v>
      </c>
      <c r="AT56" s="128">
        <v>1.98</v>
      </c>
      <c r="AU56" s="128">
        <v>1.99</v>
      </c>
      <c r="AV56" s="128">
        <v>1.99</v>
      </c>
      <c r="AW56" s="128">
        <v>2</v>
      </c>
      <c r="AX56" s="128">
        <v>2.0099999999999998</v>
      </c>
      <c r="AY56" s="128">
        <v>2.0099999999999998</v>
      </c>
      <c r="AZ56" s="128">
        <v>2.02</v>
      </c>
      <c r="BA56" s="128">
        <v>2.0299999999999998</v>
      </c>
      <c r="BB56" s="128">
        <v>2.0299999999999998</v>
      </c>
      <c r="BC56" s="128">
        <v>2.04</v>
      </c>
      <c r="BD56" s="128">
        <v>2.0499999999999998</v>
      </c>
      <c r="BE56" s="128">
        <v>2.06</v>
      </c>
      <c r="BF56" s="128">
        <v>2.06</v>
      </c>
      <c r="BG56" s="128">
        <v>2.0699999999999998</v>
      </c>
      <c r="BH56" s="128">
        <v>2.08</v>
      </c>
      <c r="BI56" s="128">
        <v>2.09</v>
      </c>
      <c r="BJ56" s="128">
        <v>2.09</v>
      </c>
      <c r="BK56" s="128">
        <v>2.1</v>
      </c>
      <c r="BL56" s="128">
        <v>2.11</v>
      </c>
      <c r="BM56" s="128">
        <v>2.12</v>
      </c>
      <c r="BN56" s="128">
        <v>2.12</v>
      </c>
      <c r="BO56" s="128">
        <v>2.13</v>
      </c>
      <c r="BP56" s="128">
        <v>2.14</v>
      </c>
      <c r="BQ56" s="128">
        <v>2.15</v>
      </c>
      <c r="BR56" s="128">
        <v>2.16</v>
      </c>
      <c r="BS56" s="128">
        <v>2.17</v>
      </c>
      <c r="BT56" s="128">
        <v>2.1800000000000002</v>
      </c>
      <c r="BU56" s="128">
        <v>2.19</v>
      </c>
      <c r="BV56" s="128">
        <v>2.2000000000000002</v>
      </c>
      <c r="BW56" s="128">
        <v>2.2000000000000002</v>
      </c>
      <c r="BX56" s="128">
        <v>2.21</v>
      </c>
      <c r="BY56" s="128">
        <v>2.2200000000000002</v>
      </c>
      <c r="BZ56" s="128">
        <v>2.23</v>
      </c>
      <c r="CA56" s="128">
        <v>2.2400000000000002</v>
      </c>
      <c r="CB56" s="128">
        <v>2.25</v>
      </c>
      <c r="CC56" s="128">
        <v>2.2599999999999998</v>
      </c>
      <c r="CD56" s="128">
        <v>2.27</v>
      </c>
      <c r="CE56" s="128">
        <v>2.29</v>
      </c>
      <c r="CF56" s="128">
        <v>2.2999999999999998</v>
      </c>
      <c r="CG56" s="128">
        <v>2.31</v>
      </c>
      <c r="CH56" s="128">
        <v>2.3199999999999998</v>
      </c>
      <c r="CI56" s="128">
        <v>2.33</v>
      </c>
      <c r="CJ56" s="128">
        <v>2.34</v>
      </c>
      <c r="CK56" s="128">
        <v>2.35</v>
      </c>
      <c r="CL56" s="128">
        <v>2.37</v>
      </c>
      <c r="CM56" s="128">
        <v>2.38</v>
      </c>
      <c r="CN56" s="128">
        <v>2.39</v>
      </c>
      <c r="CO56" s="128">
        <v>2.4</v>
      </c>
      <c r="CP56" s="128">
        <v>2.42</v>
      </c>
      <c r="CQ56" s="128">
        <v>2.4300000000000002</v>
      </c>
      <c r="CR56" s="128">
        <v>2.44</v>
      </c>
      <c r="CS56" s="128">
        <v>2.46</v>
      </c>
      <c r="CT56" s="128">
        <v>2.4700000000000002</v>
      </c>
      <c r="CU56" s="128">
        <v>2.4900000000000002</v>
      </c>
      <c r="CV56" s="128">
        <v>2.5</v>
      </c>
      <c r="CW56" s="128">
        <v>2.5099999999999998</v>
      </c>
      <c r="CX56" s="128">
        <v>2.5299999999999998</v>
      </c>
      <c r="CZ56" s="126">
        <f>SUMIF(MatrixF5[[1]:[2]],MatrixF5[[#This Row],[Столбец1]])/MatrixF5[[#This Row],[Столбец1]]</f>
        <v>48.000000000000028</v>
      </c>
      <c r="DA56" s="126">
        <f>SUMIF(MatrixF5[[1]:[2]],MatrixF5[[#This Row],[Столбец1]]+1)/(MatrixF5[[#This Row],[Столбец1]]+1)</f>
        <v>42.000000000000007</v>
      </c>
    </row>
    <row r="57" spans="1:105" ht="21" customHeight="1" x14ac:dyDescent="0.25">
      <c r="A57" s="127">
        <v>1.54</v>
      </c>
      <c r="B57" s="128">
        <v>1.54</v>
      </c>
      <c r="C57" s="128">
        <v>1.55</v>
      </c>
      <c r="D57" s="128">
        <v>1.57</v>
      </c>
      <c r="E57" s="128">
        <v>1.58</v>
      </c>
      <c r="F57" s="128">
        <v>1.6</v>
      </c>
      <c r="G57" s="128">
        <v>1.61</v>
      </c>
      <c r="H57" s="128">
        <v>1.62</v>
      </c>
      <c r="I57" s="128">
        <v>1.64</v>
      </c>
      <c r="J57" s="128">
        <v>1.65</v>
      </c>
      <c r="K57" s="128">
        <v>1.66</v>
      </c>
      <c r="L57" s="128">
        <v>1.67</v>
      </c>
      <c r="M57" s="128">
        <v>1.68</v>
      </c>
      <c r="N57" s="128">
        <v>1.7</v>
      </c>
      <c r="O57" s="128">
        <v>1.71</v>
      </c>
      <c r="P57" s="128">
        <v>1.72</v>
      </c>
      <c r="Q57" s="128">
        <v>1.73</v>
      </c>
      <c r="R57" s="128">
        <v>1.74</v>
      </c>
      <c r="S57" s="128">
        <v>1.75</v>
      </c>
      <c r="T57" s="128">
        <v>1.76</v>
      </c>
      <c r="U57" s="128">
        <v>1.77</v>
      </c>
      <c r="V57" s="128">
        <v>1.78</v>
      </c>
      <c r="W57" s="128">
        <v>1.79</v>
      </c>
      <c r="X57" s="128">
        <v>1.8</v>
      </c>
      <c r="Y57" s="128">
        <v>1.81</v>
      </c>
      <c r="Z57" s="128">
        <v>1.82</v>
      </c>
      <c r="AA57" s="128">
        <v>1.83</v>
      </c>
      <c r="AB57" s="128">
        <v>1.84</v>
      </c>
      <c r="AC57" s="128">
        <v>1.85</v>
      </c>
      <c r="AD57" s="128">
        <v>1.86</v>
      </c>
      <c r="AE57" s="128">
        <v>1.87</v>
      </c>
      <c r="AF57" s="128">
        <v>1.88</v>
      </c>
      <c r="AG57" s="128">
        <v>1.89</v>
      </c>
      <c r="AH57" s="128">
        <v>1.89</v>
      </c>
      <c r="AI57" s="128">
        <v>1.9</v>
      </c>
      <c r="AJ57" s="128">
        <v>1.91</v>
      </c>
      <c r="AK57" s="128">
        <v>1.92</v>
      </c>
      <c r="AL57" s="128">
        <v>1.93</v>
      </c>
      <c r="AM57" s="128">
        <v>1.93</v>
      </c>
      <c r="AN57" s="128">
        <v>1.94</v>
      </c>
      <c r="AO57" s="128">
        <v>1.95</v>
      </c>
      <c r="AP57" s="128">
        <v>1.96</v>
      </c>
      <c r="AQ57" s="128">
        <v>1.96</v>
      </c>
      <c r="AR57" s="128">
        <v>1.97</v>
      </c>
      <c r="AS57" s="128">
        <v>1.98</v>
      </c>
      <c r="AT57" s="128">
        <v>1.99</v>
      </c>
      <c r="AU57" s="128">
        <v>1.99</v>
      </c>
      <c r="AV57" s="128">
        <v>2</v>
      </c>
      <c r="AW57" s="128">
        <v>2.0099999999999998</v>
      </c>
      <c r="AX57" s="128">
        <v>2.0099999999999998</v>
      </c>
      <c r="AY57" s="128">
        <v>2.02</v>
      </c>
      <c r="AZ57" s="128">
        <v>2.0299999999999998</v>
      </c>
      <c r="BA57" s="128">
        <v>2.0299999999999998</v>
      </c>
      <c r="BB57" s="128">
        <v>2.04</v>
      </c>
      <c r="BC57" s="128">
        <v>2.0499999999999998</v>
      </c>
      <c r="BD57" s="128">
        <v>2.0499999999999998</v>
      </c>
      <c r="BE57" s="128">
        <v>2.06</v>
      </c>
      <c r="BF57" s="128">
        <v>2.0699999999999998</v>
      </c>
      <c r="BG57" s="128">
        <v>2.08</v>
      </c>
      <c r="BH57" s="128">
        <v>2.08</v>
      </c>
      <c r="BI57" s="128">
        <v>2.09</v>
      </c>
      <c r="BJ57" s="128">
        <v>2.1</v>
      </c>
      <c r="BK57" s="128">
        <v>2.11</v>
      </c>
      <c r="BL57" s="128">
        <v>2.12</v>
      </c>
      <c r="BM57" s="128">
        <v>2.12</v>
      </c>
      <c r="BN57" s="128">
        <v>2.13</v>
      </c>
      <c r="BO57" s="128">
        <v>2.14</v>
      </c>
      <c r="BP57" s="128">
        <v>2.15</v>
      </c>
      <c r="BQ57" s="128">
        <v>2.16</v>
      </c>
      <c r="BR57" s="128">
        <v>2.17</v>
      </c>
      <c r="BS57" s="128">
        <v>2.1800000000000002</v>
      </c>
      <c r="BT57" s="128">
        <v>2.1800000000000002</v>
      </c>
      <c r="BU57" s="128">
        <v>2.19</v>
      </c>
      <c r="BV57" s="128">
        <v>2.2000000000000002</v>
      </c>
      <c r="BW57" s="128">
        <v>2.21</v>
      </c>
      <c r="BX57" s="128">
        <v>2.2200000000000002</v>
      </c>
      <c r="BY57" s="128">
        <v>2.23</v>
      </c>
      <c r="BZ57" s="128">
        <v>2.2400000000000002</v>
      </c>
      <c r="CA57" s="128">
        <v>2.25</v>
      </c>
      <c r="CB57" s="128">
        <v>2.2599999999999998</v>
      </c>
      <c r="CC57" s="128">
        <v>2.27</v>
      </c>
      <c r="CD57" s="128">
        <v>2.2799999999999998</v>
      </c>
      <c r="CE57" s="128">
        <v>2.29</v>
      </c>
      <c r="CF57" s="128">
        <v>2.31</v>
      </c>
      <c r="CG57" s="128">
        <v>2.3199999999999998</v>
      </c>
      <c r="CH57" s="128">
        <v>2.33</v>
      </c>
      <c r="CI57" s="128">
        <v>2.34</v>
      </c>
      <c r="CJ57" s="128">
        <v>2.35</v>
      </c>
      <c r="CK57" s="128">
        <v>2.36</v>
      </c>
      <c r="CL57" s="128">
        <v>2.38</v>
      </c>
      <c r="CM57" s="128">
        <v>2.39</v>
      </c>
      <c r="CN57" s="128">
        <v>2.4</v>
      </c>
      <c r="CO57" s="128">
        <v>2.41</v>
      </c>
      <c r="CP57" s="128">
        <v>2.4300000000000002</v>
      </c>
      <c r="CQ57" s="128">
        <v>2.44</v>
      </c>
      <c r="CR57" s="128">
        <v>2.4500000000000002</v>
      </c>
      <c r="CS57" s="128">
        <v>2.4700000000000002</v>
      </c>
      <c r="CT57" s="128">
        <v>2.48</v>
      </c>
      <c r="CU57" s="128">
        <v>2.5</v>
      </c>
      <c r="CV57" s="128">
        <v>2.5099999999999998</v>
      </c>
      <c r="CW57" s="128">
        <v>2.52</v>
      </c>
      <c r="CX57" s="128">
        <v>2.54</v>
      </c>
      <c r="CZ57" s="126">
        <f>SUMIF(MatrixF5[[1]:[2]],MatrixF5[[#This Row],[Столбец1]])/MatrixF5[[#This Row],[Столбец1]]</f>
        <v>49.000000000000014</v>
      </c>
      <c r="DA57" s="126">
        <f>SUMIF(MatrixF5[[1]:[2]],MatrixF5[[#This Row],[Столбец1]]+1)/(MatrixF5[[#This Row],[Столбец1]]+1)</f>
        <v>41.000000000000036</v>
      </c>
    </row>
    <row r="58" spans="1:105" ht="21" customHeight="1" x14ac:dyDescent="0.25">
      <c r="A58" s="127">
        <v>1.55</v>
      </c>
      <c r="B58" s="128">
        <v>1.55</v>
      </c>
      <c r="C58" s="128">
        <v>1.56</v>
      </c>
      <c r="D58" s="128">
        <v>1.58</v>
      </c>
      <c r="E58" s="128">
        <v>1.59</v>
      </c>
      <c r="F58" s="128">
        <v>1.61</v>
      </c>
      <c r="G58" s="128">
        <v>1.62</v>
      </c>
      <c r="H58" s="128">
        <v>1.63</v>
      </c>
      <c r="I58" s="128">
        <v>1.64</v>
      </c>
      <c r="J58" s="128">
        <v>1.66</v>
      </c>
      <c r="K58" s="128">
        <v>1.67</v>
      </c>
      <c r="L58" s="128">
        <v>1.68</v>
      </c>
      <c r="M58" s="128">
        <v>1.69</v>
      </c>
      <c r="N58" s="128">
        <v>1.71</v>
      </c>
      <c r="O58" s="128">
        <v>1.72</v>
      </c>
      <c r="P58" s="128">
        <v>1.73</v>
      </c>
      <c r="Q58" s="128">
        <v>1.74</v>
      </c>
      <c r="R58" s="128">
        <v>1.75</v>
      </c>
      <c r="S58" s="128">
        <v>1.76</v>
      </c>
      <c r="T58" s="128">
        <v>1.77</v>
      </c>
      <c r="U58" s="128">
        <v>1.78</v>
      </c>
      <c r="V58" s="128">
        <v>1.79</v>
      </c>
      <c r="W58" s="128">
        <v>1.8</v>
      </c>
      <c r="X58" s="128">
        <v>1.81</v>
      </c>
      <c r="Y58" s="128">
        <v>1.82</v>
      </c>
      <c r="Z58" s="128">
        <v>1.83</v>
      </c>
      <c r="AA58" s="128">
        <v>1.84</v>
      </c>
      <c r="AB58" s="128">
        <v>1.85</v>
      </c>
      <c r="AC58" s="128">
        <v>1.86</v>
      </c>
      <c r="AD58" s="128">
        <v>1.87</v>
      </c>
      <c r="AE58" s="128">
        <v>1.88</v>
      </c>
      <c r="AF58" s="128">
        <v>1.88</v>
      </c>
      <c r="AG58" s="128">
        <v>1.89</v>
      </c>
      <c r="AH58" s="128">
        <v>1.9</v>
      </c>
      <c r="AI58" s="128">
        <v>1.91</v>
      </c>
      <c r="AJ58" s="128">
        <v>1.92</v>
      </c>
      <c r="AK58" s="128">
        <v>1.93</v>
      </c>
      <c r="AL58" s="128">
        <v>1.93</v>
      </c>
      <c r="AM58" s="128">
        <v>1.94</v>
      </c>
      <c r="AN58" s="128">
        <v>1.95</v>
      </c>
      <c r="AO58" s="128">
        <v>1.96</v>
      </c>
      <c r="AP58" s="128">
        <v>1.96</v>
      </c>
      <c r="AQ58" s="128">
        <v>1.97</v>
      </c>
      <c r="AR58" s="128">
        <v>1.98</v>
      </c>
      <c r="AS58" s="128">
        <v>1.99</v>
      </c>
      <c r="AT58" s="128">
        <v>1.99</v>
      </c>
      <c r="AU58" s="128">
        <v>2</v>
      </c>
      <c r="AV58" s="128">
        <v>2.0099999999999998</v>
      </c>
      <c r="AW58" s="128">
        <v>2.0099999999999998</v>
      </c>
      <c r="AX58" s="128">
        <v>2.02</v>
      </c>
      <c r="AY58" s="128">
        <v>2.0299999999999998</v>
      </c>
      <c r="AZ58" s="128">
        <v>2.0299999999999998</v>
      </c>
      <c r="BA58" s="128">
        <v>2.04</v>
      </c>
      <c r="BB58" s="128">
        <v>2.0499999999999998</v>
      </c>
      <c r="BC58" s="128">
        <v>2.06</v>
      </c>
      <c r="BD58" s="128">
        <v>2.06</v>
      </c>
      <c r="BE58" s="128">
        <v>2.0699999999999998</v>
      </c>
      <c r="BF58" s="128">
        <v>2.08</v>
      </c>
      <c r="BG58" s="128">
        <v>2.08</v>
      </c>
      <c r="BH58" s="128">
        <v>2.09</v>
      </c>
      <c r="BI58" s="128">
        <v>2.1</v>
      </c>
      <c r="BJ58" s="128">
        <v>2.11</v>
      </c>
      <c r="BK58" s="128">
        <v>2.12</v>
      </c>
      <c r="BL58" s="128">
        <v>2.12</v>
      </c>
      <c r="BM58" s="128">
        <v>2.13</v>
      </c>
      <c r="BN58" s="128">
        <v>2.14</v>
      </c>
      <c r="BO58" s="128">
        <v>2.15</v>
      </c>
      <c r="BP58" s="128">
        <v>2.16</v>
      </c>
      <c r="BQ58" s="128">
        <v>2.17</v>
      </c>
      <c r="BR58" s="128">
        <v>2.17</v>
      </c>
      <c r="BS58" s="128">
        <v>2.1800000000000002</v>
      </c>
      <c r="BT58" s="128">
        <v>2.19</v>
      </c>
      <c r="BU58" s="128">
        <v>2.2000000000000002</v>
      </c>
      <c r="BV58" s="128">
        <v>2.21</v>
      </c>
      <c r="BW58" s="128">
        <v>2.2200000000000002</v>
      </c>
      <c r="BX58" s="128">
        <v>2.23</v>
      </c>
      <c r="BY58" s="128">
        <v>2.2400000000000002</v>
      </c>
      <c r="BZ58" s="128">
        <v>2.25</v>
      </c>
      <c r="CA58" s="128">
        <v>2.2599999999999998</v>
      </c>
      <c r="CB58" s="128">
        <v>2.27</v>
      </c>
      <c r="CC58" s="128">
        <v>2.2799999999999998</v>
      </c>
      <c r="CD58" s="128">
        <v>2.29</v>
      </c>
      <c r="CE58" s="128">
        <v>2.2999999999999998</v>
      </c>
      <c r="CF58" s="128">
        <v>2.31</v>
      </c>
      <c r="CG58" s="128">
        <v>2.3199999999999998</v>
      </c>
      <c r="CH58" s="128">
        <v>2.34</v>
      </c>
      <c r="CI58" s="128">
        <v>2.35</v>
      </c>
      <c r="CJ58" s="128">
        <v>2.36</v>
      </c>
      <c r="CK58" s="128">
        <v>2.37</v>
      </c>
      <c r="CL58" s="128">
        <v>2.38</v>
      </c>
      <c r="CM58" s="128">
        <v>2.4</v>
      </c>
      <c r="CN58" s="128">
        <v>2.41</v>
      </c>
      <c r="CO58" s="128">
        <v>2.42</v>
      </c>
      <c r="CP58" s="128">
        <v>2.44</v>
      </c>
      <c r="CQ58" s="128">
        <v>2.4500000000000002</v>
      </c>
      <c r="CR58" s="128">
        <v>2.46</v>
      </c>
      <c r="CS58" s="128">
        <v>2.48</v>
      </c>
      <c r="CT58" s="128">
        <v>2.4900000000000002</v>
      </c>
      <c r="CU58" s="128">
        <v>2.5</v>
      </c>
      <c r="CV58" s="128">
        <v>2.52</v>
      </c>
      <c r="CW58" s="128">
        <v>2.5299999999999998</v>
      </c>
      <c r="CX58" s="128">
        <v>2.5499999999999998</v>
      </c>
      <c r="CZ58" s="126">
        <f>SUMIF(MatrixF5[[1]:[2]],MatrixF5[[#This Row],[Столбец1]])/MatrixF5[[#This Row],[Столбец1]]</f>
        <v>51.99999999999995</v>
      </c>
      <c r="DA58" s="126">
        <f>SUMIF(MatrixF5[[1]:[2]],MatrixF5[[#This Row],[Столбец1]]+1)/(MatrixF5[[#This Row],[Столбец1]]+1)</f>
        <v>37.999999999999979</v>
      </c>
    </row>
    <row r="59" spans="1:105" ht="21" customHeight="1" x14ac:dyDescent="0.25">
      <c r="A59" s="127">
        <v>1.56</v>
      </c>
      <c r="B59" s="128">
        <v>1.56</v>
      </c>
      <c r="C59" s="128">
        <v>1.57</v>
      </c>
      <c r="D59" s="128">
        <v>1.59</v>
      </c>
      <c r="E59" s="128">
        <v>1.6</v>
      </c>
      <c r="F59" s="128">
        <v>1.62</v>
      </c>
      <c r="G59" s="128">
        <v>1.63</v>
      </c>
      <c r="H59" s="128">
        <v>1.64</v>
      </c>
      <c r="I59" s="128">
        <v>1.65</v>
      </c>
      <c r="J59" s="128">
        <v>1.67</v>
      </c>
      <c r="K59" s="128">
        <v>1.68</v>
      </c>
      <c r="L59" s="128">
        <v>1.69</v>
      </c>
      <c r="M59" s="128">
        <v>1.7</v>
      </c>
      <c r="N59" s="128">
        <v>1.71</v>
      </c>
      <c r="O59" s="128">
        <v>1.73</v>
      </c>
      <c r="P59" s="128">
        <v>1.74</v>
      </c>
      <c r="Q59" s="128">
        <v>1.75</v>
      </c>
      <c r="R59" s="128">
        <v>1.76</v>
      </c>
      <c r="S59" s="128">
        <v>1.77</v>
      </c>
      <c r="T59" s="128">
        <v>1.78</v>
      </c>
      <c r="U59" s="128">
        <v>1.79</v>
      </c>
      <c r="V59" s="128">
        <v>1.8</v>
      </c>
      <c r="W59" s="128">
        <v>1.81</v>
      </c>
      <c r="X59" s="128">
        <v>1.82</v>
      </c>
      <c r="Y59" s="128">
        <v>1.83</v>
      </c>
      <c r="Z59" s="128">
        <v>1.84</v>
      </c>
      <c r="AA59" s="128">
        <v>1.85</v>
      </c>
      <c r="AB59" s="128">
        <v>1.86</v>
      </c>
      <c r="AC59" s="128">
        <v>1.87</v>
      </c>
      <c r="AD59" s="128">
        <v>1.88</v>
      </c>
      <c r="AE59" s="128">
        <v>1.88</v>
      </c>
      <c r="AF59" s="128">
        <v>1.89</v>
      </c>
      <c r="AG59" s="128">
        <v>1.9</v>
      </c>
      <c r="AH59" s="128">
        <v>1.91</v>
      </c>
      <c r="AI59" s="128">
        <v>1.92</v>
      </c>
      <c r="AJ59" s="128">
        <v>1.93</v>
      </c>
      <c r="AK59" s="128">
        <v>1.93</v>
      </c>
      <c r="AL59" s="128">
        <v>1.94</v>
      </c>
      <c r="AM59" s="128">
        <v>1.95</v>
      </c>
      <c r="AN59" s="128">
        <v>1.96</v>
      </c>
      <c r="AO59" s="128">
        <v>1.96</v>
      </c>
      <c r="AP59" s="128">
        <v>1.97</v>
      </c>
      <c r="AQ59" s="128">
        <v>1.98</v>
      </c>
      <c r="AR59" s="128">
        <v>1.99</v>
      </c>
      <c r="AS59" s="128">
        <v>1.99</v>
      </c>
      <c r="AT59" s="128">
        <v>2</v>
      </c>
      <c r="AU59" s="128">
        <v>2.0099999999999998</v>
      </c>
      <c r="AV59" s="128">
        <v>2.0099999999999998</v>
      </c>
      <c r="AW59" s="128">
        <v>2.02</v>
      </c>
      <c r="AX59" s="128">
        <v>2.0299999999999998</v>
      </c>
      <c r="AY59" s="128">
        <v>2.0299999999999998</v>
      </c>
      <c r="AZ59" s="128">
        <v>2.04</v>
      </c>
      <c r="BA59" s="128">
        <v>2.0499999999999998</v>
      </c>
      <c r="BB59" s="128">
        <v>2.06</v>
      </c>
      <c r="BC59" s="128">
        <v>2.06</v>
      </c>
      <c r="BD59" s="128">
        <v>2.0699999999999998</v>
      </c>
      <c r="BE59" s="128">
        <v>2.08</v>
      </c>
      <c r="BF59" s="128">
        <v>2.08</v>
      </c>
      <c r="BG59" s="128">
        <v>2.09</v>
      </c>
      <c r="BH59" s="128">
        <v>2.1</v>
      </c>
      <c r="BI59" s="128">
        <v>2.11</v>
      </c>
      <c r="BJ59" s="128">
        <v>2.11</v>
      </c>
      <c r="BK59" s="128">
        <v>2.12</v>
      </c>
      <c r="BL59" s="128">
        <v>2.13</v>
      </c>
      <c r="BM59" s="128">
        <v>2.14</v>
      </c>
      <c r="BN59" s="128">
        <v>2.15</v>
      </c>
      <c r="BO59" s="128">
        <v>2.16</v>
      </c>
      <c r="BP59" s="128">
        <v>2.16</v>
      </c>
      <c r="BQ59" s="128">
        <v>2.17</v>
      </c>
      <c r="BR59" s="128">
        <v>2.1800000000000002</v>
      </c>
      <c r="BS59" s="128">
        <v>2.19</v>
      </c>
      <c r="BT59" s="128">
        <v>2.2000000000000002</v>
      </c>
      <c r="BU59" s="128">
        <v>2.21</v>
      </c>
      <c r="BV59" s="128">
        <v>2.2200000000000002</v>
      </c>
      <c r="BW59" s="128">
        <v>2.23</v>
      </c>
      <c r="BX59" s="128">
        <v>2.2400000000000002</v>
      </c>
      <c r="BY59" s="128">
        <v>2.25</v>
      </c>
      <c r="BZ59" s="128">
        <v>2.2599999999999998</v>
      </c>
      <c r="CA59" s="128">
        <v>2.27</v>
      </c>
      <c r="CB59" s="128">
        <v>2.2799999999999998</v>
      </c>
      <c r="CC59" s="128">
        <v>2.29</v>
      </c>
      <c r="CD59" s="128">
        <v>2.2999999999999998</v>
      </c>
      <c r="CE59" s="128">
        <v>2.31</v>
      </c>
      <c r="CF59" s="128">
        <v>2.3199999999999998</v>
      </c>
      <c r="CG59" s="128">
        <v>2.33</v>
      </c>
      <c r="CH59" s="128">
        <v>2.34</v>
      </c>
      <c r="CI59" s="128">
        <v>2.36</v>
      </c>
      <c r="CJ59" s="128">
        <v>2.37</v>
      </c>
      <c r="CK59" s="128">
        <v>2.38</v>
      </c>
      <c r="CL59" s="128">
        <v>2.39</v>
      </c>
      <c r="CM59" s="128">
        <v>2.41</v>
      </c>
      <c r="CN59" s="128">
        <v>2.42</v>
      </c>
      <c r="CO59" s="128">
        <v>2.4300000000000002</v>
      </c>
      <c r="CP59" s="128">
        <v>2.44</v>
      </c>
      <c r="CQ59" s="128">
        <v>2.46</v>
      </c>
      <c r="CR59" s="128">
        <v>2.4700000000000002</v>
      </c>
      <c r="CS59" s="128">
        <v>2.4900000000000002</v>
      </c>
      <c r="CT59" s="128">
        <v>2.5</v>
      </c>
      <c r="CU59" s="128">
        <v>2.5099999999999998</v>
      </c>
      <c r="CV59" s="128">
        <v>2.5299999999999998</v>
      </c>
      <c r="CW59" s="128">
        <v>2.54</v>
      </c>
      <c r="CX59" s="128">
        <v>2.56</v>
      </c>
      <c r="CZ59" s="126">
        <f>SUMIF(MatrixF5[[1]:[2]],MatrixF5[[#This Row],[Столбец1]])/MatrixF5[[#This Row],[Столбец1]]</f>
        <v>51.000000000000036</v>
      </c>
      <c r="DA59" s="126">
        <f>SUMIF(MatrixF5[[1]:[2]],MatrixF5[[#This Row],[Столбец1]]+1)/(MatrixF5[[#This Row],[Столбец1]]+1)</f>
        <v>39.000000000000014</v>
      </c>
    </row>
    <row r="60" spans="1:105" ht="21" customHeight="1" x14ac:dyDescent="0.25">
      <c r="A60" s="127">
        <v>1.57</v>
      </c>
      <c r="B60" s="128">
        <v>1.57</v>
      </c>
      <c r="C60" s="128">
        <v>1.58</v>
      </c>
      <c r="D60" s="128">
        <v>1.6</v>
      </c>
      <c r="E60" s="128">
        <v>1.61</v>
      </c>
      <c r="F60" s="128">
        <v>1.62</v>
      </c>
      <c r="G60" s="128">
        <v>1.64</v>
      </c>
      <c r="H60" s="128">
        <v>1.65</v>
      </c>
      <c r="I60" s="128">
        <v>1.66</v>
      </c>
      <c r="J60" s="128">
        <v>1.68</v>
      </c>
      <c r="K60" s="128">
        <v>1.69</v>
      </c>
      <c r="L60" s="128">
        <v>1.7</v>
      </c>
      <c r="M60" s="128">
        <v>1.71</v>
      </c>
      <c r="N60" s="128">
        <v>1.72</v>
      </c>
      <c r="O60" s="128">
        <v>1.73</v>
      </c>
      <c r="P60" s="128">
        <v>1.75</v>
      </c>
      <c r="Q60" s="128">
        <v>1.76</v>
      </c>
      <c r="R60" s="128">
        <v>1.77</v>
      </c>
      <c r="S60" s="128">
        <v>1.78</v>
      </c>
      <c r="T60" s="128">
        <v>1.79</v>
      </c>
      <c r="U60" s="128">
        <v>1.8</v>
      </c>
      <c r="V60" s="128">
        <v>1.81</v>
      </c>
      <c r="W60" s="128">
        <v>1.82</v>
      </c>
      <c r="X60" s="128">
        <v>1.83</v>
      </c>
      <c r="Y60" s="128">
        <v>1.84</v>
      </c>
      <c r="Z60" s="128">
        <v>1.85</v>
      </c>
      <c r="AA60" s="128">
        <v>1.86</v>
      </c>
      <c r="AB60" s="128">
        <v>1.87</v>
      </c>
      <c r="AC60" s="128">
        <v>1.87</v>
      </c>
      <c r="AD60" s="128">
        <v>1.88</v>
      </c>
      <c r="AE60" s="128">
        <v>1.89</v>
      </c>
      <c r="AF60" s="128">
        <v>1.9</v>
      </c>
      <c r="AG60" s="128">
        <v>1.91</v>
      </c>
      <c r="AH60" s="128">
        <v>1.92</v>
      </c>
      <c r="AI60" s="128">
        <v>1.92</v>
      </c>
      <c r="AJ60" s="128">
        <v>1.93</v>
      </c>
      <c r="AK60" s="128">
        <v>1.94</v>
      </c>
      <c r="AL60" s="128">
        <v>1.95</v>
      </c>
      <c r="AM60" s="128">
        <v>1.96</v>
      </c>
      <c r="AN60" s="128">
        <v>1.96</v>
      </c>
      <c r="AO60" s="128">
        <v>1.97</v>
      </c>
      <c r="AP60" s="128">
        <v>1.98</v>
      </c>
      <c r="AQ60" s="128">
        <v>1.99</v>
      </c>
      <c r="AR60" s="128">
        <v>1.99</v>
      </c>
      <c r="AS60" s="128">
        <v>2</v>
      </c>
      <c r="AT60" s="128">
        <v>2.0099999999999998</v>
      </c>
      <c r="AU60" s="128">
        <v>2.0099999999999998</v>
      </c>
      <c r="AV60" s="128">
        <v>2.02</v>
      </c>
      <c r="AW60" s="128">
        <v>2.0299999999999998</v>
      </c>
      <c r="AX60" s="128">
        <v>2.0299999999999998</v>
      </c>
      <c r="AY60" s="128">
        <v>2.04</v>
      </c>
      <c r="AZ60" s="128">
        <v>2.0499999999999998</v>
      </c>
      <c r="BA60" s="128">
        <v>2.06</v>
      </c>
      <c r="BB60" s="128">
        <v>2.06</v>
      </c>
      <c r="BC60" s="128">
        <v>2.0699999999999998</v>
      </c>
      <c r="BD60" s="128">
        <v>2.08</v>
      </c>
      <c r="BE60" s="128">
        <v>2.08</v>
      </c>
      <c r="BF60" s="128">
        <v>2.09</v>
      </c>
      <c r="BG60" s="128">
        <v>2.1</v>
      </c>
      <c r="BH60" s="128">
        <v>2.11</v>
      </c>
      <c r="BI60" s="128">
        <v>2.11</v>
      </c>
      <c r="BJ60" s="128">
        <v>2.12</v>
      </c>
      <c r="BK60" s="128">
        <v>2.13</v>
      </c>
      <c r="BL60" s="128">
        <v>2.14</v>
      </c>
      <c r="BM60" s="128">
        <v>2.15</v>
      </c>
      <c r="BN60" s="128">
        <v>2.15</v>
      </c>
      <c r="BO60" s="128">
        <v>2.16</v>
      </c>
      <c r="BP60" s="128">
        <v>2.17</v>
      </c>
      <c r="BQ60" s="128">
        <v>2.1800000000000002</v>
      </c>
      <c r="BR60" s="128">
        <v>2.19</v>
      </c>
      <c r="BS60" s="128">
        <v>2.2000000000000002</v>
      </c>
      <c r="BT60" s="128">
        <v>2.21</v>
      </c>
      <c r="BU60" s="128">
        <v>2.2200000000000002</v>
      </c>
      <c r="BV60" s="128">
        <v>2.23</v>
      </c>
      <c r="BW60" s="128">
        <v>2.2400000000000002</v>
      </c>
      <c r="BX60" s="128">
        <v>2.25</v>
      </c>
      <c r="BY60" s="128">
        <v>2.2599999999999998</v>
      </c>
      <c r="BZ60" s="128">
        <v>2.27</v>
      </c>
      <c r="CA60" s="128">
        <v>2.2799999999999998</v>
      </c>
      <c r="CB60" s="128">
        <v>2.29</v>
      </c>
      <c r="CC60" s="128">
        <v>2.2999999999999998</v>
      </c>
      <c r="CD60" s="128">
        <v>2.31</v>
      </c>
      <c r="CE60" s="128">
        <v>2.3199999999999998</v>
      </c>
      <c r="CF60" s="128">
        <v>2.33</v>
      </c>
      <c r="CG60" s="128">
        <v>2.34</v>
      </c>
      <c r="CH60" s="128">
        <v>2.35</v>
      </c>
      <c r="CI60" s="128">
        <v>2.37</v>
      </c>
      <c r="CJ60" s="128">
        <v>2.38</v>
      </c>
      <c r="CK60" s="128">
        <v>2.39</v>
      </c>
      <c r="CL60" s="128">
        <v>2.4</v>
      </c>
      <c r="CM60" s="128">
        <v>2.41</v>
      </c>
      <c r="CN60" s="128">
        <v>2.4300000000000002</v>
      </c>
      <c r="CO60" s="128">
        <v>2.44</v>
      </c>
      <c r="CP60" s="128">
        <v>2.4500000000000002</v>
      </c>
      <c r="CQ60" s="128">
        <v>2.4700000000000002</v>
      </c>
      <c r="CR60" s="128">
        <v>2.48</v>
      </c>
      <c r="CS60" s="128">
        <v>2.5</v>
      </c>
      <c r="CT60" s="128">
        <v>2.5099999999999998</v>
      </c>
      <c r="CU60" s="128">
        <v>2.52</v>
      </c>
      <c r="CV60" s="128">
        <v>2.54</v>
      </c>
      <c r="CW60" s="128">
        <v>2.5499999999999998</v>
      </c>
      <c r="CX60" s="128">
        <v>2.57</v>
      </c>
      <c r="CZ60" s="126">
        <f>SUMIF(MatrixF5[[1]:[2]],MatrixF5[[#This Row],[Столбец1]])/MatrixF5[[#This Row],[Столбец1]]</f>
        <v>51.99999999999995</v>
      </c>
      <c r="DA60" s="126">
        <f>SUMIF(MatrixF5[[1]:[2]],MatrixF5[[#This Row],[Столбец1]]+1)/(MatrixF5[[#This Row],[Столбец1]]+1)</f>
        <v>35.999999999999964</v>
      </c>
    </row>
    <row r="61" spans="1:105" ht="21" customHeight="1" x14ac:dyDescent="0.25">
      <c r="A61" s="127">
        <v>1.58</v>
      </c>
      <c r="B61" s="128">
        <v>1.58</v>
      </c>
      <c r="C61" s="128">
        <v>1.59</v>
      </c>
      <c r="D61" s="128">
        <v>1.61</v>
      </c>
      <c r="E61" s="128">
        <v>1.62</v>
      </c>
      <c r="F61" s="128">
        <v>1.63</v>
      </c>
      <c r="G61" s="128">
        <v>1.65</v>
      </c>
      <c r="H61" s="128">
        <v>1.66</v>
      </c>
      <c r="I61" s="128">
        <v>1.67</v>
      </c>
      <c r="J61" s="128">
        <v>1.69</v>
      </c>
      <c r="K61" s="128">
        <v>1.7</v>
      </c>
      <c r="L61" s="128">
        <v>1.71</v>
      </c>
      <c r="M61" s="128">
        <v>1.72</v>
      </c>
      <c r="N61" s="128">
        <v>1.73</v>
      </c>
      <c r="O61" s="128">
        <v>1.74</v>
      </c>
      <c r="P61" s="128">
        <v>1.75</v>
      </c>
      <c r="Q61" s="128">
        <v>1.77</v>
      </c>
      <c r="R61" s="128">
        <v>1.78</v>
      </c>
      <c r="S61" s="128">
        <v>1.79</v>
      </c>
      <c r="T61" s="128">
        <v>1.8</v>
      </c>
      <c r="U61" s="128">
        <v>1.81</v>
      </c>
      <c r="V61" s="128">
        <v>1.82</v>
      </c>
      <c r="W61" s="128">
        <v>1.83</v>
      </c>
      <c r="X61" s="128">
        <v>1.84</v>
      </c>
      <c r="Y61" s="128">
        <v>1.85</v>
      </c>
      <c r="Z61" s="128">
        <v>1.85</v>
      </c>
      <c r="AA61" s="128">
        <v>1.86</v>
      </c>
      <c r="AB61" s="128">
        <v>1.87</v>
      </c>
      <c r="AC61" s="128">
        <v>1.88</v>
      </c>
      <c r="AD61" s="128">
        <v>1.89</v>
      </c>
      <c r="AE61" s="128">
        <v>1.9</v>
      </c>
      <c r="AF61" s="128">
        <v>1.91</v>
      </c>
      <c r="AG61" s="128">
        <v>1.92</v>
      </c>
      <c r="AH61" s="128">
        <v>1.92</v>
      </c>
      <c r="AI61" s="128">
        <v>1.93</v>
      </c>
      <c r="AJ61" s="128">
        <v>1.94</v>
      </c>
      <c r="AK61" s="128">
        <v>1.95</v>
      </c>
      <c r="AL61" s="128">
        <v>1.96</v>
      </c>
      <c r="AM61" s="128">
        <v>1.96</v>
      </c>
      <c r="AN61" s="128">
        <v>1.97</v>
      </c>
      <c r="AO61" s="128">
        <v>1.98</v>
      </c>
      <c r="AP61" s="128">
        <v>1.99</v>
      </c>
      <c r="AQ61" s="128">
        <v>1.99</v>
      </c>
      <c r="AR61" s="128">
        <v>2</v>
      </c>
      <c r="AS61" s="128">
        <v>2.0099999999999998</v>
      </c>
      <c r="AT61" s="128">
        <v>2.0099999999999998</v>
      </c>
      <c r="AU61" s="128">
        <v>2.02</v>
      </c>
      <c r="AV61" s="128">
        <v>2.0299999999999998</v>
      </c>
      <c r="AW61" s="128">
        <v>2.04</v>
      </c>
      <c r="AX61" s="128">
        <v>2.04</v>
      </c>
      <c r="AY61" s="128">
        <v>2.0499999999999998</v>
      </c>
      <c r="AZ61" s="128">
        <v>2.06</v>
      </c>
      <c r="BA61" s="128">
        <v>2.06</v>
      </c>
      <c r="BB61" s="128">
        <v>2.0699999999999998</v>
      </c>
      <c r="BC61" s="128">
        <v>2.08</v>
      </c>
      <c r="BD61" s="128">
        <v>2.08</v>
      </c>
      <c r="BE61" s="128">
        <v>2.09</v>
      </c>
      <c r="BF61" s="128">
        <v>2.1</v>
      </c>
      <c r="BG61" s="128">
        <v>2.11</v>
      </c>
      <c r="BH61" s="128">
        <v>2.11</v>
      </c>
      <c r="BI61" s="128">
        <v>2.12</v>
      </c>
      <c r="BJ61" s="128">
        <v>2.13</v>
      </c>
      <c r="BK61" s="128">
        <v>2.14</v>
      </c>
      <c r="BL61" s="128">
        <v>2.14</v>
      </c>
      <c r="BM61" s="128">
        <v>2.15</v>
      </c>
      <c r="BN61" s="128">
        <v>2.16</v>
      </c>
      <c r="BO61" s="128">
        <v>2.17</v>
      </c>
      <c r="BP61" s="128">
        <v>2.1800000000000002</v>
      </c>
      <c r="BQ61" s="128">
        <v>2.19</v>
      </c>
      <c r="BR61" s="128">
        <v>2.2000000000000002</v>
      </c>
      <c r="BS61" s="128">
        <v>2.21</v>
      </c>
      <c r="BT61" s="128">
        <v>2.2200000000000002</v>
      </c>
      <c r="BU61" s="128">
        <v>2.2200000000000002</v>
      </c>
      <c r="BV61" s="128">
        <v>2.23</v>
      </c>
      <c r="BW61" s="128">
        <v>2.2400000000000002</v>
      </c>
      <c r="BX61" s="128">
        <v>2.25</v>
      </c>
      <c r="BY61" s="128">
        <v>2.2599999999999998</v>
      </c>
      <c r="BZ61" s="128">
        <v>2.27</v>
      </c>
      <c r="CA61" s="128">
        <v>2.2799999999999998</v>
      </c>
      <c r="CB61" s="128">
        <v>2.2999999999999998</v>
      </c>
      <c r="CC61" s="128">
        <v>2.31</v>
      </c>
      <c r="CD61" s="128">
        <v>2.3199999999999998</v>
      </c>
      <c r="CE61" s="128">
        <v>2.33</v>
      </c>
      <c r="CF61" s="128">
        <v>2.34</v>
      </c>
      <c r="CG61" s="128">
        <v>2.35</v>
      </c>
      <c r="CH61" s="128">
        <v>2.36</v>
      </c>
      <c r="CI61" s="128">
        <v>2.37</v>
      </c>
      <c r="CJ61" s="128">
        <v>2.39</v>
      </c>
      <c r="CK61" s="128">
        <v>2.4</v>
      </c>
      <c r="CL61" s="128">
        <v>2.41</v>
      </c>
      <c r="CM61" s="128">
        <v>2.42</v>
      </c>
      <c r="CN61" s="128">
        <v>2.44</v>
      </c>
      <c r="CO61" s="128">
        <v>2.4500000000000002</v>
      </c>
      <c r="CP61" s="128">
        <v>2.46</v>
      </c>
      <c r="CQ61" s="128">
        <v>2.48</v>
      </c>
      <c r="CR61" s="128">
        <v>2.4900000000000002</v>
      </c>
      <c r="CS61" s="128">
        <v>2.5</v>
      </c>
      <c r="CT61" s="128">
        <v>2.52</v>
      </c>
      <c r="CU61" s="128">
        <v>2.5299999999999998</v>
      </c>
      <c r="CV61" s="128">
        <v>2.5499999999999998</v>
      </c>
      <c r="CW61" s="128">
        <v>2.56</v>
      </c>
      <c r="CX61" s="128">
        <v>2.58</v>
      </c>
      <c r="CZ61" s="126">
        <f>SUMIF(MatrixF5[[1]:[2]],MatrixF5[[#This Row],[Столбец1]])/MatrixF5[[#This Row],[Столбец1]]</f>
        <v>56.999999999999957</v>
      </c>
      <c r="DA61" s="126">
        <f>SUMIF(MatrixF5[[1]:[2]],MatrixF5[[#This Row],[Столбец1]]+1)/(MatrixF5[[#This Row],[Столбец1]]+1)</f>
        <v>37.999999999999979</v>
      </c>
    </row>
    <row r="62" spans="1:105" ht="21" customHeight="1" x14ac:dyDescent="0.25">
      <c r="A62" s="127">
        <v>1.59</v>
      </c>
      <c r="B62" s="128">
        <v>1.59</v>
      </c>
      <c r="C62" s="128">
        <v>1.6</v>
      </c>
      <c r="D62" s="128">
        <v>1.62</v>
      </c>
      <c r="E62" s="128">
        <v>1.63</v>
      </c>
      <c r="F62" s="128">
        <v>1.64</v>
      </c>
      <c r="G62" s="128">
        <v>1.66</v>
      </c>
      <c r="H62" s="128">
        <v>1.67</v>
      </c>
      <c r="I62" s="128">
        <v>1.68</v>
      </c>
      <c r="J62" s="128">
        <v>1.69</v>
      </c>
      <c r="K62" s="128">
        <v>1.71</v>
      </c>
      <c r="L62" s="128">
        <v>1.72</v>
      </c>
      <c r="M62" s="128">
        <v>1.73</v>
      </c>
      <c r="N62" s="128">
        <v>1.74</v>
      </c>
      <c r="O62" s="128">
        <v>1.75</v>
      </c>
      <c r="P62" s="128">
        <v>1.76</v>
      </c>
      <c r="Q62" s="128">
        <v>1.77</v>
      </c>
      <c r="R62" s="128">
        <v>1.78</v>
      </c>
      <c r="S62" s="128">
        <v>1.79</v>
      </c>
      <c r="T62" s="128">
        <v>1.81</v>
      </c>
      <c r="U62" s="128">
        <v>1.82</v>
      </c>
      <c r="V62" s="128">
        <v>1.82</v>
      </c>
      <c r="W62" s="128">
        <v>1.83</v>
      </c>
      <c r="X62" s="128">
        <v>1.84</v>
      </c>
      <c r="Y62" s="128">
        <v>1.85</v>
      </c>
      <c r="Z62" s="128">
        <v>1.86</v>
      </c>
      <c r="AA62" s="128">
        <v>1.87</v>
      </c>
      <c r="AB62" s="128">
        <v>1.88</v>
      </c>
      <c r="AC62" s="128">
        <v>1.89</v>
      </c>
      <c r="AD62" s="128">
        <v>1.9</v>
      </c>
      <c r="AE62" s="128">
        <v>1.91</v>
      </c>
      <c r="AF62" s="128">
        <v>1.92</v>
      </c>
      <c r="AG62" s="128">
        <v>1.92</v>
      </c>
      <c r="AH62" s="128">
        <v>1.93</v>
      </c>
      <c r="AI62" s="128">
        <v>1.94</v>
      </c>
      <c r="AJ62" s="128">
        <v>1.95</v>
      </c>
      <c r="AK62" s="128">
        <v>1.96</v>
      </c>
      <c r="AL62" s="128">
        <v>1.96</v>
      </c>
      <c r="AM62" s="128">
        <v>1.97</v>
      </c>
      <c r="AN62" s="128">
        <v>1.98</v>
      </c>
      <c r="AO62" s="128">
        <v>1.99</v>
      </c>
      <c r="AP62" s="128">
        <v>1.99</v>
      </c>
      <c r="AQ62" s="128">
        <v>2</v>
      </c>
      <c r="AR62" s="128">
        <v>2.0099999999999998</v>
      </c>
      <c r="AS62" s="128">
        <v>2.0099999999999998</v>
      </c>
      <c r="AT62" s="128">
        <v>2.02</v>
      </c>
      <c r="AU62" s="128">
        <v>2.0299999999999998</v>
      </c>
      <c r="AV62" s="128">
        <v>2.04</v>
      </c>
      <c r="AW62" s="128">
        <v>2.04</v>
      </c>
      <c r="AX62" s="128">
        <v>2.0499999999999998</v>
      </c>
      <c r="AY62" s="128">
        <v>2.06</v>
      </c>
      <c r="AZ62" s="128">
        <v>2.06</v>
      </c>
      <c r="BA62" s="128">
        <v>2.0699999999999998</v>
      </c>
      <c r="BB62" s="128">
        <v>2.08</v>
      </c>
      <c r="BC62" s="128">
        <v>2.09</v>
      </c>
      <c r="BD62" s="128">
        <v>2.09</v>
      </c>
      <c r="BE62" s="128">
        <v>2.1</v>
      </c>
      <c r="BF62" s="128">
        <v>2.11</v>
      </c>
      <c r="BG62" s="128">
        <v>2.11</v>
      </c>
      <c r="BH62" s="128">
        <v>2.12</v>
      </c>
      <c r="BI62" s="128">
        <v>2.13</v>
      </c>
      <c r="BJ62" s="128">
        <v>2.14</v>
      </c>
      <c r="BK62" s="128">
        <v>2.14</v>
      </c>
      <c r="BL62" s="128">
        <v>2.15</v>
      </c>
      <c r="BM62" s="128">
        <v>2.16</v>
      </c>
      <c r="BN62" s="128">
        <v>2.17</v>
      </c>
      <c r="BO62" s="128">
        <v>2.1800000000000002</v>
      </c>
      <c r="BP62" s="128">
        <v>2.19</v>
      </c>
      <c r="BQ62" s="128">
        <v>2.2000000000000002</v>
      </c>
      <c r="BR62" s="128">
        <v>2.2000000000000002</v>
      </c>
      <c r="BS62" s="128">
        <v>2.21</v>
      </c>
      <c r="BT62" s="128">
        <v>2.2200000000000002</v>
      </c>
      <c r="BU62" s="128">
        <v>2.23</v>
      </c>
      <c r="BV62" s="128">
        <v>2.2400000000000002</v>
      </c>
      <c r="BW62" s="128">
        <v>2.25</v>
      </c>
      <c r="BX62" s="128">
        <v>2.2599999999999998</v>
      </c>
      <c r="BY62" s="128">
        <v>2.27</v>
      </c>
      <c r="BZ62" s="128">
        <v>2.2799999999999998</v>
      </c>
      <c r="CA62" s="128">
        <v>2.29</v>
      </c>
      <c r="CB62" s="128">
        <v>2.2999999999999998</v>
      </c>
      <c r="CC62" s="128">
        <v>2.31</v>
      </c>
      <c r="CD62" s="128">
        <v>2.3199999999999998</v>
      </c>
      <c r="CE62" s="128">
        <v>2.34</v>
      </c>
      <c r="CF62" s="128">
        <v>2.35</v>
      </c>
      <c r="CG62" s="128">
        <v>2.36</v>
      </c>
      <c r="CH62" s="128">
        <v>2.37</v>
      </c>
      <c r="CI62" s="128">
        <v>2.38</v>
      </c>
      <c r="CJ62" s="128">
        <v>2.39</v>
      </c>
      <c r="CK62" s="128">
        <v>2.41</v>
      </c>
      <c r="CL62" s="128">
        <v>2.42</v>
      </c>
      <c r="CM62" s="128">
        <v>2.4300000000000002</v>
      </c>
      <c r="CN62" s="128">
        <v>2.4500000000000002</v>
      </c>
      <c r="CO62" s="128">
        <v>2.46</v>
      </c>
      <c r="CP62" s="128">
        <v>2.4700000000000002</v>
      </c>
      <c r="CQ62" s="128">
        <v>2.4900000000000002</v>
      </c>
      <c r="CR62" s="128">
        <v>2.5</v>
      </c>
      <c r="CS62" s="128">
        <v>2.5099999999999998</v>
      </c>
      <c r="CT62" s="128">
        <v>2.5299999999999998</v>
      </c>
      <c r="CU62" s="128">
        <v>2.54</v>
      </c>
      <c r="CV62" s="128">
        <v>2.56</v>
      </c>
      <c r="CW62" s="128">
        <v>2.57</v>
      </c>
      <c r="CX62" s="128">
        <v>2.59</v>
      </c>
      <c r="CZ62" s="126">
        <f>SUMIF(MatrixF5[[1]:[2]],MatrixF5[[#This Row],[Столбец1]])/MatrixF5[[#This Row],[Столбец1]]</f>
        <v>56.000000000000071</v>
      </c>
      <c r="DA62" s="126">
        <f>SUMIF(MatrixF5[[1]:[2]],MatrixF5[[#This Row],[Столбец1]]+1)/(MatrixF5[[#This Row],[Столбец1]]+1)</f>
        <v>35.000000000000028</v>
      </c>
    </row>
    <row r="63" spans="1:105" ht="21" customHeight="1" x14ac:dyDescent="0.25">
      <c r="A63" s="127">
        <v>1.6</v>
      </c>
      <c r="B63" s="128">
        <v>1.6</v>
      </c>
      <c r="C63" s="128">
        <v>1.61</v>
      </c>
      <c r="D63" s="128">
        <v>1.63</v>
      </c>
      <c r="E63" s="128">
        <v>1.64</v>
      </c>
      <c r="F63" s="128">
        <v>1.65</v>
      </c>
      <c r="G63" s="128">
        <v>1.67</v>
      </c>
      <c r="H63" s="128">
        <v>1.68</v>
      </c>
      <c r="I63" s="128">
        <v>1.69</v>
      </c>
      <c r="J63" s="128">
        <v>1.7</v>
      </c>
      <c r="K63" s="128">
        <v>1.72</v>
      </c>
      <c r="L63" s="128">
        <v>1.73</v>
      </c>
      <c r="M63" s="128">
        <v>1.74</v>
      </c>
      <c r="N63" s="128">
        <v>1.75</v>
      </c>
      <c r="O63" s="128">
        <v>1.76</v>
      </c>
      <c r="P63" s="128">
        <v>1.77</v>
      </c>
      <c r="Q63" s="128">
        <v>1.78</v>
      </c>
      <c r="R63" s="128">
        <v>1.79</v>
      </c>
      <c r="S63" s="128">
        <v>1.8</v>
      </c>
      <c r="T63" s="128">
        <v>1.81</v>
      </c>
      <c r="U63" s="128">
        <v>1.82</v>
      </c>
      <c r="V63" s="128">
        <v>1.83</v>
      </c>
      <c r="W63" s="128">
        <v>1.84</v>
      </c>
      <c r="X63" s="128">
        <v>1.85</v>
      </c>
      <c r="Y63" s="128">
        <v>1.86</v>
      </c>
      <c r="Z63" s="128">
        <v>1.87</v>
      </c>
      <c r="AA63" s="128">
        <v>1.88</v>
      </c>
      <c r="AB63" s="128">
        <v>1.89</v>
      </c>
      <c r="AC63" s="128">
        <v>1.9</v>
      </c>
      <c r="AD63" s="128">
        <v>1.91</v>
      </c>
      <c r="AE63" s="128">
        <v>1.91</v>
      </c>
      <c r="AF63" s="128">
        <v>1.92</v>
      </c>
      <c r="AG63" s="128">
        <v>1.93</v>
      </c>
      <c r="AH63" s="128">
        <v>1.94</v>
      </c>
      <c r="AI63" s="128">
        <v>1.95</v>
      </c>
      <c r="AJ63" s="128">
        <v>1.96</v>
      </c>
      <c r="AK63" s="128">
        <v>1.96</v>
      </c>
      <c r="AL63" s="128">
        <v>1.97</v>
      </c>
      <c r="AM63" s="128">
        <v>1.98</v>
      </c>
      <c r="AN63" s="128">
        <v>1.99</v>
      </c>
      <c r="AO63" s="128">
        <v>1.99</v>
      </c>
      <c r="AP63" s="128">
        <v>2</v>
      </c>
      <c r="AQ63" s="128">
        <v>2.0099999999999998</v>
      </c>
      <c r="AR63" s="128">
        <v>2.0099999999999998</v>
      </c>
      <c r="AS63" s="128">
        <v>2.02</v>
      </c>
      <c r="AT63" s="128">
        <v>2.0299999999999998</v>
      </c>
      <c r="AU63" s="128">
        <v>2.04</v>
      </c>
      <c r="AV63" s="128">
        <v>2.04</v>
      </c>
      <c r="AW63" s="128">
        <v>2.0499999999999998</v>
      </c>
      <c r="AX63" s="128">
        <v>2.06</v>
      </c>
      <c r="AY63" s="128">
        <v>2.06</v>
      </c>
      <c r="AZ63" s="128">
        <v>2.0699999999999998</v>
      </c>
      <c r="BA63" s="128">
        <v>2.08</v>
      </c>
      <c r="BB63" s="128">
        <v>2.09</v>
      </c>
      <c r="BC63" s="128">
        <v>2.09</v>
      </c>
      <c r="BD63" s="128">
        <v>2.1</v>
      </c>
      <c r="BE63" s="128">
        <v>2.11</v>
      </c>
      <c r="BF63" s="128">
        <v>2.11</v>
      </c>
      <c r="BG63" s="128">
        <v>2.12</v>
      </c>
      <c r="BH63" s="128">
        <v>2.13</v>
      </c>
      <c r="BI63" s="128">
        <v>2.14</v>
      </c>
      <c r="BJ63" s="128">
        <v>2.14</v>
      </c>
      <c r="BK63" s="128">
        <v>2.15</v>
      </c>
      <c r="BL63" s="128">
        <v>2.16</v>
      </c>
      <c r="BM63" s="128">
        <v>2.17</v>
      </c>
      <c r="BN63" s="128">
        <v>2.1800000000000002</v>
      </c>
      <c r="BO63" s="128">
        <v>2.19</v>
      </c>
      <c r="BP63" s="128">
        <v>2.19</v>
      </c>
      <c r="BQ63" s="128">
        <v>2.2000000000000002</v>
      </c>
      <c r="BR63" s="128">
        <v>2.21</v>
      </c>
      <c r="BS63" s="128">
        <v>2.2200000000000002</v>
      </c>
      <c r="BT63" s="128">
        <v>2.23</v>
      </c>
      <c r="BU63" s="128">
        <v>2.2400000000000002</v>
      </c>
      <c r="BV63" s="128">
        <v>2.25</v>
      </c>
      <c r="BW63" s="128">
        <v>2.2599999999999998</v>
      </c>
      <c r="BX63" s="128">
        <v>2.27</v>
      </c>
      <c r="BY63" s="128">
        <v>2.2799999999999998</v>
      </c>
      <c r="BZ63" s="128">
        <v>2.29</v>
      </c>
      <c r="CA63" s="128">
        <v>2.2999999999999998</v>
      </c>
      <c r="CB63" s="128">
        <v>2.31</v>
      </c>
      <c r="CC63" s="128">
        <v>2.3199999999999998</v>
      </c>
      <c r="CD63" s="128">
        <v>2.33</v>
      </c>
      <c r="CE63" s="128">
        <v>2.34</v>
      </c>
      <c r="CF63" s="128">
        <v>2.36</v>
      </c>
      <c r="CG63" s="128">
        <v>2.37</v>
      </c>
      <c r="CH63" s="128">
        <v>2.38</v>
      </c>
      <c r="CI63" s="128">
        <v>2.39</v>
      </c>
      <c r="CJ63" s="128">
        <v>2.4</v>
      </c>
      <c r="CK63" s="128">
        <v>2.42</v>
      </c>
      <c r="CL63" s="128">
        <v>2.4300000000000002</v>
      </c>
      <c r="CM63" s="128">
        <v>2.44</v>
      </c>
      <c r="CN63" s="128">
        <v>2.4500000000000002</v>
      </c>
      <c r="CO63" s="128">
        <v>2.4700000000000002</v>
      </c>
      <c r="CP63" s="128">
        <v>2.48</v>
      </c>
      <c r="CQ63" s="128">
        <v>2.5</v>
      </c>
      <c r="CR63" s="128">
        <v>2.5099999999999998</v>
      </c>
      <c r="CS63" s="128">
        <v>2.52</v>
      </c>
      <c r="CT63" s="128">
        <v>2.54</v>
      </c>
      <c r="CU63" s="128">
        <v>2.5499999999999998</v>
      </c>
      <c r="CV63" s="128">
        <v>2.57</v>
      </c>
      <c r="CW63" s="128">
        <v>2.58</v>
      </c>
      <c r="CX63" s="128">
        <v>2.6</v>
      </c>
      <c r="CZ63" s="126">
        <f>SUMIF(MatrixF5[[1]:[2]],MatrixF5[[#This Row],[Столбец1]])/MatrixF5[[#This Row],[Столбец1]]</f>
        <v>54.999999999999964</v>
      </c>
      <c r="DA63" s="126">
        <f>SUMIF(MatrixF5[[1]:[2]],MatrixF5[[#This Row],[Столбец1]]+1)/(MatrixF5[[#This Row],[Столбец1]]+1)</f>
        <v>31.999999999999989</v>
      </c>
    </row>
    <row r="64" spans="1:105" ht="21" customHeight="1" x14ac:dyDescent="0.25">
      <c r="A64" s="127">
        <v>1.61</v>
      </c>
      <c r="B64" s="128">
        <v>1.61</v>
      </c>
      <c r="C64" s="128">
        <v>1.62</v>
      </c>
      <c r="D64" s="128">
        <v>1.64</v>
      </c>
      <c r="E64" s="128">
        <v>1.65</v>
      </c>
      <c r="F64" s="128">
        <v>1.66</v>
      </c>
      <c r="G64" s="128">
        <v>1.68</v>
      </c>
      <c r="H64" s="128">
        <v>1.69</v>
      </c>
      <c r="I64" s="128">
        <v>1.7</v>
      </c>
      <c r="J64" s="128">
        <v>1.71</v>
      </c>
      <c r="K64" s="128">
        <v>1.72</v>
      </c>
      <c r="L64" s="128">
        <v>1.74</v>
      </c>
      <c r="M64" s="128">
        <v>1.75</v>
      </c>
      <c r="N64" s="128">
        <v>1.76</v>
      </c>
      <c r="O64" s="128">
        <v>1.77</v>
      </c>
      <c r="P64" s="128">
        <v>1.78</v>
      </c>
      <c r="Q64" s="128">
        <v>1.79</v>
      </c>
      <c r="R64" s="128">
        <v>1.8</v>
      </c>
      <c r="S64" s="128">
        <v>1.81</v>
      </c>
      <c r="T64" s="128">
        <v>1.82</v>
      </c>
      <c r="U64" s="128">
        <v>1.83</v>
      </c>
      <c r="V64" s="128">
        <v>1.84</v>
      </c>
      <c r="W64" s="128">
        <v>1.85</v>
      </c>
      <c r="X64" s="128">
        <v>1.86</v>
      </c>
      <c r="Y64" s="128">
        <v>1.87</v>
      </c>
      <c r="Z64" s="128">
        <v>1.88</v>
      </c>
      <c r="AA64" s="128">
        <v>1.89</v>
      </c>
      <c r="AB64" s="128">
        <v>1.9</v>
      </c>
      <c r="AC64" s="128">
        <v>1.91</v>
      </c>
      <c r="AD64" s="128">
        <v>1.91</v>
      </c>
      <c r="AE64" s="128">
        <v>1.92</v>
      </c>
      <c r="AF64" s="128">
        <v>1.93</v>
      </c>
      <c r="AG64" s="128">
        <v>1.94</v>
      </c>
      <c r="AH64" s="128">
        <v>1.95</v>
      </c>
      <c r="AI64" s="128">
        <v>1.95</v>
      </c>
      <c r="AJ64" s="128">
        <v>1.96</v>
      </c>
      <c r="AK64" s="128">
        <v>1.97</v>
      </c>
      <c r="AL64" s="128">
        <v>1.98</v>
      </c>
      <c r="AM64" s="128">
        <v>1.99</v>
      </c>
      <c r="AN64" s="128">
        <v>1.99</v>
      </c>
      <c r="AO64" s="128">
        <v>2</v>
      </c>
      <c r="AP64" s="128">
        <v>2.0099999999999998</v>
      </c>
      <c r="AQ64" s="128">
        <v>2.0099999999999998</v>
      </c>
      <c r="AR64" s="128">
        <v>2.02</v>
      </c>
      <c r="AS64" s="128">
        <v>2.0299999999999998</v>
      </c>
      <c r="AT64" s="128">
        <v>2.04</v>
      </c>
      <c r="AU64" s="128">
        <v>2.04</v>
      </c>
      <c r="AV64" s="128">
        <v>2.0499999999999998</v>
      </c>
      <c r="AW64" s="128">
        <v>2.06</v>
      </c>
      <c r="AX64" s="128">
        <v>2.06</v>
      </c>
      <c r="AY64" s="128">
        <v>2.0699999999999998</v>
      </c>
      <c r="AZ64" s="128">
        <v>2.08</v>
      </c>
      <c r="BA64" s="128">
        <v>2.09</v>
      </c>
      <c r="BB64" s="128">
        <v>2.09</v>
      </c>
      <c r="BC64" s="128">
        <v>2.1</v>
      </c>
      <c r="BD64" s="128">
        <v>2.11</v>
      </c>
      <c r="BE64" s="128">
        <v>2.12</v>
      </c>
      <c r="BF64" s="128">
        <v>2.12</v>
      </c>
      <c r="BG64" s="128">
        <v>2.13</v>
      </c>
      <c r="BH64" s="128">
        <v>2.14</v>
      </c>
      <c r="BI64" s="128">
        <v>2.14</v>
      </c>
      <c r="BJ64" s="128">
        <v>2.15</v>
      </c>
      <c r="BK64" s="128">
        <v>2.16</v>
      </c>
      <c r="BL64" s="128">
        <v>2.17</v>
      </c>
      <c r="BM64" s="128">
        <v>2.1800000000000002</v>
      </c>
      <c r="BN64" s="128">
        <v>2.1800000000000002</v>
      </c>
      <c r="BO64" s="128">
        <v>2.19</v>
      </c>
      <c r="BP64" s="128">
        <v>2.2000000000000002</v>
      </c>
      <c r="BQ64" s="128">
        <v>2.21</v>
      </c>
      <c r="BR64" s="128">
        <v>2.2200000000000002</v>
      </c>
      <c r="BS64" s="128">
        <v>2.23</v>
      </c>
      <c r="BT64" s="128">
        <v>2.2400000000000002</v>
      </c>
      <c r="BU64" s="128">
        <v>2.25</v>
      </c>
      <c r="BV64" s="128">
        <v>2.2599999999999998</v>
      </c>
      <c r="BW64" s="128">
        <v>2.27</v>
      </c>
      <c r="BX64" s="128">
        <v>2.2799999999999998</v>
      </c>
      <c r="BY64" s="128">
        <v>2.29</v>
      </c>
      <c r="BZ64" s="128">
        <v>2.2999999999999998</v>
      </c>
      <c r="CA64" s="128">
        <v>2.31</v>
      </c>
      <c r="CB64" s="128">
        <v>2.3199999999999998</v>
      </c>
      <c r="CC64" s="128">
        <v>2.33</v>
      </c>
      <c r="CD64" s="128">
        <v>2.34</v>
      </c>
      <c r="CE64" s="128">
        <v>2.35</v>
      </c>
      <c r="CF64" s="128">
        <v>2.36</v>
      </c>
      <c r="CG64" s="128">
        <v>2.38</v>
      </c>
      <c r="CH64" s="128">
        <v>2.39</v>
      </c>
      <c r="CI64" s="128">
        <v>2.4</v>
      </c>
      <c r="CJ64" s="128">
        <v>2.41</v>
      </c>
      <c r="CK64" s="128">
        <v>2.42</v>
      </c>
      <c r="CL64" s="128">
        <v>2.44</v>
      </c>
      <c r="CM64" s="128">
        <v>2.4500000000000002</v>
      </c>
      <c r="CN64" s="128">
        <v>2.46</v>
      </c>
      <c r="CO64" s="128">
        <v>2.48</v>
      </c>
      <c r="CP64" s="128">
        <v>2.4900000000000002</v>
      </c>
      <c r="CQ64" s="128">
        <v>2.5</v>
      </c>
      <c r="CR64" s="128">
        <v>2.52</v>
      </c>
      <c r="CS64" s="128">
        <v>2.5299999999999998</v>
      </c>
      <c r="CT64" s="128">
        <v>2.5499999999999998</v>
      </c>
      <c r="CU64" s="128">
        <v>2.56</v>
      </c>
      <c r="CV64" s="128">
        <v>2.58</v>
      </c>
      <c r="CW64" s="128">
        <v>2.59</v>
      </c>
      <c r="CX64" s="128">
        <v>2.61</v>
      </c>
      <c r="CZ64" s="126">
        <f>SUMIF(MatrixF5[[1]:[2]],MatrixF5[[#This Row],[Столбец1]])/MatrixF5[[#This Row],[Столбец1]]</f>
        <v>59.999999999999986</v>
      </c>
      <c r="DA64" s="126">
        <f>SUMIF(MatrixF5[[1]:[2]],MatrixF5[[#This Row],[Столбец1]]+1)/(MatrixF5[[#This Row],[Столбец1]]+1)</f>
        <v>34.999999999999993</v>
      </c>
    </row>
    <row r="65" spans="1:105" ht="21" customHeight="1" x14ac:dyDescent="0.25">
      <c r="A65" s="127">
        <v>1.62</v>
      </c>
      <c r="B65" s="128">
        <v>1.62</v>
      </c>
      <c r="C65" s="128">
        <v>1.63</v>
      </c>
      <c r="D65" s="128">
        <v>1.65</v>
      </c>
      <c r="E65" s="128">
        <v>1.66</v>
      </c>
      <c r="F65" s="128">
        <v>1.67</v>
      </c>
      <c r="G65" s="128">
        <v>1.69</v>
      </c>
      <c r="H65" s="128">
        <v>1.7</v>
      </c>
      <c r="I65" s="128">
        <v>1.71</v>
      </c>
      <c r="J65" s="128">
        <v>1.72</v>
      </c>
      <c r="K65" s="128">
        <v>1.73</v>
      </c>
      <c r="L65" s="128">
        <v>1.75</v>
      </c>
      <c r="M65" s="128">
        <v>1.76</v>
      </c>
      <c r="N65" s="128">
        <v>1.77</v>
      </c>
      <c r="O65" s="128">
        <v>1.78</v>
      </c>
      <c r="P65" s="128">
        <v>1.79</v>
      </c>
      <c r="Q65" s="128">
        <v>1.8</v>
      </c>
      <c r="R65" s="128">
        <v>1.81</v>
      </c>
      <c r="S65" s="128">
        <v>1.82</v>
      </c>
      <c r="T65" s="128">
        <v>1.83</v>
      </c>
      <c r="U65" s="128">
        <v>1.84</v>
      </c>
      <c r="V65" s="128">
        <v>1.85</v>
      </c>
      <c r="W65" s="128">
        <v>1.86</v>
      </c>
      <c r="X65" s="128">
        <v>1.87</v>
      </c>
      <c r="Y65" s="128">
        <v>1.88</v>
      </c>
      <c r="Z65" s="128">
        <v>1.89</v>
      </c>
      <c r="AA65" s="128">
        <v>1.9</v>
      </c>
      <c r="AB65" s="128">
        <v>1.9</v>
      </c>
      <c r="AC65" s="128">
        <v>1.91</v>
      </c>
      <c r="AD65" s="128">
        <v>1.92</v>
      </c>
      <c r="AE65" s="128">
        <v>1.93</v>
      </c>
      <c r="AF65" s="128">
        <v>1.94</v>
      </c>
      <c r="AG65" s="128">
        <v>1.95</v>
      </c>
      <c r="AH65" s="128">
        <v>1.95</v>
      </c>
      <c r="AI65" s="128">
        <v>1.96</v>
      </c>
      <c r="AJ65" s="128">
        <v>1.97</v>
      </c>
      <c r="AK65" s="128">
        <v>1.98</v>
      </c>
      <c r="AL65" s="128">
        <v>1.99</v>
      </c>
      <c r="AM65" s="128">
        <v>1.99</v>
      </c>
      <c r="AN65" s="128">
        <v>2</v>
      </c>
      <c r="AO65" s="128">
        <v>2.0099999999999998</v>
      </c>
      <c r="AP65" s="128">
        <v>2.0099999999999998</v>
      </c>
      <c r="AQ65" s="128">
        <v>2.02</v>
      </c>
      <c r="AR65" s="128">
        <v>2.0299999999999998</v>
      </c>
      <c r="AS65" s="128">
        <v>2.04</v>
      </c>
      <c r="AT65" s="128">
        <v>2.04</v>
      </c>
      <c r="AU65" s="128">
        <v>2.0499999999999998</v>
      </c>
      <c r="AV65" s="128">
        <v>2.06</v>
      </c>
      <c r="AW65" s="128">
        <v>2.0699999999999998</v>
      </c>
      <c r="AX65" s="128">
        <v>2.0699999999999998</v>
      </c>
      <c r="AY65" s="128">
        <v>2.08</v>
      </c>
      <c r="AZ65" s="128">
        <v>2.09</v>
      </c>
      <c r="BA65" s="128">
        <v>2.09</v>
      </c>
      <c r="BB65" s="128">
        <v>2.1</v>
      </c>
      <c r="BC65" s="128">
        <v>2.11</v>
      </c>
      <c r="BD65" s="128">
        <v>2.12</v>
      </c>
      <c r="BE65" s="128">
        <v>2.12</v>
      </c>
      <c r="BF65" s="128">
        <v>2.13</v>
      </c>
      <c r="BG65" s="128">
        <v>2.14</v>
      </c>
      <c r="BH65" s="128">
        <v>2.14</v>
      </c>
      <c r="BI65" s="128">
        <v>2.15</v>
      </c>
      <c r="BJ65" s="128">
        <v>2.16</v>
      </c>
      <c r="BK65" s="128">
        <v>2.17</v>
      </c>
      <c r="BL65" s="128">
        <v>2.17</v>
      </c>
      <c r="BM65" s="128">
        <v>2.1800000000000002</v>
      </c>
      <c r="BN65" s="128">
        <v>2.19</v>
      </c>
      <c r="BO65" s="128">
        <v>2.2000000000000002</v>
      </c>
      <c r="BP65" s="128">
        <v>2.21</v>
      </c>
      <c r="BQ65" s="128">
        <v>2.2200000000000002</v>
      </c>
      <c r="BR65" s="128">
        <v>2.23</v>
      </c>
      <c r="BS65" s="128">
        <v>2.2400000000000002</v>
      </c>
      <c r="BT65" s="128">
        <v>2.25</v>
      </c>
      <c r="BU65" s="128">
        <v>2.2599999999999998</v>
      </c>
      <c r="BV65" s="128">
        <v>2.27</v>
      </c>
      <c r="BW65" s="128">
        <v>2.2799999999999998</v>
      </c>
      <c r="BX65" s="128">
        <v>2.29</v>
      </c>
      <c r="BY65" s="128">
        <v>2.2999999999999998</v>
      </c>
      <c r="BZ65" s="128">
        <v>2.31</v>
      </c>
      <c r="CA65" s="128">
        <v>2.3199999999999998</v>
      </c>
      <c r="CB65" s="128">
        <v>2.33</v>
      </c>
      <c r="CC65" s="128">
        <v>2.34</v>
      </c>
      <c r="CD65" s="128">
        <v>2.35</v>
      </c>
      <c r="CE65" s="128">
        <v>2.36</v>
      </c>
      <c r="CF65" s="128">
        <v>2.37</v>
      </c>
      <c r="CG65" s="128">
        <v>2.38</v>
      </c>
      <c r="CH65" s="128">
        <v>2.4</v>
      </c>
      <c r="CI65" s="128">
        <v>2.41</v>
      </c>
      <c r="CJ65" s="128">
        <v>2.42</v>
      </c>
      <c r="CK65" s="128">
        <v>2.4300000000000002</v>
      </c>
      <c r="CL65" s="128">
        <v>2.4500000000000002</v>
      </c>
      <c r="CM65" s="128">
        <v>2.46</v>
      </c>
      <c r="CN65" s="128">
        <v>2.4700000000000002</v>
      </c>
      <c r="CO65" s="128">
        <v>2.4900000000000002</v>
      </c>
      <c r="CP65" s="128">
        <v>2.5</v>
      </c>
      <c r="CQ65" s="128">
        <v>2.5099999999999998</v>
      </c>
      <c r="CR65" s="128">
        <v>2.5299999999999998</v>
      </c>
      <c r="CS65" s="128">
        <v>2.54</v>
      </c>
      <c r="CT65" s="128">
        <v>2.56</v>
      </c>
      <c r="CU65" s="128">
        <v>2.57</v>
      </c>
      <c r="CV65" s="128">
        <v>2.59</v>
      </c>
      <c r="CW65" s="128">
        <v>2.6</v>
      </c>
      <c r="CX65" s="128">
        <v>2.62</v>
      </c>
      <c r="CZ65" s="126">
        <f>SUMIF(MatrixF5[[1]:[2]],MatrixF5[[#This Row],[Столбец1]])/MatrixF5[[#This Row],[Столбец1]]</f>
        <v>63.000000000000043</v>
      </c>
      <c r="DA65" s="126">
        <f>SUMIF(MatrixF5[[1]:[2]],MatrixF5[[#This Row],[Столбец1]]+1)/(MatrixF5[[#This Row],[Столбец1]]+1)</f>
        <v>34.000000000000007</v>
      </c>
    </row>
    <row r="66" spans="1:105" ht="21" customHeight="1" x14ac:dyDescent="0.25">
      <c r="A66" s="127">
        <v>1.63</v>
      </c>
      <c r="B66" s="128">
        <v>1.63</v>
      </c>
      <c r="C66" s="128">
        <v>1.64</v>
      </c>
      <c r="D66" s="128">
        <v>1.66</v>
      </c>
      <c r="E66" s="128">
        <v>1.67</v>
      </c>
      <c r="F66" s="128">
        <v>1.68</v>
      </c>
      <c r="G66" s="128">
        <v>1.7</v>
      </c>
      <c r="H66" s="128">
        <v>1.71</v>
      </c>
      <c r="I66" s="128">
        <v>1.72</v>
      </c>
      <c r="J66" s="128">
        <v>1.73</v>
      </c>
      <c r="K66" s="128">
        <v>1.74</v>
      </c>
      <c r="L66" s="128">
        <v>1.75</v>
      </c>
      <c r="M66" s="128">
        <v>1.77</v>
      </c>
      <c r="N66" s="128">
        <v>1.78</v>
      </c>
      <c r="O66" s="128">
        <v>1.79</v>
      </c>
      <c r="P66" s="128">
        <v>1.8</v>
      </c>
      <c r="Q66" s="128">
        <v>1.81</v>
      </c>
      <c r="R66" s="128">
        <v>1.82</v>
      </c>
      <c r="S66" s="128">
        <v>1.83</v>
      </c>
      <c r="T66" s="128">
        <v>1.84</v>
      </c>
      <c r="U66" s="128">
        <v>1.85</v>
      </c>
      <c r="V66" s="128">
        <v>1.86</v>
      </c>
      <c r="W66" s="128">
        <v>1.87</v>
      </c>
      <c r="X66" s="128">
        <v>1.88</v>
      </c>
      <c r="Y66" s="128">
        <v>1.89</v>
      </c>
      <c r="Z66" s="128">
        <v>1.9</v>
      </c>
      <c r="AA66" s="128">
        <v>1.9</v>
      </c>
      <c r="AB66" s="128">
        <v>1.91</v>
      </c>
      <c r="AC66" s="128">
        <v>1.92</v>
      </c>
      <c r="AD66" s="128">
        <v>1.93</v>
      </c>
      <c r="AE66" s="128">
        <v>1.94</v>
      </c>
      <c r="AF66" s="128">
        <v>1.95</v>
      </c>
      <c r="AG66" s="128">
        <v>1.95</v>
      </c>
      <c r="AH66" s="128">
        <v>1.96</v>
      </c>
      <c r="AI66" s="128">
        <v>1.97</v>
      </c>
      <c r="AJ66" s="128">
        <v>1.98</v>
      </c>
      <c r="AK66" s="128">
        <v>1.99</v>
      </c>
      <c r="AL66" s="128">
        <v>1.99</v>
      </c>
      <c r="AM66" s="128">
        <v>2</v>
      </c>
      <c r="AN66" s="128">
        <v>2.0099999999999998</v>
      </c>
      <c r="AO66" s="128">
        <v>2.0099999999999998</v>
      </c>
      <c r="AP66" s="128">
        <v>2.02</v>
      </c>
      <c r="AQ66" s="128">
        <v>2.0299999999999998</v>
      </c>
      <c r="AR66" s="128">
        <v>2.04</v>
      </c>
      <c r="AS66" s="128">
        <v>2.04</v>
      </c>
      <c r="AT66" s="128">
        <v>2.0499999999999998</v>
      </c>
      <c r="AU66" s="128">
        <v>2.06</v>
      </c>
      <c r="AV66" s="128">
        <v>2.0699999999999998</v>
      </c>
      <c r="AW66" s="128">
        <v>2.0699999999999998</v>
      </c>
      <c r="AX66" s="128">
        <v>2.08</v>
      </c>
      <c r="AY66" s="128">
        <v>2.09</v>
      </c>
      <c r="AZ66" s="128">
        <v>2.09</v>
      </c>
      <c r="BA66" s="128">
        <v>2.1</v>
      </c>
      <c r="BB66" s="128">
        <v>2.11</v>
      </c>
      <c r="BC66" s="128">
        <v>2.12</v>
      </c>
      <c r="BD66" s="128">
        <v>2.12</v>
      </c>
      <c r="BE66" s="128">
        <v>2.13</v>
      </c>
      <c r="BF66" s="128">
        <v>2.14</v>
      </c>
      <c r="BG66" s="128">
        <v>2.15</v>
      </c>
      <c r="BH66" s="128">
        <v>2.15</v>
      </c>
      <c r="BI66" s="128">
        <v>2.16</v>
      </c>
      <c r="BJ66" s="128">
        <v>2.17</v>
      </c>
      <c r="BK66" s="128">
        <v>2.1800000000000002</v>
      </c>
      <c r="BL66" s="128">
        <v>2.1800000000000002</v>
      </c>
      <c r="BM66" s="128">
        <v>2.19</v>
      </c>
      <c r="BN66" s="128">
        <v>2.2000000000000002</v>
      </c>
      <c r="BO66" s="128">
        <v>2.21</v>
      </c>
      <c r="BP66" s="128">
        <v>2.2200000000000002</v>
      </c>
      <c r="BQ66" s="128">
        <v>2.23</v>
      </c>
      <c r="BR66" s="128">
        <v>2.23</v>
      </c>
      <c r="BS66" s="128">
        <v>2.2400000000000002</v>
      </c>
      <c r="BT66" s="128">
        <v>2.25</v>
      </c>
      <c r="BU66" s="128">
        <v>2.2599999999999998</v>
      </c>
      <c r="BV66" s="128">
        <v>2.27</v>
      </c>
      <c r="BW66" s="128">
        <v>2.2799999999999998</v>
      </c>
      <c r="BX66" s="128">
        <v>2.29</v>
      </c>
      <c r="BY66" s="128">
        <v>2.2999999999999998</v>
      </c>
      <c r="BZ66" s="128">
        <v>2.31</v>
      </c>
      <c r="CA66" s="128">
        <v>2.33</v>
      </c>
      <c r="CB66" s="128">
        <v>2.34</v>
      </c>
      <c r="CC66" s="128">
        <v>2.35</v>
      </c>
      <c r="CD66" s="128">
        <v>2.36</v>
      </c>
      <c r="CE66" s="128">
        <v>2.37</v>
      </c>
      <c r="CF66" s="128">
        <v>2.38</v>
      </c>
      <c r="CG66" s="128">
        <v>2.39</v>
      </c>
      <c r="CH66" s="128">
        <v>2.41</v>
      </c>
      <c r="CI66" s="128">
        <v>2.42</v>
      </c>
      <c r="CJ66" s="128">
        <v>2.4300000000000002</v>
      </c>
      <c r="CK66" s="128">
        <v>2.44</v>
      </c>
      <c r="CL66" s="128">
        <v>2.46</v>
      </c>
      <c r="CM66" s="128">
        <v>2.4700000000000002</v>
      </c>
      <c r="CN66" s="128">
        <v>2.48</v>
      </c>
      <c r="CO66" s="128">
        <v>2.5</v>
      </c>
      <c r="CP66" s="128">
        <v>2.5099999999999998</v>
      </c>
      <c r="CQ66" s="128">
        <v>2.52</v>
      </c>
      <c r="CR66" s="128">
        <v>2.54</v>
      </c>
      <c r="CS66" s="128">
        <v>2.5499999999999998</v>
      </c>
      <c r="CT66" s="128">
        <v>2.57</v>
      </c>
      <c r="CU66" s="128">
        <v>2.58</v>
      </c>
      <c r="CV66" s="128">
        <v>2.6</v>
      </c>
      <c r="CW66" s="128">
        <v>2.61</v>
      </c>
      <c r="CX66" s="128">
        <v>2.63</v>
      </c>
      <c r="CZ66" s="126">
        <f>SUMIF(MatrixF5[[1]:[2]],MatrixF5[[#This Row],[Столбец1]])/MatrixF5[[#This Row],[Столбец1]]</f>
        <v>59.999999999999964</v>
      </c>
      <c r="DA66" s="126">
        <f>SUMIF(MatrixF5[[1]:[2]],MatrixF5[[#This Row],[Столбец1]]+1)/(MatrixF5[[#This Row],[Столбец1]]+1)</f>
        <v>29</v>
      </c>
    </row>
    <row r="67" spans="1:105" ht="21" customHeight="1" x14ac:dyDescent="0.25">
      <c r="A67" s="127">
        <v>1.64</v>
      </c>
      <c r="B67" s="128">
        <v>1.64</v>
      </c>
      <c r="C67" s="128">
        <v>1.65</v>
      </c>
      <c r="D67" s="128">
        <v>1.67</v>
      </c>
      <c r="E67" s="128">
        <v>1.68</v>
      </c>
      <c r="F67" s="128">
        <v>1.69</v>
      </c>
      <c r="G67" s="128">
        <v>1.7</v>
      </c>
      <c r="H67" s="128">
        <v>1.72</v>
      </c>
      <c r="I67" s="128">
        <v>1.73</v>
      </c>
      <c r="J67" s="128">
        <v>1.74</v>
      </c>
      <c r="K67" s="128">
        <v>1.75</v>
      </c>
      <c r="L67" s="128">
        <v>1.76</v>
      </c>
      <c r="M67" s="128">
        <v>1.77</v>
      </c>
      <c r="N67" s="128">
        <v>1.79</v>
      </c>
      <c r="O67" s="128">
        <v>1.8</v>
      </c>
      <c r="P67" s="128">
        <v>1.81</v>
      </c>
      <c r="Q67" s="128">
        <v>1.82</v>
      </c>
      <c r="R67" s="128">
        <v>1.83</v>
      </c>
      <c r="S67" s="128">
        <v>1.84</v>
      </c>
      <c r="T67" s="128">
        <v>1.85</v>
      </c>
      <c r="U67" s="128">
        <v>1.86</v>
      </c>
      <c r="V67" s="128">
        <v>1.87</v>
      </c>
      <c r="W67" s="128">
        <v>1.88</v>
      </c>
      <c r="X67" s="128">
        <v>1.89</v>
      </c>
      <c r="Y67" s="128">
        <v>1.89</v>
      </c>
      <c r="Z67" s="128">
        <v>1.9</v>
      </c>
      <c r="AA67" s="128">
        <v>1.91</v>
      </c>
      <c r="AB67" s="128">
        <v>1.92</v>
      </c>
      <c r="AC67" s="128">
        <v>1.93</v>
      </c>
      <c r="AD67" s="128">
        <v>1.94</v>
      </c>
      <c r="AE67" s="128">
        <v>1.95</v>
      </c>
      <c r="AF67" s="128">
        <v>1.95</v>
      </c>
      <c r="AG67" s="128">
        <v>1.96</v>
      </c>
      <c r="AH67" s="128">
        <v>1.97</v>
      </c>
      <c r="AI67" s="128">
        <v>1.98</v>
      </c>
      <c r="AJ67" s="128">
        <v>1.99</v>
      </c>
      <c r="AK67" s="128">
        <v>1.99</v>
      </c>
      <c r="AL67" s="128">
        <v>2</v>
      </c>
      <c r="AM67" s="128">
        <v>2.0099999999999998</v>
      </c>
      <c r="AN67" s="128">
        <v>2.0099999999999998</v>
      </c>
      <c r="AO67" s="128">
        <v>2.02</v>
      </c>
      <c r="AP67" s="128">
        <v>2.0299999999999998</v>
      </c>
      <c r="AQ67" s="128">
        <v>2.04</v>
      </c>
      <c r="AR67" s="128">
        <v>2.04</v>
      </c>
      <c r="AS67" s="128">
        <v>2.0499999999999998</v>
      </c>
      <c r="AT67" s="128">
        <v>2.06</v>
      </c>
      <c r="AU67" s="128">
        <v>2.0699999999999998</v>
      </c>
      <c r="AV67" s="128">
        <v>2.0699999999999998</v>
      </c>
      <c r="AW67" s="128">
        <v>2.08</v>
      </c>
      <c r="AX67" s="128">
        <v>2.09</v>
      </c>
      <c r="AY67" s="128">
        <v>2.1</v>
      </c>
      <c r="AZ67" s="128">
        <v>2.1</v>
      </c>
      <c r="BA67" s="128">
        <v>2.11</v>
      </c>
      <c r="BB67" s="128">
        <v>2.12</v>
      </c>
      <c r="BC67" s="128">
        <v>2.12</v>
      </c>
      <c r="BD67" s="128">
        <v>2.13</v>
      </c>
      <c r="BE67" s="128">
        <v>2.14</v>
      </c>
      <c r="BF67" s="128">
        <v>2.15</v>
      </c>
      <c r="BG67" s="128">
        <v>2.15</v>
      </c>
      <c r="BH67" s="128">
        <v>2.16</v>
      </c>
      <c r="BI67" s="128">
        <v>2.17</v>
      </c>
      <c r="BJ67" s="128">
        <v>2.1800000000000002</v>
      </c>
      <c r="BK67" s="128">
        <v>2.1800000000000002</v>
      </c>
      <c r="BL67" s="128">
        <v>2.19</v>
      </c>
      <c r="BM67" s="128">
        <v>2.2000000000000002</v>
      </c>
      <c r="BN67" s="128">
        <v>2.21</v>
      </c>
      <c r="BO67" s="128">
        <v>2.21</v>
      </c>
      <c r="BP67" s="128">
        <v>2.2200000000000002</v>
      </c>
      <c r="BQ67" s="128">
        <v>2.23</v>
      </c>
      <c r="BR67" s="128">
        <v>2.2400000000000002</v>
      </c>
      <c r="BS67" s="128">
        <v>2.25</v>
      </c>
      <c r="BT67" s="128">
        <v>2.2599999999999998</v>
      </c>
      <c r="BU67" s="128">
        <v>2.27</v>
      </c>
      <c r="BV67" s="128">
        <v>2.2799999999999998</v>
      </c>
      <c r="BW67" s="128">
        <v>2.29</v>
      </c>
      <c r="BX67" s="128">
        <v>2.2999999999999998</v>
      </c>
      <c r="BY67" s="128">
        <v>2.31</v>
      </c>
      <c r="BZ67" s="128">
        <v>2.3199999999999998</v>
      </c>
      <c r="CA67" s="128">
        <v>2.33</v>
      </c>
      <c r="CB67" s="128">
        <v>2.34</v>
      </c>
      <c r="CC67" s="128">
        <v>2.36</v>
      </c>
      <c r="CD67" s="128">
        <v>2.37</v>
      </c>
      <c r="CE67" s="128">
        <v>2.38</v>
      </c>
      <c r="CF67" s="128">
        <v>2.39</v>
      </c>
      <c r="CG67" s="128">
        <v>2.4</v>
      </c>
      <c r="CH67" s="128">
        <v>2.41</v>
      </c>
      <c r="CI67" s="128">
        <v>2.4300000000000002</v>
      </c>
      <c r="CJ67" s="128">
        <v>2.44</v>
      </c>
      <c r="CK67" s="128">
        <v>2.4500000000000002</v>
      </c>
      <c r="CL67" s="128">
        <v>2.46</v>
      </c>
      <c r="CM67" s="128">
        <v>2.48</v>
      </c>
      <c r="CN67" s="128">
        <v>2.4900000000000002</v>
      </c>
      <c r="CO67" s="128">
        <v>2.5</v>
      </c>
      <c r="CP67" s="128">
        <v>2.52</v>
      </c>
      <c r="CQ67" s="128">
        <v>2.5299999999999998</v>
      </c>
      <c r="CR67" s="128">
        <v>2.5499999999999998</v>
      </c>
      <c r="CS67" s="128">
        <v>2.56</v>
      </c>
      <c r="CT67" s="128">
        <v>2.58</v>
      </c>
      <c r="CU67" s="128">
        <v>2.59</v>
      </c>
      <c r="CV67" s="128">
        <v>2.61</v>
      </c>
      <c r="CW67" s="128">
        <v>2.62</v>
      </c>
      <c r="CX67" s="128">
        <v>2.64</v>
      </c>
      <c r="CZ67" s="126">
        <f>SUMIF(MatrixF5[[1]:[2]],MatrixF5[[#This Row],[Столбец1]])/MatrixF5[[#This Row],[Столбец1]]</f>
        <v>61.000000000000014</v>
      </c>
      <c r="DA67" s="126">
        <f>SUMIF(MatrixF5[[1]:[2]],MatrixF5[[#This Row],[Столбец1]]+1)/(MatrixF5[[#This Row],[Столбец1]]+1)</f>
        <v>30.000000000000004</v>
      </c>
    </row>
    <row r="68" spans="1:105" ht="21" customHeight="1" x14ac:dyDescent="0.25">
      <c r="A68" s="127">
        <v>1.65</v>
      </c>
      <c r="B68" s="128">
        <v>1.65</v>
      </c>
      <c r="C68" s="128">
        <v>1.66</v>
      </c>
      <c r="D68" s="128">
        <v>1.68</v>
      </c>
      <c r="E68" s="128">
        <v>1.69</v>
      </c>
      <c r="F68" s="128">
        <v>1.7</v>
      </c>
      <c r="G68" s="128">
        <v>1.71</v>
      </c>
      <c r="H68" s="128">
        <v>1.73</v>
      </c>
      <c r="I68" s="128">
        <v>1.74</v>
      </c>
      <c r="J68" s="128">
        <v>1.75</v>
      </c>
      <c r="K68" s="128">
        <v>1.76</v>
      </c>
      <c r="L68" s="128">
        <v>1.77</v>
      </c>
      <c r="M68" s="128">
        <v>1.78</v>
      </c>
      <c r="N68" s="128">
        <v>1.79</v>
      </c>
      <c r="O68" s="128">
        <v>1.81</v>
      </c>
      <c r="P68" s="128">
        <v>1.82</v>
      </c>
      <c r="Q68" s="128">
        <v>1.83</v>
      </c>
      <c r="R68" s="128">
        <v>1.84</v>
      </c>
      <c r="S68" s="128">
        <v>1.85</v>
      </c>
      <c r="T68" s="128">
        <v>1.86</v>
      </c>
      <c r="U68" s="128">
        <v>1.87</v>
      </c>
      <c r="V68" s="128">
        <v>1.87</v>
      </c>
      <c r="W68" s="128">
        <v>1.88</v>
      </c>
      <c r="X68" s="128">
        <v>1.89</v>
      </c>
      <c r="Y68" s="128">
        <v>1.9</v>
      </c>
      <c r="Z68" s="128">
        <v>1.91</v>
      </c>
      <c r="AA68" s="128">
        <v>1.92</v>
      </c>
      <c r="AB68" s="128">
        <v>1.93</v>
      </c>
      <c r="AC68" s="128">
        <v>1.94</v>
      </c>
      <c r="AD68" s="128">
        <v>1.95</v>
      </c>
      <c r="AE68" s="128">
        <v>1.95</v>
      </c>
      <c r="AF68" s="128">
        <v>1.96</v>
      </c>
      <c r="AG68" s="128">
        <v>1.97</v>
      </c>
      <c r="AH68" s="128">
        <v>1.98</v>
      </c>
      <c r="AI68" s="128">
        <v>1.98</v>
      </c>
      <c r="AJ68" s="128">
        <v>1.99</v>
      </c>
      <c r="AK68" s="128">
        <v>2</v>
      </c>
      <c r="AL68" s="128">
        <v>2.0099999999999998</v>
      </c>
      <c r="AM68" s="128">
        <v>2.0099999999999998</v>
      </c>
      <c r="AN68" s="128">
        <v>2.02</v>
      </c>
      <c r="AO68" s="128">
        <v>2.0299999999999998</v>
      </c>
      <c r="AP68" s="128">
        <v>2.04</v>
      </c>
      <c r="AQ68" s="128">
        <v>2.04</v>
      </c>
      <c r="AR68" s="128">
        <v>2.0499999999999998</v>
      </c>
      <c r="AS68" s="128">
        <v>2.06</v>
      </c>
      <c r="AT68" s="128">
        <v>2.0699999999999998</v>
      </c>
      <c r="AU68" s="128">
        <v>2.0699999999999998</v>
      </c>
      <c r="AV68" s="128">
        <v>2.08</v>
      </c>
      <c r="AW68" s="128">
        <v>2.09</v>
      </c>
      <c r="AX68" s="128">
        <v>2.1</v>
      </c>
      <c r="AY68" s="128">
        <v>2.1</v>
      </c>
      <c r="AZ68" s="128">
        <v>2.11</v>
      </c>
      <c r="BA68" s="128">
        <v>2.12</v>
      </c>
      <c r="BB68" s="128">
        <v>2.13</v>
      </c>
      <c r="BC68" s="128">
        <v>2.13</v>
      </c>
      <c r="BD68" s="128">
        <v>2.14</v>
      </c>
      <c r="BE68" s="128">
        <v>2.15</v>
      </c>
      <c r="BF68" s="128">
        <v>2.16</v>
      </c>
      <c r="BG68" s="128">
        <v>2.16</v>
      </c>
      <c r="BH68" s="128">
        <v>2.17</v>
      </c>
      <c r="BI68" s="128">
        <v>2.1800000000000002</v>
      </c>
      <c r="BJ68" s="128">
        <v>2.19</v>
      </c>
      <c r="BK68" s="128">
        <v>2.19</v>
      </c>
      <c r="BL68" s="128">
        <v>2.2000000000000002</v>
      </c>
      <c r="BM68" s="128">
        <v>2.21</v>
      </c>
      <c r="BN68" s="128">
        <v>2.21</v>
      </c>
      <c r="BO68" s="128">
        <v>2.2200000000000002</v>
      </c>
      <c r="BP68" s="128">
        <v>2.23</v>
      </c>
      <c r="BQ68" s="128">
        <v>2.2400000000000002</v>
      </c>
      <c r="BR68" s="128">
        <v>2.25</v>
      </c>
      <c r="BS68" s="128">
        <v>2.2599999999999998</v>
      </c>
      <c r="BT68" s="128">
        <v>2.27</v>
      </c>
      <c r="BU68" s="128">
        <v>2.2799999999999998</v>
      </c>
      <c r="BV68" s="128">
        <v>2.29</v>
      </c>
      <c r="BW68" s="128">
        <v>2.2999999999999998</v>
      </c>
      <c r="BX68" s="128">
        <v>2.31</v>
      </c>
      <c r="BY68" s="128">
        <v>2.3199999999999998</v>
      </c>
      <c r="BZ68" s="128">
        <v>2.33</v>
      </c>
      <c r="CA68" s="128">
        <v>2.34</v>
      </c>
      <c r="CB68" s="128">
        <v>2.35</v>
      </c>
      <c r="CC68" s="128">
        <v>2.36</v>
      </c>
      <c r="CD68" s="128">
        <v>2.37</v>
      </c>
      <c r="CE68" s="128">
        <v>2.39</v>
      </c>
      <c r="CF68" s="128">
        <v>2.4</v>
      </c>
      <c r="CG68" s="128">
        <v>2.41</v>
      </c>
      <c r="CH68" s="128">
        <v>2.42</v>
      </c>
      <c r="CI68" s="128">
        <v>2.4300000000000002</v>
      </c>
      <c r="CJ68" s="128">
        <v>2.4500000000000002</v>
      </c>
      <c r="CK68" s="128">
        <v>2.46</v>
      </c>
      <c r="CL68" s="128">
        <v>2.4700000000000002</v>
      </c>
      <c r="CM68" s="128">
        <v>2.4900000000000002</v>
      </c>
      <c r="CN68" s="128">
        <v>2.5</v>
      </c>
      <c r="CO68" s="128">
        <v>2.5099999999999998</v>
      </c>
      <c r="CP68" s="128">
        <v>2.5299999999999998</v>
      </c>
      <c r="CQ68" s="128">
        <v>2.54</v>
      </c>
      <c r="CR68" s="128">
        <v>2.56</v>
      </c>
      <c r="CS68" s="128">
        <v>2.57</v>
      </c>
      <c r="CT68" s="128">
        <v>2.59</v>
      </c>
      <c r="CU68" s="128">
        <v>2.6</v>
      </c>
      <c r="CV68" s="128">
        <v>2.62</v>
      </c>
      <c r="CW68" s="128">
        <v>2.63</v>
      </c>
      <c r="CX68" s="128">
        <v>2.65</v>
      </c>
      <c r="CZ68" s="126">
        <f>SUMIF(MatrixF5[[1]:[2]],MatrixF5[[#This Row],[Столбец1]])/MatrixF5[[#This Row],[Столбец1]]</f>
        <v>64.000000000000071</v>
      </c>
      <c r="DA68" s="126">
        <f>SUMIF(MatrixF5[[1]:[2]],MatrixF5[[#This Row],[Столбец1]]+1)/(MatrixF5[[#This Row],[Столбец1]]+1)</f>
        <v>31.000000000000007</v>
      </c>
    </row>
    <row r="69" spans="1:105" ht="21" customHeight="1" x14ac:dyDescent="0.25">
      <c r="A69" s="127">
        <v>1.66</v>
      </c>
      <c r="B69" s="128">
        <v>1.66</v>
      </c>
      <c r="C69" s="128">
        <v>1.67</v>
      </c>
      <c r="D69" s="128">
        <v>1.69</v>
      </c>
      <c r="E69" s="128">
        <v>1.7</v>
      </c>
      <c r="F69" s="128">
        <v>1.71</v>
      </c>
      <c r="G69" s="128">
        <v>1.72</v>
      </c>
      <c r="H69" s="128">
        <v>1.74</v>
      </c>
      <c r="I69" s="128">
        <v>1.75</v>
      </c>
      <c r="J69" s="128">
        <v>1.76</v>
      </c>
      <c r="K69" s="128">
        <v>1.77</v>
      </c>
      <c r="L69" s="128">
        <v>1.78</v>
      </c>
      <c r="M69" s="128">
        <v>1.79</v>
      </c>
      <c r="N69" s="128">
        <v>1.8</v>
      </c>
      <c r="O69" s="128">
        <v>1.81</v>
      </c>
      <c r="P69" s="128">
        <v>1.82</v>
      </c>
      <c r="Q69" s="128">
        <v>1.83</v>
      </c>
      <c r="R69" s="128">
        <v>1.84</v>
      </c>
      <c r="S69" s="128">
        <v>1.85</v>
      </c>
      <c r="T69" s="128">
        <v>1.86</v>
      </c>
      <c r="U69" s="128">
        <v>1.87</v>
      </c>
      <c r="V69" s="128">
        <v>1.88</v>
      </c>
      <c r="W69" s="128">
        <v>1.89</v>
      </c>
      <c r="X69" s="128">
        <v>1.9</v>
      </c>
      <c r="Y69" s="128">
        <v>1.91</v>
      </c>
      <c r="Z69" s="128">
        <v>1.92</v>
      </c>
      <c r="AA69" s="128">
        <v>1.93</v>
      </c>
      <c r="AB69" s="128">
        <v>1.94</v>
      </c>
      <c r="AC69" s="128">
        <v>1.94</v>
      </c>
      <c r="AD69" s="128">
        <v>1.95</v>
      </c>
      <c r="AE69" s="128">
        <v>1.96</v>
      </c>
      <c r="AF69" s="128">
        <v>1.97</v>
      </c>
      <c r="AG69" s="128">
        <v>1.98</v>
      </c>
      <c r="AH69" s="128">
        <v>1.98</v>
      </c>
      <c r="AI69" s="128">
        <v>1.99</v>
      </c>
      <c r="AJ69" s="128">
        <v>2</v>
      </c>
      <c r="AK69" s="128">
        <v>2.0099999999999998</v>
      </c>
      <c r="AL69" s="128">
        <v>2.0099999999999998</v>
      </c>
      <c r="AM69" s="128">
        <v>2.02</v>
      </c>
      <c r="AN69" s="128">
        <v>2.0299999999999998</v>
      </c>
      <c r="AO69" s="128">
        <v>2.04</v>
      </c>
      <c r="AP69" s="128">
        <v>2.04</v>
      </c>
      <c r="AQ69" s="128">
        <v>2.0499999999999998</v>
      </c>
      <c r="AR69" s="128">
        <v>2.06</v>
      </c>
      <c r="AS69" s="128">
        <v>2.0699999999999998</v>
      </c>
      <c r="AT69" s="128">
        <v>2.0699999999999998</v>
      </c>
      <c r="AU69" s="128">
        <v>2.08</v>
      </c>
      <c r="AV69" s="128">
        <v>2.09</v>
      </c>
      <c r="AW69" s="128">
        <v>2.1</v>
      </c>
      <c r="AX69" s="128">
        <v>2.1</v>
      </c>
      <c r="AY69" s="128">
        <v>2.11</v>
      </c>
      <c r="AZ69" s="128">
        <v>2.12</v>
      </c>
      <c r="BA69" s="128">
        <v>2.13</v>
      </c>
      <c r="BB69" s="128">
        <v>2.13</v>
      </c>
      <c r="BC69" s="128">
        <v>2.14</v>
      </c>
      <c r="BD69" s="128">
        <v>2.15</v>
      </c>
      <c r="BE69" s="128">
        <v>2.16</v>
      </c>
      <c r="BF69" s="128">
        <v>2.16</v>
      </c>
      <c r="BG69" s="128">
        <v>2.17</v>
      </c>
      <c r="BH69" s="128">
        <v>2.1800000000000002</v>
      </c>
      <c r="BI69" s="128">
        <v>2.19</v>
      </c>
      <c r="BJ69" s="128">
        <v>2.19</v>
      </c>
      <c r="BK69" s="128">
        <v>2.2000000000000002</v>
      </c>
      <c r="BL69" s="128">
        <v>2.21</v>
      </c>
      <c r="BM69" s="128">
        <v>2.2200000000000002</v>
      </c>
      <c r="BN69" s="128">
        <v>2.2200000000000002</v>
      </c>
      <c r="BO69" s="128">
        <v>2.23</v>
      </c>
      <c r="BP69" s="128">
        <v>2.2400000000000002</v>
      </c>
      <c r="BQ69" s="128">
        <v>2.25</v>
      </c>
      <c r="BR69" s="128">
        <v>2.2599999999999998</v>
      </c>
      <c r="BS69" s="128">
        <v>2.27</v>
      </c>
      <c r="BT69" s="128">
        <v>2.2799999999999998</v>
      </c>
      <c r="BU69" s="128">
        <v>2.29</v>
      </c>
      <c r="BV69" s="128">
        <v>2.2999999999999998</v>
      </c>
      <c r="BW69" s="128">
        <v>2.31</v>
      </c>
      <c r="BX69" s="128">
        <v>2.3199999999999998</v>
      </c>
      <c r="BY69" s="128">
        <v>2.33</v>
      </c>
      <c r="BZ69" s="128">
        <v>2.34</v>
      </c>
      <c r="CA69" s="128">
        <v>2.35</v>
      </c>
      <c r="CB69" s="128">
        <v>2.36</v>
      </c>
      <c r="CC69" s="128">
        <v>2.37</v>
      </c>
      <c r="CD69" s="128">
        <v>2.38</v>
      </c>
      <c r="CE69" s="128">
        <v>2.39</v>
      </c>
      <c r="CF69" s="128">
        <v>2.41</v>
      </c>
      <c r="CG69" s="128">
        <v>2.42</v>
      </c>
      <c r="CH69" s="128">
        <v>2.4300000000000002</v>
      </c>
      <c r="CI69" s="128">
        <v>2.44</v>
      </c>
      <c r="CJ69" s="128">
        <v>2.46</v>
      </c>
      <c r="CK69" s="128">
        <v>2.4700000000000002</v>
      </c>
      <c r="CL69" s="128">
        <v>2.48</v>
      </c>
      <c r="CM69" s="128">
        <v>2.5</v>
      </c>
      <c r="CN69" s="128">
        <v>2.5099999999999998</v>
      </c>
      <c r="CO69" s="128">
        <v>2.52</v>
      </c>
      <c r="CP69" s="128">
        <v>2.54</v>
      </c>
      <c r="CQ69" s="128">
        <v>2.5499999999999998</v>
      </c>
      <c r="CR69" s="128">
        <v>2.57</v>
      </c>
      <c r="CS69" s="128">
        <v>2.58</v>
      </c>
      <c r="CT69" s="128">
        <v>2.6</v>
      </c>
      <c r="CU69" s="128">
        <v>2.61</v>
      </c>
      <c r="CV69" s="128">
        <v>2.63</v>
      </c>
      <c r="CW69" s="128">
        <v>2.64</v>
      </c>
      <c r="CX69" s="128">
        <v>2.66</v>
      </c>
      <c r="CZ69" s="126">
        <f>SUMIF(MatrixF5[[1]:[2]],MatrixF5[[#This Row],[Столбец1]])/MatrixF5[[#This Row],[Столбец1]]</f>
        <v>66.999999999999915</v>
      </c>
      <c r="DA69" s="126">
        <f>SUMIF(MatrixF5[[1]:[2]],MatrixF5[[#This Row],[Столбец1]]+1)/(MatrixF5[[#This Row],[Столбец1]]+1)</f>
        <v>25.999999999999982</v>
      </c>
    </row>
    <row r="70" spans="1:105" ht="21" customHeight="1" x14ac:dyDescent="0.25">
      <c r="A70" s="127">
        <v>1.67</v>
      </c>
      <c r="B70" s="128">
        <v>1.67</v>
      </c>
      <c r="C70" s="128">
        <v>1.68</v>
      </c>
      <c r="D70" s="128">
        <v>1.7</v>
      </c>
      <c r="E70" s="128">
        <v>1.71</v>
      </c>
      <c r="F70" s="128">
        <v>1.72</v>
      </c>
      <c r="G70" s="128">
        <v>1.73</v>
      </c>
      <c r="H70" s="128">
        <v>1.75</v>
      </c>
      <c r="I70" s="128">
        <v>1.76</v>
      </c>
      <c r="J70" s="128">
        <v>1.77</v>
      </c>
      <c r="K70" s="128">
        <v>1.78</v>
      </c>
      <c r="L70" s="128">
        <v>1.79</v>
      </c>
      <c r="M70" s="128">
        <v>1.8</v>
      </c>
      <c r="N70" s="128">
        <v>1.81</v>
      </c>
      <c r="O70" s="128">
        <v>1.82</v>
      </c>
      <c r="P70" s="128">
        <v>1.83</v>
      </c>
      <c r="Q70" s="128">
        <v>1.84</v>
      </c>
      <c r="R70" s="128">
        <v>1.85</v>
      </c>
      <c r="S70" s="128">
        <v>1.86</v>
      </c>
      <c r="T70" s="128">
        <v>1.87</v>
      </c>
      <c r="U70" s="128">
        <v>1.88</v>
      </c>
      <c r="V70" s="128">
        <v>1.89</v>
      </c>
      <c r="W70" s="128">
        <v>1.9</v>
      </c>
      <c r="X70" s="128">
        <v>1.91</v>
      </c>
      <c r="Y70" s="128">
        <v>1.92</v>
      </c>
      <c r="Z70" s="128">
        <v>1.93</v>
      </c>
      <c r="AA70" s="128">
        <v>1.94</v>
      </c>
      <c r="AB70" s="128">
        <v>1.94</v>
      </c>
      <c r="AC70" s="128">
        <v>1.95</v>
      </c>
      <c r="AD70" s="128">
        <v>1.96</v>
      </c>
      <c r="AE70" s="128">
        <v>1.97</v>
      </c>
      <c r="AF70" s="128">
        <v>1.98</v>
      </c>
      <c r="AG70" s="128">
        <v>1.98</v>
      </c>
      <c r="AH70" s="128">
        <v>1.99</v>
      </c>
      <c r="AI70" s="128">
        <v>2</v>
      </c>
      <c r="AJ70" s="128">
        <v>2.0099999999999998</v>
      </c>
      <c r="AK70" s="128">
        <v>2.02</v>
      </c>
      <c r="AL70" s="128">
        <v>2.02</v>
      </c>
      <c r="AM70" s="128">
        <v>2.0299999999999998</v>
      </c>
      <c r="AN70" s="128">
        <v>2.04</v>
      </c>
      <c r="AO70" s="128">
        <v>2.0499999999999998</v>
      </c>
      <c r="AP70" s="128">
        <v>2.0499999999999998</v>
      </c>
      <c r="AQ70" s="128">
        <v>2.06</v>
      </c>
      <c r="AR70" s="128">
        <v>2.0699999999999998</v>
      </c>
      <c r="AS70" s="128">
        <v>2.08</v>
      </c>
      <c r="AT70" s="128">
        <v>2.08</v>
      </c>
      <c r="AU70" s="128">
        <v>2.09</v>
      </c>
      <c r="AV70" s="128">
        <v>2.1</v>
      </c>
      <c r="AW70" s="128">
        <v>2.11</v>
      </c>
      <c r="AX70" s="128">
        <v>2.11</v>
      </c>
      <c r="AY70" s="128">
        <v>2.12</v>
      </c>
      <c r="AZ70" s="128">
        <v>2.13</v>
      </c>
      <c r="BA70" s="128">
        <v>2.14</v>
      </c>
      <c r="BB70" s="128">
        <v>2.14</v>
      </c>
      <c r="BC70" s="128">
        <v>2.15</v>
      </c>
      <c r="BD70" s="128">
        <v>2.16</v>
      </c>
      <c r="BE70" s="128">
        <v>2.17</v>
      </c>
      <c r="BF70" s="128">
        <v>2.17</v>
      </c>
      <c r="BG70" s="128">
        <v>2.1800000000000002</v>
      </c>
      <c r="BH70" s="128">
        <v>2.19</v>
      </c>
      <c r="BI70" s="128">
        <v>2.2000000000000002</v>
      </c>
      <c r="BJ70" s="128">
        <v>2.2000000000000002</v>
      </c>
      <c r="BK70" s="128">
        <v>2.21</v>
      </c>
      <c r="BL70" s="128">
        <v>2.2200000000000002</v>
      </c>
      <c r="BM70" s="128">
        <v>2.23</v>
      </c>
      <c r="BN70" s="128">
        <v>2.23</v>
      </c>
      <c r="BO70" s="128">
        <v>2.2400000000000002</v>
      </c>
      <c r="BP70" s="128">
        <v>2.25</v>
      </c>
      <c r="BQ70" s="128">
        <v>2.2599999999999998</v>
      </c>
      <c r="BR70" s="128">
        <v>2.27</v>
      </c>
      <c r="BS70" s="128">
        <v>2.27</v>
      </c>
      <c r="BT70" s="128">
        <v>2.2799999999999998</v>
      </c>
      <c r="BU70" s="128">
        <v>2.29</v>
      </c>
      <c r="BV70" s="128">
        <v>2.2999999999999998</v>
      </c>
      <c r="BW70" s="128">
        <v>2.31</v>
      </c>
      <c r="BX70" s="128">
        <v>2.33</v>
      </c>
      <c r="BY70" s="128">
        <v>2.34</v>
      </c>
      <c r="BZ70" s="128">
        <v>2.35</v>
      </c>
      <c r="CA70" s="128">
        <v>2.36</v>
      </c>
      <c r="CB70" s="128">
        <v>2.37</v>
      </c>
      <c r="CC70" s="128">
        <v>2.38</v>
      </c>
      <c r="CD70" s="128">
        <v>2.39</v>
      </c>
      <c r="CE70" s="128">
        <v>2.4</v>
      </c>
      <c r="CF70" s="128">
        <v>2.42</v>
      </c>
      <c r="CG70" s="128">
        <v>2.4300000000000002</v>
      </c>
      <c r="CH70" s="128">
        <v>2.44</v>
      </c>
      <c r="CI70" s="128">
        <v>2.4500000000000002</v>
      </c>
      <c r="CJ70" s="128">
        <v>2.46</v>
      </c>
      <c r="CK70" s="128">
        <v>2.48</v>
      </c>
      <c r="CL70" s="128">
        <v>2.4900000000000002</v>
      </c>
      <c r="CM70" s="128">
        <v>2.5</v>
      </c>
      <c r="CN70" s="128">
        <v>2.52</v>
      </c>
      <c r="CO70" s="128">
        <v>2.5299999999999998</v>
      </c>
      <c r="CP70" s="128">
        <v>2.5499999999999998</v>
      </c>
      <c r="CQ70" s="128">
        <v>2.56</v>
      </c>
      <c r="CR70" s="128">
        <v>2.58</v>
      </c>
      <c r="CS70" s="128">
        <v>2.59</v>
      </c>
      <c r="CT70" s="128">
        <v>2.61</v>
      </c>
      <c r="CU70" s="128">
        <v>2.62</v>
      </c>
      <c r="CV70" s="128">
        <v>2.64</v>
      </c>
      <c r="CW70" s="128">
        <v>2.65</v>
      </c>
      <c r="CX70" s="128">
        <v>2.67</v>
      </c>
      <c r="CZ70" s="126">
        <f>SUMIF(MatrixF5[[1]:[2]],MatrixF5[[#This Row],[Столбец1]])/MatrixF5[[#This Row],[Столбец1]]</f>
        <v>63.00000000000005</v>
      </c>
      <c r="DA70" s="126">
        <f>SUMIF(MatrixF5[[1]:[2]],MatrixF5[[#This Row],[Столбец1]]+1)/(MatrixF5[[#This Row],[Столбец1]]+1)</f>
        <v>26.000000000000011</v>
      </c>
    </row>
    <row r="71" spans="1:105" ht="21" customHeight="1" x14ac:dyDescent="0.25">
      <c r="A71" s="127">
        <v>1.68</v>
      </c>
      <c r="B71" s="128">
        <v>1.68</v>
      </c>
      <c r="C71" s="128">
        <v>1.69</v>
      </c>
      <c r="D71" s="128">
        <v>1.71</v>
      </c>
      <c r="E71" s="128">
        <v>1.72</v>
      </c>
      <c r="F71" s="128">
        <v>1.73</v>
      </c>
      <c r="G71" s="128">
        <v>1.74</v>
      </c>
      <c r="H71" s="128">
        <v>1.75</v>
      </c>
      <c r="I71" s="128">
        <v>1.77</v>
      </c>
      <c r="J71" s="128">
        <v>1.78</v>
      </c>
      <c r="K71" s="128">
        <v>1.79</v>
      </c>
      <c r="L71" s="128">
        <v>1.8</v>
      </c>
      <c r="M71" s="128">
        <v>1.81</v>
      </c>
      <c r="N71" s="128">
        <v>1.82</v>
      </c>
      <c r="O71" s="128">
        <v>1.83</v>
      </c>
      <c r="P71" s="128">
        <v>1.84</v>
      </c>
      <c r="Q71" s="128">
        <v>1.85</v>
      </c>
      <c r="R71" s="128">
        <v>1.86</v>
      </c>
      <c r="S71" s="128">
        <v>1.87</v>
      </c>
      <c r="T71" s="128">
        <v>1.88</v>
      </c>
      <c r="U71" s="128">
        <v>1.89</v>
      </c>
      <c r="V71" s="128">
        <v>1.9</v>
      </c>
      <c r="W71" s="128">
        <v>1.91</v>
      </c>
      <c r="X71" s="128">
        <v>1.92</v>
      </c>
      <c r="Y71" s="128">
        <v>1.93</v>
      </c>
      <c r="Z71" s="128">
        <v>1.94</v>
      </c>
      <c r="AA71" s="128">
        <v>1.94</v>
      </c>
      <c r="AB71" s="128">
        <v>1.95</v>
      </c>
      <c r="AC71" s="128">
        <v>1.96</v>
      </c>
      <c r="AD71" s="128">
        <v>1.97</v>
      </c>
      <c r="AE71" s="128">
        <v>1.98</v>
      </c>
      <c r="AF71" s="128">
        <v>1.98</v>
      </c>
      <c r="AG71" s="128">
        <v>1.99</v>
      </c>
      <c r="AH71" s="128">
        <v>2</v>
      </c>
      <c r="AI71" s="128">
        <v>2.0099999999999998</v>
      </c>
      <c r="AJ71" s="128">
        <v>2.02</v>
      </c>
      <c r="AK71" s="128">
        <v>2.02</v>
      </c>
      <c r="AL71" s="128">
        <v>2.0299999999999998</v>
      </c>
      <c r="AM71" s="128">
        <v>2.04</v>
      </c>
      <c r="AN71" s="128">
        <v>2.0499999999999998</v>
      </c>
      <c r="AO71" s="128">
        <v>2.0499999999999998</v>
      </c>
      <c r="AP71" s="128">
        <v>2.06</v>
      </c>
      <c r="AQ71" s="128">
        <v>2.0699999999999998</v>
      </c>
      <c r="AR71" s="128">
        <v>2.08</v>
      </c>
      <c r="AS71" s="128">
        <v>2.08</v>
      </c>
      <c r="AT71" s="128">
        <v>2.09</v>
      </c>
      <c r="AU71" s="128">
        <v>2.1</v>
      </c>
      <c r="AV71" s="128">
        <v>2.11</v>
      </c>
      <c r="AW71" s="128">
        <v>2.11</v>
      </c>
      <c r="AX71" s="128">
        <v>2.12</v>
      </c>
      <c r="AY71" s="128">
        <v>2.13</v>
      </c>
      <c r="AZ71" s="128">
        <v>2.14</v>
      </c>
      <c r="BA71" s="128">
        <v>2.14</v>
      </c>
      <c r="BB71" s="128">
        <v>2.15</v>
      </c>
      <c r="BC71" s="128">
        <v>2.16</v>
      </c>
      <c r="BD71" s="128">
        <v>2.17</v>
      </c>
      <c r="BE71" s="128">
        <v>2.17</v>
      </c>
      <c r="BF71" s="128">
        <v>2.1800000000000002</v>
      </c>
      <c r="BG71" s="128">
        <v>2.19</v>
      </c>
      <c r="BH71" s="128">
        <v>2.2000000000000002</v>
      </c>
      <c r="BI71" s="128">
        <v>2.2000000000000002</v>
      </c>
      <c r="BJ71" s="128">
        <v>2.21</v>
      </c>
      <c r="BK71" s="128">
        <v>2.2200000000000002</v>
      </c>
      <c r="BL71" s="128">
        <v>2.23</v>
      </c>
      <c r="BM71" s="128">
        <v>2.23</v>
      </c>
      <c r="BN71" s="128">
        <v>2.2400000000000002</v>
      </c>
      <c r="BO71" s="128">
        <v>2.25</v>
      </c>
      <c r="BP71" s="128">
        <v>2.2599999999999998</v>
      </c>
      <c r="BQ71" s="128">
        <v>2.27</v>
      </c>
      <c r="BR71" s="128">
        <v>2.27</v>
      </c>
      <c r="BS71" s="128">
        <v>2.2799999999999998</v>
      </c>
      <c r="BT71" s="128">
        <v>2.29</v>
      </c>
      <c r="BU71" s="128">
        <v>2.2999999999999998</v>
      </c>
      <c r="BV71" s="128">
        <v>2.31</v>
      </c>
      <c r="BW71" s="128">
        <v>2.3199999999999998</v>
      </c>
      <c r="BX71" s="128">
        <v>2.33</v>
      </c>
      <c r="BY71" s="128">
        <v>2.34</v>
      </c>
      <c r="BZ71" s="128">
        <v>2.35</v>
      </c>
      <c r="CA71" s="128">
        <v>2.37</v>
      </c>
      <c r="CB71" s="128">
        <v>2.38</v>
      </c>
      <c r="CC71" s="128">
        <v>2.39</v>
      </c>
      <c r="CD71" s="128">
        <v>2.4</v>
      </c>
      <c r="CE71" s="128">
        <v>2.41</v>
      </c>
      <c r="CF71" s="128">
        <v>2.42</v>
      </c>
      <c r="CG71" s="128">
        <v>2.44</v>
      </c>
      <c r="CH71" s="128">
        <v>2.4500000000000002</v>
      </c>
      <c r="CI71" s="128">
        <v>2.46</v>
      </c>
      <c r="CJ71" s="128">
        <v>2.4700000000000002</v>
      </c>
      <c r="CK71" s="128">
        <v>2.4900000000000002</v>
      </c>
      <c r="CL71" s="128">
        <v>2.5</v>
      </c>
      <c r="CM71" s="128">
        <v>2.5099999999999998</v>
      </c>
      <c r="CN71" s="128">
        <v>2.5299999999999998</v>
      </c>
      <c r="CO71" s="128">
        <v>2.54</v>
      </c>
      <c r="CP71" s="128">
        <v>2.56</v>
      </c>
      <c r="CQ71" s="128">
        <v>2.57</v>
      </c>
      <c r="CR71" s="128">
        <v>2.58</v>
      </c>
      <c r="CS71" s="128">
        <v>2.6</v>
      </c>
      <c r="CT71" s="128">
        <v>2.62</v>
      </c>
      <c r="CU71" s="128">
        <v>2.63</v>
      </c>
      <c r="CV71" s="128">
        <v>2.65</v>
      </c>
      <c r="CW71" s="128">
        <v>2.66</v>
      </c>
      <c r="CX71" s="128">
        <v>2.68</v>
      </c>
      <c r="CZ71" s="126">
        <f>SUMIF(MatrixF5[[1]:[2]],MatrixF5[[#This Row],[Столбец1]])/MatrixF5[[#This Row],[Столбец1]]</f>
        <v>68.000000000000114</v>
      </c>
      <c r="DA71" s="126">
        <f>SUMIF(MatrixF5[[1]:[2]],MatrixF5[[#This Row],[Столбец1]]+1)/(MatrixF5[[#This Row],[Столбец1]]+1)</f>
        <v>27.000000000000014</v>
      </c>
    </row>
    <row r="72" spans="1:105" ht="21" customHeight="1" x14ac:dyDescent="0.25">
      <c r="A72" s="127">
        <v>1.69</v>
      </c>
      <c r="B72" s="128">
        <v>1.69</v>
      </c>
      <c r="C72" s="128">
        <v>1.7</v>
      </c>
      <c r="D72" s="128">
        <v>1.72</v>
      </c>
      <c r="E72" s="128">
        <v>1.73</v>
      </c>
      <c r="F72" s="128">
        <v>1.74</v>
      </c>
      <c r="G72" s="128">
        <v>1.75</v>
      </c>
      <c r="H72" s="128">
        <v>1.76</v>
      </c>
      <c r="I72" s="128">
        <v>1.78</v>
      </c>
      <c r="J72" s="128">
        <v>1.79</v>
      </c>
      <c r="K72" s="128">
        <v>1.8</v>
      </c>
      <c r="L72" s="128">
        <v>1.81</v>
      </c>
      <c r="M72" s="128">
        <v>1.82</v>
      </c>
      <c r="N72" s="128">
        <v>1.83</v>
      </c>
      <c r="O72" s="128">
        <v>1.84</v>
      </c>
      <c r="P72" s="128">
        <v>1.85</v>
      </c>
      <c r="Q72" s="128">
        <v>1.86</v>
      </c>
      <c r="R72" s="128">
        <v>1.87</v>
      </c>
      <c r="S72" s="128">
        <v>1.88</v>
      </c>
      <c r="T72" s="128">
        <v>1.89</v>
      </c>
      <c r="U72" s="128">
        <v>1.9</v>
      </c>
      <c r="V72" s="128">
        <v>1.91</v>
      </c>
      <c r="W72" s="128">
        <v>1.92</v>
      </c>
      <c r="X72" s="128">
        <v>1.93</v>
      </c>
      <c r="Y72" s="128">
        <v>1.93</v>
      </c>
      <c r="Z72" s="128">
        <v>1.94</v>
      </c>
      <c r="AA72" s="128">
        <v>1.95</v>
      </c>
      <c r="AB72" s="128">
        <v>1.96</v>
      </c>
      <c r="AC72" s="128">
        <v>1.97</v>
      </c>
      <c r="AD72" s="128">
        <v>1.98</v>
      </c>
      <c r="AE72" s="128">
        <v>1.98</v>
      </c>
      <c r="AF72" s="128">
        <v>1.99</v>
      </c>
      <c r="AG72" s="128">
        <v>2</v>
      </c>
      <c r="AH72" s="128">
        <v>2.0099999999999998</v>
      </c>
      <c r="AI72" s="128">
        <v>2.02</v>
      </c>
      <c r="AJ72" s="128">
        <v>2.02</v>
      </c>
      <c r="AK72" s="128">
        <v>2.0299999999999998</v>
      </c>
      <c r="AL72" s="128">
        <v>2.04</v>
      </c>
      <c r="AM72" s="128">
        <v>2.0499999999999998</v>
      </c>
      <c r="AN72" s="128">
        <v>2.0499999999999998</v>
      </c>
      <c r="AO72" s="128">
        <v>2.06</v>
      </c>
      <c r="AP72" s="128">
        <v>2.0699999999999998</v>
      </c>
      <c r="AQ72" s="128">
        <v>2.08</v>
      </c>
      <c r="AR72" s="128">
        <v>2.08</v>
      </c>
      <c r="AS72" s="128">
        <v>2.09</v>
      </c>
      <c r="AT72" s="128">
        <v>2.1</v>
      </c>
      <c r="AU72" s="128">
        <v>2.11</v>
      </c>
      <c r="AV72" s="128">
        <v>2.11</v>
      </c>
      <c r="AW72" s="128">
        <v>2.12</v>
      </c>
      <c r="AX72" s="128">
        <v>2.13</v>
      </c>
      <c r="AY72" s="128">
        <v>2.14</v>
      </c>
      <c r="AZ72" s="128">
        <v>2.15</v>
      </c>
      <c r="BA72" s="128">
        <v>2.15</v>
      </c>
      <c r="BB72" s="128">
        <v>2.16</v>
      </c>
      <c r="BC72" s="128">
        <v>2.17</v>
      </c>
      <c r="BD72" s="128">
        <v>2.1800000000000002</v>
      </c>
      <c r="BE72" s="128">
        <v>2.1800000000000002</v>
      </c>
      <c r="BF72" s="128">
        <v>2.19</v>
      </c>
      <c r="BG72" s="128">
        <v>2.2000000000000002</v>
      </c>
      <c r="BH72" s="128">
        <v>2.21</v>
      </c>
      <c r="BI72" s="128">
        <v>2.21</v>
      </c>
      <c r="BJ72" s="128">
        <v>2.2200000000000002</v>
      </c>
      <c r="BK72" s="128">
        <v>2.23</v>
      </c>
      <c r="BL72" s="128">
        <v>2.2400000000000002</v>
      </c>
      <c r="BM72" s="128">
        <v>2.2400000000000002</v>
      </c>
      <c r="BN72" s="128">
        <v>2.25</v>
      </c>
      <c r="BO72" s="128">
        <v>2.2599999999999998</v>
      </c>
      <c r="BP72" s="128">
        <v>2.27</v>
      </c>
      <c r="BQ72" s="128">
        <v>2.27</v>
      </c>
      <c r="BR72" s="128">
        <v>2.2799999999999998</v>
      </c>
      <c r="BS72" s="128">
        <v>2.29</v>
      </c>
      <c r="BT72" s="128">
        <v>2.2999999999999998</v>
      </c>
      <c r="BU72" s="128">
        <v>2.31</v>
      </c>
      <c r="BV72" s="128">
        <v>2.3199999999999998</v>
      </c>
      <c r="BW72" s="128">
        <v>2.33</v>
      </c>
      <c r="BX72" s="128">
        <v>2.34</v>
      </c>
      <c r="BY72" s="128">
        <v>2.35</v>
      </c>
      <c r="BZ72" s="128">
        <v>2.36</v>
      </c>
      <c r="CA72" s="128">
        <v>2.37</v>
      </c>
      <c r="CB72" s="128">
        <v>2.39</v>
      </c>
      <c r="CC72" s="128">
        <v>2.4</v>
      </c>
      <c r="CD72" s="128">
        <v>2.41</v>
      </c>
      <c r="CE72" s="128">
        <v>2.42</v>
      </c>
      <c r="CF72" s="128">
        <v>2.4300000000000002</v>
      </c>
      <c r="CG72" s="128">
        <v>2.44</v>
      </c>
      <c r="CH72" s="128">
        <v>2.46</v>
      </c>
      <c r="CI72" s="128">
        <v>2.4700000000000002</v>
      </c>
      <c r="CJ72" s="128">
        <v>2.48</v>
      </c>
      <c r="CK72" s="128">
        <v>2.5</v>
      </c>
      <c r="CL72" s="128">
        <v>2.5099999999999998</v>
      </c>
      <c r="CM72" s="128">
        <v>2.52</v>
      </c>
      <c r="CN72" s="128">
        <v>2.54</v>
      </c>
      <c r="CO72" s="128">
        <v>2.5499999999999998</v>
      </c>
      <c r="CP72" s="128">
        <v>2.56</v>
      </c>
      <c r="CQ72" s="128">
        <v>2.58</v>
      </c>
      <c r="CR72" s="128">
        <v>2.59</v>
      </c>
      <c r="CS72" s="128">
        <v>2.61</v>
      </c>
      <c r="CT72" s="128">
        <v>2.62</v>
      </c>
      <c r="CU72" s="128">
        <v>2.64</v>
      </c>
      <c r="CV72" s="128">
        <v>2.66</v>
      </c>
      <c r="CW72" s="128">
        <v>2.67</v>
      </c>
      <c r="CX72" s="128">
        <v>2.69</v>
      </c>
      <c r="CZ72" s="126">
        <f>SUMIF(MatrixF5[[1]:[2]],MatrixF5[[#This Row],[Столбец1]])/MatrixF5[[#This Row],[Столбец1]]</f>
        <v>70.999999999999943</v>
      </c>
      <c r="DA72" s="126">
        <f>SUMIF(MatrixF5[[1]:[2]],MatrixF5[[#This Row],[Столбец1]]+1)/(MatrixF5[[#This Row],[Столбец1]]+1)</f>
        <v>25.999999999999993</v>
      </c>
    </row>
    <row r="73" spans="1:105" ht="21" customHeight="1" x14ac:dyDescent="0.25">
      <c r="A73" s="127">
        <v>1.7</v>
      </c>
      <c r="B73" s="128">
        <v>1.7</v>
      </c>
      <c r="C73" s="128">
        <v>1.71</v>
      </c>
      <c r="D73" s="128">
        <v>1.73</v>
      </c>
      <c r="E73" s="128">
        <v>1.74</v>
      </c>
      <c r="F73" s="128">
        <v>1.75</v>
      </c>
      <c r="G73" s="128">
        <v>1.76</v>
      </c>
      <c r="H73" s="128">
        <v>1.77</v>
      </c>
      <c r="I73" s="128">
        <v>1.79</v>
      </c>
      <c r="J73" s="128">
        <v>1.8</v>
      </c>
      <c r="K73" s="128">
        <v>1.81</v>
      </c>
      <c r="L73" s="128">
        <v>1.82</v>
      </c>
      <c r="M73" s="128">
        <v>1.83</v>
      </c>
      <c r="N73" s="128">
        <v>1.84</v>
      </c>
      <c r="O73" s="128">
        <v>1.85</v>
      </c>
      <c r="P73" s="128">
        <v>1.86</v>
      </c>
      <c r="Q73" s="128">
        <v>1.87</v>
      </c>
      <c r="R73" s="128">
        <v>1.88</v>
      </c>
      <c r="S73" s="128">
        <v>1.89</v>
      </c>
      <c r="T73" s="128">
        <v>1.9</v>
      </c>
      <c r="U73" s="128">
        <v>1.91</v>
      </c>
      <c r="V73" s="128">
        <v>1.92</v>
      </c>
      <c r="W73" s="128">
        <v>1.93</v>
      </c>
      <c r="X73" s="128">
        <v>1.93</v>
      </c>
      <c r="Y73" s="128">
        <v>1.94</v>
      </c>
      <c r="Z73" s="128">
        <v>1.95</v>
      </c>
      <c r="AA73" s="128">
        <v>1.96</v>
      </c>
      <c r="AB73" s="128">
        <v>1.97</v>
      </c>
      <c r="AC73" s="128">
        <v>1.98</v>
      </c>
      <c r="AD73" s="128">
        <v>1.98</v>
      </c>
      <c r="AE73" s="128">
        <v>1.99</v>
      </c>
      <c r="AF73" s="128">
        <v>2</v>
      </c>
      <c r="AG73" s="128">
        <v>2.0099999999999998</v>
      </c>
      <c r="AH73" s="128">
        <v>2.02</v>
      </c>
      <c r="AI73" s="128">
        <v>2.02</v>
      </c>
      <c r="AJ73" s="128">
        <v>2.0299999999999998</v>
      </c>
      <c r="AK73" s="128">
        <v>2.04</v>
      </c>
      <c r="AL73" s="128">
        <v>2.0499999999999998</v>
      </c>
      <c r="AM73" s="128">
        <v>2.0499999999999998</v>
      </c>
      <c r="AN73" s="128">
        <v>2.06</v>
      </c>
      <c r="AO73" s="128">
        <v>2.0699999999999998</v>
      </c>
      <c r="AP73" s="128">
        <v>2.08</v>
      </c>
      <c r="AQ73" s="128">
        <v>2.08</v>
      </c>
      <c r="AR73" s="128">
        <v>2.09</v>
      </c>
      <c r="AS73" s="128">
        <v>2.1</v>
      </c>
      <c r="AT73" s="128">
        <v>2.11</v>
      </c>
      <c r="AU73" s="128">
        <v>2.12</v>
      </c>
      <c r="AV73" s="128">
        <v>2.12</v>
      </c>
      <c r="AW73" s="128">
        <v>2.13</v>
      </c>
      <c r="AX73" s="128">
        <v>2.14</v>
      </c>
      <c r="AY73" s="128">
        <v>2.15</v>
      </c>
      <c r="AZ73" s="128">
        <v>2.15</v>
      </c>
      <c r="BA73" s="128">
        <v>2.16</v>
      </c>
      <c r="BB73" s="128">
        <v>2.17</v>
      </c>
      <c r="BC73" s="128">
        <v>2.1800000000000002</v>
      </c>
      <c r="BD73" s="128">
        <v>2.1800000000000002</v>
      </c>
      <c r="BE73" s="128">
        <v>2.19</v>
      </c>
      <c r="BF73" s="128">
        <v>2.2000000000000002</v>
      </c>
      <c r="BG73" s="128">
        <v>2.21</v>
      </c>
      <c r="BH73" s="128">
        <v>2.2200000000000002</v>
      </c>
      <c r="BI73" s="128">
        <v>2.2200000000000002</v>
      </c>
      <c r="BJ73" s="128">
        <v>2.23</v>
      </c>
      <c r="BK73" s="128">
        <v>2.2400000000000002</v>
      </c>
      <c r="BL73" s="128">
        <v>2.25</v>
      </c>
      <c r="BM73" s="128">
        <v>2.25</v>
      </c>
      <c r="BN73" s="128">
        <v>2.2599999999999998</v>
      </c>
      <c r="BO73" s="128">
        <v>2.27</v>
      </c>
      <c r="BP73" s="128">
        <v>2.2799999999999998</v>
      </c>
      <c r="BQ73" s="128">
        <v>2.2799999999999998</v>
      </c>
      <c r="BR73" s="128">
        <v>2.29</v>
      </c>
      <c r="BS73" s="128">
        <v>2.2999999999999998</v>
      </c>
      <c r="BT73" s="128">
        <v>2.31</v>
      </c>
      <c r="BU73" s="128">
        <v>2.3199999999999998</v>
      </c>
      <c r="BV73" s="128">
        <v>2.33</v>
      </c>
      <c r="BW73" s="128">
        <v>2.34</v>
      </c>
      <c r="BX73" s="128">
        <v>2.35</v>
      </c>
      <c r="BY73" s="128">
        <v>2.36</v>
      </c>
      <c r="BZ73" s="128">
        <v>2.37</v>
      </c>
      <c r="CA73" s="128">
        <v>2.38</v>
      </c>
      <c r="CB73" s="128">
        <v>2.39</v>
      </c>
      <c r="CC73" s="128">
        <v>2.4</v>
      </c>
      <c r="CD73" s="128">
        <v>2.42</v>
      </c>
      <c r="CE73" s="128">
        <v>2.4300000000000002</v>
      </c>
      <c r="CF73" s="128">
        <v>2.44</v>
      </c>
      <c r="CG73" s="128">
        <v>2.4500000000000002</v>
      </c>
      <c r="CH73" s="128">
        <v>2.4700000000000002</v>
      </c>
      <c r="CI73" s="128">
        <v>2.48</v>
      </c>
      <c r="CJ73" s="128">
        <v>2.4900000000000002</v>
      </c>
      <c r="CK73" s="128">
        <v>2.5</v>
      </c>
      <c r="CL73" s="128">
        <v>2.52</v>
      </c>
      <c r="CM73" s="128">
        <v>2.5299999999999998</v>
      </c>
      <c r="CN73" s="128">
        <v>2.5499999999999998</v>
      </c>
      <c r="CO73" s="128">
        <v>2.56</v>
      </c>
      <c r="CP73" s="128">
        <v>2.57</v>
      </c>
      <c r="CQ73" s="128">
        <v>2.59</v>
      </c>
      <c r="CR73" s="128">
        <v>2.6</v>
      </c>
      <c r="CS73" s="128">
        <v>2.62</v>
      </c>
      <c r="CT73" s="128">
        <v>2.63</v>
      </c>
      <c r="CU73" s="128">
        <v>2.65</v>
      </c>
      <c r="CV73" s="128">
        <v>2.67</v>
      </c>
      <c r="CW73" s="128">
        <v>2.68</v>
      </c>
      <c r="CX73" s="128">
        <v>2.7</v>
      </c>
      <c r="CZ73" s="126">
        <f>SUMIF(MatrixF5[[1]:[2]],MatrixF5[[#This Row],[Столбец1]])/MatrixF5[[#This Row],[Столбец1]]</f>
        <v>72.000000000000085</v>
      </c>
      <c r="DA73" s="126">
        <f>SUMIF(MatrixF5[[1]:[2]],MatrixF5[[#This Row],[Столбец1]]+1)/(MatrixF5[[#This Row],[Столбец1]]+1)</f>
        <v>25.000000000000007</v>
      </c>
    </row>
    <row r="74" spans="1:105" ht="21" customHeight="1" x14ac:dyDescent="0.25">
      <c r="A74" s="127">
        <v>1.71</v>
      </c>
      <c r="B74" s="128">
        <v>1.71</v>
      </c>
      <c r="C74" s="128">
        <v>1.72</v>
      </c>
      <c r="D74" s="128">
        <v>1.74</v>
      </c>
      <c r="E74" s="128">
        <v>1.75</v>
      </c>
      <c r="F74" s="128">
        <v>1.76</v>
      </c>
      <c r="G74" s="128">
        <v>1.77</v>
      </c>
      <c r="H74" s="128">
        <v>1.78</v>
      </c>
      <c r="I74" s="128">
        <v>1.79</v>
      </c>
      <c r="J74" s="128">
        <v>1.81</v>
      </c>
      <c r="K74" s="128">
        <v>1.82</v>
      </c>
      <c r="L74" s="128">
        <v>1.83</v>
      </c>
      <c r="M74" s="128">
        <v>1.84</v>
      </c>
      <c r="N74" s="128">
        <v>1.85</v>
      </c>
      <c r="O74" s="128">
        <v>1.86</v>
      </c>
      <c r="P74" s="128">
        <v>1.87</v>
      </c>
      <c r="Q74" s="128">
        <v>1.88</v>
      </c>
      <c r="R74" s="128">
        <v>1.89</v>
      </c>
      <c r="S74" s="128">
        <v>1.9</v>
      </c>
      <c r="T74" s="128">
        <v>1.91</v>
      </c>
      <c r="U74" s="128">
        <v>1.92</v>
      </c>
      <c r="V74" s="128">
        <v>1.92</v>
      </c>
      <c r="W74" s="128">
        <v>1.93</v>
      </c>
      <c r="X74" s="128">
        <v>1.94</v>
      </c>
      <c r="Y74" s="128">
        <v>1.95</v>
      </c>
      <c r="Z74" s="128">
        <v>1.96</v>
      </c>
      <c r="AA74" s="128">
        <v>1.97</v>
      </c>
      <c r="AB74" s="128">
        <v>1.98</v>
      </c>
      <c r="AC74" s="128">
        <v>1.98</v>
      </c>
      <c r="AD74" s="128">
        <v>1.99</v>
      </c>
      <c r="AE74" s="128">
        <v>2</v>
      </c>
      <c r="AF74" s="128">
        <v>2.0099999999999998</v>
      </c>
      <c r="AG74" s="128">
        <v>2.02</v>
      </c>
      <c r="AH74" s="128">
        <v>2.02</v>
      </c>
      <c r="AI74" s="128">
        <v>2.0299999999999998</v>
      </c>
      <c r="AJ74" s="128">
        <v>2.04</v>
      </c>
      <c r="AK74" s="128">
        <v>2.0499999999999998</v>
      </c>
      <c r="AL74" s="128">
        <v>2.0499999999999998</v>
      </c>
      <c r="AM74" s="128">
        <v>2.06</v>
      </c>
      <c r="AN74" s="128">
        <v>2.0699999999999998</v>
      </c>
      <c r="AO74" s="128">
        <v>2.08</v>
      </c>
      <c r="AP74" s="128">
        <v>2.09</v>
      </c>
      <c r="AQ74" s="128">
        <v>2.09</v>
      </c>
      <c r="AR74" s="128">
        <v>2.1</v>
      </c>
      <c r="AS74" s="128">
        <v>2.11</v>
      </c>
      <c r="AT74" s="128">
        <v>2.12</v>
      </c>
      <c r="AU74" s="128">
        <v>2.12</v>
      </c>
      <c r="AV74" s="128">
        <v>2.13</v>
      </c>
      <c r="AW74" s="128">
        <v>2.14</v>
      </c>
      <c r="AX74" s="128">
        <v>2.15</v>
      </c>
      <c r="AY74" s="128">
        <v>2.16</v>
      </c>
      <c r="AZ74" s="128">
        <v>2.16</v>
      </c>
      <c r="BA74" s="128">
        <v>2.17</v>
      </c>
      <c r="BB74" s="128">
        <v>2.1800000000000002</v>
      </c>
      <c r="BC74" s="128">
        <v>2.19</v>
      </c>
      <c r="BD74" s="128">
        <v>2.19</v>
      </c>
      <c r="BE74" s="128">
        <v>2.2000000000000002</v>
      </c>
      <c r="BF74" s="128">
        <v>2.21</v>
      </c>
      <c r="BG74" s="128">
        <v>2.2200000000000002</v>
      </c>
      <c r="BH74" s="128">
        <v>2.2200000000000002</v>
      </c>
      <c r="BI74" s="128">
        <v>2.23</v>
      </c>
      <c r="BJ74" s="128">
        <v>2.2400000000000002</v>
      </c>
      <c r="BK74" s="128">
        <v>2.25</v>
      </c>
      <c r="BL74" s="128">
        <v>2.2599999999999998</v>
      </c>
      <c r="BM74" s="128">
        <v>2.2599999999999998</v>
      </c>
      <c r="BN74" s="128">
        <v>2.27</v>
      </c>
      <c r="BO74" s="128">
        <v>2.2799999999999998</v>
      </c>
      <c r="BP74" s="128">
        <v>2.29</v>
      </c>
      <c r="BQ74" s="128">
        <v>2.29</v>
      </c>
      <c r="BR74" s="128">
        <v>2.2999999999999998</v>
      </c>
      <c r="BS74" s="128">
        <v>2.31</v>
      </c>
      <c r="BT74" s="128">
        <v>2.3199999999999998</v>
      </c>
      <c r="BU74" s="128">
        <v>2.33</v>
      </c>
      <c r="BV74" s="128">
        <v>2.34</v>
      </c>
      <c r="BW74" s="128">
        <v>2.35</v>
      </c>
      <c r="BX74" s="128">
        <v>2.36</v>
      </c>
      <c r="BY74" s="128">
        <v>2.37</v>
      </c>
      <c r="BZ74" s="128">
        <v>2.38</v>
      </c>
      <c r="CA74" s="128">
        <v>2.39</v>
      </c>
      <c r="CB74" s="128">
        <v>2.4</v>
      </c>
      <c r="CC74" s="128">
        <v>2.41</v>
      </c>
      <c r="CD74" s="128">
        <v>2.42</v>
      </c>
      <c r="CE74" s="128">
        <v>2.44</v>
      </c>
      <c r="CF74" s="128">
        <v>2.4500000000000002</v>
      </c>
      <c r="CG74" s="128">
        <v>2.46</v>
      </c>
      <c r="CH74" s="128">
        <v>2.4700000000000002</v>
      </c>
      <c r="CI74" s="128">
        <v>2.4900000000000002</v>
      </c>
      <c r="CJ74" s="128">
        <v>2.5</v>
      </c>
      <c r="CK74" s="128">
        <v>2.5099999999999998</v>
      </c>
      <c r="CL74" s="128">
        <v>2.5299999999999998</v>
      </c>
      <c r="CM74" s="128">
        <v>2.54</v>
      </c>
      <c r="CN74" s="128">
        <v>2.5499999999999998</v>
      </c>
      <c r="CO74" s="128">
        <v>2.57</v>
      </c>
      <c r="CP74" s="128">
        <v>2.58</v>
      </c>
      <c r="CQ74" s="128">
        <v>2.6</v>
      </c>
      <c r="CR74" s="128">
        <v>2.61</v>
      </c>
      <c r="CS74" s="128">
        <v>2.63</v>
      </c>
      <c r="CT74" s="128">
        <v>2.64</v>
      </c>
      <c r="CU74" s="128">
        <v>2.66</v>
      </c>
      <c r="CV74" s="128">
        <v>2.68</v>
      </c>
      <c r="CW74" s="128">
        <v>2.69</v>
      </c>
      <c r="CX74" s="128">
        <v>2.71</v>
      </c>
      <c r="CZ74" s="126">
        <f>SUMIF(MatrixF5[[1]:[2]],MatrixF5[[#This Row],[Столбец1]])/MatrixF5[[#This Row],[Столбец1]]</f>
        <v>70.999999999999886</v>
      </c>
      <c r="DA74" s="126">
        <f>SUMIF(MatrixF5[[1]:[2]],MatrixF5[[#This Row],[Столбец1]]+1)/(MatrixF5[[#This Row],[Столбец1]]+1)</f>
        <v>22.000000000000004</v>
      </c>
    </row>
    <row r="75" spans="1:105" ht="21" customHeight="1" x14ac:dyDescent="0.25">
      <c r="A75" s="127">
        <v>1.72</v>
      </c>
      <c r="B75" s="128">
        <v>1.72</v>
      </c>
      <c r="C75" s="128">
        <v>1.73</v>
      </c>
      <c r="D75" s="128">
        <v>1.75</v>
      </c>
      <c r="E75" s="128">
        <v>1.76</v>
      </c>
      <c r="F75" s="128">
        <v>1.77</v>
      </c>
      <c r="G75" s="128">
        <v>1.78</v>
      </c>
      <c r="H75" s="128">
        <v>1.79</v>
      </c>
      <c r="I75" s="128">
        <v>1.8</v>
      </c>
      <c r="J75" s="128">
        <v>1.81</v>
      </c>
      <c r="K75" s="128">
        <v>1.83</v>
      </c>
      <c r="L75" s="128">
        <v>1.84</v>
      </c>
      <c r="M75" s="128">
        <v>1.85</v>
      </c>
      <c r="N75" s="128">
        <v>1.86</v>
      </c>
      <c r="O75" s="128">
        <v>1.87</v>
      </c>
      <c r="P75" s="128">
        <v>1.88</v>
      </c>
      <c r="Q75" s="128">
        <v>1.89</v>
      </c>
      <c r="R75" s="128">
        <v>1.9</v>
      </c>
      <c r="S75" s="128">
        <v>1.91</v>
      </c>
      <c r="T75" s="128">
        <v>1.92</v>
      </c>
      <c r="U75" s="128">
        <v>1.92</v>
      </c>
      <c r="V75" s="128">
        <v>1.93</v>
      </c>
      <c r="W75" s="128">
        <v>1.94</v>
      </c>
      <c r="X75" s="128">
        <v>1.95</v>
      </c>
      <c r="Y75" s="128">
        <v>1.96</v>
      </c>
      <c r="Z75" s="128">
        <v>1.97</v>
      </c>
      <c r="AA75" s="128">
        <v>1.98</v>
      </c>
      <c r="AB75" s="128">
        <v>1.98</v>
      </c>
      <c r="AC75" s="128">
        <v>1.99</v>
      </c>
      <c r="AD75" s="128">
        <v>2</v>
      </c>
      <c r="AE75" s="128">
        <v>2.0099999999999998</v>
      </c>
      <c r="AF75" s="128">
        <v>2.02</v>
      </c>
      <c r="AG75" s="128">
        <v>2.02</v>
      </c>
      <c r="AH75" s="128">
        <v>2.0299999999999998</v>
      </c>
      <c r="AI75" s="128">
        <v>2.04</v>
      </c>
      <c r="AJ75" s="128">
        <v>2.0499999999999998</v>
      </c>
      <c r="AK75" s="128">
        <v>2.0499999999999998</v>
      </c>
      <c r="AL75" s="128">
        <v>2.06</v>
      </c>
      <c r="AM75" s="128">
        <v>2.0699999999999998</v>
      </c>
      <c r="AN75" s="128">
        <v>2.08</v>
      </c>
      <c r="AO75" s="128">
        <v>2.09</v>
      </c>
      <c r="AP75" s="128">
        <v>2.09</v>
      </c>
      <c r="AQ75" s="128">
        <v>2.1</v>
      </c>
      <c r="AR75" s="128">
        <v>2.11</v>
      </c>
      <c r="AS75" s="128">
        <v>2.12</v>
      </c>
      <c r="AT75" s="128">
        <v>2.12</v>
      </c>
      <c r="AU75" s="128">
        <v>2.13</v>
      </c>
      <c r="AV75" s="128">
        <v>2.14</v>
      </c>
      <c r="AW75" s="128">
        <v>2.15</v>
      </c>
      <c r="AX75" s="128">
        <v>2.16</v>
      </c>
      <c r="AY75" s="128">
        <v>2.16</v>
      </c>
      <c r="AZ75" s="128">
        <v>2.17</v>
      </c>
      <c r="BA75" s="128">
        <v>2.1800000000000002</v>
      </c>
      <c r="BB75" s="128">
        <v>2.19</v>
      </c>
      <c r="BC75" s="128">
        <v>2.2000000000000002</v>
      </c>
      <c r="BD75" s="128">
        <v>2.2000000000000002</v>
      </c>
      <c r="BE75" s="128">
        <v>2.21</v>
      </c>
      <c r="BF75" s="128">
        <v>2.2200000000000002</v>
      </c>
      <c r="BG75" s="128">
        <v>2.23</v>
      </c>
      <c r="BH75" s="128">
        <v>2.23</v>
      </c>
      <c r="BI75" s="128">
        <v>2.2400000000000002</v>
      </c>
      <c r="BJ75" s="128">
        <v>2.25</v>
      </c>
      <c r="BK75" s="128">
        <v>2.2599999999999998</v>
      </c>
      <c r="BL75" s="128">
        <v>2.27</v>
      </c>
      <c r="BM75" s="128">
        <v>2.27</v>
      </c>
      <c r="BN75" s="128">
        <v>2.2799999999999998</v>
      </c>
      <c r="BO75" s="128">
        <v>2.29</v>
      </c>
      <c r="BP75" s="128">
        <v>2.2999999999999998</v>
      </c>
      <c r="BQ75" s="128">
        <v>2.2999999999999998</v>
      </c>
      <c r="BR75" s="128">
        <v>2.31</v>
      </c>
      <c r="BS75" s="128">
        <v>2.3199999999999998</v>
      </c>
      <c r="BT75" s="128">
        <v>2.33</v>
      </c>
      <c r="BU75" s="128">
        <v>2.34</v>
      </c>
      <c r="BV75" s="128">
        <v>2.34</v>
      </c>
      <c r="BW75" s="128">
        <v>2.35</v>
      </c>
      <c r="BX75" s="128">
        <v>2.37</v>
      </c>
      <c r="BY75" s="128">
        <v>2.38</v>
      </c>
      <c r="BZ75" s="128">
        <v>2.39</v>
      </c>
      <c r="CA75" s="128">
        <v>2.4</v>
      </c>
      <c r="CB75" s="128">
        <v>2.41</v>
      </c>
      <c r="CC75" s="128">
        <v>2.42</v>
      </c>
      <c r="CD75" s="128">
        <v>2.4300000000000002</v>
      </c>
      <c r="CE75" s="128">
        <v>2.4500000000000002</v>
      </c>
      <c r="CF75" s="128">
        <v>2.46</v>
      </c>
      <c r="CG75" s="128">
        <v>2.4700000000000002</v>
      </c>
      <c r="CH75" s="128">
        <v>2.48</v>
      </c>
      <c r="CI75" s="128">
        <v>2.5</v>
      </c>
      <c r="CJ75" s="128">
        <v>2.5099999999999998</v>
      </c>
      <c r="CK75" s="128">
        <v>2.52</v>
      </c>
      <c r="CL75" s="128">
        <v>2.54</v>
      </c>
      <c r="CM75" s="128">
        <v>2.5499999999999998</v>
      </c>
      <c r="CN75" s="128">
        <v>2.56</v>
      </c>
      <c r="CO75" s="128">
        <v>2.58</v>
      </c>
      <c r="CP75" s="128">
        <v>2.59</v>
      </c>
      <c r="CQ75" s="128">
        <v>2.61</v>
      </c>
      <c r="CR75" s="128">
        <v>2.62</v>
      </c>
      <c r="CS75" s="128">
        <v>2.64</v>
      </c>
      <c r="CT75" s="128">
        <v>2.65</v>
      </c>
      <c r="CU75" s="128">
        <v>2.67</v>
      </c>
      <c r="CV75" s="128">
        <v>2.69</v>
      </c>
      <c r="CW75" s="128">
        <v>2.7</v>
      </c>
      <c r="CX75" s="128">
        <v>2.72</v>
      </c>
      <c r="CZ75" s="126">
        <f>SUMIF(MatrixF5[[1]:[2]],MatrixF5[[#This Row],[Столбец1]])/MatrixF5[[#This Row],[Столбец1]]</f>
        <v>75.999999999999972</v>
      </c>
      <c r="DA75" s="126">
        <f>SUMIF(MatrixF5[[1]:[2]],MatrixF5[[#This Row],[Столбец1]]+1)/(MatrixF5[[#This Row],[Столбец1]]+1)</f>
        <v>23.999999999999996</v>
      </c>
    </row>
    <row r="76" spans="1:105" ht="21" customHeight="1" x14ac:dyDescent="0.25">
      <c r="A76" s="127">
        <v>1.73</v>
      </c>
      <c r="B76" s="128">
        <v>1.73</v>
      </c>
      <c r="C76" s="128">
        <v>1.74</v>
      </c>
      <c r="D76" s="128">
        <v>1.75</v>
      </c>
      <c r="E76" s="128">
        <v>1.77</v>
      </c>
      <c r="F76" s="128">
        <v>1.78</v>
      </c>
      <c r="G76" s="128">
        <v>1.79</v>
      </c>
      <c r="H76" s="128">
        <v>1.8</v>
      </c>
      <c r="I76" s="128">
        <v>1.81</v>
      </c>
      <c r="J76" s="128">
        <v>1.82</v>
      </c>
      <c r="K76" s="128">
        <v>1.83</v>
      </c>
      <c r="L76" s="128">
        <v>1.85</v>
      </c>
      <c r="M76" s="128">
        <v>1.86</v>
      </c>
      <c r="N76" s="128">
        <v>1.87</v>
      </c>
      <c r="O76" s="128">
        <v>1.88</v>
      </c>
      <c r="P76" s="128">
        <v>1.89</v>
      </c>
      <c r="Q76" s="128">
        <v>1.9</v>
      </c>
      <c r="R76" s="128">
        <v>1.91</v>
      </c>
      <c r="S76" s="128">
        <v>1.91</v>
      </c>
      <c r="T76" s="128">
        <v>1.92</v>
      </c>
      <c r="U76" s="128">
        <v>1.93</v>
      </c>
      <c r="V76" s="128">
        <v>1.94</v>
      </c>
      <c r="W76" s="128">
        <v>1.95</v>
      </c>
      <c r="X76" s="128">
        <v>1.96</v>
      </c>
      <c r="Y76" s="128">
        <v>1.97</v>
      </c>
      <c r="Z76" s="128">
        <v>1.98</v>
      </c>
      <c r="AA76" s="128">
        <v>1.98</v>
      </c>
      <c r="AB76" s="128">
        <v>1.99</v>
      </c>
      <c r="AC76" s="128">
        <v>2</v>
      </c>
      <c r="AD76" s="128">
        <v>2.0099999999999998</v>
      </c>
      <c r="AE76" s="128">
        <v>2.02</v>
      </c>
      <c r="AF76" s="128">
        <v>2.02</v>
      </c>
      <c r="AG76" s="128">
        <v>2.0299999999999998</v>
      </c>
      <c r="AH76" s="128">
        <v>2.04</v>
      </c>
      <c r="AI76" s="128">
        <v>2.0499999999999998</v>
      </c>
      <c r="AJ76" s="128">
        <v>2.06</v>
      </c>
      <c r="AK76" s="128">
        <v>2.06</v>
      </c>
      <c r="AL76" s="128">
        <v>2.0699999999999998</v>
      </c>
      <c r="AM76" s="128">
        <v>2.08</v>
      </c>
      <c r="AN76" s="128">
        <v>2.09</v>
      </c>
      <c r="AO76" s="128">
        <v>2.09</v>
      </c>
      <c r="AP76" s="128">
        <v>2.1</v>
      </c>
      <c r="AQ76" s="128">
        <v>2.11</v>
      </c>
      <c r="AR76" s="128">
        <v>2.12</v>
      </c>
      <c r="AS76" s="128">
        <v>2.13</v>
      </c>
      <c r="AT76" s="128">
        <v>2.13</v>
      </c>
      <c r="AU76" s="128">
        <v>2.14</v>
      </c>
      <c r="AV76" s="128">
        <v>2.15</v>
      </c>
      <c r="AW76" s="128">
        <v>2.16</v>
      </c>
      <c r="AX76" s="128">
        <v>2.17</v>
      </c>
      <c r="AY76" s="128">
        <v>2.17</v>
      </c>
      <c r="AZ76" s="128">
        <v>2.1800000000000002</v>
      </c>
      <c r="BA76" s="128">
        <v>2.19</v>
      </c>
      <c r="BB76" s="128">
        <v>2.2000000000000002</v>
      </c>
      <c r="BC76" s="128">
        <v>2.2000000000000002</v>
      </c>
      <c r="BD76" s="128">
        <v>2.21</v>
      </c>
      <c r="BE76" s="128">
        <v>2.2200000000000002</v>
      </c>
      <c r="BF76" s="128">
        <v>2.23</v>
      </c>
      <c r="BG76" s="128">
        <v>2.2400000000000002</v>
      </c>
      <c r="BH76" s="128">
        <v>2.2400000000000002</v>
      </c>
      <c r="BI76" s="128">
        <v>2.25</v>
      </c>
      <c r="BJ76" s="128">
        <v>2.2599999999999998</v>
      </c>
      <c r="BK76" s="128">
        <v>2.27</v>
      </c>
      <c r="BL76" s="128">
        <v>2.2799999999999998</v>
      </c>
      <c r="BM76" s="128">
        <v>2.2799999999999998</v>
      </c>
      <c r="BN76" s="128">
        <v>2.29</v>
      </c>
      <c r="BO76" s="128">
        <v>2.2999999999999998</v>
      </c>
      <c r="BP76" s="128">
        <v>2.31</v>
      </c>
      <c r="BQ76" s="128">
        <v>2.31</v>
      </c>
      <c r="BR76" s="128">
        <v>2.3199999999999998</v>
      </c>
      <c r="BS76" s="128">
        <v>2.33</v>
      </c>
      <c r="BT76" s="128">
        <v>2.34</v>
      </c>
      <c r="BU76" s="128">
        <v>2.35</v>
      </c>
      <c r="BV76" s="128">
        <v>2.35</v>
      </c>
      <c r="BW76" s="128">
        <v>2.36</v>
      </c>
      <c r="BX76" s="128">
        <v>2.37</v>
      </c>
      <c r="BY76" s="128">
        <v>2.38</v>
      </c>
      <c r="BZ76" s="128">
        <v>2.4</v>
      </c>
      <c r="CA76" s="128">
        <v>2.41</v>
      </c>
      <c r="CB76" s="128">
        <v>2.42</v>
      </c>
      <c r="CC76" s="128">
        <v>2.4300000000000002</v>
      </c>
      <c r="CD76" s="128">
        <v>2.44</v>
      </c>
      <c r="CE76" s="128">
        <v>2.4500000000000002</v>
      </c>
      <c r="CF76" s="128">
        <v>2.4700000000000002</v>
      </c>
      <c r="CG76" s="128">
        <v>2.48</v>
      </c>
      <c r="CH76" s="128">
        <v>2.4900000000000002</v>
      </c>
      <c r="CI76" s="128">
        <v>2.5</v>
      </c>
      <c r="CJ76" s="128">
        <v>2.52</v>
      </c>
      <c r="CK76" s="128">
        <v>2.5299999999999998</v>
      </c>
      <c r="CL76" s="128">
        <v>2.54</v>
      </c>
      <c r="CM76" s="128">
        <v>2.56</v>
      </c>
      <c r="CN76" s="128">
        <v>2.57</v>
      </c>
      <c r="CO76" s="128">
        <v>2.59</v>
      </c>
      <c r="CP76" s="128">
        <v>2.6</v>
      </c>
      <c r="CQ76" s="128">
        <v>2.62</v>
      </c>
      <c r="CR76" s="128">
        <v>2.63</v>
      </c>
      <c r="CS76" s="128">
        <v>2.65</v>
      </c>
      <c r="CT76" s="128">
        <v>2.66</v>
      </c>
      <c r="CU76" s="128">
        <v>2.68</v>
      </c>
      <c r="CV76" s="128">
        <v>2.7</v>
      </c>
      <c r="CW76" s="128">
        <v>2.71</v>
      </c>
      <c r="CX76" s="128">
        <v>2.73</v>
      </c>
      <c r="CZ76" s="126">
        <f>SUMIF(MatrixF5[[1]:[2]],MatrixF5[[#This Row],[Столбец1]])/MatrixF5[[#This Row],[Столбец1]]</f>
        <v>75.000000000000057</v>
      </c>
      <c r="DA76" s="126">
        <f>SUMIF(MatrixF5[[1]:[2]],MatrixF5[[#This Row],[Столбец1]]+1)/(MatrixF5[[#This Row],[Столбец1]]+1)</f>
        <v>20.999999999999989</v>
      </c>
    </row>
    <row r="77" spans="1:105" ht="21" customHeight="1" x14ac:dyDescent="0.25">
      <c r="A77" s="127">
        <v>1.74</v>
      </c>
      <c r="B77" s="128">
        <v>1.74</v>
      </c>
      <c r="C77" s="128">
        <v>1.75</v>
      </c>
      <c r="D77" s="128">
        <v>1.76</v>
      </c>
      <c r="E77" s="128">
        <v>1.78</v>
      </c>
      <c r="F77" s="128">
        <v>1.79</v>
      </c>
      <c r="G77" s="128">
        <v>1.8</v>
      </c>
      <c r="H77" s="128">
        <v>1.81</v>
      </c>
      <c r="I77" s="128">
        <v>1.82</v>
      </c>
      <c r="J77" s="128">
        <v>1.83</v>
      </c>
      <c r="K77" s="128">
        <v>1.84</v>
      </c>
      <c r="L77" s="128">
        <v>1.85</v>
      </c>
      <c r="M77" s="128">
        <v>1.86</v>
      </c>
      <c r="N77" s="128">
        <v>1.87</v>
      </c>
      <c r="O77" s="128">
        <v>1.88</v>
      </c>
      <c r="P77" s="128">
        <v>1.89</v>
      </c>
      <c r="Q77" s="128">
        <v>1.9</v>
      </c>
      <c r="R77" s="128">
        <v>1.91</v>
      </c>
      <c r="S77" s="128">
        <v>1.92</v>
      </c>
      <c r="T77" s="128">
        <v>1.93</v>
      </c>
      <c r="U77" s="128">
        <v>1.94</v>
      </c>
      <c r="V77" s="128">
        <v>1.95</v>
      </c>
      <c r="W77" s="128">
        <v>1.96</v>
      </c>
      <c r="X77" s="128">
        <v>1.97</v>
      </c>
      <c r="Y77" s="128">
        <v>1.98</v>
      </c>
      <c r="Z77" s="128">
        <v>1.98</v>
      </c>
      <c r="AA77" s="128">
        <v>1.99</v>
      </c>
      <c r="AB77" s="128">
        <v>2</v>
      </c>
      <c r="AC77" s="128">
        <v>2.0099999999999998</v>
      </c>
      <c r="AD77" s="128">
        <v>2.02</v>
      </c>
      <c r="AE77" s="128">
        <v>2.02</v>
      </c>
      <c r="AF77" s="128">
        <v>2.0299999999999998</v>
      </c>
      <c r="AG77" s="128">
        <v>2.04</v>
      </c>
      <c r="AH77" s="128">
        <v>2.0499999999999998</v>
      </c>
      <c r="AI77" s="128">
        <v>2.06</v>
      </c>
      <c r="AJ77" s="128">
        <v>2.06</v>
      </c>
      <c r="AK77" s="128">
        <v>2.0699999999999998</v>
      </c>
      <c r="AL77" s="128">
        <v>2.08</v>
      </c>
      <c r="AM77" s="128">
        <v>2.09</v>
      </c>
      <c r="AN77" s="128">
        <v>2.1</v>
      </c>
      <c r="AO77" s="128">
        <v>2.1</v>
      </c>
      <c r="AP77" s="128">
        <v>2.11</v>
      </c>
      <c r="AQ77" s="128">
        <v>2.12</v>
      </c>
      <c r="AR77" s="128">
        <v>2.13</v>
      </c>
      <c r="AS77" s="128">
        <v>2.13</v>
      </c>
      <c r="AT77" s="128">
        <v>2.14</v>
      </c>
      <c r="AU77" s="128">
        <v>2.15</v>
      </c>
      <c r="AV77" s="128">
        <v>2.16</v>
      </c>
      <c r="AW77" s="128">
        <v>2.17</v>
      </c>
      <c r="AX77" s="128">
        <v>2.17</v>
      </c>
      <c r="AY77" s="128">
        <v>2.1800000000000002</v>
      </c>
      <c r="AZ77" s="128">
        <v>2.19</v>
      </c>
      <c r="BA77" s="128">
        <v>2.2000000000000002</v>
      </c>
      <c r="BB77" s="128">
        <v>2.21</v>
      </c>
      <c r="BC77" s="128">
        <v>2.21</v>
      </c>
      <c r="BD77" s="128">
        <v>2.2200000000000002</v>
      </c>
      <c r="BE77" s="128">
        <v>2.23</v>
      </c>
      <c r="BF77" s="128">
        <v>2.2400000000000002</v>
      </c>
      <c r="BG77" s="128">
        <v>2.25</v>
      </c>
      <c r="BH77" s="128">
        <v>2.25</v>
      </c>
      <c r="BI77" s="128">
        <v>2.2599999999999998</v>
      </c>
      <c r="BJ77" s="128">
        <v>2.27</v>
      </c>
      <c r="BK77" s="128">
        <v>2.2799999999999998</v>
      </c>
      <c r="BL77" s="128">
        <v>2.29</v>
      </c>
      <c r="BM77" s="128">
        <v>2.29</v>
      </c>
      <c r="BN77" s="128">
        <v>2.2999999999999998</v>
      </c>
      <c r="BO77" s="128">
        <v>2.31</v>
      </c>
      <c r="BP77" s="128">
        <v>2.3199999999999998</v>
      </c>
      <c r="BQ77" s="128">
        <v>2.33</v>
      </c>
      <c r="BR77" s="128">
        <v>2.33</v>
      </c>
      <c r="BS77" s="128">
        <v>2.34</v>
      </c>
      <c r="BT77" s="128">
        <v>2.35</v>
      </c>
      <c r="BU77" s="128">
        <v>2.36</v>
      </c>
      <c r="BV77" s="128">
        <v>2.37</v>
      </c>
      <c r="BW77" s="128">
        <v>2.37</v>
      </c>
      <c r="BX77" s="128">
        <v>2.38</v>
      </c>
      <c r="BY77" s="128">
        <v>2.39</v>
      </c>
      <c r="BZ77" s="128">
        <v>2.4</v>
      </c>
      <c r="CA77" s="128">
        <v>2.41</v>
      </c>
      <c r="CB77" s="128">
        <v>2.4300000000000002</v>
      </c>
      <c r="CC77" s="128">
        <v>2.44</v>
      </c>
      <c r="CD77" s="128">
        <v>2.4500000000000002</v>
      </c>
      <c r="CE77" s="128">
        <v>2.46</v>
      </c>
      <c r="CF77" s="128">
        <v>2.4700000000000002</v>
      </c>
      <c r="CG77" s="128">
        <v>2.4900000000000002</v>
      </c>
      <c r="CH77" s="128">
        <v>2.5</v>
      </c>
      <c r="CI77" s="128">
        <v>2.5099999999999998</v>
      </c>
      <c r="CJ77" s="128">
        <v>2.5299999999999998</v>
      </c>
      <c r="CK77" s="128">
        <v>2.54</v>
      </c>
      <c r="CL77" s="128">
        <v>2.5499999999999998</v>
      </c>
      <c r="CM77" s="128">
        <v>2.57</v>
      </c>
      <c r="CN77" s="128">
        <v>2.58</v>
      </c>
      <c r="CO77" s="128">
        <v>2.6</v>
      </c>
      <c r="CP77" s="128">
        <v>2.61</v>
      </c>
      <c r="CQ77" s="128">
        <v>2.63</v>
      </c>
      <c r="CR77" s="128">
        <v>2.64</v>
      </c>
      <c r="CS77" s="128">
        <v>2.66</v>
      </c>
      <c r="CT77" s="128">
        <v>2.67</v>
      </c>
      <c r="CU77" s="128">
        <v>2.69</v>
      </c>
      <c r="CV77" s="128">
        <v>2.71</v>
      </c>
      <c r="CW77" s="128">
        <v>2.72</v>
      </c>
      <c r="CX77" s="128">
        <v>2.74</v>
      </c>
      <c r="CZ77" s="126">
        <f>SUMIF(MatrixF5[[1]:[2]],MatrixF5[[#This Row],[Столбец1]])/MatrixF5[[#This Row],[Столбец1]]</f>
        <v>74.999999999999915</v>
      </c>
      <c r="DA77" s="126">
        <f>SUMIF(MatrixF5[[1]:[2]],MatrixF5[[#This Row],[Столбец1]]+1)/(MatrixF5[[#This Row],[Столбец1]]+1)</f>
        <v>20.000000000000007</v>
      </c>
    </row>
    <row r="78" spans="1:105" ht="21" customHeight="1" x14ac:dyDescent="0.25">
      <c r="A78" s="127">
        <v>1.75</v>
      </c>
      <c r="B78" s="128">
        <v>1.75</v>
      </c>
      <c r="C78" s="128">
        <v>1.76</v>
      </c>
      <c r="D78" s="128">
        <v>1.77</v>
      </c>
      <c r="E78" s="128">
        <v>1.79</v>
      </c>
      <c r="F78" s="128">
        <v>1.8</v>
      </c>
      <c r="G78" s="128">
        <v>1.81</v>
      </c>
      <c r="H78" s="128">
        <v>1.82</v>
      </c>
      <c r="I78" s="128">
        <v>1.83</v>
      </c>
      <c r="J78" s="128">
        <v>1.84</v>
      </c>
      <c r="K78" s="128">
        <v>1.85</v>
      </c>
      <c r="L78" s="128">
        <v>1.86</v>
      </c>
      <c r="M78" s="128">
        <v>1.87</v>
      </c>
      <c r="N78" s="128">
        <v>1.88</v>
      </c>
      <c r="O78" s="128">
        <v>1.89</v>
      </c>
      <c r="P78" s="128">
        <v>1.9</v>
      </c>
      <c r="Q78" s="128">
        <v>1.91</v>
      </c>
      <c r="R78" s="128">
        <v>1.92</v>
      </c>
      <c r="S78" s="128">
        <v>1.93</v>
      </c>
      <c r="T78" s="128">
        <v>1.94</v>
      </c>
      <c r="U78" s="128">
        <v>1.95</v>
      </c>
      <c r="V78" s="128">
        <v>1.96</v>
      </c>
      <c r="W78" s="128">
        <v>1.97</v>
      </c>
      <c r="X78" s="128">
        <v>1.98</v>
      </c>
      <c r="Y78" s="128">
        <v>1.98</v>
      </c>
      <c r="Z78" s="128">
        <v>1.99</v>
      </c>
      <c r="AA78" s="128">
        <v>2</v>
      </c>
      <c r="AB78" s="128">
        <v>2.0099999999999998</v>
      </c>
      <c r="AC78" s="128">
        <v>2.02</v>
      </c>
      <c r="AD78" s="128">
        <v>2.02</v>
      </c>
      <c r="AE78" s="128">
        <v>2.0299999999999998</v>
      </c>
      <c r="AF78" s="128">
        <v>2.04</v>
      </c>
      <c r="AG78" s="128">
        <v>2.0499999999999998</v>
      </c>
      <c r="AH78" s="128">
        <v>2.06</v>
      </c>
      <c r="AI78" s="128">
        <v>2.06</v>
      </c>
      <c r="AJ78" s="128">
        <v>2.0699999999999998</v>
      </c>
      <c r="AK78" s="128">
        <v>2.08</v>
      </c>
      <c r="AL78" s="128">
        <v>2.09</v>
      </c>
      <c r="AM78" s="128">
        <v>2.1</v>
      </c>
      <c r="AN78" s="128">
        <v>2.1</v>
      </c>
      <c r="AO78" s="128">
        <v>2.11</v>
      </c>
      <c r="AP78" s="128">
        <v>2.12</v>
      </c>
      <c r="AQ78" s="128">
        <v>2.13</v>
      </c>
      <c r="AR78" s="128">
        <v>2.14</v>
      </c>
      <c r="AS78" s="128">
        <v>2.14</v>
      </c>
      <c r="AT78" s="128">
        <v>2.15</v>
      </c>
      <c r="AU78" s="128">
        <v>2.16</v>
      </c>
      <c r="AV78" s="128">
        <v>2.17</v>
      </c>
      <c r="AW78" s="128">
        <v>2.1800000000000002</v>
      </c>
      <c r="AX78" s="128">
        <v>2.1800000000000002</v>
      </c>
      <c r="AY78" s="128">
        <v>2.19</v>
      </c>
      <c r="AZ78" s="128">
        <v>2.2000000000000002</v>
      </c>
      <c r="BA78" s="128">
        <v>2.21</v>
      </c>
      <c r="BB78" s="128">
        <v>2.2200000000000002</v>
      </c>
      <c r="BC78" s="128">
        <v>2.2200000000000002</v>
      </c>
      <c r="BD78" s="128">
        <v>2.23</v>
      </c>
      <c r="BE78" s="128">
        <v>2.2400000000000002</v>
      </c>
      <c r="BF78" s="128">
        <v>2.25</v>
      </c>
      <c r="BG78" s="128">
        <v>2.2599999999999998</v>
      </c>
      <c r="BH78" s="128">
        <v>2.2599999999999998</v>
      </c>
      <c r="BI78" s="128">
        <v>2.27</v>
      </c>
      <c r="BJ78" s="128">
        <v>2.2799999999999998</v>
      </c>
      <c r="BK78" s="128">
        <v>2.29</v>
      </c>
      <c r="BL78" s="128">
        <v>2.2999999999999998</v>
      </c>
      <c r="BM78" s="128">
        <v>2.2999999999999998</v>
      </c>
      <c r="BN78" s="128">
        <v>2.31</v>
      </c>
      <c r="BO78" s="128">
        <v>2.3199999999999998</v>
      </c>
      <c r="BP78" s="128">
        <v>2.33</v>
      </c>
      <c r="BQ78" s="128">
        <v>2.34</v>
      </c>
      <c r="BR78" s="128">
        <v>2.34</v>
      </c>
      <c r="BS78" s="128">
        <v>2.35</v>
      </c>
      <c r="BT78" s="128">
        <v>2.36</v>
      </c>
      <c r="BU78" s="128">
        <v>2.37</v>
      </c>
      <c r="BV78" s="128">
        <v>2.38</v>
      </c>
      <c r="BW78" s="128">
        <v>2.38</v>
      </c>
      <c r="BX78" s="128">
        <v>2.39</v>
      </c>
      <c r="BY78" s="128">
        <v>2.4</v>
      </c>
      <c r="BZ78" s="128">
        <v>2.41</v>
      </c>
      <c r="CA78" s="128">
        <v>2.42</v>
      </c>
      <c r="CB78" s="128">
        <v>2.4300000000000002</v>
      </c>
      <c r="CC78" s="128">
        <v>2.4500000000000002</v>
      </c>
      <c r="CD78" s="128">
        <v>2.46</v>
      </c>
      <c r="CE78" s="128">
        <v>2.4700000000000002</v>
      </c>
      <c r="CF78" s="128">
        <v>2.48</v>
      </c>
      <c r="CG78" s="128">
        <v>2.5</v>
      </c>
      <c r="CH78" s="128">
        <v>2.5099999999999998</v>
      </c>
      <c r="CI78" s="128">
        <v>2.52</v>
      </c>
      <c r="CJ78" s="128">
        <v>2.54</v>
      </c>
      <c r="CK78" s="128">
        <v>2.5499999999999998</v>
      </c>
      <c r="CL78" s="128">
        <v>2.56</v>
      </c>
      <c r="CM78" s="128">
        <v>2.58</v>
      </c>
      <c r="CN78" s="128">
        <v>2.59</v>
      </c>
      <c r="CO78" s="128">
        <v>2.61</v>
      </c>
      <c r="CP78" s="128">
        <v>2.62</v>
      </c>
      <c r="CQ78" s="128">
        <v>2.64</v>
      </c>
      <c r="CR78" s="128">
        <v>2.65</v>
      </c>
      <c r="CS78" s="128">
        <v>2.67</v>
      </c>
      <c r="CT78" s="128">
        <v>2.68</v>
      </c>
      <c r="CU78" s="128">
        <v>2.7</v>
      </c>
      <c r="CV78" s="128">
        <v>2.72</v>
      </c>
      <c r="CW78" s="128">
        <v>2.73</v>
      </c>
      <c r="CX78" s="128">
        <v>2.75</v>
      </c>
      <c r="CZ78" s="126">
        <f>SUMIF(MatrixF5[[1]:[2]],MatrixF5[[#This Row],[Столбец1]])/MatrixF5[[#This Row],[Столбец1]]</f>
        <v>84</v>
      </c>
      <c r="DA78" s="126">
        <f>SUMIF(MatrixF5[[1]:[2]],MatrixF5[[#This Row],[Столбец1]]+1)/(MatrixF5[[#This Row],[Столбец1]]+1)</f>
        <v>23</v>
      </c>
    </row>
    <row r="79" spans="1:105" ht="21" customHeight="1" x14ac:dyDescent="0.25">
      <c r="A79" s="127">
        <v>1.76</v>
      </c>
      <c r="B79" s="128">
        <v>1.76</v>
      </c>
      <c r="C79" s="128">
        <v>1.77</v>
      </c>
      <c r="D79" s="128">
        <v>1.78</v>
      </c>
      <c r="E79" s="128">
        <v>1.8</v>
      </c>
      <c r="F79" s="128">
        <v>1.81</v>
      </c>
      <c r="G79" s="128">
        <v>1.82</v>
      </c>
      <c r="H79" s="128">
        <v>1.83</v>
      </c>
      <c r="I79" s="128">
        <v>1.84</v>
      </c>
      <c r="J79" s="128">
        <v>1.85</v>
      </c>
      <c r="K79" s="128">
        <v>1.86</v>
      </c>
      <c r="L79" s="128">
        <v>1.87</v>
      </c>
      <c r="M79" s="128">
        <v>1.88</v>
      </c>
      <c r="N79" s="128">
        <v>1.89</v>
      </c>
      <c r="O79" s="128">
        <v>1.9</v>
      </c>
      <c r="P79" s="128">
        <v>1.91</v>
      </c>
      <c r="Q79" s="128">
        <v>1.92</v>
      </c>
      <c r="R79" s="128">
        <v>1.93</v>
      </c>
      <c r="S79" s="128">
        <v>1.94</v>
      </c>
      <c r="T79" s="128">
        <v>1.95</v>
      </c>
      <c r="U79" s="128">
        <v>1.96</v>
      </c>
      <c r="V79" s="128">
        <v>1.97</v>
      </c>
      <c r="W79" s="128">
        <v>1.98</v>
      </c>
      <c r="X79" s="128">
        <v>1.98</v>
      </c>
      <c r="Y79" s="128">
        <v>1.99</v>
      </c>
      <c r="Z79" s="128">
        <v>2</v>
      </c>
      <c r="AA79" s="128">
        <v>2.0099999999999998</v>
      </c>
      <c r="AB79" s="128">
        <v>2.02</v>
      </c>
      <c r="AC79" s="128">
        <v>2.02</v>
      </c>
      <c r="AD79" s="128">
        <v>2.0299999999999998</v>
      </c>
      <c r="AE79" s="128">
        <v>2.04</v>
      </c>
      <c r="AF79" s="128">
        <v>2.0499999999999998</v>
      </c>
      <c r="AG79" s="128">
        <v>2.06</v>
      </c>
      <c r="AH79" s="128">
        <v>2.06</v>
      </c>
      <c r="AI79" s="128">
        <v>2.0699999999999998</v>
      </c>
      <c r="AJ79" s="128">
        <v>2.08</v>
      </c>
      <c r="AK79" s="128">
        <v>2.09</v>
      </c>
      <c r="AL79" s="128">
        <v>2.1</v>
      </c>
      <c r="AM79" s="128">
        <v>2.1</v>
      </c>
      <c r="AN79" s="128">
        <v>2.11</v>
      </c>
      <c r="AO79" s="128">
        <v>2.12</v>
      </c>
      <c r="AP79" s="128">
        <v>2.13</v>
      </c>
      <c r="AQ79" s="128">
        <v>2.14</v>
      </c>
      <c r="AR79" s="128">
        <v>2.15</v>
      </c>
      <c r="AS79" s="128">
        <v>2.15</v>
      </c>
      <c r="AT79" s="128">
        <v>2.16</v>
      </c>
      <c r="AU79" s="128">
        <v>2.17</v>
      </c>
      <c r="AV79" s="128">
        <v>2.1800000000000002</v>
      </c>
      <c r="AW79" s="128">
        <v>2.19</v>
      </c>
      <c r="AX79" s="128">
        <v>2.19</v>
      </c>
      <c r="AY79" s="128">
        <v>2.2000000000000002</v>
      </c>
      <c r="AZ79" s="128">
        <v>2.21</v>
      </c>
      <c r="BA79" s="128">
        <v>2.2200000000000002</v>
      </c>
      <c r="BB79" s="128">
        <v>2.23</v>
      </c>
      <c r="BC79" s="128">
        <v>2.23</v>
      </c>
      <c r="BD79" s="128">
        <v>2.2400000000000002</v>
      </c>
      <c r="BE79" s="128">
        <v>2.25</v>
      </c>
      <c r="BF79" s="128">
        <v>2.2599999999999998</v>
      </c>
      <c r="BG79" s="128">
        <v>2.27</v>
      </c>
      <c r="BH79" s="128">
        <v>2.27</v>
      </c>
      <c r="BI79" s="128">
        <v>2.2799999999999998</v>
      </c>
      <c r="BJ79" s="128">
        <v>2.29</v>
      </c>
      <c r="BK79" s="128">
        <v>2.2999999999999998</v>
      </c>
      <c r="BL79" s="128">
        <v>2.31</v>
      </c>
      <c r="BM79" s="128">
        <v>2.31</v>
      </c>
      <c r="BN79" s="128">
        <v>2.3199999999999998</v>
      </c>
      <c r="BO79" s="128">
        <v>2.33</v>
      </c>
      <c r="BP79" s="128">
        <v>2.34</v>
      </c>
      <c r="BQ79" s="128">
        <v>2.35</v>
      </c>
      <c r="BR79" s="128">
        <v>2.35</v>
      </c>
      <c r="BS79" s="128">
        <v>2.36</v>
      </c>
      <c r="BT79" s="128">
        <v>2.37</v>
      </c>
      <c r="BU79" s="128">
        <v>2.38</v>
      </c>
      <c r="BV79" s="128">
        <v>2.39</v>
      </c>
      <c r="BW79" s="128">
        <v>2.4</v>
      </c>
      <c r="BX79" s="128">
        <v>2.4</v>
      </c>
      <c r="BY79" s="128">
        <v>2.41</v>
      </c>
      <c r="BZ79" s="128">
        <v>2.42</v>
      </c>
      <c r="CA79" s="128">
        <v>2.4300000000000002</v>
      </c>
      <c r="CB79" s="128">
        <v>2.44</v>
      </c>
      <c r="CC79" s="128">
        <v>2.4500000000000002</v>
      </c>
      <c r="CD79" s="128">
        <v>2.4700000000000002</v>
      </c>
      <c r="CE79" s="128">
        <v>2.48</v>
      </c>
      <c r="CF79" s="128">
        <v>2.4900000000000002</v>
      </c>
      <c r="CG79" s="128">
        <v>2.5</v>
      </c>
      <c r="CH79" s="128">
        <v>2.52</v>
      </c>
      <c r="CI79" s="128">
        <v>2.5299999999999998</v>
      </c>
      <c r="CJ79" s="128">
        <v>2.54</v>
      </c>
      <c r="CK79" s="128">
        <v>2.56</v>
      </c>
      <c r="CL79" s="128">
        <v>2.57</v>
      </c>
      <c r="CM79" s="128">
        <v>2.59</v>
      </c>
      <c r="CN79" s="128">
        <v>2.6</v>
      </c>
      <c r="CO79" s="128">
        <v>2.61</v>
      </c>
      <c r="CP79" s="128">
        <v>2.63</v>
      </c>
      <c r="CQ79" s="128">
        <v>2.64</v>
      </c>
      <c r="CR79" s="128">
        <v>2.66</v>
      </c>
      <c r="CS79" s="128">
        <v>2.68</v>
      </c>
      <c r="CT79" s="128">
        <v>2.69</v>
      </c>
      <c r="CU79" s="128">
        <v>2.71</v>
      </c>
      <c r="CV79" s="128">
        <v>2.73</v>
      </c>
      <c r="CW79" s="128">
        <v>2.74</v>
      </c>
      <c r="CX79" s="128">
        <v>2.76</v>
      </c>
      <c r="CZ79" s="126">
        <f>SUMIF(MatrixF5[[1]:[2]],MatrixF5[[#This Row],[Столбец1]])/MatrixF5[[#This Row],[Столбец1]]</f>
        <v>77.000000000000071</v>
      </c>
      <c r="DA79" s="126">
        <f>SUMIF(MatrixF5[[1]:[2]],MatrixF5[[#This Row],[Столбец1]]+1)/(MatrixF5[[#This Row],[Столбец1]]+1)</f>
        <v>17.999999999999993</v>
      </c>
    </row>
    <row r="80" spans="1:105" ht="21" customHeight="1" x14ac:dyDescent="0.25">
      <c r="A80" s="127">
        <v>1.77</v>
      </c>
      <c r="B80" s="128">
        <v>1.77</v>
      </c>
      <c r="C80" s="128">
        <v>1.78</v>
      </c>
      <c r="D80" s="128">
        <v>1.79</v>
      </c>
      <c r="E80" s="128">
        <v>1.81</v>
      </c>
      <c r="F80" s="128">
        <v>1.82</v>
      </c>
      <c r="G80" s="128">
        <v>1.83</v>
      </c>
      <c r="H80" s="128">
        <v>1.84</v>
      </c>
      <c r="I80" s="128">
        <v>1.85</v>
      </c>
      <c r="J80" s="128">
        <v>1.86</v>
      </c>
      <c r="K80" s="128">
        <v>1.87</v>
      </c>
      <c r="L80" s="128">
        <v>1.88</v>
      </c>
      <c r="M80" s="128">
        <v>1.89</v>
      </c>
      <c r="N80" s="128">
        <v>1.9</v>
      </c>
      <c r="O80" s="128">
        <v>1.91</v>
      </c>
      <c r="P80" s="128">
        <v>1.92</v>
      </c>
      <c r="Q80" s="128">
        <v>1.93</v>
      </c>
      <c r="R80" s="128">
        <v>1.94</v>
      </c>
      <c r="S80" s="128">
        <v>1.95</v>
      </c>
      <c r="T80" s="128">
        <v>1.96</v>
      </c>
      <c r="U80" s="128">
        <v>1.97</v>
      </c>
      <c r="V80" s="128">
        <v>1.97</v>
      </c>
      <c r="W80" s="128">
        <v>1.98</v>
      </c>
      <c r="X80" s="128">
        <v>1.99</v>
      </c>
      <c r="Y80" s="128">
        <v>2</v>
      </c>
      <c r="Z80" s="128">
        <v>2.0099999999999998</v>
      </c>
      <c r="AA80" s="128">
        <v>2.02</v>
      </c>
      <c r="AB80" s="128">
        <v>2.02</v>
      </c>
      <c r="AC80" s="128">
        <v>2.0299999999999998</v>
      </c>
      <c r="AD80" s="128">
        <v>2.04</v>
      </c>
      <c r="AE80" s="128">
        <v>2.0499999999999998</v>
      </c>
      <c r="AF80" s="128">
        <v>2.06</v>
      </c>
      <c r="AG80" s="128">
        <v>2.0699999999999998</v>
      </c>
      <c r="AH80" s="128">
        <v>2.0699999999999998</v>
      </c>
      <c r="AI80" s="128">
        <v>2.08</v>
      </c>
      <c r="AJ80" s="128">
        <v>2.09</v>
      </c>
      <c r="AK80" s="128">
        <v>2.1</v>
      </c>
      <c r="AL80" s="128">
        <v>2.11</v>
      </c>
      <c r="AM80" s="128">
        <v>2.11</v>
      </c>
      <c r="AN80" s="128">
        <v>2.12</v>
      </c>
      <c r="AO80" s="128">
        <v>2.13</v>
      </c>
      <c r="AP80" s="128">
        <v>2.14</v>
      </c>
      <c r="AQ80" s="128">
        <v>2.15</v>
      </c>
      <c r="AR80" s="128">
        <v>2.15</v>
      </c>
      <c r="AS80" s="128">
        <v>2.16</v>
      </c>
      <c r="AT80" s="128">
        <v>2.17</v>
      </c>
      <c r="AU80" s="128">
        <v>2.1800000000000002</v>
      </c>
      <c r="AV80" s="128">
        <v>2.19</v>
      </c>
      <c r="AW80" s="128">
        <v>2.2000000000000002</v>
      </c>
      <c r="AX80" s="128">
        <v>2.2000000000000002</v>
      </c>
      <c r="AY80" s="128">
        <v>2.21</v>
      </c>
      <c r="AZ80" s="128">
        <v>2.2200000000000002</v>
      </c>
      <c r="BA80" s="128">
        <v>2.23</v>
      </c>
      <c r="BB80" s="128">
        <v>2.2400000000000002</v>
      </c>
      <c r="BC80" s="128">
        <v>2.2400000000000002</v>
      </c>
      <c r="BD80" s="128">
        <v>2.25</v>
      </c>
      <c r="BE80" s="128">
        <v>2.2599999999999998</v>
      </c>
      <c r="BF80" s="128">
        <v>2.27</v>
      </c>
      <c r="BG80" s="128">
        <v>2.2799999999999998</v>
      </c>
      <c r="BH80" s="128">
        <v>2.2799999999999998</v>
      </c>
      <c r="BI80" s="128">
        <v>2.29</v>
      </c>
      <c r="BJ80" s="128">
        <v>2.2999999999999998</v>
      </c>
      <c r="BK80" s="128">
        <v>2.31</v>
      </c>
      <c r="BL80" s="128">
        <v>2.3199999999999998</v>
      </c>
      <c r="BM80" s="128">
        <v>2.33</v>
      </c>
      <c r="BN80" s="128">
        <v>2.33</v>
      </c>
      <c r="BO80" s="128">
        <v>2.34</v>
      </c>
      <c r="BP80" s="128">
        <v>2.35</v>
      </c>
      <c r="BQ80" s="128">
        <v>2.36</v>
      </c>
      <c r="BR80" s="128">
        <v>2.37</v>
      </c>
      <c r="BS80" s="128">
        <v>2.37</v>
      </c>
      <c r="BT80" s="128">
        <v>2.38</v>
      </c>
      <c r="BU80" s="128">
        <v>2.39</v>
      </c>
      <c r="BV80" s="128">
        <v>2.4</v>
      </c>
      <c r="BW80" s="128">
        <v>2.41</v>
      </c>
      <c r="BX80" s="128">
        <v>2.41</v>
      </c>
      <c r="BY80" s="128">
        <v>2.42</v>
      </c>
      <c r="BZ80" s="128">
        <v>2.4300000000000002</v>
      </c>
      <c r="CA80" s="128">
        <v>2.44</v>
      </c>
      <c r="CB80" s="128">
        <v>2.4500000000000002</v>
      </c>
      <c r="CC80" s="128">
        <v>2.46</v>
      </c>
      <c r="CD80" s="128">
        <v>2.4700000000000002</v>
      </c>
      <c r="CE80" s="128">
        <v>2.4900000000000002</v>
      </c>
      <c r="CF80" s="128">
        <v>2.5</v>
      </c>
      <c r="CG80" s="128">
        <v>2.5099999999999998</v>
      </c>
      <c r="CH80" s="128">
        <v>2.5299999999999998</v>
      </c>
      <c r="CI80" s="128">
        <v>2.54</v>
      </c>
      <c r="CJ80" s="128">
        <v>2.5499999999999998</v>
      </c>
      <c r="CK80" s="128">
        <v>2.57</v>
      </c>
      <c r="CL80" s="128">
        <v>2.58</v>
      </c>
      <c r="CM80" s="128">
        <v>2.59</v>
      </c>
      <c r="CN80" s="128">
        <v>2.61</v>
      </c>
      <c r="CO80" s="128">
        <v>2.62</v>
      </c>
      <c r="CP80" s="128">
        <v>2.64</v>
      </c>
      <c r="CQ80" s="128">
        <v>2.65</v>
      </c>
      <c r="CR80" s="128">
        <v>2.67</v>
      </c>
      <c r="CS80" s="128">
        <v>2.69</v>
      </c>
      <c r="CT80" s="128">
        <v>2.7</v>
      </c>
      <c r="CU80" s="128">
        <v>2.72</v>
      </c>
      <c r="CV80" s="128">
        <v>2.74</v>
      </c>
      <c r="CW80" s="128">
        <v>2.75</v>
      </c>
      <c r="CX80" s="128">
        <v>2.77</v>
      </c>
      <c r="CZ80" s="126">
        <f>SUMIF(MatrixF5[[1]:[2]],MatrixF5[[#This Row],[Столбец1]])/MatrixF5[[#This Row],[Столбец1]]</f>
        <v>82.000000000000014</v>
      </c>
      <c r="DA80" s="126">
        <f>SUMIF(MatrixF5[[1]:[2]],MatrixF5[[#This Row],[Столбец1]]+1)/(MatrixF5[[#This Row],[Столбец1]]+1)</f>
        <v>18.000000000000007</v>
      </c>
    </row>
    <row r="81" spans="1:105" ht="21" customHeight="1" x14ac:dyDescent="0.25">
      <c r="A81" s="127">
        <v>1.78</v>
      </c>
      <c r="B81" s="128">
        <v>1.78</v>
      </c>
      <c r="C81" s="128">
        <v>1.79</v>
      </c>
      <c r="D81" s="128">
        <v>1.8</v>
      </c>
      <c r="E81" s="128">
        <v>1.82</v>
      </c>
      <c r="F81" s="128">
        <v>1.83</v>
      </c>
      <c r="G81" s="128">
        <v>1.84</v>
      </c>
      <c r="H81" s="128">
        <v>1.85</v>
      </c>
      <c r="I81" s="128">
        <v>1.86</v>
      </c>
      <c r="J81" s="128">
        <v>1.87</v>
      </c>
      <c r="K81" s="128">
        <v>1.88</v>
      </c>
      <c r="L81" s="128">
        <v>1.89</v>
      </c>
      <c r="M81" s="128">
        <v>1.9</v>
      </c>
      <c r="N81" s="128">
        <v>1.91</v>
      </c>
      <c r="O81" s="128">
        <v>1.92</v>
      </c>
      <c r="P81" s="128">
        <v>1.93</v>
      </c>
      <c r="Q81" s="128">
        <v>1.94</v>
      </c>
      <c r="R81" s="128">
        <v>1.95</v>
      </c>
      <c r="S81" s="128">
        <v>1.96</v>
      </c>
      <c r="T81" s="128">
        <v>1.97</v>
      </c>
      <c r="U81" s="128">
        <v>1.97</v>
      </c>
      <c r="V81" s="128">
        <v>1.98</v>
      </c>
      <c r="W81" s="128">
        <v>1.99</v>
      </c>
      <c r="X81" s="128">
        <v>2</v>
      </c>
      <c r="Y81" s="128">
        <v>2.0099999999999998</v>
      </c>
      <c r="Z81" s="128">
        <v>2.02</v>
      </c>
      <c r="AA81" s="128">
        <v>2.02</v>
      </c>
      <c r="AB81" s="128">
        <v>2.0299999999999998</v>
      </c>
      <c r="AC81" s="128">
        <v>2.04</v>
      </c>
      <c r="AD81" s="128">
        <v>2.0499999999999998</v>
      </c>
      <c r="AE81" s="128">
        <v>2.06</v>
      </c>
      <c r="AF81" s="128">
        <v>2.0699999999999998</v>
      </c>
      <c r="AG81" s="128">
        <v>2.0699999999999998</v>
      </c>
      <c r="AH81" s="128">
        <v>2.08</v>
      </c>
      <c r="AI81" s="128">
        <v>2.09</v>
      </c>
      <c r="AJ81" s="128">
        <v>2.1</v>
      </c>
      <c r="AK81" s="128">
        <v>2.11</v>
      </c>
      <c r="AL81" s="128">
        <v>2.11</v>
      </c>
      <c r="AM81" s="128">
        <v>2.12</v>
      </c>
      <c r="AN81" s="128">
        <v>2.13</v>
      </c>
      <c r="AO81" s="128">
        <v>2.14</v>
      </c>
      <c r="AP81" s="128">
        <v>2.15</v>
      </c>
      <c r="AQ81" s="128">
        <v>2.16</v>
      </c>
      <c r="AR81" s="128">
        <v>2.16</v>
      </c>
      <c r="AS81" s="128">
        <v>2.17</v>
      </c>
      <c r="AT81" s="128">
        <v>2.1800000000000002</v>
      </c>
      <c r="AU81" s="128">
        <v>2.19</v>
      </c>
      <c r="AV81" s="128">
        <v>2.2000000000000002</v>
      </c>
      <c r="AW81" s="128">
        <v>2.2000000000000002</v>
      </c>
      <c r="AX81" s="128">
        <v>2.21</v>
      </c>
      <c r="AY81" s="128">
        <v>2.2200000000000002</v>
      </c>
      <c r="AZ81" s="128">
        <v>2.23</v>
      </c>
      <c r="BA81" s="128">
        <v>2.2400000000000002</v>
      </c>
      <c r="BB81" s="128">
        <v>2.25</v>
      </c>
      <c r="BC81" s="128">
        <v>2.25</v>
      </c>
      <c r="BD81" s="128">
        <v>2.2599999999999998</v>
      </c>
      <c r="BE81" s="128">
        <v>2.27</v>
      </c>
      <c r="BF81" s="128">
        <v>2.2799999999999998</v>
      </c>
      <c r="BG81" s="128">
        <v>2.29</v>
      </c>
      <c r="BH81" s="128">
        <v>2.2999999999999998</v>
      </c>
      <c r="BI81" s="128">
        <v>2.2999999999999998</v>
      </c>
      <c r="BJ81" s="128">
        <v>2.31</v>
      </c>
      <c r="BK81" s="128">
        <v>2.3199999999999998</v>
      </c>
      <c r="BL81" s="128">
        <v>2.33</v>
      </c>
      <c r="BM81" s="128">
        <v>2.34</v>
      </c>
      <c r="BN81" s="128">
        <v>2.34</v>
      </c>
      <c r="BO81" s="128">
        <v>2.35</v>
      </c>
      <c r="BP81" s="128">
        <v>2.36</v>
      </c>
      <c r="BQ81" s="128">
        <v>2.37</v>
      </c>
      <c r="BR81" s="128">
        <v>2.38</v>
      </c>
      <c r="BS81" s="128">
        <v>2.39</v>
      </c>
      <c r="BT81" s="128">
        <v>2.39</v>
      </c>
      <c r="BU81" s="128">
        <v>2.4</v>
      </c>
      <c r="BV81" s="128">
        <v>2.41</v>
      </c>
      <c r="BW81" s="128">
        <v>2.42</v>
      </c>
      <c r="BX81" s="128">
        <v>2.4300000000000002</v>
      </c>
      <c r="BY81" s="128">
        <v>2.4300000000000002</v>
      </c>
      <c r="BZ81" s="128">
        <v>2.44</v>
      </c>
      <c r="CA81" s="128">
        <v>2.4500000000000002</v>
      </c>
      <c r="CB81" s="128">
        <v>2.46</v>
      </c>
      <c r="CC81" s="128">
        <v>2.4700000000000002</v>
      </c>
      <c r="CD81" s="128">
        <v>2.48</v>
      </c>
      <c r="CE81" s="128">
        <v>2.5</v>
      </c>
      <c r="CF81" s="128">
        <v>2.5099999999999998</v>
      </c>
      <c r="CG81" s="128">
        <v>2.52</v>
      </c>
      <c r="CH81" s="128">
        <v>2.5299999999999998</v>
      </c>
      <c r="CI81" s="128">
        <v>2.5499999999999998</v>
      </c>
      <c r="CJ81" s="128">
        <v>2.56</v>
      </c>
      <c r="CK81" s="128">
        <v>2.58</v>
      </c>
      <c r="CL81" s="128">
        <v>2.59</v>
      </c>
      <c r="CM81" s="128">
        <v>2.6</v>
      </c>
      <c r="CN81" s="128">
        <v>2.62</v>
      </c>
      <c r="CO81" s="128">
        <v>2.63</v>
      </c>
      <c r="CP81" s="128">
        <v>2.65</v>
      </c>
      <c r="CQ81" s="128">
        <v>2.66</v>
      </c>
      <c r="CR81" s="128">
        <v>2.68</v>
      </c>
      <c r="CS81" s="128">
        <v>2.7</v>
      </c>
      <c r="CT81" s="128">
        <v>2.71</v>
      </c>
      <c r="CU81" s="128">
        <v>2.73</v>
      </c>
      <c r="CV81" s="128">
        <v>2.75</v>
      </c>
      <c r="CW81" s="128">
        <v>2.76</v>
      </c>
      <c r="CX81" s="128">
        <v>2.78</v>
      </c>
      <c r="CZ81" s="126">
        <f>SUMIF(MatrixF5[[1]:[2]],MatrixF5[[#This Row],[Столбец1]])/MatrixF5[[#This Row],[Столбец1]]</f>
        <v>83.000000000000043</v>
      </c>
      <c r="DA81" s="126">
        <f>SUMIF(MatrixF5[[1]:[2]],MatrixF5[[#This Row],[Столбец1]]+1)/(MatrixF5[[#This Row],[Столбец1]]+1)</f>
        <v>17.000000000000004</v>
      </c>
    </row>
    <row r="82" spans="1:105" ht="21" customHeight="1" x14ac:dyDescent="0.25">
      <c r="A82" s="127">
        <v>1.79</v>
      </c>
      <c r="B82" s="128">
        <v>1.79</v>
      </c>
      <c r="C82" s="128">
        <v>1.8</v>
      </c>
      <c r="D82" s="128">
        <v>1.81</v>
      </c>
      <c r="E82" s="128">
        <v>1.83</v>
      </c>
      <c r="F82" s="128">
        <v>1.84</v>
      </c>
      <c r="G82" s="128">
        <v>1.85</v>
      </c>
      <c r="H82" s="128">
        <v>1.86</v>
      </c>
      <c r="I82" s="128">
        <v>1.87</v>
      </c>
      <c r="J82" s="128">
        <v>1.88</v>
      </c>
      <c r="K82" s="128">
        <v>1.89</v>
      </c>
      <c r="L82" s="128">
        <v>1.9</v>
      </c>
      <c r="M82" s="128">
        <v>1.91</v>
      </c>
      <c r="N82" s="128">
        <v>1.92</v>
      </c>
      <c r="O82" s="128">
        <v>1.93</v>
      </c>
      <c r="P82" s="128">
        <v>1.94</v>
      </c>
      <c r="Q82" s="128">
        <v>1.95</v>
      </c>
      <c r="R82" s="128">
        <v>1.96</v>
      </c>
      <c r="S82" s="128">
        <v>1.97</v>
      </c>
      <c r="T82" s="128">
        <v>1.97</v>
      </c>
      <c r="U82" s="128">
        <v>1.98</v>
      </c>
      <c r="V82" s="128">
        <v>1.99</v>
      </c>
      <c r="W82" s="128">
        <v>2</v>
      </c>
      <c r="X82" s="128">
        <v>2.0099999999999998</v>
      </c>
      <c r="Y82" s="128">
        <v>2.02</v>
      </c>
      <c r="Z82" s="128">
        <v>2.02</v>
      </c>
      <c r="AA82" s="128">
        <v>2.0299999999999998</v>
      </c>
      <c r="AB82" s="128">
        <v>2.04</v>
      </c>
      <c r="AC82" s="128">
        <v>2.0499999999999998</v>
      </c>
      <c r="AD82" s="128">
        <v>2.06</v>
      </c>
      <c r="AE82" s="128">
        <v>2.0699999999999998</v>
      </c>
      <c r="AF82" s="128">
        <v>2.0699999999999998</v>
      </c>
      <c r="AG82" s="128">
        <v>2.08</v>
      </c>
      <c r="AH82" s="128">
        <v>2.09</v>
      </c>
      <c r="AI82" s="128">
        <v>2.1</v>
      </c>
      <c r="AJ82" s="128">
        <v>2.11</v>
      </c>
      <c r="AK82" s="128">
        <v>2.12</v>
      </c>
      <c r="AL82" s="128">
        <v>2.12</v>
      </c>
      <c r="AM82" s="128">
        <v>2.13</v>
      </c>
      <c r="AN82" s="128">
        <v>2.14</v>
      </c>
      <c r="AO82" s="128">
        <v>2.15</v>
      </c>
      <c r="AP82" s="128">
        <v>2.16</v>
      </c>
      <c r="AQ82" s="128">
        <v>2.17</v>
      </c>
      <c r="AR82" s="128">
        <v>2.17</v>
      </c>
      <c r="AS82" s="128">
        <v>2.1800000000000002</v>
      </c>
      <c r="AT82" s="128">
        <v>2.19</v>
      </c>
      <c r="AU82" s="128">
        <v>2.2000000000000002</v>
      </c>
      <c r="AV82" s="128">
        <v>2.21</v>
      </c>
      <c r="AW82" s="128">
        <v>2.21</v>
      </c>
      <c r="AX82" s="128">
        <v>2.2200000000000002</v>
      </c>
      <c r="AY82" s="128">
        <v>2.23</v>
      </c>
      <c r="AZ82" s="128">
        <v>2.2400000000000002</v>
      </c>
      <c r="BA82" s="128">
        <v>2.25</v>
      </c>
      <c r="BB82" s="128">
        <v>2.2599999999999998</v>
      </c>
      <c r="BC82" s="128">
        <v>2.2599999999999998</v>
      </c>
      <c r="BD82" s="128">
        <v>2.27</v>
      </c>
      <c r="BE82" s="128">
        <v>2.2799999999999998</v>
      </c>
      <c r="BF82" s="128">
        <v>2.29</v>
      </c>
      <c r="BG82" s="128">
        <v>2.2999999999999998</v>
      </c>
      <c r="BH82" s="128">
        <v>2.31</v>
      </c>
      <c r="BI82" s="128">
        <v>2.31</v>
      </c>
      <c r="BJ82" s="128">
        <v>2.3199999999999998</v>
      </c>
      <c r="BK82" s="128">
        <v>2.33</v>
      </c>
      <c r="BL82" s="128">
        <v>2.34</v>
      </c>
      <c r="BM82" s="128">
        <v>2.35</v>
      </c>
      <c r="BN82" s="128">
        <v>2.36</v>
      </c>
      <c r="BO82" s="128">
        <v>2.36</v>
      </c>
      <c r="BP82" s="128">
        <v>2.37</v>
      </c>
      <c r="BQ82" s="128">
        <v>2.38</v>
      </c>
      <c r="BR82" s="128">
        <v>2.39</v>
      </c>
      <c r="BS82" s="128">
        <v>2.4</v>
      </c>
      <c r="BT82" s="128">
        <v>2.4</v>
      </c>
      <c r="BU82" s="128">
        <v>2.41</v>
      </c>
      <c r="BV82" s="128">
        <v>2.42</v>
      </c>
      <c r="BW82" s="128">
        <v>2.4300000000000002</v>
      </c>
      <c r="BX82" s="128">
        <v>2.44</v>
      </c>
      <c r="BY82" s="128">
        <v>2.4500000000000002</v>
      </c>
      <c r="BZ82" s="128">
        <v>2.4500000000000002</v>
      </c>
      <c r="CA82" s="128">
        <v>2.46</v>
      </c>
      <c r="CB82" s="128">
        <v>2.4700000000000002</v>
      </c>
      <c r="CC82" s="128">
        <v>2.48</v>
      </c>
      <c r="CD82" s="128">
        <v>2.4900000000000002</v>
      </c>
      <c r="CE82" s="128">
        <v>2.5</v>
      </c>
      <c r="CF82" s="128">
        <v>2.52</v>
      </c>
      <c r="CG82" s="128">
        <v>2.5299999999999998</v>
      </c>
      <c r="CH82" s="128">
        <v>2.54</v>
      </c>
      <c r="CI82" s="128">
        <v>2.56</v>
      </c>
      <c r="CJ82" s="128">
        <v>2.57</v>
      </c>
      <c r="CK82" s="128">
        <v>2.58</v>
      </c>
      <c r="CL82" s="128">
        <v>2.6</v>
      </c>
      <c r="CM82" s="128">
        <v>2.61</v>
      </c>
      <c r="CN82" s="128">
        <v>2.63</v>
      </c>
      <c r="CO82" s="128">
        <v>2.64</v>
      </c>
      <c r="CP82" s="128">
        <v>2.66</v>
      </c>
      <c r="CQ82" s="128">
        <v>2.67</v>
      </c>
      <c r="CR82" s="128">
        <v>2.69</v>
      </c>
      <c r="CS82" s="128">
        <v>2.7</v>
      </c>
      <c r="CT82" s="128">
        <v>2.72</v>
      </c>
      <c r="CU82" s="128">
        <v>2.74</v>
      </c>
      <c r="CV82" s="128">
        <v>2.75</v>
      </c>
      <c r="CW82" s="128">
        <v>2.77</v>
      </c>
      <c r="CX82" s="128">
        <v>2.79</v>
      </c>
      <c r="CZ82" s="126">
        <f>SUMIF(MatrixF5[[1]:[2]],MatrixF5[[#This Row],[Столбец1]])/MatrixF5[[#This Row],[Столбец1]]</f>
        <v>87.000000000000043</v>
      </c>
      <c r="DA82" s="126">
        <f>SUMIF(MatrixF5[[1]:[2]],MatrixF5[[#This Row],[Столбец1]]+1)/(MatrixF5[[#This Row],[Столбец1]]+1)</f>
        <v>17.999999999999996</v>
      </c>
    </row>
    <row r="83" spans="1:105" ht="21" customHeight="1" x14ac:dyDescent="0.25">
      <c r="A83" s="127">
        <v>1.8</v>
      </c>
      <c r="B83" s="128">
        <v>1.8</v>
      </c>
      <c r="C83" s="128">
        <v>1.81</v>
      </c>
      <c r="D83" s="128">
        <v>1.82</v>
      </c>
      <c r="E83" s="128">
        <v>1.83</v>
      </c>
      <c r="F83" s="128">
        <v>1.85</v>
      </c>
      <c r="G83" s="128">
        <v>1.86</v>
      </c>
      <c r="H83" s="128">
        <v>1.87</v>
      </c>
      <c r="I83" s="128">
        <v>1.88</v>
      </c>
      <c r="J83" s="128">
        <v>1.89</v>
      </c>
      <c r="K83" s="128">
        <v>1.9</v>
      </c>
      <c r="L83" s="128">
        <v>1.91</v>
      </c>
      <c r="M83" s="128">
        <v>1.92</v>
      </c>
      <c r="N83" s="128">
        <v>1.93</v>
      </c>
      <c r="O83" s="128">
        <v>1.94</v>
      </c>
      <c r="P83" s="128">
        <v>1.95</v>
      </c>
      <c r="Q83" s="128">
        <v>1.96</v>
      </c>
      <c r="R83" s="128">
        <v>1.97</v>
      </c>
      <c r="S83" s="128">
        <v>1.97</v>
      </c>
      <c r="T83" s="128">
        <v>1.98</v>
      </c>
      <c r="U83" s="128">
        <v>1.99</v>
      </c>
      <c r="V83" s="128">
        <v>2</v>
      </c>
      <c r="W83" s="128">
        <v>2.0099999999999998</v>
      </c>
      <c r="X83" s="128">
        <v>2.02</v>
      </c>
      <c r="Y83" s="128">
        <v>2.0299999999999998</v>
      </c>
      <c r="Z83" s="128">
        <v>2.0299999999999998</v>
      </c>
      <c r="AA83" s="128">
        <v>2.04</v>
      </c>
      <c r="AB83" s="128">
        <v>2.0499999999999998</v>
      </c>
      <c r="AC83" s="128">
        <v>2.06</v>
      </c>
      <c r="AD83" s="128">
        <v>2.0699999999999998</v>
      </c>
      <c r="AE83" s="128">
        <v>2.08</v>
      </c>
      <c r="AF83" s="128">
        <v>2.08</v>
      </c>
      <c r="AG83" s="128">
        <v>2.09</v>
      </c>
      <c r="AH83" s="128">
        <v>2.1</v>
      </c>
      <c r="AI83" s="128">
        <v>2.11</v>
      </c>
      <c r="AJ83" s="128">
        <v>2.12</v>
      </c>
      <c r="AK83" s="128">
        <v>2.12</v>
      </c>
      <c r="AL83" s="128">
        <v>2.13</v>
      </c>
      <c r="AM83" s="128">
        <v>2.14</v>
      </c>
      <c r="AN83" s="128">
        <v>2.15</v>
      </c>
      <c r="AO83" s="128">
        <v>2.16</v>
      </c>
      <c r="AP83" s="128">
        <v>2.17</v>
      </c>
      <c r="AQ83" s="128">
        <v>2.1800000000000002</v>
      </c>
      <c r="AR83" s="128">
        <v>2.1800000000000002</v>
      </c>
      <c r="AS83" s="128">
        <v>2.19</v>
      </c>
      <c r="AT83" s="128">
        <v>2.2000000000000002</v>
      </c>
      <c r="AU83" s="128">
        <v>2.21</v>
      </c>
      <c r="AV83" s="128">
        <v>2.2200000000000002</v>
      </c>
      <c r="AW83" s="128">
        <v>2.23</v>
      </c>
      <c r="AX83" s="128">
        <v>2.23</v>
      </c>
      <c r="AY83" s="128">
        <v>2.2400000000000002</v>
      </c>
      <c r="AZ83" s="128">
        <v>2.25</v>
      </c>
      <c r="BA83" s="128">
        <v>2.2599999999999998</v>
      </c>
      <c r="BB83" s="128">
        <v>2.27</v>
      </c>
      <c r="BC83" s="128">
        <v>2.27</v>
      </c>
      <c r="BD83" s="128">
        <v>2.2799999999999998</v>
      </c>
      <c r="BE83" s="128">
        <v>2.29</v>
      </c>
      <c r="BF83" s="128">
        <v>2.2999999999999998</v>
      </c>
      <c r="BG83" s="128">
        <v>2.31</v>
      </c>
      <c r="BH83" s="128">
        <v>2.3199999999999998</v>
      </c>
      <c r="BI83" s="128">
        <v>2.3199999999999998</v>
      </c>
      <c r="BJ83" s="128">
        <v>2.33</v>
      </c>
      <c r="BK83" s="128">
        <v>2.34</v>
      </c>
      <c r="BL83" s="128">
        <v>2.35</v>
      </c>
      <c r="BM83" s="128">
        <v>2.36</v>
      </c>
      <c r="BN83" s="128">
        <v>2.37</v>
      </c>
      <c r="BO83" s="128">
        <v>2.37</v>
      </c>
      <c r="BP83" s="128">
        <v>2.38</v>
      </c>
      <c r="BQ83" s="128">
        <v>2.39</v>
      </c>
      <c r="BR83" s="128">
        <v>2.4</v>
      </c>
      <c r="BS83" s="128">
        <v>2.41</v>
      </c>
      <c r="BT83" s="128">
        <v>2.42</v>
      </c>
      <c r="BU83" s="128">
        <v>2.42</v>
      </c>
      <c r="BV83" s="128">
        <v>2.4300000000000002</v>
      </c>
      <c r="BW83" s="128">
        <v>2.44</v>
      </c>
      <c r="BX83" s="128">
        <v>2.4500000000000002</v>
      </c>
      <c r="BY83" s="128">
        <v>2.46</v>
      </c>
      <c r="BZ83" s="128">
        <v>2.4700000000000002</v>
      </c>
      <c r="CA83" s="128">
        <v>2.4700000000000002</v>
      </c>
      <c r="CB83" s="128">
        <v>2.48</v>
      </c>
      <c r="CC83" s="128">
        <v>2.4900000000000002</v>
      </c>
      <c r="CD83" s="128">
        <v>2.5</v>
      </c>
      <c r="CE83" s="128">
        <v>2.5099999999999998</v>
      </c>
      <c r="CF83" s="128">
        <v>2.5299999999999998</v>
      </c>
      <c r="CG83" s="128">
        <v>2.54</v>
      </c>
      <c r="CH83" s="128">
        <v>2.5499999999999998</v>
      </c>
      <c r="CI83" s="128">
        <v>2.57</v>
      </c>
      <c r="CJ83" s="128">
        <v>2.58</v>
      </c>
      <c r="CK83" s="128">
        <v>2.59</v>
      </c>
      <c r="CL83" s="128">
        <v>2.61</v>
      </c>
      <c r="CM83" s="128">
        <v>2.62</v>
      </c>
      <c r="CN83" s="128">
        <v>2.64</v>
      </c>
      <c r="CO83" s="128">
        <v>2.65</v>
      </c>
      <c r="CP83" s="128">
        <v>2.67</v>
      </c>
      <c r="CQ83" s="128">
        <v>2.68</v>
      </c>
      <c r="CR83" s="128">
        <v>2.7</v>
      </c>
      <c r="CS83" s="128">
        <v>2.71</v>
      </c>
      <c r="CT83" s="128">
        <v>2.73</v>
      </c>
      <c r="CU83" s="128">
        <v>2.75</v>
      </c>
      <c r="CV83" s="128">
        <v>2.76</v>
      </c>
      <c r="CW83" s="128">
        <v>2.78</v>
      </c>
      <c r="CX83" s="128">
        <v>2.8</v>
      </c>
      <c r="CZ83" s="126">
        <f>SUMIF(MatrixF5[[1]:[2]],MatrixF5[[#This Row],[Столбец1]])/MatrixF5[[#This Row],[Столбец1]]</f>
        <v>86</v>
      </c>
      <c r="DA83" s="126">
        <f>SUMIF(MatrixF5[[1]:[2]],MatrixF5[[#This Row],[Столбец1]]+1)/(MatrixF5[[#This Row],[Столбец1]]+1)</f>
        <v>14.999999999999998</v>
      </c>
    </row>
    <row r="84" spans="1:105" ht="21" customHeight="1" x14ac:dyDescent="0.25">
      <c r="A84" s="127">
        <v>1.81</v>
      </c>
      <c r="B84" s="128">
        <v>1.81</v>
      </c>
      <c r="C84" s="128">
        <v>1.82</v>
      </c>
      <c r="D84" s="128">
        <v>1.83</v>
      </c>
      <c r="E84" s="128">
        <v>1.84</v>
      </c>
      <c r="F84" s="128">
        <v>1.86</v>
      </c>
      <c r="G84" s="128">
        <v>1.87</v>
      </c>
      <c r="H84" s="128">
        <v>1.88</v>
      </c>
      <c r="I84" s="128">
        <v>1.89</v>
      </c>
      <c r="J84" s="128">
        <v>1.9</v>
      </c>
      <c r="K84" s="128">
        <v>1.91</v>
      </c>
      <c r="L84" s="128">
        <v>1.92</v>
      </c>
      <c r="M84" s="128">
        <v>1.93</v>
      </c>
      <c r="N84" s="128">
        <v>1.94</v>
      </c>
      <c r="O84" s="128">
        <v>1.95</v>
      </c>
      <c r="P84" s="128">
        <v>1.96</v>
      </c>
      <c r="Q84" s="128">
        <v>1.97</v>
      </c>
      <c r="R84" s="128">
        <v>1.97</v>
      </c>
      <c r="S84" s="128">
        <v>1.98</v>
      </c>
      <c r="T84" s="128">
        <v>1.99</v>
      </c>
      <c r="U84" s="128">
        <v>2</v>
      </c>
      <c r="V84" s="128">
        <v>2.0099999999999998</v>
      </c>
      <c r="W84" s="128">
        <v>2.02</v>
      </c>
      <c r="X84" s="128">
        <v>2.0299999999999998</v>
      </c>
      <c r="Y84" s="128">
        <v>2.0299999999999998</v>
      </c>
      <c r="Z84" s="128">
        <v>2.04</v>
      </c>
      <c r="AA84" s="128">
        <v>2.0499999999999998</v>
      </c>
      <c r="AB84" s="128">
        <v>2.06</v>
      </c>
      <c r="AC84" s="128">
        <v>2.0699999999999998</v>
      </c>
      <c r="AD84" s="128">
        <v>2.08</v>
      </c>
      <c r="AE84" s="128">
        <v>2.08</v>
      </c>
      <c r="AF84" s="128">
        <v>2.09</v>
      </c>
      <c r="AG84" s="128">
        <v>2.1</v>
      </c>
      <c r="AH84" s="128">
        <v>2.11</v>
      </c>
      <c r="AI84" s="128">
        <v>2.12</v>
      </c>
      <c r="AJ84" s="128">
        <v>2.13</v>
      </c>
      <c r="AK84" s="128">
        <v>2.13</v>
      </c>
      <c r="AL84" s="128">
        <v>2.14</v>
      </c>
      <c r="AM84" s="128">
        <v>2.15</v>
      </c>
      <c r="AN84" s="128">
        <v>2.16</v>
      </c>
      <c r="AO84" s="128">
        <v>2.17</v>
      </c>
      <c r="AP84" s="128">
        <v>2.1800000000000002</v>
      </c>
      <c r="AQ84" s="128">
        <v>2.1800000000000002</v>
      </c>
      <c r="AR84" s="128">
        <v>2.19</v>
      </c>
      <c r="AS84" s="128">
        <v>2.2000000000000002</v>
      </c>
      <c r="AT84" s="128">
        <v>2.21</v>
      </c>
      <c r="AU84" s="128">
        <v>2.2200000000000002</v>
      </c>
      <c r="AV84" s="128">
        <v>2.23</v>
      </c>
      <c r="AW84" s="128">
        <v>2.2400000000000002</v>
      </c>
      <c r="AX84" s="128">
        <v>2.2400000000000002</v>
      </c>
      <c r="AY84" s="128">
        <v>2.25</v>
      </c>
      <c r="AZ84" s="128">
        <v>2.2599999999999998</v>
      </c>
      <c r="BA84" s="128">
        <v>2.27</v>
      </c>
      <c r="BB84" s="128">
        <v>2.2799999999999998</v>
      </c>
      <c r="BC84" s="128">
        <v>2.29</v>
      </c>
      <c r="BD84" s="128">
        <v>2.29</v>
      </c>
      <c r="BE84" s="128">
        <v>2.2999999999999998</v>
      </c>
      <c r="BF84" s="128">
        <v>2.31</v>
      </c>
      <c r="BG84" s="128">
        <v>2.3199999999999998</v>
      </c>
      <c r="BH84" s="128">
        <v>2.33</v>
      </c>
      <c r="BI84" s="128">
        <v>2.34</v>
      </c>
      <c r="BJ84" s="128">
        <v>2.34</v>
      </c>
      <c r="BK84" s="128">
        <v>2.35</v>
      </c>
      <c r="BL84" s="128">
        <v>2.36</v>
      </c>
      <c r="BM84" s="128">
        <v>2.37</v>
      </c>
      <c r="BN84" s="128">
        <v>2.38</v>
      </c>
      <c r="BO84" s="128">
        <v>2.39</v>
      </c>
      <c r="BP84" s="128">
        <v>2.39</v>
      </c>
      <c r="BQ84" s="128">
        <v>2.4</v>
      </c>
      <c r="BR84" s="128">
        <v>2.41</v>
      </c>
      <c r="BS84" s="128">
        <v>2.42</v>
      </c>
      <c r="BT84" s="128">
        <v>2.4300000000000002</v>
      </c>
      <c r="BU84" s="128">
        <v>2.44</v>
      </c>
      <c r="BV84" s="128">
        <v>2.4500000000000002</v>
      </c>
      <c r="BW84" s="128">
        <v>2.4500000000000002</v>
      </c>
      <c r="BX84" s="128">
        <v>2.46</v>
      </c>
      <c r="BY84" s="128">
        <v>2.4700000000000002</v>
      </c>
      <c r="BZ84" s="128">
        <v>2.48</v>
      </c>
      <c r="CA84" s="128">
        <v>2.4900000000000002</v>
      </c>
      <c r="CB84" s="128">
        <v>2.5</v>
      </c>
      <c r="CC84" s="128">
        <v>2.5</v>
      </c>
      <c r="CD84" s="128">
        <v>2.5099999999999998</v>
      </c>
      <c r="CE84" s="128">
        <v>2.52</v>
      </c>
      <c r="CF84" s="128">
        <v>2.5299999999999998</v>
      </c>
      <c r="CG84" s="128">
        <v>2.5499999999999998</v>
      </c>
      <c r="CH84" s="128">
        <v>2.56</v>
      </c>
      <c r="CI84" s="128">
        <v>2.57</v>
      </c>
      <c r="CJ84" s="128">
        <v>2.59</v>
      </c>
      <c r="CK84" s="128">
        <v>2.6</v>
      </c>
      <c r="CL84" s="128">
        <v>2.62</v>
      </c>
      <c r="CM84" s="128">
        <v>2.63</v>
      </c>
      <c r="CN84" s="128">
        <v>2.65</v>
      </c>
      <c r="CO84" s="128">
        <v>2.66</v>
      </c>
      <c r="CP84" s="128">
        <v>2.68</v>
      </c>
      <c r="CQ84" s="128">
        <v>2.69</v>
      </c>
      <c r="CR84" s="128">
        <v>2.71</v>
      </c>
      <c r="CS84" s="128">
        <v>2.72</v>
      </c>
      <c r="CT84" s="128">
        <v>2.74</v>
      </c>
      <c r="CU84" s="128">
        <v>2.76</v>
      </c>
      <c r="CV84" s="128">
        <v>2.77</v>
      </c>
      <c r="CW84" s="128">
        <v>2.79</v>
      </c>
      <c r="CX84" s="128">
        <v>2.81</v>
      </c>
      <c r="CZ84" s="126">
        <f>SUMIF(MatrixF5[[1]:[2]],MatrixF5[[#This Row],[Столбец1]])/MatrixF5[[#This Row],[Столбец1]]</f>
        <v>89.000000000000071</v>
      </c>
      <c r="DA84" s="126">
        <f>SUMIF(MatrixF5[[1]:[2]],MatrixF5[[#This Row],[Столбец1]]+1)/(MatrixF5[[#This Row],[Столбец1]]+1)</f>
        <v>13.999999999999998</v>
      </c>
    </row>
    <row r="85" spans="1:105" ht="21" customHeight="1" x14ac:dyDescent="0.25">
      <c r="A85" s="127">
        <v>1.82</v>
      </c>
      <c r="B85" s="128">
        <v>1.82</v>
      </c>
      <c r="C85" s="128">
        <v>1.83</v>
      </c>
      <c r="D85" s="128">
        <v>1.84</v>
      </c>
      <c r="E85" s="128">
        <v>1.85</v>
      </c>
      <c r="F85" s="128">
        <v>1.87</v>
      </c>
      <c r="G85" s="128">
        <v>1.88</v>
      </c>
      <c r="H85" s="128">
        <v>1.89</v>
      </c>
      <c r="I85" s="128">
        <v>1.9</v>
      </c>
      <c r="J85" s="128">
        <v>1.91</v>
      </c>
      <c r="K85" s="128">
        <v>1.92</v>
      </c>
      <c r="L85" s="128">
        <v>1.93</v>
      </c>
      <c r="M85" s="128">
        <v>1.94</v>
      </c>
      <c r="N85" s="128">
        <v>1.95</v>
      </c>
      <c r="O85" s="128">
        <v>1.96</v>
      </c>
      <c r="P85" s="128">
        <v>1.96</v>
      </c>
      <c r="Q85" s="128">
        <v>1.97</v>
      </c>
      <c r="R85" s="128">
        <v>1.98</v>
      </c>
      <c r="S85" s="128">
        <v>1.99</v>
      </c>
      <c r="T85" s="128">
        <v>2</v>
      </c>
      <c r="U85" s="128">
        <v>2.0099999999999998</v>
      </c>
      <c r="V85" s="128">
        <v>2.02</v>
      </c>
      <c r="W85" s="128">
        <v>2.0299999999999998</v>
      </c>
      <c r="X85" s="128">
        <v>2.0299999999999998</v>
      </c>
      <c r="Y85" s="128">
        <v>2.04</v>
      </c>
      <c r="Z85" s="128">
        <v>2.0499999999999998</v>
      </c>
      <c r="AA85" s="128">
        <v>2.06</v>
      </c>
      <c r="AB85" s="128">
        <v>2.0699999999999998</v>
      </c>
      <c r="AC85" s="128">
        <v>2.08</v>
      </c>
      <c r="AD85" s="128">
        <v>2.08</v>
      </c>
      <c r="AE85" s="128">
        <v>2.09</v>
      </c>
      <c r="AF85" s="128">
        <v>2.1</v>
      </c>
      <c r="AG85" s="128">
        <v>2.11</v>
      </c>
      <c r="AH85" s="128">
        <v>2.12</v>
      </c>
      <c r="AI85" s="128">
        <v>2.13</v>
      </c>
      <c r="AJ85" s="128">
        <v>2.14</v>
      </c>
      <c r="AK85" s="128">
        <v>2.14</v>
      </c>
      <c r="AL85" s="128">
        <v>2.15</v>
      </c>
      <c r="AM85" s="128">
        <v>2.16</v>
      </c>
      <c r="AN85" s="128">
        <v>2.17</v>
      </c>
      <c r="AO85" s="128">
        <v>2.1800000000000002</v>
      </c>
      <c r="AP85" s="128">
        <v>2.19</v>
      </c>
      <c r="AQ85" s="128">
        <v>2.19</v>
      </c>
      <c r="AR85" s="128">
        <v>2.2000000000000002</v>
      </c>
      <c r="AS85" s="128">
        <v>2.21</v>
      </c>
      <c r="AT85" s="128">
        <v>2.2200000000000002</v>
      </c>
      <c r="AU85" s="128">
        <v>2.23</v>
      </c>
      <c r="AV85" s="128">
        <v>2.2400000000000002</v>
      </c>
      <c r="AW85" s="128">
        <v>2.25</v>
      </c>
      <c r="AX85" s="128">
        <v>2.25</v>
      </c>
      <c r="AY85" s="128">
        <v>2.2599999999999998</v>
      </c>
      <c r="AZ85" s="128">
        <v>2.27</v>
      </c>
      <c r="BA85" s="128">
        <v>2.2799999999999998</v>
      </c>
      <c r="BB85" s="128">
        <v>2.29</v>
      </c>
      <c r="BC85" s="128">
        <v>2.2999999999999998</v>
      </c>
      <c r="BD85" s="128">
        <v>2.31</v>
      </c>
      <c r="BE85" s="128">
        <v>2.31</v>
      </c>
      <c r="BF85" s="128">
        <v>2.3199999999999998</v>
      </c>
      <c r="BG85" s="128">
        <v>2.33</v>
      </c>
      <c r="BH85" s="128">
        <v>2.34</v>
      </c>
      <c r="BI85" s="128">
        <v>2.35</v>
      </c>
      <c r="BJ85" s="128">
        <v>2.36</v>
      </c>
      <c r="BK85" s="128">
        <v>2.36</v>
      </c>
      <c r="BL85" s="128">
        <v>2.37</v>
      </c>
      <c r="BM85" s="128">
        <v>2.38</v>
      </c>
      <c r="BN85" s="128">
        <v>2.39</v>
      </c>
      <c r="BO85" s="128">
        <v>2.4</v>
      </c>
      <c r="BP85" s="128">
        <v>2.41</v>
      </c>
      <c r="BQ85" s="128">
        <v>2.42</v>
      </c>
      <c r="BR85" s="128">
        <v>2.42</v>
      </c>
      <c r="BS85" s="128">
        <v>2.4300000000000002</v>
      </c>
      <c r="BT85" s="128">
        <v>2.44</v>
      </c>
      <c r="BU85" s="128">
        <v>2.4500000000000002</v>
      </c>
      <c r="BV85" s="128">
        <v>2.46</v>
      </c>
      <c r="BW85" s="128">
        <v>2.4700000000000002</v>
      </c>
      <c r="BX85" s="128">
        <v>2.4700000000000002</v>
      </c>
      <c r="BY85" s="128">
        <v>2.48</v>
      </c>
      <c r="BZ85" s="128">
        <v>2.4900000000000002</v>
      </c>
      <c r="CA85" s="128">
        <v>2.5</v>
      </c>
      <c r="CB85" s="128">
        <v>2.5099999999999998</v>
      </c>
      <c r="CC85" s="128">
        <v>2.52</v>
      </c>
      <c r="CD85" s="128">
        <v>2.5299999999999998</v>
      </c>
      <c r="CE85" s="128">
        <v>2.5299999999999998</v>
      </c>
      <c r="CF85" s="128">
        <v>2.54</v>
      </c>
      <c r="CG85" s="128">
        <v>2.56</v>
      </c>
      <c r="CH85" s="128">
        <v>2.57</v>
      </c>
      <c r="CI85" s="128">
        <v>2.58</v>
      </c>
      <c r="CJ85" s="128">
        <v>2.6</v>
      </c>
      <c r="CK85" s="128">
        <v>2.61</v>
      </c>
      <c r="CL85" s="128">
        <v>2.62</v>
      </c>
      <c r="CM85" s="128">
        <v>2.64</v>
      </c>
      <c r="CN85" s="128">
        <v>2.65</v>
      </c>
      <c r="CO85" s="128">
        <v>2.67</v>
      </c>
      <c r="CP85" s="128">
        <v>2.69</v>
      </c>
      <c r="CQ85" s="128">
        <v>2.7</v>
      </c>
      <c r="CR85" s="128">
        <v>2.72</v>
      </c>
      <c r="CS85" s="128">
        <v>2.73</v>
      </c>
      <c r="CT85" s="128">
        <v>2.75</v>
      </c>
      <c r="CU85" s="128">
        <v>2.77</v>
      </c>
      <c r="CV85" s="128">
        <v>2.78</v>
      </c>
      <c r="CW85" s="128">
        <v>2.8</v>
      </c>
      <c r="CX85" s="128">
        <v>2.82</v>
      </c>
      <c r="CZ85" s="126">
        <f>SUMIF(MatrixF5[[1]:[2]],MatrixF5[[#This Row],[Столбец1]])/MatrixF5[[#This Row],[Столбец1]]</f>
        <v>91.999999999999787</v>
      </c>
      <c r="DA85" s="126">
        <f>SUMIF(MatrixF5[[1]:[2]],MatrixF5[[#This Row],[Столбец1]]+1)/(MatrixF5[[#This Row],[Столбец1]]+1)</f>
        <v>13.999999999999998</v>
      </c>
    </row>
    <row r="86" spans="1:105" ht="21" customHeight="1" x14ac:dyDescent="0.25">
      <c r="A86" s="127">
        <v>1.83</v>
      </c>
      <c r="B86" s="128">
        <v>1.83</v>
      </c>
      <c r="C86" s="128">
        <v>1.84</v>
      </c>
      <c r="D86" s="128">
        <v>1.85</v>
      </c>
      <c r="E86" s="128">
        <v>1.86</v>
      </c>
      <c r="F86" s="128">
        <v>1.88</v>
      </c>
      <c r="G86" s="128">
        <v>1.89</v>
      </c>
      <c r="H86" s="128">
        <v>1.9</v>
      </c>
      <c r="I86" s="128">
        <v>1.91</v>
      </c>
      <c r="J86" s="128">
        <v>1.92</v>
      </c>
      <c r="K86" s="128">
        <v>1.93</v>
      </c>
      <c r="L86" s="128">
        <v>1.94</v>
      </c>
      <c r="M86" s="128">
        <v>1.95</v>
      </c>
      <c r="N86" s="128">
        <v>1.96</v>
      </c>
      <c r="O86" s="128">
        <v>1.96</v>
      </c>
      <c r="P86" s="128">
        <v>1.97</v>
      </c>
      <c r="Q86" s="128">
        <v>1.98</v>
      </c>
      <c r="R86" s="128">
        <v>1.99</v>
      </c>
      <c r="S86" s="128">
        <v>2</v>
      </c>
      <c r="T86" s="128">
        <v>2.0099999999999998</v>
      </c>
      <c r="U86" s="128">
        <v>2.02</v>
      </c>
      <c r="V86" s="128">
        <v>2.0299999999999998</v>
      </c>
      <c r="W86" s="128">
        <v>2.0299999999999998</v>
      </c>
      <c r="X86" s="128">
        <v>2.04</v>
      </c>
      <c r="Y86" s="128">
        <v>2.0499999999999998</v>
      </c>
      <c r="Z86" s="128">
        <v>2.06</v>
      </c>
      <c r="AA86" s="128">
        <v>2.0699999999999998</v>
      </c>
      <c r="AB86" s="128">
        <v>2.08</v>
      </c>
      <c r="AC86" s="128">
        <v>2.09</v>
      </c>
      <c r="AD86" s="128">
        <v>2.09</v>
      </c>
      <c r="AE86" s="128">
        <v>2.1</v>
      </c>
      <c r="AF86" s="128">
        <v>2.11</v>
      </c>
      <c r="AG86" s="128">
        <v>2.12</v>
      </c>
      <c r="AH86" s="128">
        <v>2.13</v>
      </c>
      <c r="AI86" s="128">
        <v>2.14</v>
      </c>
      <c r="AJ86" s="128">
        <v>2.15</v>
      </c>
      <c r="AK86" s="128">
        <v>2.15</v>
      </c>
      <c r="AL86" s="128">
        <v>2.16</v>
      </c>
      <c r="AM86" s="128">
        <v>2.17</v>
      </c>
      <c r="AN86" s="128">
        <v>2.1800000000000002</v>
      </c>
      <c r="AO86" s="128">
        <v>2.19</v>
      </c>
      <c r="AP86" s="128">
        <v>2.2000000000000002</v>
      </c>
      <c r="AQ86" s="128">
        <v>2.21</v>
      </c>
      <c r="AR86" s="128">
        <v>2.21</v>
      </c>
      <c r="AS86" s="128">
        <v>2.2200000000000002</v>
      </c>
      <c r="AT86" s="128">
        <v>2.23</v>
      </c>
      <c r="AU86" s="128">
        <v>2.2400000000000002</v>
      </c>
      <c r="AV86" s="128">
        <v>2.25</v>
      </c>
      <c r="AW86" s="128">
        <v>2.2599999999999998</v>
      </c>
      <c r="AX86" s="128">
        <v>2.2599999999999998</v>
      </c>
      <c r="AY86" s="128">
        <v>2.27</v>
      </c>
      <c r="AZ86" s="128">
        <v>2.2799999999999998</v>
      </c>
      <c r="BA86" s="128">
        <v>2.29</v>
      </c>
      <c r="BB86" s="128">
        <v>2.2999999999999998</v>
      </c>
      <c r="BC86" s="128">
        <v>2.31</v>
      </c>
      <c r="BD86" s="128">
        <v>2.3199999999999998</v>
      </c>
      <c r="BE86" s="128">
        <v>2.3199999999999998</v>
      </c>
      <c r="BF86" s="128">
        <v>2.33</v>
      </c>
      <c r="BG86" s="128">
        <v>2.34</v>
      </c>
      <c r="BH86" s="128">
        <v>2.35</v>
      </c>
      <c r="BI86" s="128">
        <v>2.36</v>
      </c>
      <c r="BJ86" s="128">
        <v>2.37</v>
      </c>
      <c r="BK86" s="128">
        <v>2.38</v>
      </c>
      <c r="BL86" s="128">
        <v>2.38</v>
      </c>
      <c r="BM86" s="128">
        <v>2.39</v>
      </c>
      <c r="BN86" s="128">
        <v>2.4</v>
      </c>
      <c r="BO86" s="128">
        <v>2.41</v>
      </c>
      <c r="BP86" s="128">
        <v>2.42</v>
      </c>
      <c r="BQ86" s="128">
        <v>2.4300000000000002</v>
      </c>
      <c r="BR86" s="128">
        <v>2.44</v>
      </c>
      <c r="BS86" s="128">
        <v>2.44</v>
      </c>
      <c r="BT86" s="128">
        <v>2.4500000000000002</v>
      </c>
      <c r="BU86" s="128">
        <v>2.46</v>
      </c>
      <c r="BV86" s="128">
        <v>2.4700000000000002</v>
      </c>
      <c r="BW86" s="128">
        <v>2.48</v>
      </c>
      <c r="BX86" s="128">
        <v>2.4900000000000002</v>
      </c>
      <c r="BY86" s="128">
        <v>2.5</v>
      </c>
      <c r="BZ86" s="128">
        <v>2.5</v>
      </c>
      <c r="CA86" s="128">
        <v>2.5099999999999998</v>
      </c>
      <c r="CB86" s="128">
        <v>2.52</v>
      </c>
      <c r="CC86" s="128">
        <v>2.5299999999999998</v>
      </c>
      <c r="CD86" s="128">
        <v>2.54</v>
      </c>
      <c r="CE86" s="128">
        <v>2.5499999999999998</v>
      </c>
      <c r="CF86" s="128">
        <v>2.56</v>
      </c>
      <c r="CG86" s="128">
        <v>2.56</v>
      </c>
      <c r="CH86" s="128">
        <v>2.58</v>
      </c>
      <c r="CI86" s="128">
        <v>2.59</v>
      </c>
      <c r="CJ86" s="128">
        <v>2.61</v>
      </c>
      <c r="CK86" s="128">
        <v>2.62</v>
      </c>
      <c r="CL86" s="128">
        <v>2.63</v>
      </c>
      <c r="CM86" s="128">
        <v>2.65</v>
      </c>
      <c r="CN86" s="128">
        <v>2.66</v>
      </c>
      <c r="CO86" s="128">
        <v>2.68</v>
      </c>
      <c r="CP86" s="128">
        <v>2.69</v>
      </c>
      <c r="CQ86" s="128">
        <v>2.71</v>
      </c>
      <c r="CR86" s="128">
        <v>2.73</v>
      </c>
      <c r="CS86" s="128">
        <v>2.74</v>
      </c>
      <c r="CT86" s="128">
        <v>2.76</v>
      </c>
      <c r="CU86" s="128">
        <v>2.78</v>
      </c>
      <c r="CV86" s="128">
        <v>2.79</v>
      </c>
      <c r="CW86" s="128">
        <v>2.81</v>
      </c>
      <c r="CX86" s="128">
        <v>2.83</v>
      </c>
      <c r="CZ86" s="126">
        <f>SUMIF(MatrixF5[[1]:[2]],MatrixF5[[#This Row],[Столбец1]])/MatrixF5[[#This Row],[Столбец1]]</f>
        <v>95.000000000000114</v>
      </c>
      <c r="DA86" s="126">
        <f>SUMIF(MatrixF5[[1]:[2]],MatrixF5[[#This Row],[Столбец1]]+1)/(MatrixF5[[#This Row],[Столбец1]]+1)</f>
        <v>14.999999999999996</v>
      </c>
    </row>
    <row r="87" spans="1:105" ht="21" customHeight="1" x14ac:dyDescent="0.25">
      <c r="A87" s="127">
        <v>1.84</v>
      </c>
      <c r="B87" s="128">
        <v>1.84</v>
      </c>
      <c r="C87" s="128">
        <v>1.85</v>
      </c>
      <c r="D87" s="128">
        <v>1.86</v>
      </c>
      <c r="E87" s="128">
        <v>1.87</v>
      </c>
      <c r="F87" s="128">
        <v>1.88</v>
      </c>
      <c r="G87" s="128">
        <v>1.9</v>
      </c>
      <c r="H87" s="128">
        <v>1.91</v>
      </c>
      <c r="I87" s="128">
        <v>1.92</v>
      </c>
      <c r="J87" s="128">
        <v>1.93</v>
      </c>
      <c r="K87" s="128">
        <v>1.94</v>
      </c>
      <c r="L87" s="128">
        <v>1.95</v>
      </c>
      <c r="M87" s="128">
        <v>1.95</v>
      </c>
      <c r="N87" s="128">
        <v>1.96</v>
      </c>
      <c r="O87" s="128">
        <v>1.97</v>
      </c>
      <c r="P87" s="128">
        <v>1.98</v>
      </c>
      <c r="Q87" s="128">
        <v>1.99</v>
      </c>
      <c r="R87" s="128">
        <v>2</v>
      </c>
      <c r="S87" s="128">
        <v>2.0099999999999998</v>
      </c>
      <c r="T87" s="128">
        <v>2.02</v>
      </c>
      <c r="U87" s="128">
        <v>2.0299999999999998</v>
      </c>
      <c r="V87" s="128">
        <v>2.0299999999999998</v>
      </c>
      <c r="W87" s="128">
        <v>2.04</v>
      </c>
      <c r="X87" s="128">
        <v>2.0499999999999998</v>
      </c>
      <c r="Y87" s="128">
        <v>2.06</v>
      </c>
      <c r="Z87" s="128">
        <v>2.0699999999999998</v>
      </c>
      <c r="AA87" s="128">
        <v>2.08</v>
      </c>
      <c r="AB87" s="128">
        <v>2.09</v>
      </c>
      <c r="AC87" s="128">
        <v>2.09</v>
      </c>
      <c r="AD87" s="128">
        <v>2.1</v>
      </c>
      <c r="AE87" s="128">
        <v>2.11</v>
      </c>
      <c r="AF87" s="128">
        <v>2.12</v>
      </c>
      <c r="AG87" s="128">
        <v>2.13</v>
      </c>
      <c r="AH87" s="128">
        <v>2.14</v>
      </c>
      <c r="AI87" s="128">
        <v>2.15</v>
      </c>
      <c r="AJ87" s="128">
        <v>2.16</v>
      </c>
      <c r="AK87" s="128">
        <v>2.16</v>
      </c>
      <c r="AL87" s="128">
        <v>2.17</v>
      </c>
      <c r="AM87" s="128">
        <v>2.1800000000000002</v>
      </c>
      <c r="AN87" s="128">
        <v>2.19</v>
      </c>
      <c r="AO87" s="128">
        <v>2.2000000000000002</v>
      </c>
      <c r="AP87" s="128">
        <v>2.21</v>
      </c>
      <c r="AQ87" s="128">
        <v>2.2200000000000002</v>
      </c>
      <c r="AR87" s="128">
        <v>2.2200000000000002</v>
      </c>
      <c r="AS87" s="128">
        <v>2.23</v>
      </c>
      <c r="AT87" s="128">
        <v>2.2400000000000002</v>
      </c>
      <c r="AU87" s="128">
        <v>2.25</v>
      </c>
      <c r="AV87" s="128">
        <v>2.2599999999999998</v>
      </c>
      <c r="AW87" s="128">
        <v>2.27</v>
      </c>
      <c r="AX87" s="128">
        <v>2.2799999999999998</v>
      </c>
      <c r="AY87" s="128">
        <v>2.2799999999999998</v>
      </c>
      <c r="AZ87" s="128">
        <v>2.29</v>
      </c>
      <c r="BA87" s="128">
        <v>2.2999999999999998</v>
      </c>
      <c r="BB87" s="128">
        <v>2.31</v>
      </c>
      <c r="BC87" s="128">
        <v>2.3199999999999998</v>
      </c>
      <c r="BD87" s="128">
        <v>2.33</v>
      </c>
      <c r="BE87" s="128">
        <v>2.34</v>
      </c>
      <c r="BF87" s="128">
        <v>2.34</v>
      </c>
      <c r="BG87" s="128">
        <v>2.35</v>
      </c>
      <c r="BH87" s="128">
        <v>2.36</v>
      </c>
      <c r="BI87" s="128">
        <v>2.37</v>
      </c>
      <c r="BJ87" s="128">
        <v>2.38</v>
      </c>
      <c r="BK87" s="128">
        <v>2.39</v>
      </c>
      <c r="BL87" s="128">
        <v>2.4</v>
      </c>
      <c r="BM87" s="128">
        <v>2.41</v>
      </c>
      <c r="BN87" s="128">
        <v>2.41</v>
      </c>
      <c r="BO87" s="128">
        <v>2.42</v>
      </c>
      <c r="BP87" s="128">
        <v>2.4300000000000002</v>
      </c>
      <c r="BQ87" s="128">
        <v>2.44</v>
      </c>
      <c r="BR87" s="128">
        <v>2.4500000000000002</v>
      </c>
      <c r="BS87" s="128">
        <v>2.46</v>
      </c>
      <c r="BT87" s="128">
        <v>2.4700000000000002</v>
      </c>
      <c r="BU87" s="128">
        <v>2.4700000000000002</v>
      </c>
      <c r="BV87" s="128">
        <v>2.48</v>
      </c>
      <c r="BW87" s="128">
        <v>2.4900000000000002</v>
      </c>
      <c r="BX87" s="128">
        <v>2.5</v>
      </c>
      <c r="BY87" s="128">
        <v>2.5099999999999998</v>
      </c>
      <c r="BZ87" s="128">
        <v>2.52</v>
      </c>
      <c r="CA87" s="128">
        <v>2.5299999999999998</v>
      </c>
      <c r="CB87" s="128">
        <v>2.5299999999999998</v>
      </c>
      <c r="CC87" s="128">
        <v>2.54</v>
      </c>
      <c r="CD87" s="128">
        <v>2.5499999999999998</v>
      </c>
      <c r="CE87" s="128">
        <v>2.56</v>
      </c>
      <c r="CF87" s="128">
        <v>2.57</v>
      </c>
      <c r="CG87" s="128">
        <v>2.58</v>
      </c>
      <c r="CH87" s="128">
        <v>2.59</v>
      </c>
      <c r="CI87" s="128">
        <v>2.6</v>
      </c>
      <c r="CJ87" s="128">
        <v>2.61</v>
      </c>
      <c r="CK87" s="128">
        <v>2.63</v>
      </c>
      <c r="CL87" s="128">
        <v>2.64</v>
      </c>
      <c r="CM87" s="128">
        <v>2.66</v>
      </c>
      <c r="CN87" s="128">
        <v>2.67</v>
      </c>
      <c r="CO87" s="128">
        <v>2.69</v>
      </c>
      <c r="CP87" s="128">
        <v>2.7</v>
      </c>
      <c r="CQ87" s="128">
        <v>2.72</v>
      </c>
      <c r="CR87" s="128">
        <v>2.74</v>
      </c>
      <c r="CS87" s="128">
        <v>2.75</v>
      </c>
      <c r="CT87" s="128">
        <v>2.77</v>
      </c>
      <c r="CU87" s="128">
        <v>2.79</v>
      </c>
      <c r="CV87" s="128">
        <v>2.8</v>
      </c>
      <c r="CW87" s="128">
        <v>2.82</v>
      </c>
      <c r="CX87" s="128">
        <v>2.84</v>
      </c>
      <c r="CZ87" s="126">
        <f>SUMIF(MatrixF5[[1]:[2]],MatrixF5[[#This Row],[Столбец1]])/MatrixF5[[#This Row],[Столбец1]]</f>
        <v>91.000000000000128</v>
      </c>
      <c r="DA87" s="126">
        <f>SUMIF(MatrixF5[[1]:[2]],MatrixF5[[#This Row],[Столбец1]]+1)/(MatrixF5[[#This Row],[Столбец1]]+1)</f>
        <v>12</v>
      </c>
    </row>
    <row r="88" spans="1:105" ht="21" customHeight="1" x14ac:dyDescent="0.25">
      <c r="A88" s="127">
        <v>1.85</v>
      </c>
      <c r="B88" s="128">
        <v>1.85</v>
      </c>
      <c r="C88" s="128">
        <v>1.86</v>
      </c>
      <c r="D88" s="128">
        <v>1.87</v>
      </c>
      <c r="E88" s="128">
        <v>1.88</v>
      </c>
      <c r="F88" s="128">
        <v>1.89</v>
      </c>
      <c r="G88" s="128">
        <v>1.9</v>
      </c>
      <c r="H88" s="128">
        <v>1.92</v>
      </c>
      <c r="I88" s="128">
        <v>1.93</v>
      </c>
      <c r="J88" s="128">
        <v>1.94</v>
      </c>
      <c r="K88" s="128">
        <v>1.94</v>
      </c>
      <c r="L88" s="128">
        <v>1.95</v>
      </c>
      <c r="M88" s="128">
        <v>1.96</v>
      </c>
      <c r="N88" s="128">
        <v>1.97</v>
      </c>
      <c r="O88" s="128">
        <v>1.98</v>
      </c>
      <c r="P88" s="128">
        <v>1.99</v>
      </c>
      <c r="Q88" s="128">
        <v>2</v>
      </c>
      <c r="R88" s="128">
        <v>2.0099999999999998</v>
      </c>
      <c r="S88" s="128">
        <v>2.02</v>
      </c>
      <c r="T88" s="128">
        <v>2.0299999999999998</v>
      </c>
      <c r="U88" s="128">
        <v>2.0299999999999998</v>
      </c>
      <c r="V88" s="128">
        <v>2.04</v>
      </c>
      <c r="W88" s="128">
        <v>2.0499999999999998</v>
      </c>
      <c r="X88" s="128">
        <v>2.06</v>
      </c>
      <c r="Y88" s="128">
        <v>2.0699999999999998</v>
      </c>
      <c r="Z88" s="128">
        <v>2.08</v>
      </c>
      <c r="AA88" s="128">
        <v>2.09</v>
      </c>
      <c r="AB88" s="128">
        <v>2.1</v>
      </c>
      <c r="AC88" s="128">
        <v>2.1</v>
      </c>
      <c r="AD88" s="128">
        <v>2.11</v>
      </c>
      <c r="AE88" s="128">
        <v>2.12</v>
      </c>
      <c r="AF88" s="128">
        <v>2.13</v>
      </c>
      <c r="AG88" s="128">
        <v>2.14</v>
      </c>
      <c r="AH88" s="128">
        <v>2.15</v>
      </c>
      <c r="AI88" s="128">
        <v>2.16</v>
      </c>
      <c r="AJ88" s="128">
        <v>2.17</v>
      </c>
      <c r="AK88" s="128">
        <v>2.17</v>
      </c>
      <c r="AL88" s="128">
        <v>2.1800000000000002</v>
      </c>
      <c r="AM88" s="128">
        <v>2.19</v>
      </c>
      <c r="AN88" s="128">
        <v>2.2000000000000002</v>
      </c>
      <c r="AO88" s="128">
        <v>2.21</v>
      </c>
      <c r="AP88" s="128">
        <v>2.2200000000000002</v>
      </c>
      <c r="AQ88" s="128">
        <v>2.23</v>
      </c>
      <c r="AR88" s="128">
        <v>2.23</v>
      </c>
      <c r="AS88" s="128">
        <v>2.2400000000000002</v>
      </c>
      <c r="AT88" s="128">
        <v>2.25</v>
      </c>
      <c r="AU88" s="128">
        <v>2.2599999999999998</v>
      </c>
      <c r="AV88" s="128">
        <v>2.27</v>
      </c>
      <c r="AW88" s="128">
        <v>2.2799999999999998</v>
      </c>
      <c r="AX88" s="128">
        <v>2.29</v>
      </c>
      <c r="AY88" s="128">
        <v>2.2999999999999998</v>
      </c>
      <c r="AZ88" s="128">
        <v>2.2999999999999998</v>
      </c>
      <c r="BA88" s="128">
        <v>2.31</v>
      </c>
      <c r="BB88" s="128">
        <v>2.3199999999999998</v>
      </c>
      <c r="BC88" s="128">
        <v>2.33</v>
      </c>
      <c r="BD88" s="128">
        <v>2.34</v>
      </c>
      <c r="BE88" s="128">
        <v>2.35</v>
      </c>
      <c r="BF88" s="128">
        <v>2.36</v>
      </c>
      <c r="BG88" s="128">
        <v>2.37</v>
      </c>
      <c r="BH88" s="128">
        <v>2.37</v>
      </c>
      <c r="BI88" s="128">
        <v>2.38</v>
      </c>
      <c r="BJ88" s="128">
        <v>2.39</v>
      </c>
      <c r="BK88" s="128">
        <v>2.4</v>
      </c>
      <c r="BL88" s="128">
        <v>2.41</v>
      </c>
      <c r="BM88" s="128">
        <v>2.42</v>
      </c>
      <c r="BN88" s="128">
        <v>2.4300000000000002</v>
      </c>
      <c r="BO88" s="128">
        <v>2.4300000000000002</v>
      </c>
      <c r="BP88" s="128">
        <v>2.44</v>
      </c>
      <c r="BQ88" s="128">
        <v>2.4500000000000002</v>
      </c>
      <c r="BR88" s="128">
        <v>2.46</v>
      </c>
      <c r="BS88" s="128">
        <v>2.4700000000000002</v>
      </c>
      <c r="BT88" s="128">
        <v>2.48</v>
      </c>
      <c r="BU88" s="128">
        <v>2.4900000000000002</v>
      </c>
      <c r="BV88" s="128">
        <v>2.5</v>
      </c>
      <c r="BW88" s="128">
        <v>2.5</v>
      </c>
      <c r="BX88" s="128">
        <v>2.5099999999999998</v>
      </c>
      <c r="BY88" s="128">
        <v>2.52</v>
      </c>
      <c r="BZ88" s="128">
        <v>2.5299999999999998</v>
      </c>
      <c r="CA88" s="128">
        <v>2.54</v>
      </c>
      <c r="CB88" s="128">
        <v>2.5499999999999998</v>
      </c>
      <c r="CC88" s="128">
        <v>2.56</v>
      </c>
      <c r="CD88" s="128">
        <v>2.57</v>
      </c>
      <c r="CE88" s="128">
        <v>2.57</v>
      </c>
      <c r="CF88" s="128">
        <v>2.58</v>
      </c>
      <c r="CG88" s="128">
        <v>2.59</v>
      </c>
      <c r="CH88" s="128">
        <v>2.6</v>
      </c>
      <c r="CI88" s="128">
        <v>2.61</v>
      </c>
      <c r="CJ88" s="128">
        <v>2.62</v>
      </c>
      <c r="CK88" s="128">
        <v>2.64</v>
      </c>
      <c r="CL88" s="128">
        <v>2.65</v>
      </c>
      <c r="CM88" s="128">
        <v>2.67</v>
      </c>
      <c r="CN88" s="128">
        <v>2.68</v>
      </c>
      <c r="CO88" s="128">
        <v>2.7</v>
      </c>
      <c r="CP88" s="128">
        <v>2.71</v>
      </c>
      <c r="CQ88" s="128">
        <v>2.73</v>
      </c>
      <c r="CR88" s="128">
        <v>2.75</v>
      </c>
      <c r="CS88" s="128">
        <v>2.76</v>
      </c>
      <c r="CT88" s="128">
        <v>2.78</v>
      </c>
      <c r="CU88" s="128">
        <v>2.8</v>
      </c>
      <c r="CV88" s="128">
        <v>2.81</v>
      </c>
      <c r="CW88" s="128">
        <v>2.83</v>
      </c>
      <c r="CX88" s="128">
        <v>2.85</v>
      </c>
      <c r="CZ88" s="126">
        <f>SUMIF(MatrixF5[[1]:[2]],MatrixF5[[#This Row],[Столбец1]])/MatrixF5[[#This Row],[Столбец1]]</f>
        <v>95.999999999999829</v>
      </c>
      <c r="DA88" s="126">
        <f>SUMIF(MatrixF5[[1]:[2]],MatrixF5[[#This Row],[Столбец1]]+1)/(MatrixF5[[#This Row],[Столбец1]]+1)</f>
        <v>12.000000000000004</v>
      </c>
    </row>
    <row r="89" spans="1:105" ht="21" customHeight="1" x14ac:dyDescent="0.25">
      <c r="A89" s="127">
        <v>1.86</v>
      </c>
      <c r="B89" s="128">
        <v>1.86</v>
      </c>
      <c r="C89" s="128">
        <v>1.87</v>
      </c>
      <c r="D89" s="128">
        <v>1.88</v>
      </c>
      <c r="E89" s="128">
        <v>1.89</v>
      </c>
      <c r="F89" s="128">
        <v>1.9</v>
      </c>
      <c r="G89" s="128">
        <v>1.91</v>
      </c>
      <c r="H89" s="128">
        <v>1.92</v>
      </c>
      <c r="I89" s="128">
        <v>1.93</v>
      </c>
      <c r="J89" s="128">
        <v>1.94</v>
      </c>
      <c r="K89" s="128">
        <v>1.95</v>
      </c>
      <c r="L89" s="128">
        <v>1.96</v>
      </c>
      <c r="M89" s="128">
        <v>1.97</v>
      </c>
      <c r="N89" s="128">
        <v>1.98</v>
      </c>
      <c r="O89" s="128">
        <v>1.99</v>
      </c>
      <c r="P89" s="128">
        <v>2</v>
      </c>
      <c r="Q89" s="128">
        <v>2.0099999999999998</v>
      </c>
      <c r="R89" s="128">
        <v>2.02</v>
      </c>
      <c r="S89" s="128">
        <v>2.0299999999999998</v>
      </c>
      <c r="T89" s="128">
        <v>2.04</v>
      </c>
      <c r="U89" s="128">
        <v>2.04</v>
      </c>
      <c r="V89" s="128">
        <v>2.0499999999999998</v>
      </c>
      <c r="W89" s="128">
        <v>2.06</v>
      </c>
      <c r="X89" s="128">
        <v>2.0699999999999998</v>
      </c>
      <c r="Y89" s="128">
        <v>2.08</v>
      </c>
      <c r="Z89" s="128">
        <v>2.09</v>
      </c>
      <c r="AA89" s="128">
        <v>2.1</v>
      </c>
      <c r="AB89" s="128">
        <v>2.11</v>
      </c>
      <c r="AC89" s="128">
        <v>2.11</v>
      </c>
      <c r="AD89" s="128">
        <v>2.12</v>
      </c>
      <c r="AE89" s="128">
        <v>2.13</v>
      </c>
      <c r="AF89" s="128">
        <v>2.14</v>
      </c>
      <c r="AG89" s="128">
        <v>2.15</v>
      </c>
      <c r="AH89" s="128">
        <v>2.16</v>
      </c>
      <c r="AI89" s="128">
        <v>2.17</v>
      </c>
      <c r="AJ89" s="128">
        <v>2.1800000000000002</v>
      </c>
      <c r="AK89" s="128">
        <v>2.1800000000000002</v>
      </c>
      <c r="AL89" s="128">
        <v>2.19</v>
      </c>
      <c r="AM89" s="128">
        <v>2.2000000000000002</v>
      </c>
      <c r="AN89" s="128">
        <v>2.21</v>
      </c>
      <c r="AO89" s="128">
        <v>2.2200000000000002</v>
      </c>
      <c r="AP89" s="128">
        <v>2.23</v>
      </c>
      <c r="AQ89" s="128">
        <v>2.2400000000000002</v>
      </c>
      <c r="AR89" s="128">
        <v>2.25</v>
      </c>
      <c r="AS89" s="128">
        <v>2.25</v>
      </c>
      <c r="AT89" s="128">
        <v>2.2599999999999998</v>
      </c>
      <c r="AU89" s="128">
        <v>2.27</v>
      </c>
      <c r="AV89" s="128">
        <v>2.2799999999999998</v>
      </c>
      <c r="AW89" s="128">
        <v>2.29</v>
      </c>
      <c r="AX89" s="128">
        <v>2.2999999999999998</v>
      </c>
      <c r="AY89" s="128">
        <v>2.31</v>
      </c>
      <c r="AZ89" s="128">
        <v>2.3199999999999998</v>
      </c>
      <c r="BA89" s="128">
        <v>2.3199999999999998</v>
      </c>
      <c r="BB89" s="128">
        <v>2.33</v>
      </c>
      <c r="BC89" s="128">
        <v>2.34</v>
      </c>
      <c r="BD89" s="128">
        <v>2.35</v>
      </c>
      <c r="BE89" s="128">
        <v>2.36</v>
      </c>
      <c r="BF89" s="128">
        <v>2.37</v>
      </c>
      <c r="BG89" s="128">
        <v>2.38</v>
      </c>
      <c r="BH89" s="128">
        <v>2.39</v>
      </c>
      <c r="BI89" s="128">
        <v>2.39</v>
      </c>
      <c r="BJ89" s="128">
        <v>2.4</v>
      </c>
      <c r="BK89" s="128">
        <v>2.41</v>
      </c>
      <c r="BL89" s="128">
        <v>2.42</v>
      </c>
      <c r="BM89" s="128">
        <v>2.4300000000000002</v>
      </c>
      <c r="BN89" s="128">
        <v>2.44</v>
      </c>
      <c r="BO89" s="128">
        <v>2.4500000000000002</v>
      </c>
      <c r="BP89" s="128">
        <v>2.46</v>
      </c>
      <c r="BQ89" s="128">
        <v>2.46</v>
      </c>
      <c r="BR89" s="128">
        <v>2.4700000000000002</v>
      </c>
      <c r="BS89" s="128">
        <v>2.48</v>
      </c>
      <c r="BT89" s="128">
        <v>2.4900000000000002</v>
      </c>
      <c r="BU89" s="128">
        <v>2.5</v>
      </c>
      <c r="BV89" s="128">
        <v>2.5099999999999998</v>
      </c>
      <c r="BW89" s="128">
        <v>2.52</v>
      </c>
      <c r="BX89" s="128">
        <v>2.5299999999999998</v>
      </c>
      <c r="BY89" s="128">
        <v>2.54</v>
      </c>
      <c r="BZ89" s="128">
        <v>2.54</v>
      </c>
      <c r="CA89" s="128">
        <v>2.5499999999999998</v>
      </c>
      <c r="CB89" s="128">
        <v>2.56</v>
      </c>
      <c r="CC89" s="128">
        <v>2.57</v>
      </c>
      <c r="CD89" s="128">
        <v>2.58</v>
      </c>
      <c r="CE89" s="128">
        <v>2.59</v>
      </c>
      <c r="CF89" s="128">
        <v>2.6</v>
      </c>
      <c r="CG89" s="128">
        <v>2.61</v>
      </c>
      <c r="CH89" s="128">
        <v>2.61</v>
      </c>
      <c r="CI89" s="128">
        <v>2.62</v>
      </c>
      <c r="CJ89" s="128">
        <v>2.63</v>
      </c>
      <c r="CK89" s="128">
        <v>2.65</v>
      </c>
      <c r="CL89" s="128">
        <v>2.66</v>
      </c>
      <c r="CM89" s="128">
        <v>2.68</v>
      </c>
      <c r="CN89" s="128">
        <v>2.69</v>
      </c>
      <c r="CO89" s="128">
        <v>2.71</v>
      </c>
      <c r="CP89" s="128">
        <v>2.72</v>
      </c>
      <c r="CQ89" s="128">
        <v>2.74</v>
      </c>
      <c r="CR89" s="128">
        <v>2.75</v>
      </c>
      <c r="CS89" s="128">
        <v>2.77</v>
      </c>
      <c r="CT89" s="128">
        <v>2.79</v>
      </c>
      <c r="CU89" s="128">
        <v>2.81</v>
      </c>
      <c r="CV89" s="128">
        <v>2.82</v>
      </c>
      <c r="CW89" s="128">
        <v>2.84</v>
      </c>
      <c r="CX89" s="128">
        <v>2.86</v>
      </c>
      <c r="CZ89" s="126">
        <f>SUMIF(MatrixF5[[1]:[2]],MatrixF5[[#This Row],[Столбец1]])/MatrixF5[[#This Row],[Столбец1]]</f>
        <v>97.000000000000185</v>
      </c>
      <c r="DA89" s="126">
        <f>SUMIF(MatrixF5[[1]:[2]],MatrixF5[[#This Row],[Столбец1]]+1)/(MatrixF5[[#This Row],[Столбец1]]+1)</f>
        <v>10.999999999999998</v>
      </c>
    </row>
    <row r="90" spans="1:105" ht="21" customHeight="1" x14ac:dyDescent="0.25">
      <c r="A90" s="127">
        <v>1.87</v>
      </c>
      <c r="B90" s="128">
        <v>1.87</v>
      </c>
      <c r="C90" s="128">
        <v>1.88</v>
      </c>
      <c r="D90" s="128">
        <v>1.89</v>
      </c>
      <c r="E90" s="128">
        <v>1.9</v>
      </c>
      <c r="F90" s="128">
        <v>1.91</v>
      </c>
      <c r="G90" s="128">
        <v>1.92</v>
      </c>
      <c r="H90" s="128">
        <v>1.93</v>
      </c>
      <c r="I90" s="128">
        <v>1.94</v>
      </c>
      <c r="J90" s="128">
        <v>1.95</v>
      </c>
      <c r="K90" s="128">
        <v>1.96</v>
      </c>
      <c r="L90" s="128">
        <v>1.97</v>
      </c>
      <c r="M90" s="128">
        <v>1.98</v>
      </c>
      <c r="N90" s="128">
        <v>1.99</v>
      </c>
      <c r="O90" s="128">
        <v>2</v>
      </c>
      <c r="P90" s="128">
        <v>2.0099999999999998</v>
      </c>
      <c r="Q90" s="128">
        <v>2.02</v>
      </c>
      <c r="R90" s="128">
        <v>2.0299999999999998</v>
      </c>
      <c r="S90" s="128">
        <v>2.04</v>
      </c>
      <c r="T90" s="128">
        <v>2.04</v>
      </c>
      <c r="U90" s="128">
        <v>2.0499999999999998</v>
      </c>
      <c r="V90" s="128">
        <v>2.06</v>
      </c>
      <c r="W90" s="128">
        <v>2.0699999999999998</v>
      </c>
      <c r="X90" s="128">
        <v>2.08</v>
      </c>
      <c r="Y90" s="128">
        <v>2.09</v>
      </c>
      <c r="Z90" s="128">
        <v>2.1</v>
      </c>
      <c r="AA90" s="128">
        <v>2.11</v>
      </c>
      <c r="AB90" s="128">
        <v>2.12</v>
      </c>
      <c r="AC90" s="128">
        <v>2.12</v>
      </c>
      <c r="AD90" s="128">
        <v>2.13</v>
      </c>
      <c r="AE90" s="128">
        <v>2.14</v>
      </c>
      <c r="AF90" s="128">
        <v>2.15</v>
      </c>
      <c r="AG90" s="128">
        <v>2.16</v>
      </c>
      <c r="AH90" s="128">
        <v>2.17</v>
      </c>
      <c r="AI90" s="128">
        <v>2.1800000000000002</v>
      </c>
      <c r="AJ90" s="128">
        <v>2.19</v>
      </c>
      <c r="AK90" s="128">
        <v>2.19</v>
      </c>
      <c r="AL90" s="128">
        <v>2.2000000000000002</v>
      </c>
      <c r="AM90" s="128">
        <v>2.21</v>
      </c>
      <c r="AN90" s="128">
        <v>2.2200000000000002</v>
      </c>
      <c r="AO90" s="128">
        <v>2.23</v>
      </c>
      <c r="AP90" s="128">
        <v>2.2400000000000002</v>
      </c>
      <c r="AQ90" s="128">
        <v>2.25</v>
      </c>
      <c r="AR90" s="128">
        <v>2.2599999999999998</v>
      </c>
      <c r="AS90" s="128">
        <v>2.27</v>
      </c>
      <c r="AT90" s="128">
        <v>2.27</v>
      </c>
      <c r="AU90" s="128">
        <v>2.2799999999999998</v>
      </c>
      <c r="AV90" s="128">
        <v>2.29</v>
      </c>
      <c r="AW90" s="128">
        <v>2.2999999999999998</v>
      </c>
      <c r="AX90" s="128">
        <v>2.31</v>
      </c>
      <c r="AY90" s="128">
        <v>2.3199999999999998</v>
      </c>
      <c r="AZ90" s="128">
        <v>2.33</v>
      </c>
      <c r="BA90" s="128">
        <v>2.34</v>
      </c>
      <c r="BB90" s="128">
        <v>2.35</v>
      </c>
      <c r="BC90" s="128">
        <v>2.35</v>
      </c>
      <c r="BD90" s="128">
        <v>2.36</v>
      </c>
      <c r="BE90" s="128">
        <v>2.37</v>
      </c>
      <c r="BF90" s="128">
        <v>2.38</v>
      </c>
      <c r="BG90" s="128">
        <v>2.39</v>
      </c>
      <c r="BH90" s="128">
        <v>2.4</v>
      </c>
      <c r="BI90" s="128">
        <v>2.41</v>
      </c>
      <c r="BJ90" s="128">
        <v>2.42</v>
      </c>
      <c r="BK90" s="128">
        <v>2.42</v>
      </c>
      <c r="BL90" s="128">
        <v>2.4300000000000002</v>
      </c>
      <c r="BM90" s="128">
        <v>2.44</v>
      </c>
      <c r="BN90" s="128">
        <v>2.4500000000000002</v>
      </c>
      <c r="BO90" s="128">
        <v>2.46</v>
      </c>
      <c r="BP90" s="128">
        <v>2.4700000000000002</v>
      </c>
      <c r="BQ90" s="128">
        <v>2.48</v>
      </c>
      <c r="BR90" s="128">
        <v>2.4900000000000002</v>
      </c>
      <c r="BS90" s="128">
        <v>2.5</v>
      </c>
      <c r="BT90" s="128">
        <v>2.5</v>
      </c>
      <c r="BU90" s="128">
        <v>2.5099999999999998</v>
      </c>
      <c r="BV90" s="128">
        <v>2.52</v>
      </c>
      <c r="BW90" s="128">
        <v>2.5299999999999998</v>
      </c>
      <c r="BX90" s="128">
        <v>2.54</v>
      </c>
      <c r="BY90" s="128">
        <v>2.5499999999999998</v>
      </c>
      <c r="BZ90" s="128">
        <v>2.56</v>
      </c>
      <c r="CA90" s="128">
        <v>2.57</v>
      </c>
      <c r="CB90" s="128">
        <v>2.58</v>
      </c>
      <c r="CC90" s="128">
        <v>2.58</v>
      </c>
      <c r="CD90" s="128">
        <v>2.59</v>
      </c>
      <c r="CE90" s="128">
        <v>2.6</v>
      </c>
      <c r="CF90" s="128">
        <v>2.61</v>
      </c>
      <c r="CG90" s="128">
        <v>2.62</v>
      </c>
      <c r="CH90" s="128">
        <v>2.63</v>
      </c>
      <c r="CI90" s="128">
        <v>2.64</v>
      </c>
      <c r="CJ90" s="128">
        <v>2.65</v>
      </c>
      <c r="CK90" s="128">
        <v>2.65</v>
      </c>
      <c r="CL90" s="128">
        <v>2.67</v>
      </c>
      <c r="CM90" s="128">
        <v>2.68</v>
      </c>
      <c r="CN90" s="128">
        <v>2.7</v>
      </c>
      <c r="CO90" s="128">
        <v>2.72</v>
      </c>
      <c r="CP90" s="128">
        <v>2.73</v>
      </c>
      <c r="CQ90" s="128">
        <v>2.75</v>
      </c>
      <c r="CR90" s="128">
        <v>2.76</v>
      </c>
      <c r="CS90" s="128">
        <v>2.78</v>
      </c>
      <c r="CT90" s="128">
        <v>2.8</v>
      </c>
      <c r="CU90" s="128">
        <v>2.82</v>
      </c>
      <c r="CV90" s="128">
        <v>2.83</v>
      </c>
      <c r="CW90" s="128">
        <v>2.85</v>
      </c>
      <c r="CX90" s="128">
        <v>2.87</v>
      </c>
      <c r="CZ90" s="126">
        <f>SUMIF(MatrixF5[[1]:[2]],MatrixF5[[#This Row],[Столбец1]])/MatrixF5[[#This Row],[Столбец1]]</f>
        <v>97.000000000000128</v>
      </c>
      <c r="DA90" s="126">
        <f>SUMIF(MatrixF5[[1]:[2]],MatrixF5[[#This Row],[Столбец1]]+1)/(MatrixF5[[#This Row],[Столбец1]]+1)</f>
        <v>10.000000000000002</v>
      </c>
    </row>
    <row r="91" spans="1:105" ht="21" customHeight="1" x14ac:dyDescent="0.25">
      <c r="A91" s="127">
        <v>1.88</v>
      </c>
      <c r="B91" s="128">
        <v>1.88</v>
      </c>
      <c r="C91" s="128">
        <v>1.89</v>
      </c>
      <c r="D91" s="128">
        <v>1.9</v>
      </c>
      <c r="E91" s="128">
        <v>1.91</v>
      </c>
      <c r="F91" s="128">
        <v>1.92</v>
      </c>
      <c r="G91" s="128">
        <v>1.93</v>
      </c>
      <c r="H91" s="128">
        <v>1.94</v>
      </c>
      <c r="I91" s="128">
        <v>1.95</v>
      </c>
      <c r="J91" s="128">
        <v>1.96</v>
      </c>
      <c r="K91" s="128">
        <v>1.97</v>
      </c>
      <c r="L91" s="128">
        <v>1.98</v>
      </c>
      <c r="M91" s="128">
        <v>1.99</v>
      </c>
      <c r="N91" s="128">
        <v>2</v>
      </c>
      <c r="O91" s="128">
        <v>2.0099999999999998</v>
      </c>
      <c r="P91" s="128">
        <v>2.02</v>
      </c>
      <c r="Q91" s="128">
        <v>2.0299999999999998</v>
      </c>
      <c r="R91" s="128">
        <v>2.04</v>
      </c>
      <c r="S91" s="128">
        <v>2.04</v>
      </c>
      <c r="T91" s="128">
        <v>2.0499999999999998</v>
      </c>
      <c r="U91" s="128">
        <v>2.06</v>
      </c>
      <c r="V91" s="128">
        <v>2.0699999999999998</v>
      </c>
      <c r="W91" s="128">
        <v>2.08</v>
      </c>
      <c r="X91" s="128">
        <v>2.09</v>
      </c>
      <c r="Y91" s="128">
        <v>2.1</v>
      </c>
      <c r="Z91" s="128">
        <v>2.11</v>
      </c>
      <c r="AA91" s="128">
        <v>2.12</v>
      </c>
      <c r="AB91" s="128">
        <v>2.12</v>
      </c>
      <c r="AC91" s="128">
        <v>2.13</v>
      </c>
      <c r="AD91" s="128">
        <v>2.14</v>
      </c>
      <c r="AE91" s="128">
        <v>2.15</v>
      </c>
      <c r="AF91" s="128">
        <v>2.16</v>
      </c>
      <c r="AG91" s="128">
        <v>2.17</v>
      </c>
      <c r="AH91" s="128">
        <v>2.1800000000000002</v>
      </c>
      <c r="AI91" s="128">
        <v>2.19</v>
      </c>
      <c r="AJ91" s="128">
        <v>2.2000000000000002</v>
      </c>
      <c r="AK91" s="128">
        <v>2.21</v>
      </c>
      <c r="AL91" s="128">
        <v>2.21</v>
      </c>
      <c r="AM91" s="128">
        <v>2.2200000000000002</v>
      </c>
      <c r="AN91" s="128">
        <v>2.23</v>
      </c>
      <c r="AO91" s="128">
        <v>2.2400000000000002</v>
      </c>
      <c r="AP91" s="128">
        <v>2.25</v>
      </c>
      <c r="AQ91" s="128">
        <v>2.2599999999999998</v>
      </c>
      <c r="AR91" s="128">
        <v>2.27</v>
      </c>
      <c r="AS91" s="128">
        <v>2.2799999999999998</v>
      </c>
      <c r="AT91" s="128">
        <v>2.29</v>
      </c>
      <c r="AU91" s="128">
        <v>2.29</v>
      </c>
      <c r="AV91" s="128">
        <v>2.2999999999999998</v>
      </c>
      <c r="AW91" s="128">
        <v>2.31</v>
      </c>
      <c r="AX91" s="128">
        <v>2.3199999999999998</v>
      </c>
      <c r="AY91" s="128">
        <v>2.33</v>
      </c>
      <c r="AZ91" s="128">
        <v>2.34</v>
      </c>
      <c r="BA91" s="128">
        <v>2.35</v>
      </c>
      <c r="BB91" s="128">
        <v>2.36</v>
      </c>
      <c r="BC91" s="128">
        <v>2.37</v>
      </c>
      <c r="BD91" s="128">
        <v>2.38</v>
      </c>
      <c r="BE91" s="128">
        <v>2.38</v>
      </c>
      <c r="BF91" s="128">
        <v>2.39</v>
      </c>
      <c r="BG91" s="128">
        <v>2.4</v>
      </c>
      <c r="BH91" s="128">
        <v>2.41</v>
      </c>
      <c r="BI91" s="128">
        <v>2.42</v>
      </c>
      <c r="BJ91" s="128">
        <v>2.4300000000000002</v>
      </c>
      <c r="BK91" s="128">
        <v>2.44</v>
      </c>
      <c r="BL91" s="128">
        <v>2.4500000000000002</v>
      </c>
      <c r="BM91" s="128">
        <v>2.46</v>
      </c>
      <c r="BN91" s="128">
        <v>2.46</v>
      </c>
      <c r="BO91" s="128">
        <v>2.4700000000000002</v>
      </c>
      <c r="BP91" s="128">
        <v>2.48</v>
      </c>
      <c r="BQ91" s="128">
        <v>2.4900000000000002</v>
      </c>
      <c r="BR91" s="128">
        <v>2.5</v>
      </c>
      <c r="BS91" s="128">
        <v>2.5099999999999998</v>
      </c>
      <c r="BT91" s="128">
        <v>2.52</v>
      </c>
      <c r="BU91" s="128">
        <v>2.5299999999999998</v>
      </c>
      <c r="BV91" s="128">
        <v>2.54</v>
      </c>
      <c r="BW91" s="128">
        <v>2.54</v>
      </c>
      <c r="BX91" s="128">
        <v>2.5499999999999998</v>
      </c>
      <c r="BY91" s="128">
        <v>2.56</v>
      </c>
      <c r="BZ91" s="128">
        <v>2.57</v>
      </c>
      <c r="CA91" s="128">
        <v>2.58</v>
      </c>
      <c r="CB91" s="128">
        <v>2.59</v>
      </c>
      <c r="CC91" s="128">
        <v>2.6</v>
      </c>
      <c r="CD91" s="128">
        <v>2.61</v>
      </c>
      <c r="CE91" s="128">
        <v>2.62</v>
      </c>
      <c r="CF91" s="128">
        <v>2.62</v>
      </c>
      <c r="CG91" s="128">
        <v>2.63</v>
      </c>
      <c r="CH91" s="128">
        <v>2.64</v>
      </c>
      <c r="CI91" s="128">
        <v>2.65</v>
      </c>
      <c r="CJ91" s="128">
        <v>2.66</v>
      </c>
      <c r="CK91" s="128">
        <v>2.67</v>
      </c>
      <c r="CL91" s="128">
        <v>2.68</v>
      </c>
      <c r="CM91" s="128">
        <v>2.69</v>
      </c>
      <c r="CN91" s="128">
        <v>2.71</v>
      </c>
      <c r="CO91" s="128">
        <v>2.72</v>
      </c>
      <c r="CP91" s="128">
        <v>2.74</v>
      </c>
      <c r="CQ91" s="128">
        <v>2.76</v>
      </c>
      <c r="CR91" s="128">
        <v>2.77</v>
      </c>
      <c r="CS91" s="128">
        <v>2.79</v>
      </c>
      <c r="CT91" s="128">
        <v>2.81</v>
      </c>
      <c r="CU91" s="128">
        <v>2.83</v>
      </c>
      <c r="CV91" s="128">
        <v>2.84</v>
      </c>
      <c r="CW91" s="128">
        <v>2.86</v>
      </c>
      <c r="CX91" s="128">
        <v>2.88</v>
      </c>
      <c r="CZ91" s="126">
        <f>SUMIF(MatrixF5[[1]:[2]],MatrixF5[[#This Row],[Столбец1]])/MatrixF5[[#This Row],[Столбец1]]</f>
        <v>103.99999999999986</v>
      </c>
      <c r="DA91" s="126">
        <f>SUMIF(MatrixF5[[1]:[2]],MatrixF5[[#This Row],[Столбец1]]+1)/(MatrixF5[[#This Row],[Столбец1]]+1)</f>
        <v>10.999999999999998</v>
      </c>
    </row>
    <row r="92" spans="1:105" ht="21" customHeight="1" x14ac:dyDescent="0.25">
      <c r="A92" s="127">
        <v>1.89</v>
      </c>
      <c r="B92" s="128">
        <v>1.89</v>
      </c>
      <c r="C92" s="128">
        <v>1.9</v>
      </c>
      <c r="D92" s="128">
        <v>1.91</v>
      </c>
      <c r="E92" s="128">
        <v>1.92</v>
      </c>
      <c r="F92" s="128">
        <v>1.93</v>
      </c>
      <c r="G92" s="128">
        <v>1.94</v>
      </c>
      <c r="H92" s="128">
        <v>1.95</v>
      </c>
      <c r="I92" s="128">
        <v>1.96</v>
      </c>
      <c r="J92" s="128">
        <v>1.97</v>
      </c>
      <c r="K92" s="128">
        <v>1.98</v>
      </c>
      <c r="L92" s="128">
        <v>1.99</v>
      </c>
      <c r="M92" s="128">
        <v>2</v>
      </c>
      <c r="N92" s="128">
        <v>2.0099999999999998</v>
      </c>
      <c r="O92" s="128">
        <v>2.02</v>
      </c>
      <c r="P92" s="128">
        <v>2.0299999999999998</v>
      </c>
      <c r="Q92" s="128">
        <v>2.04</v>
      </c>
      <c r="R92" s="128">
        <v>2.0499999999999998</v>
      </c>
      <c r="S92" s="128">
        <v>2.0499999999999998</v>
      </c>
      <c r="T92" s="128">
        <v>2.06</v>
      </c>
      <c r="U92" s="128">
        <v>2.0699999999999998</v>
      </c>
      <c r="V92" s="128">
        <v>2.08</v>
      </c>
      <c r="W92" s="128">
        <v>2.09</v>
      </c>
      <c r="X92" s="128">
        <v>2.1</v>
      </c>
      <c r="Y92" s="128">
        <v>2.11</v>
      </c>
      <c r="Z92" s="128">
        <v>2.12</v>
      </c>
      <c r="AA92" s="128">
        <v>2.13</v>
      </c>
      <c r="AB92" s="128">
        <v>2.14</v>
      </c>
      <c r="AC92" s="128">
        <v>2.14</v>
      </c>
      <c r="AD92" s="128">
        <v>2.15</v>
      </c>
      <c r="AE92" s="128">
        <v>2.16</v>
      </c>
      <c r="AF92" s="128">
        <v>2.17</v>
      </c>
      <c r="AG92" s="128">
        <v>2.1800000000000002</v>
      </c>
      <c r="AH92" s="128">
        <v>2.19</v>
      </c>
      <c r="AI92" s="128">
        <v>2.2000000000000002</v>
      </c>
      <c r="AJ92" s="128">
        <v>2.21</v>
      </c>
      <c r="AK92" s="128">
        <v>2.2200000000000002</v>
      </c>
      <c r="AL92" s="128">
        <v>2.23</v>
      </c>
      <c r="AM92" s="128">
        <v>2.23</v>
      </c>
      <c r="AN92" s="128">
        <v>2.2400000000000002</v>
      </c>
      <c r="AO92" s="128">
        <v>2.25</v>
      </c>
      <c r="AP92" s="128">
        <v>2.2599999999999998</v>
      </c>
      <c r="AQ92" s="128">
        <v>2.27</v>
      </c>
      <c r="AR92" s="128">
        <v>2.2799999999999998</v>
      </c>
      <c r="AS92" s="128">
        <v>2.29</v>
      </c>
      <c r="AT92" s="128">
        <v>2.2999999999999998</v>
      </c>
      <c r="AU92" s="128">
        <v>2.31</v>
      </c>
      <c r="AV92" s="128">
        <v>2.3199999999999998</v>
      </c>
      <c r="AW92" s="128">
        <v>2.3199999999999998</v>
      </c>
      <c r="AX92" s="128">
        <v>2.33</v>
      </c>
      <c r="AY92" s="128">
        <v>2.34</v>
      </c>
      <c r="AZ92" s="128">
        <v>2.35</v>
      </c>
      <c r="BA92" s="128">
        <v>2.36</v>
      </c>
      <c r="BB92" s="128">
        <v>2.37</v>
      </c>
      <c r="BC92" s="128">
        <v>2.38</v>
      </c>
      <c r="BD92" s="128">
        <v>2.39</v>
      </c>
      <c r="BE92" s="128">
        <v>2.4</v>
      </c>
      <c r="BF92" s="128">
        <v>2.41</v>
      </c>
      <c r="BG92" s="128">
        <v>2.41</v>
      </c>
      <c r="BH92" s="128">
        <v>2.42</v>
      </c>
      <c r="BI92" s="128">
        <v>2.4300000000000002</v>
      </c>
      <c r="BJ92" s="128">
        <v>2.44</v>
      </c>
      <c r="BK92" s="128">
        <v>2.4500000000000002</v>
      </c>
      <c r="BL92" s="128">
        <v>2.46</v>
      </c>
      <c r="BM92" s="128">
        <v>2.4700000000000002</v>
      </c>
      <c r="BN92" s="128">
        <v>2.48</v>
      </c>
      <c r="BO92" s="128">
        <v>2.4900000000000002</v>
      </c>
      <c r="BP92" s="128">
        <v>2.5</v>
      </c>
      <c r="BQ92" s="128">
        <v>2.5</v>
      </c>
      <c r="BR92" s="128">
        <v>2.5099999999999998</v>
      </c>
      <c r="BS92" s="128">
        <v>2.52</v>
      </c>
      <c r="BT92" s="128">
        <v>2.5299999999999998</v>
      </c>
      <c r="BU92" s="128">
        <v>2.54</v>
      </c>
      <c r="BV92" s="128">
        <v>2.5499999999999998</v>
      </c>
      <c r="BW92" s="128">
        <v>2.56</v>
      </c>
      <c r="BX92" s="128">
        <v>2.57</v>
      </c>
      <c r="BY92" s="128">
        <v>2.58</v>
      </c>
      <c r="BZ92" s="128">
        <v>2.59</v>
      </c>
      <c r="CA92" s="128">
        <v>2.59</v>
      </c>
      <c r="CB92" s="128">
        <v>2.6</v>
      </c>
      <c r="CC92" s="128">
        <v>2.61</v>
      </c>
      <c r="CD92" s="128">
        <v>2.62</v>
      </c>
      <c r="CE92" s="128">
        <v>2.63</v>
      </c>
      <c r="CF92" s="128">
        <v>2.64</v>
      </c>
      <c r="CG92" s="128">
        <v>2.65</v>
      </c>
      <c r="CH92" s="128">
        <v>2.66</v>
      </c>
      <c r="CI92" s="128">
        <v>2.67</v>
      </c>
      <c r="CJ92" s="128">
        <v>2.68</v>
      </c>
      <c r="CK92" s="128">
        <v>2.68</v>
      </c>
      <c r="CL92" s="128">
        <v>2.69</v>
      </c>
      <c r="CM92" s="128">
        <v>2.7</v>
      </c>
      <c r="CN92" s="128">
        <v>2.72</v>
      </c>
      <c r="CO92" s="128">
        <v>2.73</v>
      </c>
      <c r="CP92" s="128">
        <v>2.75</v>
      </c>
      <c r="CQ92" s="128">
        <v>2.77</v>
      </c>
      <c r="CR92" s="128">
        <v>2.78</v>
      </c>
      <c r="CS92" s="128">
        <v>2.8</v>
      </c>
      <c r="CT92" s="128">
        <v>2.82</v>
      </c>
      <c r="CU92" s="128">
        <v>2.83</v>
      </c>
      <c r="CV92" s="128">
        <v>2.85</v>
      </c>
      <c r="CW92" s="128">
        <v>2.87</v>
      </c>
      <c r="CX92" s="128">
        <v>2.89</v>
      </c>
      <c r="CZ92" s="126">
        <f>SUMIF(MatrixF5[[1]:[2]],MatrixF5[[#This Row],[Столбец1]])/MatrixF5[[#This Row],[Столбец1]]</f>
        <v>102.99999999999976</v>
      </c>
      <c r="DA92" s="126">
        <f>SUMIF(MatrixF5[[1]:[2]],MatrixF5[[#This Row],[Столбец1]]+1)/(MatrixF5[[#This Row],[Столбец1]]+1)</f>
        <v>8.0000000000000018</v>
      </c>
    </row>
    <row r="93" spans="1:105" ht="21" customHeight="1" x14ac:dyDescent="0.25">
      <c r="A93" s="127">
        <v>1.9</v>
      </c>
      <c r="B93" s="128">
        <v>1.9</v>
      </c>
      <c r="C93" s="128">
        <v>1.91</v>
      </c>
      <c r="D93" s="128">
        <v>1.92</v>
      </c>
      <c r="E93" s="128">
        <v>1.93</v>
      </c>
      <c r="F93" s="128">
        <v>1.94</v>
      </c>
      <c r="G93" s="128">
        <v>1.95</v>
      </c>
      <c r="H93" s="128">
        <v>1.96</v>
      </c>
      <c r="I93" s="128">
        <v>1.97</v>
      </c>
      <c r="J93" s="128">
        <v>1.98</v>
      </c>
      <c r="K93" s="128">
        <v>1.99</v>
      </c>
      <c r="L93" s="128">
        <v>2</v>
      </c>
      <c r="M93" s="128">
        <v>2.0099999999999998</v>
      </c>
      <c r="N93" s="128">
        <v>2.02</v>
      </c>
      <c r="O93" s="128">
        <v>2.0299999999999998</v>
      </c>
      <c r="P93" s="128">
        <v>2.04</v>
      </c>
      <c r="Q93" s="128">
        <v>2.0499999999999998</v>
      </c>
      <c r="R93" s="128">
        <v>2.0499999999999998</v>
      </c>
      <c r="S93" s="128">
        <v>2.06</v>
      </c>
      <c r="T93" s="128">
        <v>2.0699999999999998</v>
      </c>
      <c r="U93" s="128">
        <v>2.08</v>
      </c>
      <c r="V93" s="128">
        <v>2.09</v>
      </c>
      <c r="W93" s="128">
        <v>2.1</v>
      </c>
      <c r="X93" s="128">
        <v>2.11</v>
      </c>
      <c r="Y93" s="128">
        <v>2.12</v>
      </c>
      <c r="Z93" s="128">
        <v>2.13</v>
      </c>
      <c r="AA93" s="128">
        <v>2.14</v>
      </c>
      <c r="AB93" s="128">
        <v>2.15</v>
      </c>
      <c r="AC93" s="128">
        <v>2.15</v>
      </c>
      <c r="AD93" s="128">
        <v>2.16</v>
      </c>
      <c r="AE93" s="128">
        <v>2.17</v>
      </c>
      <c r="AF93" s="128">
        <v>2.1800000000000002</v>
      </c>
      <c r="AG93" s="128">
        <v>2.19</v>
      </c>
      <c r="AH93" s="128">
        <v>2.2000000000000002</v>
      </c>
      <c r="AI93" s="128">
        <v>2.21</v>
      </c>
      <c r="AJ93" s="128">
        <v>2.2200000000000002</v>
      </c>
      <c r="AK93" s="128">
        <v>2.23</v>
      </c>
      <c r="AL93" s="128">
        <v>2.2400000000000002</v>
      </c>
      <c r="AM93" s="128">
        <v>2.25</v>
      </c>
      <c r="AN93" s="128">
        <v>2.25</v>
      </c>
      <c r="AO93" s="128">
        <v>2.2599999999999998</v>
      </c>
      <c r="AP93" s="128">
        <v>2.27</v>
      </c>
      <c r="AQ93" s="128">
        <v>2.2799999999999998</v>
      </c>
      <c r="AR93" s="128">
        <v>2.29</v>
      </c>
      <c r="AS93" s="128">
        <v>2.2999999999999998</v>
      </c>
      <c r="AT93" s="128">
        <v>2.31</v>
      </c>
      <c r="AU93" s="128">
        <v>2.3199999999999998</v>
      </c>
      <c r="AV93" s="128">
        <v>2.33</v>
      </c>
      <c r="AW93" s="128">
        <v>2.34</v>
      </c>
      <c r="AX93" s="128">
        <v>2.35</v>
      </c>
      <c r="AY93" s="128">
        <v>2.35</v>
      </c>
      <c r="AZ93" s="128">
        <v>2.36</v>
      </c>
      <c r="BA93" s="128">
        <v>2.37</v>
      </c>
      <c r="BB93" s="128">
        <v>2.38</v>
      </c>
      <c r="BC93" s="128">
        <v>2.39</v>
      </c>
      <c r="BD93" s="128">
        <v>2.4</v>
      </c>
      <c r="BE93" s="128">
        <v>2.41</v>
      </c>
      <c r="BF93" s="128">
        <v>2.42</v>
      </c>
      <c r="BG93" s="128">
        <v>2.4300000000000002</v>
      </c>
      <c r="BH93" s="128">
        <v>2.44</v>
      </c>
      <c r="BI93" s="128">
        <v>2.4500000000000002</v>
      </c>
      <c r="BJ93" s="128">
        <v>2.4500000000000002</v>
      </c>
      <c r="BK93" s="128">
        <v>2.46</v>
      </c>
      <c r="BL93" s="128">
        <v>2.4700000000000002</v>
      </c>
      <c r="BM93" s="128">
        <v>2.48</v>
      </c>
      <c r="BN93" s="128">
        <v>2.4900000000000002</v>
      </c>
      <c r="BO93" s="128">
        <v>2.5</v>
      </c>
      <c r="BP93" s="128">
        <v>2.5099999999999998</v>
      </c>
      <c r="BQ93" s="128">
        <v>2.52</v>
      </c>
      <c r="BR93" s="128">
        <v>2.5299999999999998</v>
      </c>
      <c r="BS93" s="128">
        <v>2.54</v>
      </c>
      <c r="BT93" s="128">
        <v>2.5499999999999998</v>
      </c>
      <c r="BU93" s="128">
        <v>2.5499999999999998</v>
      </c>
      <c r="BV93" s="128">
        <v>2.56</v>
      </c>
      <c r="BW93" s="128">
        <v>2.57</v>
      </c>
      <c r="BX93" s="128">
        <v>2.58</v>
      </c>
      <c r="BY93" s="128">
        <v>2.59</v>
      </c>
      <c r="BZ93" s="128">
        <v>2.6</v>
      </c>
      <c r="CA93" s="128">
        <v>2.61</v>
      </c>
      <c r="CB93" s="128">
        <v>2.62</v>
      </c>
      <c r="CC93" s="128">
        <v>2.63</v>
      </c>
      <c r="CD93" s="128">
        <v>2.64</v>
      </c>
      <c r="CE93" s="128">
        <v>2.65</v>
      </c>
      <c r="CF93" s="128">
        <v>2.65</v>
      </c>
      <c r="CG93" s="128">
        <v>2.66</v>
      </c>
      <c r="CH93" s="128">
        <v>2.67</v>
      </c>
      <c r="CI93" s="128">
        <v>2.68</v>
      </c>
      <c r="CJ93" s="128">
        <v>2.69</v>
      </c>
      <c r="CK93" s="128">
        <v>2.7</v>
      </c>
      <c r="CL93" s="128">
        <v>2.71</v>
      </c>
      <c r="CM93" s="128">
        <v>2.72</v>
      </c>
      <c r="CN93" s="128">
        <v>2.73</v>
      </c>
      <c r="CO93" s="128">
        <v>2.74</v>
      </c>
      <c r="CP93" s="128">
        <v>2.76</v>
      </c>
      <c r="CQ93" s="128">
        <v>2.78</v>
      </c>
      <c r="CR93" s="128">
        <v>2.79</v>
      </c>
      <c r="CS93" s="128">
        <v>2.81</v>
      </c>
      <c r="CT93" s="128">
        <v>2.83</v>
      </c>
      <c r="CU93" s="128">
        <v>2.84</v>
      </c>
      <c r="CV93" s="128">
        <v>2.86</v>
      </c>
      <c r="CW93" s="128">
        <v>2.88</v>
      </c>
      <c r="CX93" s="128">
        <v>2.9</v>
      </c>
      <c r="CZ93" s="126">
        <f>SUMIF(MatrixF5[[1]:[2]],MatrixF5[[#This Row],[Столбец1]])/MatrixF5[[#This Row],[Столбец1]]</f>
        <v>103.0000000000002</v>
      </c>
      <c r="DA93" s="126">
        <f>SUMIF(MatrixF5[[1]:[2]],MatrixF5[[#This Row],[Столбец1]]+1)/(MatrixF5[[#This Row],[Столбец1]]+1)</f>
        <v>7.9999999999999991</v>
      </c>
    </row>
    <row r="94" spans="1:105" ht="21" customHeight="1" x14ac:dyDescent="0.25">
      <c r="A94" s="127">
        <v>1.91</v>
      </c>
      <c r="B94" s="128">
        <v>1.91</v>
      </c>
      <c r="C94" s="128">
        <v>1.92</v>
      </c>
      <c r="D94" s="128">
        <v>1.93</v>
      </c>
      <c r="E94" s="128">
        <v>1.94</v>
      </c>
      <c r="F94" s="128">
        <v>1.95</v>
      </c>
      <c r="G94" s="128">
        <v>1.96</v>
      </c>
      <c r="H94" s="128">
        <v>1.97</v>
      </c>
      <c r="I94" s="128">
        <v>1.98</v>
      </c>
      <c r="J94" s="128">
        <v>1.99</v>
      </c>
      <c r="K94" s="128">
        <v>2</v>
      </c>
      <c r="L94" s="128">
        <v>2.0099999999999998</v>
      </c>
      <c r="M94" s="128">
        <v>2.02</v>
      </c>
      <c r="N94" s="128">
        <v>2.0299999999999998</v>
      </c>
      <c r="O94" s="128">
        <v>2.04</v>
      </c>
      <c r="P94" s="128">
        <v>2.0499999999999998</v>
      </c>
      <c r="Q94" s="128">
        <v>2.06</v>
      </c>
      <c r="R94" s="128">
        <v>2.06</v>
      </c>
      <c r="S94" s="128">
        <v>2.0699999999999998</v>
      </c>
      <c r="T94" s="128">
        <v>2.08</v>
      </c>
      <c r="U94" s="128">
        <v>2.09</v>
      </c>
      <c r="V94" s="128">
        <v>2.1</v>
      </c>
      <c r="W94" s="128">
        <v>2.11</v>
      </c>
      <c r="X94" s="128">
        <v>2.12</v>
      </c>
      <c r="Y94" s="128">
        <v>2.13</v>
      </c>
      <c r="Z94" s="128">
        <v>2.14</v>
      </c>
      <c r="AA94" s="128">
        <v>2.15</v>
      </c>
      <c r="AB94" s="128">
        <v>2.16</v>
      </c>
      <c r="AC94" s="128">
        <v>2.17</v>
      </c>
      <c r="AD94" s="128">
        <v>2.17</v>
      </c>
      <c r="AE94" s="128">
        <v>2.1800000000000002</v>
      </c>
      <c r="AF94" s="128">
        <v>2.19</v>
      </c>
      <c r="AG94" s="128">
        <v>2.2000000000000002</v>
      </c>
      <c r="AH94" s="128">
        <v>2.21</v>
      </c>
      <c r="AI94" s="128">
        <v>2.2200000000000002</v>
      </c>
      <c r="AJ94" s="128">
        <v>2.23</v>
      </c>
      <c r="AK94" s="128">
        <v>2.2400000000000002</v>
      </c>
      <c r="AL94" s="128">
        <v>2.25</v>
      </c>
      <c r="AM94" s="128">
        <v>2.2599999999999998</v>
      </c>
      <c r="AN94" s="128">
        <v>2.27</v>
      </c>
      <c r="AO94" s="128">
        <v>2.2799999999999998</v>
      </c>
      <c r="AP94" s="128">
        <v>2.2799999999999998</v>
      </c>
      <c r="AQ94" s="128">
        <v>2.29</v>
      </c>
      <c r="AR94" s="128">
        <v>2.2999999999999998</v>
      </c>
      <c r="AS94" s="128">
        <v>2.31</v>
      </c>
      <c r="AT94" s="128">
        <v>2.3199999999999998</v>
      </c>
      <c r="AU94" s="128">
        <v>2.33</v>
      </c>
      <c r="AV94" s="128">
        <v>2.34</v>
      </c>
      <c r="AW94" s="128">
        <v>2.35</v>
      </c>
      <c r="AX94" s="128">
        <v>2.36</v>
      </c>
      <c r="AY94" s="128">
        <v>2.37</v>
      </c>
      <c r="AZ94" s="128">
        <v>2.38</v>
      </c>
      <c r="BA94" s="128">
        <v>2.39</v>
      </c>
      <c r="BB94" s="128">
        <v>2.39</v>
      </c>
      <c r="BC94" s="128">
        <v>2.4</v>
      </c>
      <c r="BD94" s="128">
        <v>2.41</v>
      </c>
      <c r="BE94" s="128">
        <v>2.42</v>
      </c>
      <c r="BF94" s="128">
        <v>2.4300000000000002</v>
      </c>
      <c r="BG94" s="128">
        <v>2.44</v>
      </c>
      <c r="BH94" s="128">
        <v>2.4500000000000002</v>
      </c>
      <c r="BI94" s="128">
        <v>2.46</v>
      </c>
      <c r="BJ94" s="128">
        <v>2.4700000000000002</v>
      </c>
      <c r="BK94" s="128">
        <v>2.48</v>
      </c>
      <c r="BL94" s="128">
        <v>2.4900000000000002</v>
      </c>
      <c r="BM94" s="128">
        <v>2.5</v>
      </c>
      <c r="BN94" s="128">
        <v>2.5</v>
      </c>
      <c r="BO94" s="128">
        <v>2.5099999999999998</v>
      </c>
      <c r="BP94" s="128">
        <v>2.52</v>
      </c>
      <c r="BQ94" s="128">
        <v>2.5299999999999998</v>
      </c>
      <c r="BR94" s="128">
        <v>2.54</v>
      </c>
      <c r="BS94" s="128">
        <v>2.5499999999999998</v>
      </c>
      <c r="BT94" s="128">
        <v>2.56</v>
      </c>
      <c r="BU94" s="128">
        <v>2.57</v>
      </c>
      <c r="BV94" s="128">
        <v>2.58</v>
      </c>
      <c r="BW94" s="128">
        <v>2.59</v>
      </c>
      <c r="BX94" s="128">
        <v>2.6</v>
      </c>
      <c r="BY94" s="128">
        <v>2.61</v>
      </c>
      <c r="BZ94" s="128">
        <v>2.61</v>
      </c>
      <c r="CA94" s="128">
        <v>2.62</v>
      </c>
      <c r="CB94" s="128">
        <v>2.63</v>
      </c>
      <c r="CC94" s="128">
        <v>2.64</v>
      </c>
      <c r="CD94" s="128">
        <v>2.65</v>
      </c>
      <c r="CE94" s="128">
        <v>2.66</v>
      </c>
      <c r="CF94" s="128">
        <v>2.67</v>
      </c>
      <c r="CG94" s="128">
        <v>2.68</v>
      </c>
      <c r="CH94" s="128">
        <v>2.69</v>
      </c>
      <c r="CI94" s="128">
        <v>2.7</v>
      </c>
      <c r="CJ94" s="128">
        <v>2.71</v>
      </c>
      <c r="CK94" s="128">
        <v>2.72</v>
      </c>
      <c r="CL94" s="128">
        <v>2.72</v>
      </c>
      <c r="CM94" s="128">
        <v>2.73</v>
      </c>
      <c r="CN94" s="128">
        <v>2.74</v>
      </c>
      <c r="CO94" s="128">
        <v>2.75</v>
      </c>
      <c r="CP94" s="128">
        <v>2.77</v>
      </c>
      <c r="CQ94" s="128">
        <v>2.79</v>
      </c>
      <c r="CR94" s="128">
        <v>2.8</v>
      </c>
      <c r="CS94" s="128">
        <v>2.82</v>
      </c>
      <c r="CT94" s="128">
        <v>2.84</v>
      </c>
      <c r="CU94" s="128">
        <v>2.85</v>
      </c>
      <c r="CV94" s="128">
        <v>2.87</v>
      </c>
      <c r="CW94" s="128">
        <v>2.89</v>
      </c>
      <c r="CX94" s="128">
        <v>2.91</v>
      </c>
      <c r="CZ94" s="126">
        <f>SUMIF(MatrixF5[[1]:[2]],MatrixF5[[#This Row],[Столбец1]])/MatrixF5[[#This Row],[Столбец1]]</f>
        <v>107.99999999999984</v>
      </c>
      <c r="DA94" s="126">
        <f>SUMIF(MatrixF5[[1]:[2]],MatrixF5[[#This Row],[Столбец1]]+1)/(MatrixF5[[#This Row],[Столбец1]]+1)</f>
        <v>7</v>
      </c>
    </row>
    <row r="95" spans="1:105" ht="21" customHeight="1" x14ac:dyDescent="0.25">
      <c r="A95" s="127">
        <v>1.92</v>
      </c>
      <c r="B95" s="128">
        <v>1.92</v>
      </c>
      <c r="C95" s="128">
        <v>1.93</v>
      </c>
      <c r="D95" s="128">
        <v>1.94</v>
      </c>
      <c r="E95" s="128">
        <v>1.95</v>
      </c>
      <c r="F95" s="128">
        <v>1.96</v>
      </c>
      <c r="G95" s="128">
        <v>1.97</v>
      </c>
      <c r="H95" s="128">
        <v>1.98</v>
      </c>
      <c r="I95" s="128">
        <v>1.99</v>
      </c>
      <c r="J95" s="128">
        <v>2</v>
      </c>
      <c r="K95" s="128">
        <v>2.0099999999999998</v>
      </c>
      <c r="L95" s="128">
        <v>2.02</v>
      </c>
      <c r="M95" s="128">
        <v>2.0299999999999998</v>
      </c>
      <c r="N95" s="128">
        <v>2.04</v>
      </c>
      <c r="O95" s="128">
        <v>2.0499999999999998</v>
      </c>
      <c r="P95" s="128">
        <v>2.06</v>
      </c>
      <c r="Q95" s="128">
        <v>2.06</v>
      </c>
      <c r="R95" s="128">
        <v>2.0699999999999998</v>
      </c>
      <c r="S95" s="128">
        <v>2.08</v>
      </c>
      <c r="T95" s="128">
        <v>2.09</v>
      </c>
      <c r="U95" s="128">
        <v>2.1</v>
      </c>
      <c r="V95" s="128">
        <v>2.11</v>
      </c>
      <c r="W95" s="128">
        <v>2.12</v>
      </c>
      <c r="X95" s="128">
        <v>2.13</v>
      </c>
      <c r="Y95" s="128">
        <v>2.14</v>
      </c>
      <c r="Z95" s="128">
        <v>2.15</v>
      </c>
      <c r="AA95" s="128">
        <v>2.16</v>
      </c>
      <c r="AB95" s="128">
        <v>2.17</v>
      </c>
      <c r="AC95" s="128">
        <v>2.1800000000000002</v>
      </c>
      <c r="AD95" s="128">
        <v>2.19</v>
      </c>
      <c r="AE95" s="128">
        <v>2.19</v>
      </c>
      <c r="AF95" s="128">
        <v>2.2000000000000002</v>
      </c>
      <c r="AG95" s="128">
        <v>2.21</v>
      </c>
      <c r="AH95" s="128">
        <v>2.2200000000000002</v>
      </c>
      <c r="AI95" s="128">
        <v>2.23</v>
      </c>
      <c r="AJ95" s="128">
        <v>2.2400000000000002</v>
      </c>
      <c r="AK95" s="128">
        <v>2.25</v>
      </c>
      <c r="AL95" s="128">
        <v>2.2599999999999998</v>
      </c>
      <c r="AM95" s="128">
        <v>2.27</v>
      </c>
      <c r="AN95" s="128">
        <v>2.2799999999999998</v>
      </c>
      <c r="AO95" s="128">
        <v>2.29</v>
      </c>
      <c r="AP95" s="128">
        <v>2.2999999999999998</v>
      </c>
      <c r="AQ95" s="128">
        <v>2.31</v>
      </c>
      <c r="AR95" s="128">
        <v>2.31</v>
      </c>
      <c r="AS95" s="128">
        <v>2.3199999999999998</v>
      </c>
      <c r="AT95" s="128">
        <v>2.33</v>
      </c>
      <c r="AU95" s="128">
        <v>2.34</v>
      </c>
      <c r="AV95" s="128">
        <v>2.35</v>
      </c>
      <c r="AW95" s="128">
        <v>2.36</v>
      </c>
      <c r="AX95" s="128">
        <v>2.37</v>
      </c>
      <c r="AY95" s="128">
        <v>2.38</v>
      </c>
      <c r="AZ95" s="128">
        <v>2.39</v>
      </c>
      <c r="BA95" s="128">
        <v>2.4</v>
      </c>
      <c r="BB95" s="128">
        <v>2.41</v>
      </c>
      <c r="BC95" s="128">
        <v>2.42</v>
      </c>
      <c r="BD95" s="128">
        <v>2.4300000000000002</v>
      </c>
      <c r="BE95" s="128">
        <v>2.44</v>
      </c>
      <c r="BF95" s="128">
        <v>2.44</v>
      </c>
      <c r="BG95" s="128">
        <v>2.4500000000000002</v>
      </c>
      <c r="BH95" s="128">
        <v>2.46</v>
      </c>
      <c r="BI95" s="128">
        <v>2.4700000000000002</v>
      </c>
      <c r="BJ95" s="128">
        <v>2.48</v>
      </c>
      <c r="BK95" s="128">
        <v>2.4900000000000002</v>
      </c>
      <c r="BL95" s="128">
        <v>2.5</v>
      </c>
      <c r="BM95" s="128">
        <v>2.5099999999999998</v>
      </c>
      <c r="BN95" s="128">
        <v>2.52</v>
      </c>
      <c r="BO95" s="128">
        <v>2.5299999999999998</v>
      </c>
      <c r="BP95" s="128">
        <v>2.54</v>
      </c>
      <c r="BQ95" s="128">
        <v>2.5499999999999998</v>
      </c>
      <c r="BR95" s="128">
        <v>2.56</v>
      </c>
      <c r="BS95" s="128">
        <v>2.56</v>
      </c>
      <c r="BT95" s="128">
        <v>2.57</v>
      </c>
      <c r="BU95" s="128">
        <v>2.58</v>
      </c>
      <c r="BV95" s="128">
        <v>2.59</v>
      </c>
      <c r="BW95" s="128">
        <v>2.6</v>
      </c>
      <c r="BX95" s="128">
        <v>2.61</v>
      </c>
      <c r="BY95" s="128">
        <v>2.62</v>
      </c>
      <c r="BZ95" s="128">
        <v>2.63</v>
      </c>
      <c r="CA95" s="128">
        <v>2.64</v>
      </c>
      <c r="CB95" s="128">
        <v>2.65</v>
      </c>
      <c r="CC95" s="128">
        <v>2.66</v>
      </c>
      <c r="CD95" s="128">
        <v>2.67</v>
      </c>
      <c r="CE95" s="128">
        <v>2.68</v>
      </c>
      <c r="CF95" s="128">
        <v>2.69</v>
      </c>
      <c r="CG95" s="128">
        <v>2.69</v>
      </c>
      <c r="CH95" s="128">
        <v>2.7</v>
      </c>
      <c r="CI95" s="128">
        <v>2.71</v>
      </c>
      <c r="CJ95" s="128">
        <v>2.72</v>
      </c>
      <c r="CK95" s="128">
        <v>2.73</v>
      </c>
      <c r="CL95" s="128">
        <v>2.74</v>
      </c>
      <c r="CM95" s="128">
        <v>2.75</v>
      </c>
      <c r="CN95" s="128">
        <v>2.76</v>
      </c>
      <c r="CO95" s="128">
        <v>2.77</v>
      </c>
      <c r="CP95" s="128">
        <v>2.78</v>
      </c>
      <c r="CQ95" s="128">
        <v>2.79</v>
      </c>
      <c r="CR95" s="128">
        <v>2.81</v>
      </c>
      <c r="CS95" s="128">
        <v>2.83</v>
      </c>
      <c r="CT95" s="128">
        <v>2.85</v>
      </c>
      <c r="CU95" s="128">
        <v>2.86</v>
      </c>
      <c r="CV95" s="128">
        <v>2.88</v>
      </c>
      <c r="CW95" s="128">
        <v>2.9</v>
      </c>
      <c r="CX95" s="128">
        <v>2.92</v>
      </c>
      <c r="CZ95" s="126">
        <f>SUMIF(MatrixF5[[1]:[2]],MatrixF5[[#This Row],[Столбец1]])/MatrixF5[[#This Row],[Столбец1]]</f>
        <v>110.99999999999977</v>
      </c>
      <c r="DA95" s="126">
        <f>SUMIF(MatrixF5[[1]:[2]],MatrixF5[[#This Row],[Столбец1]]+1)/(MatrixF5[[#This Row],[Столбец1]]+1)</f>
        <v>6</v>
      </c>
    </row>
    <row r="96" spans="1:105" ht="21" customHeight="1" x14ac:dyDescent="0.25">
      <c r="A96" s="127">
        <v>1.93</v>
      </c>
      <c r="B96" s="128">
        <v>1.93</v>
      </c>
      <c r="C96" s="128">
        <v>1.94</v>
      </c>
      <c r="D96" s="128">
        <v>1.95</v>
      </c>
      <c r="E96" s="128">
        <v>1.96</v>
      </c>
      <c r="F96" s="128">
        <v>1.97</v>
      </c>
      <c r="G96" s="128">
        <v>1.98</v>
      </c>
      <c r="H96" s="128">
        <v>1.99</v>
      </c>
      <c r="I96" s="128">
        <v>2</v>
      </c>
      <c r="J96" s="128">
        <v>2.0099999999999998</v>
      </c>
      <c r="K96" s="128">
        <v>2.02</v>
      </c>
      <c r="L96" s="128">
        <v>2.0299999999999998</v>
      </c>
      <c r="M96" s="128">
        <v>2.04</v>
      </c>
      <c r="N96" s="128">
        <v>2.0499999999999998</v>
      </c>
      <c r="O96" s="128">
        <v>2.06</v>
      </c>
      <c r="P96" s="128">
        <v>2.0699999999999998</v>
      </c>
      <c r="Q96" s="128">
        <v>2.0699999999999998</v>
      </c>
      <c r="R96" s="128">
        <v>2.08</v>
      </c>
      <c r="S96" s="128">
        <v>2.09</v>
      </c>
      <c r="T96" s="128">
        <v>2.1</v>
      </c>
      <c r="U96" s="128">
        <v>2.11</v>
      </c>
      <c r="V96" s="128">
        <v>2.12</v>
      </c>
      <c r="W96" s="128">
        <v>2.13</v>
      </c>
      <c r="X96" s="128">
        <v>2.14</v>
      </c>
      <c r="Y96" s="128">
        <v>2.15</v>
      </c>
      <c r="Z96" s="128">
        <v>2.16</v>
      </c>
      <c r="AA96" s="128">
        <v>2.17</v>
      </c>
      <c r="AB96" s="128">
        <v>2.1800000000000002</v>
      </c>
      <c r="AC96" s="128">
        <v>2.19</v>
      </c>
      <c r="AD96" s="128">
        <v>2.2000000000000002</v>
      </c>
      <c r="AE96" s="128">
        <v>2.21</v>
      </c>
      <c r="AF96" s="128">
        <v>2.21</v>
      </c>
      <c r="AG96" s="128">
        <v>2.2200000000000002</v>
      </c>
      <c r="AH96" s="128">
        <v>2.23</v>
      </c>
      <c r="AI96" s="128">
        <v>2.2400000000000002</v>
      </c>
      <c r="AJ96" s="128">
        <v>2.25</v>
      </c>
      <c r="AK96" s="128">
        <v>2.2599999999999998</v>
      </c>
      <c r="AL96" s="128">
        <v>2.27</v>
      </c>
      <c r="AM96" s="128">
        <v>2.2799999999999998</v>
      </c>
      <c r="AN96" s="128">
        <v>2.29</v>
      </c>
      <c r="AO96" s="128">
        <v>2.2999999999999998</v>
      </c>
      <c r="AP96" s="128">
        <v>2.31</v>
      </c>
      <c r="AQ96" s="128">
        <v>2.3199999999999998</v>
      </c>
      <c r="AR96" s="128">
        <v>2.33</v>
      </c>
      <c r="AS96" s="128">
        <v>2.34</v>
      </c>
      <c r="AT96" s="128">
        <v>2.35</v>
      </c>
      <c r="AU96" s="128">
        <v>2.36</v>
      </c>
      <c r="AV96" s="128">
        <v>2.36</v>
      </c>
      <c r="AW96" s="128">
        <v>2.37</v>
      </c>
      <c r="AX96" s="128">
        <v>2.38</v>
      </c>
      <c r="AY96" s="128">
        <v>2.39</v>
      </c>
      <c r="AZ96" s="128">
        <v>2.4</v>
      </c>
      <c r="BA96" s="128">
        <v>2.41</v>
      </c>
      <c r="BB96" s="128">
        <v>2.42</v>
      </c>
      <c r="BC96" s="128">
        <v>2.4300000000000002</v>
      </c>
      <c r="BD96" s="128">
        <v>2.44</v>
      </c>
      <c r="BE96" s="128">
        <v>2.4500000000000002</v>
      </c>
      <c r="BF96" s="128">
        <v>2.46</v>
      </c>
      <c r="BG96" s="128">
        <v>2.4700000000000002</v>
      </c>
      <c r="BH96" s="128">
        <v>2.48</v>
      </c>
      <c r="BI96" s="128">
        <v>2.4900000000000002</v>
      </c>
      <c r="BJ96" s="128">
        <v>2.5</v>
      </c>
      <c r="BK96" s="128">
        <v>2.5</v>
      </c>
      <c r="BL96" s="128">
        <v>2.5099999999999998</v>
      </c>
      <c r="BM96" s="128">
        <v>2.52</v>
      </c>
      <c r="BN96" s="128">
        <v>2.5299999999999998</v>
      </c>
      <c r="BO96" s="128">
        <v>2.54</v>
      </c>
      <c r="BP96" s="128">
        <v>2.5499999999999998</v>
      </c>
      <c r="BQ96" s="128">
        <v>2.56</v>
      </c>
      <c r="BR96" s="128">
        <v>2.57</v>
      </c>
      <c r="BS96" s="128">
        <v>2.58</v>
      </c>
      <c r="BT96" s="128">
        <v>2.59</v>
      </c>
      <c r="BU96" s="128">
        <v>2.6</v>
      </c>
      <c r="BV96" s="128">
        <v>2.61</v>
      </c>
      <c r="BW96" s="128">
        <v>2.62</v>
      </c>
      <c r="BX96" s="128">
        <v>2.63</v>
      </c>
      <c r="BY96" s="128">
        <v>2.64</v>
      </c>
      <c r="BZ96" s="128">
        <v>2.64</v>
      </c>
      <c r="CA96" s="128">
        <v>2.65</v>
      </c>
      <c r="CB96" s="128">
        <v>2.66</v>
      </c>
      <c r="CC96" s="128">
        <v>2.67</v>
      </c>
      <c r="CD96" s="128">
        <v>2.68</v>
      </c>
      <c r="CE96" s="128">
        <v>2.69</v>
      </c>
      <c r="CF96" s="128">
        <v>2.7</v>
      </c>
      <c r="CG96" s="128">
        <v>2.71</v>
      </c>
      <c r="CH96" s="128">
        <v>2.72</v>
      </c>
      <c r="CI96" s="128">
        <v>2.73</v>
      </c>
      <c r="CJ96" s="128">
        <v>2.74</v>
      </c>
      <c r="CK96" s="128">
        <v>2.75</v>
      </c>
      <c r="CL96" s="128">
        <v>2.76</v>
      </c>
      <c r="CM96" s="128">
        <v>2.77</v>
      </c>
      <c r="CN96" s="128">
        <v>2.78</v>
      </c>
      <c r="CO96" s="128">
        <v>2.79</v>
      </c>
      <c r="CP96" s="128">
        <v>2.79</v>
      </c>
      <c r="CQ96" s="128">
        <v>2.8</v>
      </c>
      <c r="CR96" s="128">
        <v>2.82</v>
      </c>
      <c r="CS96" s="128">
        <v>2.84</v>
      </c>
      <c r="CT96" s="128">
        <v>2.86</v>
      </c>
      <c r="CU96" s="128">
        <v>2.87</v>
      </c>
      <c r="CV96" s="128">
        <v>2.89</v>
      </c>
      <c r="CW96" s="128">
        <v>2.91</v>
      </c>
      <c r="CX96" s="128">
        <v>2.93</v>
      </c>
      <c r="CZ96" s="126">
        <f>SUMIF(MatrixF5[[1]:[2]],MatrixF5[[#This Row],[Столбец1]])/MatrixF5[[#This Row],[Столбец1]]</f>
        <v>109.00000000000027</v>
      </c>
      <c r="DA96" s="126">
        <f>SUMIF(MatrixF5[[1]:[2]],MatrixF5[[#This Row],[Столбец1]]+1)/(MatrixF5[[#This Row],[Столбец1]]+1)</f>
        <v>6.0000000000000009</v>
      </c>
    </row>
    <row r="97" spans="1:105" ht="21" customHeight="1" x14ac:dyDescent="0.25">
      <c r="A97" s="127">
        <v>1.94</v>
      </c>
      <c r="B97" s="128">
        <v>1.94</v>
      </c>
      <c r="C97" s="128">
        <v>1.95</v>
      </c>
      <c r="D97" s="128">
        <v>1.96</v>
      </c>
      <c r="E97" s="128">
        <v>1.97</v>
      </c>
      <c r="F97" s="128">
        <v>1.98</v>
      </c>
      <c r="G97" s="128">
        <v>1.99</v>
      </c>
      <c r="H97" s="128">
        <v>2</v>
      </c>
      <c r="I97" s="128">
        <v>2.0099999999999998</v>
      </c>
      <c r="J97" s="128">
        <v>2.02</v>
      </c>
      <c r="K97" s="128">
        <v>2.0299999999999998</v>
      </c>
      <c r="L97" s="128">
        <v>2.04</v>
      </c>
      <c r="M97" s="128">
        <v>2.0499999999999998</v>
      </c>
      <c r="N97" s="128">
        <v>2.06</v>
      </c>
      <c r="O97" s="128">
        <v>2.0699999999999998</v>
      </c>
      <c r="P97" s="128">
        <v>2.08</v>
      </c>
      <c r="Q97" s="128">
        <v>2.08</v>
      </c>
      <c r="R97" s="128">
        <v>2.09</v>
      </c>
      <c r="S97" s="128">
        <v>2.1</v>
      </c>
      <c r="T97" s="128">
        <v>2.11</v>
      </c>
      <c r="U97" s="128">
        <v>2.12</v>
      </c>
      <c r="V97" s="128">
        <v>2.13</v>
      </c>
      <c r="W97" s="128">
        <v>2.14</v>
      </c>
      <c r="X97" s="128">
        <v>2.15</v>
      </c>
      <c r="Y97" s="128">
        <v>2.16</v>
      </c>
      <c r="Z97" s="128">
        <v>2.17</v>
      </c>
      <c r="AA97" s="128">
        <v>2.1800000000000002</v>
      </c>
      <c r="AB97" s="128">
        <v>2.19</v>
      </c>
      <c r="AC97" s="128">
        <v>2.2000000000000002</v>
      </c>
      <c r="AD97" s="128">
        <v>2.21</v>
      </c>
      <c r="AE97" s="128">
        <v>2.2200000000000002</v>
      </c>
      <c r="AF97" s="128">
        <v>2.23</v>
      </c>
      <c r="AG97" s="128">
        <v>2.2400000000000002</v>
      </c>
      <c r="AH97" s="128">
        <v>2.25</v>
      </c>
      <c r="AI97" s="128">
        <v>2.25</v>
      </c>
      <c r="AJ97" s="128">
        <v>2.2599999999999998</v>
      </c>
      <c r="AK97" s="128">
        <v>2.27</v>
      </c>
      <c r="AL97" s="128">
        <v>2.2799999999999998</v>
      </c>
      <c r="AM97" s="128">
        <v>2.29</v>
      </c>
      <c r="AN97" s="128">
        <v>2.2999999999999998</v>
      </c>
      <c r="AO97" s="128">
        <v>2.31</v>
      </c>
      <c r="AP97" s="128">
        <v>2.3199999999999998</v>
      </c>
      <c r="AQ97" s="128">
        <v>2.33</v>
      </c>
      <c r="AR97" s="128">
        <v>2.34</v>
      </c>
      <c r="AS97" s="128">
        <v>2.35</v>
      </c>
      <c r="AT97" s="128">
        <v>2.36</v>
      </c>
      <c r="AU97" s="128">
        <v>2.37</v>
      </c>
      <c r="AV97" s="128">
        <v>2.38</v>
      </c>
      <c r="AW97" s="128">
        <v>2.39</v>
      </c>
      <c r="AX97" s="128">
        <v>2.4</v>
      </c>
      <c r="AY97" s="128">
        <v>2.41</v>
      </c>
      <c r="AZ97" s="128">
        <v>2.42</v>
      </c>
      <c r="BA97" s="128">
        <v>2.42</v>
      </c>
      <c r="BB97" s="128">
        <v>2.4300000000000002</v>
      </c>
      <c r="BC97" s="128">
        <v>2.44</v>
      </c>
      <c r="BD97" s="128">
        <v>2.4500000000000002</v>
      </c>
      <c r="BE97" s="128">
        <v>2.46</v>
      </c>
      <c r="BF97" s="128">
        <v>2.4700000000000002</v>
      </c>
      <c r="BG97" s="128">
        <v>2.48</v>
      </c>
      <c r="BH97" s="128">
        <v>2.4900000000000002</v>
      </c>
      <c r="BI97" s="128">
        <v>2.5</v>
      </c>
      <c r="BJ97" s="128">
        <v>2.5099999999999998</v>
      </c>
      <c r="BK97" s="128">
        <v>2.52</v>
      </c>
      <c r="BL97" s="128">
        <v>2.5299999999999998</v>
      </c>
      <c r="BM97" s="128">
        <v>2.54</v>
      </c>
      <c r="BN97" s="128">
        <v>2.5499999999999998</v>
      </c>
      <c r="BO97" s="128">
        <v>2.56</v>
      </c>
      <c r="BP97" s="128">
        <v>2.57</v>
      </c>
      <c r="BQ97" s="128">
        <v>2.58</v>
      </c>
      <c r="BR97" s="128">
        <v>2.58</v>
      </c>
      <c r="BS97" s="128">
        <v>2.59</v>
      </c>
      <c r="BT97" s="128">
        <v>2.6</v>
      </c>
      <c r="BU97" s="128">
        <v>2.61</v>
      </c>
      <c r="BV97" s="128">
        <v>2.62</v>
      </c>
      <c r="BW97" s="128">
        <v>2.63</v>
      </c>
      <c r="BX97" s="128">
        <v>2.64</v>
      </c>
      <c r="BY97" s="128">
        <v>2.65</v>
      </c>
      <c r="BZ97" s="128">
        <v>2.66</v>
      </c>
      <c r="CA97" s="128">
        <v>2.67</v>
      </c>
      <c r="CB97" s="128">
        <v>2.68</v>
      </c>
      <c r="CC97" s="128">
        <v>2.69</v>
      </c>
      <c r="CD97" s="128">
        <v>2.7</v>
      </c>
      <c r="CE97" s="128">
        <v>2.71</v>
      </c>
      <c r="CF97" s="128">
        <v>2.72</v>
      </c>
      <c r="CG97" s="128">
        <v>2.73</v>
      </c>
      <c r="CH97" s="128">
        <v>2.74</v>
      </c>
      <c r="CI97" s="128">
        <v>2.75</v>
      </c>
      <c r="CJ97" s="128">
        <v>2.75</v>
      </c>
      <c r="CK97" s="128">
        <v>2.76</v>
      </c>
      <c r="CL97" s="128">
        <v>2.77</v>
      </c>
      <c r="CM97" s="128">
        <v>2.78</v>
      </c>
      <c r="CN97" s="128">
        <v>2.79</v>
      </c>
      <c r="CO97" s="128">
        <v>2.8</v>
      </c>
      <c r="CP97" s="128">
        <v>2.81</v>
      </c>
      <c r="CQ97" s="128">
        <v>2.82</v>
      </c>
      <c r="CR97" s="128">
        <v>2.83</v>
      </c>
      <c r="CS97" s="128">
        <v>2.85</v>
      </c>
      <c r="CT97" s="128">
        <v>2.87</v>
      </c>
      <c r="CU97" s="128">
        <v>2.88</v>
      </c>
      <c r="CV97" s="128">
        <v>2.9</v>
      </c>
      <c r="CW97" s="128">
        <v>2.92</v>
      </c>
      <c r="CX97" s="128">
        <v>2.94</v>
      </c>
      <c r="CZ97" s="126">
        <f>SUMIF(MatrixF5[[1]:[2]],MatrixF5[[#This Row],[Столбец1]])/MatrixF5[[#This Row],[Столбец1]]</f>
        <v>117.9999999999999</v>
      </c>
      <c r="DA97" s="126">
        <f>SUMIF(MatrixF5[[1]:[2]],MatrixF5[[#This Row],[Столбец1]]+1)/(MatrixF5[[#This Row],[Столбец1]]+1)</f>
        <v>5</v>
      </c>
    </row>
    <row r="98" spans="1:105" ht="21" customHeight="1" x14ac:dyDescent="0.25">
      <c r="A98" s="127">
        <v>1.95</v>
      </c>
      <c r="B98" s="128">
        <v>1.95</v>
      </c>
      <c r="C98" s="128">
        <v>1.96</v>
      </c>
      <c r="D98" s="128">
        <v>1.97</v>
      </c>
      <c r="E98" s="128">
        <v>1.98</v>
      </c>
      <c r="F98" s="128">
        <v>1.99</v>
      </c>
      <c r="G98" s="128">
        <v>2</v>
      </c>
      <c r="H98" s="128">
        <v>2.0099999999999998</v>
      </c>
      <c r="I98" s="128">
        <v>2.02</v>
      </c>
      <c r="J98" s="128">
        <v>2.0299999999999998</v>
      </c>
      <c r="K98" s="128">
        <v>2.04</v>
      </c>
      <c r="L98" s="128">
        <v>2.0499999999999998</v>
      </c>
      <c r="M98" s="128">
        <v>2.06</v>
      </c>
      <c r="N98" s="128">
        <v>2.0699999999999998</v>
      </c>
      <c r="O98" s="128">
        <v>2.08</v>
      </c>
      <c r="P98" s="128">
        <v>2.09</v>
      </c>
      <c r="Q98" s="128">
        <v>2.1</v>
      </c>
      <c r="R98" s="128">
        <v>2.1</v>
      </c>
      <c r="S98" s="128">
        <v>2.11</v>
      </c>
      <c r="T98" s="128">
        <v>2.12</v>
      </c>
      <c r="U98" s="128">
        <v>2.13</v>
      </c>
      <c r="V98" s="128">
        <v>2.14</v>
      </c>
      <c r="W98" s="128">
        <v>2.15</v>
      </c>
      <c r="X98" s="128">
        <v>2.16</v>
      </c>
      <c r="Y98" s="128">
        <v>2.17</v>
      </c>
      <c r="Z98" s="128">
        <v>2.1800000000000002</v>
      </c>
      <c r="AA98" s="128">
        <v>2.19</v>
      </c>
      <c r="AB98" s="128">
        <v>2.2000000000000002</v>
      </c>
      <c r="AC98" s="128">
        <v>2.21</v>
      </c>
      <c r="AD98" s="128">
        <v>2.2200000000000002</v>
      </c>
      <c r="AE98" s="128">
        <v>2.23</v>
      </c>
      <c r="AF98" s="128">
        <v>2.2400000000000002</v>
      </c>
      <c r="AG98" s="128">
        <v>2.25</v>
      </c>
      <c r="AH98" s="128">
        <v>2.2599999999999998</v>
      </c>
      <c r="AI98" s="128">
        <v>2.27</v>
      </c>
      <c r="AJ98" s="128">
        <v>2.2799999999999998</v>
      </c>
      <c r="AK98" s="128">
        <v>2.29</v>
      </c>
      <c r="AL98" s="128">
        <v>2.2999999999999998</v>
      </c>
      <c r="AM98" s="128">
        <v>2.2999999999999998</v>
      </c>
      <c r="AN98" s="128">
        <v>2.31</v>
      </c>
      <c r="AO98" s="128">
        <v>2.3199999999999998</v>
      </c>
      <c r="AP98" s="128">
        <v>2.33</v>
      </c>
      <c r="AQ98" s="128">
        <v>2.34</v>
      </c>
      <c r="AR98" s="128">
        <v>2.35</v>
      </c>
      <c r="AS98" s="128">
        <v>2.36</v>
      </c>
      <c r="AT98" s="128">
        <v>2.37</v>
      </c>
      <c r="AU98" s="128">
        <v>2.38</v>
      </c>
      <c r="AV98" s="128">
        <v>2.39</v>
      </c>
      <c r="AW98" s="128">
        <v>2.4</v>
      </c>
      <c r="AX98" s="128">
        <v>2.41</v>
      </c>
      <c r="AY98" s="128">
        <v>2.42</v>
      </c>
      <c r="AZ98" s="128">
        <v>2.4300000000000002</v>
      </c>
      <c r="BA98" s="128">
        <v>2.44</v>
      </c>
      <c r="BB98" s="128">
        <v>2.4500000000000002</v>
      </c>
      <c r="BC98" s="128">
        <v>2.46</v>
      </c>
      <c r="BD98" s="128">
        <v>2.4700000000000002</v>
      </c>
      <c r="BE98" s="128">
        <v>2.48</v>
      </c>
      <c r="BF98" s="128">
        <v>2.4900000000000002</v>
      </c>
      <c r="BG98" s="128">
        <v>2.5</v>
      </c>
      <c r="BH98" s="128">
        <v>2.5</v>
      </c>
      <c r="BI98" s="128">
        <v>2.5099999999999998</v>
      </c>
      <c r="BJ98" s="128">
        <v>2.52</v>
      </c>
      <c r="BK98" s="128">
        <v>2.5299999999999998</v>
      </c>
      <c r="BL98" s="128">
        <v>2.54</v>
      </c>
      <c r="BM98" s="128">
        <v>2.5499999999999998</v>
      </c>
      <c r="BN98" s="128">
        <v>2.56</v>
      </c>
      <c r="BO98" s="128">
        <v>2.57</v>
      </c>
      <c r="BP98" s="128">
        <v>2.58</v>
      </c>
      <c r="BQ98" s="128">
        <v>2.59</v>
      </c>
      <c r="BR98" s="128">
        <v>2.6</v>
      </c>
      <c r="BS98" s="128">
        <v>2.61</v>
      </c>
      <c r="BT98" s="128">
        <v>2.62</v>
      </c>
      <c r="BU98" s="128">
        <v>2.63</v>
      </c>
      <c r="BV98" s="128">
        <v>2.64</v>
      </c>
      <c r="BW98" s="128">
        <v>2.65</v>
      </c>
      <c r="BX98" s="128">
        <v>2.66</v>
      </c>
      <c r="BY98" s="128">
        <v>2.67</v>
      </c>
      <c r="BZ98" s="128">
        <v>2.68</v>
      </c>
      <c r="CA98" s="128">
        <v>2.69</v>
      </c>
      <c r="CB98" s="128">
        <v>2.7</v>
      </c>
      <c r="CC98" s="128">
        <v>2.7</v>
      </c>
      <c r="CD98" s="128">
        <v>2.71</v>
      </c>
      <c r="CE98" s="128">
        <v>2.72</v>
      </c>
      <c r="CF98" s="128">
        <v>2.73</v>
      </c>
      <c r="CG98" s="128">
        <v>2.74</v>
      </c>
      <c r="CH98" s="128">
        <v>2.75</v>
      </c>
      <c r="CI98" s="128">
        <v>2.76</v>
      </c>
      <c r="CJ98" s="128">
        <v>2.77</v>
      </c>
      <c r="CK98" s="128">
        <v>2.78</v>
      </c>
      <c r="CL98" s="128">
        <v>2.79</v>
      </c>
      <c r="CM98" s="128">
        <v>2.8</v>
      </c>
      <c r="CN98" s="128">
        <v>2.81</v>
      </c>
      <c r="CO98" s="128">
        <v>2.82</v>
      </c>
      <c r="CP98" s="128">
        <v>2.83</v>
      </c>
      <c r="CQ98" s="128">
        <v>2.84</v>
      </c>
      <c r="CR98" s="128">
        <v>2.85</v>
      </c>
      <c r="CS98" s="128">
        <v>2.86</v>
      </c>
      <c r="CT98" s="128">
        <v>2.88</v>
      </c>
      <c r="CU98" s="128">
        <v>2.89</v>
      </c>
      <c r="CV98" s="128">
        <v>2.91</v>
      </c>
      <c r="CW98" s="128">
        <v>2.93</v>
      </c>
      <c r="CX98" s="128">
        <v>2.95</v>
      </c>
      <c r="CZ98" s="126">
        <f>SUMIF(MatrixF5[[1]:[2]],MatrixF5[[#This Row],[Столбец1]])/MatrixF5[[#This Row],[Столбец1]]</f>
        <v>110.9999999999998</v>
      </c>
      <c r="DA98" s="126">
        <f>SUMIF(MatrixF5[[1]:[2]],MatrixF5[[#This Row],[Столбец1]]+1)/(MatrixF5[[#This Row],[Столбец1]]+1)</f>
        <v>4</v>
      </c>
    </row>
    <row r="99" spans="1:105" ht="21" customHeight="1" x14ac:dyDescent="0.25">
      <c r="A99" s="127">
        <v>1.96</v>
      </c>
      <c r="B99" s="128">
        <v>1.96</v>
      </c>
      <c r="C99" s="128">
        <v>1.97</v>
      </c>
      <c r="D99" s="128">
        <v>1.98</v>
      </c>
      <c r="E99" s="128">
        <v>1.99</v>
      </c>
      <c r="F99" s="128">
        <v>2</v>
      </c>
      <c r="G99" s="128">
        <v>2.0099999999999998</v>
      </c>
      <c r="H99" s="128">
        <v>2.02</v>
      </c>
      <c r="I99" s="128">
        <v>2.0299999999999998</v>
      </c>
      <c r="J99" s="128">
        <v>2.04</v>
      </c>
      <c r="K99" s="128">
        <v>2.0499999999999998</v>
      </c>
      <c r="L99" s="128">
        <v>2.06</v>
      </c>
      <c r="M99" s="128">
        <v>2.0699999999999998</v>
      </c>
      <c r="N99" s="128">
        <v>2.08</v>
      </c>
      <c r="O99" s="128">
        <v>2.09</v>
      </c>
      <c r="P99" s="128">
        <v>2.1</v>
      </c>
      <c r="Q99" s="128">
        <v>2.11</v>
      </c>
      <c r="R99" s="128">
        <v>2.12</v>
      </c>
      <c r="S99" s="128">
        <v>2.12</v>
      </c>
      <c r="T99" s="128">
        <v>2.13</v>
      </c>
      <c r="U99" s="128">
        <v>2.14</v>
      </c>
      <c r="V99" s="128">
        <v>2.15</v>
      </c>
      <c r="W99" s="128">
        <v>2.16</v>
      </c>
      <c r="X99" s="128">
        <v>2.17</v>
      </c>
      <c r="Y99" s="128">
        <v>2.1800000000000002</v>
      </c>
      <c r="Z99" s="128">
        <v>2.19</v>
      </c>
      <c r="AA99" s="128">
        <v>2.2000000000000002</v>
      </c>
      <c r="AB99" s="128">
        <v>2.21</v>
      </c>
      <c r="AC99" s="128">
        <v>2.2200000000000002</v>
      </c>
      <c r="AD99" s="128">
        <v>2.23</v>
      </c>
      <c r="AE99" s="128">
        <v>2.2400000000000002</v>
      </c>
      <c r="AF99" s="128">
        <v>2.25</v>
      </c>
      <c r="AG99" s="128">
        <v>2.2599999999999998</v>
      </c>
      <c r="AH99" s="128">
        <v>2.27</v>
      </c>
      <c r="AI99" s="128">
        <v>2.2799999999999998</v>
      </c>
      <c r="AJ99" s="128">
        <v>2.29</v>
      </c>
      <c r="AK99" s="128">
        <v>2.2999999999999998</v>
      </c>
      <c r="AL99" s="128">
        <v>2.31</v>
      </c>
      <c r="AM99" s="128">
        <v>2.3199999999999998</v>
      </c>
      <c r="AN99" s="128">
        <v>2.33</v>
      </c>
      <c r="AO99" s="128">
        <v>2.34</v>
      </c>
      <c r="AP99" s="128">
        <v>2.35</v>
      </c>
      <c r="AQ99" s="128">
        <v>2.36</v>
      </c>
      <c r="AR99" s="128">
        <v>2.37</v>
      </c>
      <c r="AS99" s="128">
        <v>2.38</v>
      </c>
      <c r="AT99" s="128">
        <v>2.38</v>
      </c>
      <c r="AU99" s="128">
        <v>2.39</v>
      </c>
      <c r="AV99" s="128">
        <v>2.4</v>
      </c>
      <c r="AW99" s="128">
        <v>2.41</v>
      </c>
      <c r="AX99" s="128">
        <v>2.42</v>
      </c>
      <c r="AY99" s="128">
        <v>2.4300000000000002</v>
      </c>
      <c r="AZ99" s="128">
        <v>2.44</v>
      </c>
      <c r="BA99" s="128">
        <v>2.4500000000000002</v>
      </c>
      <c r="BB99" s="128">
        <v>2.46</v>
      </c>
      <c r="BC99" s="128">
        <v>2.4700000000000002</v>
      </c>
      <c r="BD99" s="128">
        <v>2.48</v>
      </c>
      <c r="BE99" s="128">
        <v>2.4900000000000002</v>
      </c>
      <c r="BF99" s="128">
        <v>2.5</v>
      </c>
      <c r="BG99" s="128">
        <v>2.5099999999999998</v>
      </c>
      <c r="BH99" s="128">
        <v>2.52</v>
      </c>
      <c r="BI99" s="128">
        <v>2.5299999999999998</v>
      </c>
      <c r="BJ99" s="128">
        <v>2.54</v>
      </c>
      <c r="BK99" s="128">
        <v>2.5499999999999998</v>
      </c>
      <c r="BL99" s="128">
        <v>2.56</v>
      </c>
      <c r="BM99" s="128">
        <v>2.57</v>
      </c>
      <c r="BN99" s="128">
        <v>2.58</v>
      </c>
      <c r="BO99" s="128">
        <v>2.59</v>
      </c>
      <c r="BP99" s="128">
        <v>2.6</v>
      </c>
      <c r="BQ99" s="128">
        <v>2.61</v>
      </c>
      <c r="BR99" s="128">
        <v>2.62</v>
      </c>
      <c r="BS99" s="128">
        <v>2.62</v>
      </c>
      <c r="BT99" s="128">
        <v>2.63</v>
      </c>
      <c r="BU99" s="128">
        <v>2.64</v>
      </c>
      <c r="BV99" s="128">
        <v>2.65</v>
      </c>
      <c r="BW99" s="128">
        <v>2.66</v>
      </c>
      <c r="BX99" s="128">
        <v>2.67</v>
      </c>
      <c r="BY99" s="128">
        <v>2.68</v>
      </c>
      <c r="BZ99" s="128">
        <v>2.69</v>
      </c>
      <c r="CA99" s="128">
        <v>2.7</v>
      </c>
      <c r="CB99" s="128">
        <v>2.71</v>
      </c>
      <c r="CC99" s="128">
        <v>2.72</v>
      </c>
      <c r="CD99" s="128">
        <v>2.73</v>
      </c>
      <c r="CE99" s="128">
        <v>2.74</v>
      </c>
      <c r="CF99" s="128">
        <v>2.75</v>
      </c>
      <c r="CG99" s="128">
        <v>2.76</v>
      </c>
      <c r="CH99" s="128">
        <v>2.77</v>
      </c>
      <c r="CI99" s="128">
        <v>2.78</v>
      </c>
      <c r="CJ99" s="128">
        <v>2.79</v>
      </c>
      <c r="CK99" s="128">
        <v>2.8</v>
      </c>
      <c r="CL99" s="128">
        <v>2.81</v>
      </c>
      <c r="CM99" s="128">
        <v>2.82</v>
      </c>
      <c r="CN99" s="128">
        <v>2.83</v>
      </c>
      <c r="CO99" s="128">
        <v>2.84</v>
      </c>
      <c r="CP99" s="128">
        <v>2.85</v>
      </c>
      <c r="CQ99" s="128">
        <v>2.86</v>
      </c>
      <c r="CR99" s="128">
        <v>2.87</v>
      </c>
      <c r="CS99" s="128">
        <v>2.88</v>
      </c>
      <c r="CT99" s="128">
        <v>2.88</v>
      </c>
      <c r="CU99" s="128">
        <v>2.9</v>
      </c>
      <c r="CV99" s="128">
        <v>2.92</v>
      </c>
      <c r="CW99" s="128">
        <v>2.94</v>
      </c>
      <c r="CX99" s="128">
        <v>2.96</v>
      </c>
      <c r="CZ99" s="126">
        <f>SUMIF(MatrixF5[[1]:[2]],MatrixF5[[#This Row],[Столбец1]])/MatrixF5[[#This Row],[Столбец1]]</f>
        <v>119.00000000000013</v>
      </c>
      <c r="DA99" s="126">
        <f>SUMIF(MatrixF5[[1]:[2]],MatrixF5[[#This Row],[Столбец1]]+1)/(MatrixF5[[#This Row],[Столбец1]]+1)</f>
        <v>4</v>
      </c>
    </row>
    <row r="100" spans="1:105" ht="21" customHeight="1" x14ac:dyDescent="0.25">
      <c r="A100" s="127">
        <v>1.97</v>
      </c>
      <c r="B100" s="128">
        <v>1.97</v>
      </c>
      <c r="C100" s="128">
        <v>1.98</v>
      </c>
      <c r="D100" s="128">
        <v>1.99</v>
      </c>
      <c r="E100" s="128">
        <v>2</v>
      </c>
      <c r="F100" s="128">
        <v>2.0099999999999998</v>
      </c>
      <c r="G100" s="128">
        <v>2.02</v>
      </c>
      <c r="H100" s="128">
        <v>2.0299999999999998</v>
      </c>
      <c r="I100" s="128">
        <v>2.04</v>
      </c>
      <c r="J100" s="128">
        <v>2.0499999999999998</v>
      </c>
      <c r="K100" s="128">
        <v>2.06</v>
      </c>
      <c r="L100" s="128">
        <v>2.0699999999999998</v>
      </c>
      <c r="M100" s="128">
        <v>2.08</v>
      </c>
      <c r="N100" s="128">
        <v>2.09</v>
      </c>
      <c r="O100" s="128">
        <v>2.1</v>
      </c>
      <c r="P100" s="128">
        <v>2.11</v>
      </c>
      <c r="Q100" s="128">
        <v>2.12</v>
      </c>
      <c r="R100" s="128">
        <v>2.13</v>
      </c>
      <c r="S100" s="128">
        <v>2.14</v>
      </c>
      <c r="T100" s="128">
        <v>2.15</v>
      </c>
      <c r="U100" s="128">
        <v>2.16</v>
      </c>
      <c r="V100" s="128">
        <v>2.17</v>
      </c>
      <c r="W100" s="128">
        <v>2.17</v>
      </c>
      <c r="X100" s="128">
        <v>2.1800000000000002</v>
      </c>
      <c r="Y100" s="128">
        <v>2.19</v>
      </c>
      <c r="Z100" s="128">
        <v>2.2000000000000002</v>
      </c>
      <c r="AA100" s="128">
        <v>2.21</v>
      </c>
      <c r="AB100" s="128">
        <v>2.2200000000000002</v>
      </c>
      <c r="AC100" s="128">
        <v>2.23</v>
      </c>
      <c r="AD100" s="128">
        <v>2.2400000000000002</v>
      </c>
      <c r="AE100" s="128">
        <v>2.25</v>
      </c>
      <c r="AF100" s="128">
        <v>2.2599999999999998</v>
      </c>
      <c r="AG100" s="128">
        <v>2.27</v>
      </c>
      <c r="AH100" s="128">
        <v>2.2799999999999998</v>
      </c>
      <c r="AI100" s="128">
        <v>2.29</v>
      </c>
      <c r="AJ100" s="128">
        <v>2.2999999999999998</v>
      </c>
      <c r="AK100" s="128">
        <v>2.31</v>
      </c>
      <c r="AL100" s="128">
        <v>2.3199999999999998</v>
      </c>
      <c r="AM100" s="128">
        <v>2.33</v>
      </c>
      <c r="AN100" s="128">
        <v>2.34</v>
      </c>
      <c r="AO100" s="128">
        <v>2.35</v>
      </c>
      <c r="AP100" s="128">
        <v>2.36</v>
      </c>
      <c r="AQ100" s="128">
        <v>2.37</v>
      </c>
      <c r="AR100" s="128">
        <v>2.38</v>
      </c>
      <c r="AS100" s="128">
        <v>2.39</v>
      </c>
      <c r="AT100" s="128">
        <v>2.4</v>
      </c>
      <c r="AU100" s="128">
        <v>2.41</v>
      </c>
      <c r="AV100" s="128">
        <v>2.42</v>
      </c>
      <c r="AW100" s="128">
        <v>2.4300000000000002</v>
      </c>
      <c r="AX100" s="128">
        <v>2.44</v>
      </c>
      <c r="AY100" s="128">
        <v>2.4500000000000002</v>
      </c>
      <c r="AZ100" s="128">
        <v>2.46</v>
      </c>
      <c r="BA100" s="128">
        <v>2.4700000000000002</v>
      </c>
      <c r="BB100" s="128">
        <v>2.48</v>
      </c>
      <c r="BC100" s="128">
        <v>2.4900000000000002</v>
      </c>
      <c r="BD100" s="128">
        <v>2.5</v>
      </c>
      <c r="BE100" s="128">
        <v>2.5</v>
      </c>
      <c r="BF100" s="128">
        <v>2.5099999999999998</v>
      </c>
      <c r="BG100" s="128">
        <v>2.52</v>
      </c>
      <c r="BH100" s="128">
        <v>2.5299999999999998</v>
      </c>
      <c r="BI100" s="128">
        <v>2.54</v>
      </c>
      <c r="BJ100" s="128">
        <v>2.5499999999999998</v>
      </c>
      <c r="BK100" s="128">
        <v>2.56</v>
      </c>
      <c r="BL100" s="128">
        <v>2.57</v>
      </c>
      <c r="BM100" s="128">
        <v>2.58</v>
      </c>
      <c r="BN100" s="128">
        <v>2.59</v>
      </c>
      <c r="BO100" s="128">
        <v>2.6</v>
      </c>
      <c r="BP100" s="128">
        <v>2.61</v>
      </c>
      <c r="BQ100" s="128">
        <v>2.62</v>
      </c>
      <c r="BR100" s="128">
        <v>2.63</v>
      </c>
      <c r="BS100" s="128">
        <v>2.64</v>
      </c>
      <c r="BT100" s="128">
        <v>2.65</v>
      </c>
      <c r="BU100" s="128">
        <v>2.66</v>
      </c>
      <c r="BV100" s="128">
        <v>2.67</v>
      </c>
      <c r="BW100" s="128">
        <v>2.68</v>
      </c>
      <c r="BX100" s="128">
        <v>2.69</v>
      </c>
      <c r="BY100" s="128">
        <v>2.7</v>
      </c>
      <c r="BZ100" s="128">
        <v>2.71</v>
      </c>
      <c r="CA100" s="128">
        <v>2.72</v>
      </c>
      <c r="CB100" s="128">
        <v>2.73</v>
      </c>
      <c r="CC100" s="128">
        <v>2.74</v>
      </c>
      <c r="CD100" s="128">
        <v>2.75</v>
      </c>
      <c r="CE100" s="128">
        <v>2.76</v>
      </c>
      <c r="CF100" s="128">
        <v>2.77</v>
      </c>
      <c r="CG100" s="128">
        <v>2.78</v>
      </c>
      <c r="CH100" s="128">
        <v>2.79</v>
      </c>
      <c r="CI100" s="128">
        <v>2.8</v>
      </c>
      <c r="CJ100" s="128">
        <v>2.81</v>
      </c>
      <c r="CK100" s="128">
        <v>2.82</v>
      </c>
      <c r="CL100" s="128">
        <v>2.83</v>
      </c>
      <c r="CM100" s="128">
        <v>2.83</v>
      </c>
      <c r="CN100" s="128">
        <v>2.84</v>
      </c>
      <c r="CO100" s="128">
        <v>2.85</v>
      </c>
      <c r="CP100" s="128">
        <v>2.86</v>
      </c>
      <c r="CQ100" s="128">
        <v>2.87</v>
      </c>
      <c r="CR100" s="128">
        <v>2.88</v>
      </c>
      <c r="CS100" s="128">
        <v>2.89</v>
      </c>
      <c r="CT100" s="128">
        <v>2.9</v>
      </c>
      <c r="CU100" s="128">
        <v>2.91</v>
      </c>
      <c r="CV100" s="128">
        <v>2.93</v>
      </c>
      <c r="CW100" s="128">
        <v>2.95</v>
      </c>
      <c r="CX100" s="128">
        <v>2.97</v>
      </c>
      <c r="CZ100" s="126">
        <f>SUMIF(MatrixF5[[1]:[2]],MatrixF5[[#This Row],[Столбец1]])/MatrixF5[[#This Row],[Столбец1]]</f>
        <v>118.99999999999994</v>
      </c>
      <c r="DA100" s="126">
        <f>SUMIF(MatrixF5[[1]:[2]],MatrixF5[[#This Row],[Столбец1]]+1)/(MatrixF5[[#This Row],[Столбец1]]+1)</f>
        <v>3.0000000000000004</v>
      </c>
    </row>
    <row r="101" spans="1:105" ht="21" customHeight="1" x14ac:dyDescent="0.25">
      <c r="A101" s="127">
        <v>1.98</v>
      </c>
      <c r="B101" s="128">
        <v>1.98</v>
      </c>
      <c r="C101" s="128">
        <v>1.99</v>
      </c>
      <c r="D101" s="128">
        <v>2</v>
      </c>
      <c r="E101" s="128">
        <v>2.0099999999999998</v>
      </c>
      <c r="F101" s="128">
        <v>2.02</v>
      </c>
      <c r="G101" s="128">
        <v>2.0299999999999998</v>
      </c>
      <c r="H101" s="128">
        <v>2.04</v>
      </c>
      <c r="I101" s="128">
        <v>2.0499999999999998</v>
      </c>
      <c r="J101" s="128">
        <v>2.06</v>
      </c>
      <c r="K101" s="128">
        <v>2.0699999999999998</v>
      </c>
      <c r="L101" s="128">
        <v>2.08</v>
      </c>
      <c r="M101" s="128">
        <v>2.09</v>
      </c>
      <c r="N101" s="128">
        <v>2.1</v>
      </c>
      <c r="O101" s="128">
        <v>2.11</v>
      </c>
      <c r="P101" s="128">
        <v>2.12</v>
      </c>
      <c r="Q101" s="128">
        <v>2.13</v>
      </c>
      <c r="R101" s="128">
        <v>2.14</v>
      </c>
      <c r="S101" s="128">
        <v>2.15</v>
      </c>
      <c r="T101" s="128">
        <v>2.16</v>
      </c>
      <c r="U101" s="128">
        <v>2.17</v>
      </c>
      <c r="V101" s="128">
        <v>2.1800000000000002</v>
      </c>
      <c r="W101" s="128">
        <v>2.19</v>
      </c>
      <c r="X101" s="128">
        <v>2.2000000000000002</v>
      </c>
      <c r="Y101" s="128">
        <v>2.21</v>
      </c>
      <c r="Z101" s="128">
        <v>2.2200000000000002</v>
      </c>
      <c r="AA101" s="128">
        <v>2.23</v>
      </c>
      <c r="AB101" s="128">
        <v>2.2400000000000002</v>
      </c>
      <c r="AC101" s="128">
        <v>2.25</v>
      </c>
      <c r="AD101" s="128">
        <v>2.25</v>
      </c>
      <c r="AE101" s="128">
        <v>2.2599999999999998</v>
      </c>
      <c r="AF101" s="128">
        <v>2.27</v>
      </c>
      <c r="AG101" s="128">
        <v>2.2799999999999998</v>
      </c>
      <c r="AH101" s="128">
        <v>2.29</v>
      </c>
      <c r="AI101" s="128">
        <v>2.2999999999999998</v>
      </c>
      <c r="AJ101" s="128">
        <v>2.31</v>
      </c>
      <c r="AK101" s="128">
        <v>2.3199999999999998</v>
      </c>
      <c r="AL101" s="128">
        <v>2.33</v>
      </c>
      <c r="AM101" s="128">
        <v>2.34</v>
      </c>
      <c r="AN101" s="128">
        <v>2.35</v>
      </c>
      <c r="AO101" s="128">
        <v>2.36</v>
      </c>
      <c r="AP101" s="128">
        <v>2.37</v>
      </c>
      <c r="AQ101" s="128">
        <v>2.38</v>
      </c>
      <c r="AR101" s="128">
        <v>2.39</v>
      </c>
      <c r="AS101" s="128">
        <v>2.4</v>
      </c>
      <c r="AT101" s="128">
        <v>2.41</v>
      </c>
      <c r="AU101" s="128">
        <v>2.42</v>
      </c>
      <c r="AV101" s="128">
        <v>2.4300000000000002</v>
      </c>
      <c r="AW101" s="128">
        <v>2.44</v>
      </c>
      <c r="AX101" s="128">
        <v>2.4500000000000002</v>
      </c>
      <c r="AY101" s="128">
        <v>2.46</v>
      </c>
      <c r="AZ101" s="128">
        <v>2.4700000000000002</v>
      </c>
      <c r="BA101" s="128">
        <v>2.48</v>
      </c>
      <c r="BB101" s="128">
        <v>2.4900000000000002</v>
      </c>
      <c r="BC101" s="128">
        <v>2.5</v>
      </c>
      <c r="BD101" s="128">
        <v>2.5099999999999998</v>
      </c>
      <c r="BE101" s="128">
        <v>2.52</v>
      </c>
      <c r="BF101" s="128">
        <v>2.5299999999999998</v>
      </c>
      <c r="BG101" s="128">
        <v>2.54</v>
      </c>
      <c r="BH101" s="128">
        <v>2.5499999999999998</v>
      </c>
      <c r="BI101" s="128">
        <v>2.56</v>
      </c>
      <c r="BJ101" s="128">
        <v>2.57</v>
      </c>
      <c r="BK101" s="128">
        <v>2.58</v>
      </c>
      <c r="BL101" s="128">
        <v>2.59</v>
      </c>
      <c r="BM101" s="128">
        <v>2.6</v>
      </c>
      <c r="BN101" s="128">
        <v>2.61</v>
      </c>
      <c r="BO101" s="128">
        <v>2.62</v>
      </c>
      <c r="BP101" s="128">
        <v>2.63</v>
      </c>
      <c r="BQ101" s="128">
        <v>2.64</v>
      </c>
      <c r="BR101" s="128">
        <v>2.65</v>
      </c>
      <c r="BS101" s="128">
        <v>2.66</v>
      </c>
      <c r="BT101" s="128">
        <v>2.67</v>
      </c>
      <c r="BU101" s="128">
        <v>2.68</v>
      </c>
      <c r="BV101" s="128">
        <v>2.69</v>
      </c>
      <c r="BW101" s="128">
        <v>2.7</v>
      </c>
      <c r="BX101" s="128">
        <v>2.71</v>
      </c>
      <c r="BY101" s="128">
        <v>2.72</v>
      </c>
      <c r="BZ101" s="128">
        <v>2.73</v>
      </c>
      <c r="CA101" s="128">
        <v>2.74</v>
      </c>
      <c r="CB101" s="128">
        <v>2.75</v>
      </c>
      <c r="CC101" s="128">
        <v>2.75</v>
      </c>
      <c r="CD101" s="128">
        <v>2.76</v>
      </c>
      <c r="CE101" s="128">
        <v>2.77</v>
      </c>
      <c r="CF101" s="128">
        <v>2.78</v>
      </c>
      <c r="CG101" s="128">
        <v>2.79</v>
      </c>
      <c r="CH101" s="128">
        <v>2.8</v>
      </c>
      <c r="CI101" s="128">
        <v>2.81</v>
      </c>
      <c r="CJ101" s="128">
        <v>2.82</v>
      </c>
      <c r="CK101" s="128">
        <v>2.83</v>
      </c>
      <c r="CL101" s="128">
        <v>2.84</v>
      </c>
      <c r="CM101" s="128">
        <v>2.85</v>
      </c>
      <c r="CN101" s="128">
        <v>2.86</v>
      </c>
      <c r="CO101" s="128">
        <v>2.87</v>
      </c>
      <c r="CP101" s="128">
        <v>2.88</v>
      </c>
      <c r="CQ101" s="128">
        <v>2.89</v>
      </c>
      <c r="CR101" s="128">
        <v>2.9</v>
      </c>
      <c r="CS101" s="128">
        <v>2.91</v>
      </c>
      <c r="CT101" s="128">
        <v>2.92</v>
      </c>
      <c r="CU101" s="128">
        <v>2.93</v>
      </c>
      <c r="CV101" s="128">
        <v>2.94</v>
      </c>
      <c r="CW101" s="128">
        <v>2.96</v>
      </c>
      <c r="CX101" s="128">
        <v>2.98</v>
      </c>
      <c r="CZ101" s="126">
        <f>SUMIF(MatrixF5[[1]:[2]],MatrixF5[[#This Row],[Столбец1]])/MatrixF5[[#This Row],[Столбец1]]</f>
        <v>123.99999999999973</v>
      </c>
      <c r="DA101" s="126">
        <f>SUMIF(MatrixF5[[1]:[2]],MatrixF5[[#This Row],[Столбец1]]+1)/(MatrixF5[[#This Row],[Столбец1]]+1)</f>
        <v>2</v>
      </c>
    </row>
    <row r="102" spans="1:105" ht="21" customHeight="1" x14ac:dyDescent="0.25">
      <c r="A102" s="127">
        <v>1.99</v>
      </c>
      <c r="B102" s="128">
        <v>1.99</v>
      </c>
      <c r="C102" s="128">
        <v>2</v>
      </c>
      <c r="D102" s="128">
        <v>2.0099999999999998</v>
      </c>
      <c r="E102" s="128">
        <v>2.02</v>
      </c>
      <c r="F102" s="128">
        <v>2.0299999999999998</v>
      </c>
      <c r="G102" s="128">
        <v>2.04</v>
      </c>
      <c r="H102" s="128">
        <v>2.0499999999999998</v>
      </c>
      <c r="I102" s="128">
        <v>2.06</v>
      </c>
      <c r="J102" s="128">
        <v>2.0699999999999998</v>
      </c>
      <c r="K102" s="128">
        <v>2.08</v>
      </c>
      <c r="L102" s="128">
        <v>2.09</v>
      </c>
      <c r="M102" s="128">
        <v>2.1</v>
      </c>
      <c r="N102" s="128">
        <v>2.11</v>
      </c>
      <c r="O102" s="128">
        <v>2.12</v>
      </c>
      <c r="P102" s="128">
        <v>2.13</v>
      </c>
      <c r="Q102" s="128">
        <v>2.14</v>
      </c>
      <c r="R102" s="128">
        <v>2.15</v>
      </c>
      <c r="S102" s="128">
        <v>2.16</v>
      </c>
      <c r="T102" s="128">
        <v>2.17</v>
      </c>
      <c r="U102" s="128">
        <v>2.1800000000000002</v>
      </c>
      <c r="V102" s="128">
        <v>2.19</v>
      </c>
      <c r="W102" s="128">
        <v>2.2000000000000002</v>
      </c>
      <c r="X102" s="128">
        <v>2.21</v>
      </c>
      <c r="Y102" s="128">
        <v>2.2200000000000002</v>
      </c>
      <c r="Z102" s="128">
        <v>2.23</v>
      </c>
      <c r="AA102" s="128">
        <v>2.2400000000000002</v>
      </c>
      <c r="AB102" s="128">
        <v>2.25</v>
      </c>
      <c r="AC102" s="128">
        <v>2.2599999999999998</v>
      </c>
      <c r="AD102" s="128">
        <v>2.27</v>
      </c>
      <c r="AE102" s="128">
        <v>2.2799999999999998</v>
      </c>
      <c r="AF102" s="128">
        <v>2.29</v>
      </c>
      <c r="AG102" s="128">
        <v>2.2999999999999998</v>
      </c>
      <c r="AH102" s="128">
        <v>2.31</v>
      </c>
      <c r="AI102" s="128">
        <v>2.3199999999999998</v>
      </c>
      <c r="AJ102" s="128">
        <v>2.33</v>
      </c>
      <c r="AK102" s="128">
        <v>2.34</v>
      </c>
      <c r="AL102" s="128">
        <v>2.35</v>
      </c>
      <c r="AM102" s="128">
        <v>2.36</v>
      </c>
      <c r="AN102" s="128">
        <v>2.37</v>
      </c>
      <c r="AO102" s="128">
        <v>2.38</v>
      </c>
      <c r="AP102" s="128">
        <v>2.39</v>
      </c>
      <c r="AQ102" s="128">
        <v>2.4</v>
      </c>
      <c r="AR102" s="128">
        <v>2.41</v>
      </c>
      <c r="AS102" s="128">
        <v>2.42</v>
      </c>
      <c r="AT102" s="128">
        <v>2.4300000000000002</v>
      </c>
      <c r="AU102" s="128">
        <v>2.44</v>
      </c>
      <c r="AV102" s="128">
        <v>2.4500000000000002</v>
      </c>
      <c r="AW102" s="128">
        <v>2.46</v>
      </c>
      <c r="AX102" s="128">
        <v>2.4700000000000002</v>
      </c>
      <c r="AY102" s="128">
        <v>2.48</v>
      </c>
      <c r="AZ102" s="128">
        <v>2.4900000000000002</v>
      </c>
      <c r="BA102" s="128">
        <v>2.5</v>
      </c>
      <c r="BB102" s="128">
        <v>2.5</v>
      </c>
      <c r="BC102" s="128">
        <v>2.5099999999999998</v>
      </c>
      <c r="BD102" s="128">
        <v>2.52</v>
      </c>
      <c r="BE102" s="128">
        <v>2.5299999999999998</v>
      </c>
      <c r="BF102" s="128">
        <v>2.54</v>
      </c>
      <c r="BG102" s="128">
        <v>2.5499999999999998</v>
      </c>
      <c r="BH102" s="128">
        <v>2.56</v>
      </c>
      <c r="BI102" s="128">
        <v>2.57</v>
      </c>
      <c r="BJ102" s="128">
        <v>2.58</v>
      </c>
      <c r="BK102" s="128">
        <v>2.59</v>
      </c>
      <c r="BL102" s="128">
        <v>2.6</v>
      </c>
      <c r="BM102" s="128">
        <v>2.61</v>
      </c>
      <c r="BN102" s="128">
        <v>2.62</v>
      </c>
      <c r="BO102" s="128">
        <v>2.63</v>
      </c>
      <c r="BP102" s="128">
        <v>2.64</v>
      </c>
      <c r="BQ102" s="128">
        <v>2.65</v>
      </c>
      <c r="BR102" s="128">
        <v>2.66</v>
      </c>
      <c r="BS102" s="128">
        <v>2.67</v>
      </c>
      <c r="BT102" s="128">
        <v>2.68</v>
      </c>
      <c r="BU102" s="128">
        <v>2.69</v>
      </c>
      <c r="BV102" s="128">
        <v>2.7</v>
      </c>
      <c r="BW102" s="128">
        <v>2.71</v>
      </c>
      <c r="BX102" s="128">
        <v>2.72</v>
      </c>
      <c r="BY102" s="128">
        <v>2.73</v>
      </c>
      <c r="BZ102" s="128">
        <v>2.74</v>
      </c>
      <c r="CA102" s="128">
        <v>2.75</v>
      </c>
      <c r="CB102" s="128">
        <v>2.76</v>
      </c>
      <c r="CC102" s="128">
        <v>2.77</v>
      </c>
      <c r="CD102" s="128">
        <v>2.78</v>
      </c>
      <c r="CE102" s="128">
        <v>2.79</v>
      </c>
      <c r="CF102" s="128">
        <v>2.8</v>
      </c>
      <c r="CG102" s="128">
        <v>2.81</v>
      </c>
      <c r="CH102" s="128">
        <v>2.82</v>
      </c>
      <c r="CI102" s="128">
        <v>2.83</v>
      </c>
      <c r="CJ102" s="128">
        <v>2.84</v>
      </c>
      <c r="CK102" s="128">
        <v>2.85</v>
      </c>
      <c r="CL102" s="128">
        <v>2.86</v>
      </c>
      <c r="CM102" s="128">
        <v>2.87</v>
      </c>
      <c r="CN102" s="128">
        <v>2.88</v>
      </c>
      <c r="CO102" s="128">
        <v>2.89</v>
      </c>
      <c r="CP102" s="128">
        <v>2.9</v>
      </c>
      <c r="CQ102" s="128">
        <v>2.91</v>
      </c>
      <c r="CR102" s="128">
        <v>2.92</v>
      </c>
      <c r="CS102" s="128">
        <v>2.93</v>
      </c>
      <c r="CT102" s="128">
        <v>2.94</v>
      </c>
      <c r="CU102" s="128">
        <v>2.95</v>
      </c>
      <c r="CV102" s="128">
        <v>2.96</v>
      </c>
      <c r="CW102" s="128">
        <v>2.97</v>
      </c>
      <c r="CX102" s="128">
        <v>2.99</v>
      </c>
      <c r="CZ102" s="126">
        <f>SUMIF(MatrixF5[[1]:[2]],MatrixF5[[#This Row],[Столбец1]])/MatrixF5[[#This Row],[Столбец1]]</f>
        <v>131.00000000000023</v>
      </c>
      <c r="DA102" s="126">
        <f>SUMIF(MatrixF5[[1]:[2]],MatrixF5[[#This Row],[Столбец1]]+1)/(MatrixF5[[#This Row],[Столбец1]]+1)</f>
        <v>2</v>
      </c>
    </row>
    <row r="103" spans="1:105" ht="21" customHeight="1" x14ac:dyDescent="0.25">
      <c r="A103" s="127">
        <v>2</v>
      </c>
      <c r="B103" s="128">
        <v>2</v>
      </c>
      <c r="C103" s="128">
        <v>2.0099999999999998</v>
      </c>
      <c r="D103" s="128">
        <v>2.02</v>
      </c>
      <c r="E103" s="128">
        <v>2.0299999999999998</v>
      </c>
      <c r="F103" s="128">
        <v>2.04</v>
      </c>
      <c r="G103" s="128">
        <v>2.0499999999999998</v>
      </c>
      <c r="H103" s="128">
        <v>2.06</v>
      </c>
      <c r="I103" s="128">
        <v>2.0699999999999998</v>
      </c>
      <c r="J103" s="128">
        <v>2.08</v>
      </c>
      <c r="K103" s="128">
        <v>2.09</v>
      </c>
      <c r="L103" s="128">
        <v>2.1</v>
      </c>
      <c r="M103" s="128">
        <v>2.11</v>
      </c>
      <c r="N103" s="128">
        <v>2.12</v>
      </c>
      <c r="O103" s="128">
        <v>2.13</v>
      </c>
      <c r="P103" s="128">
        <v>2.14</v>
      </c>
      <c r="Q103" s="128">
        <v>2.15</v>
      </c>
      <c r="R103" s="128">
        <v>2.16</v>
      </c>
      <c r="S103" s="128">
        <v>2.17</v>
      </c>
      <c r="T103" s="128">
        <v>2.1800000000000002</v>
      </c>
      <c r="U103" s="128">
        <v>2.19</v>
      </c>
      <c r="V103" s="128">
        <v>2.2000000000000002</v>
      </c>
      <c r="W103" s="128">
        <v>2.21</v>
      </c>
      <c r="X103" s="128">
        <v>2.2200000000000002</v>
      </c>
      <c r="Y103" s="128">
        <v>2.23</v>
      </c>
      <c r="Z103" s="128">
        <v>2.2400000000000002</v>
      </c>
      <c r="AA103" s="128">
        <v>2.25</v>
      </c>
      <c r="AB103" s="128">
        <v>2.2599999999999998</v>
      </c>
      <c r="AC103" s="128">
        <v>2.27</v>
      </c>
      <c r="AD103" s="128">
        <v>2.2799999999999998</v>
      </c>
      <c r="AE103" s="128">
        <v>2.29</v>
      </c>
      <c r="AF103" s="128">
        <v>2.2999999999999998</v>
      </c>
      <c r="AG103" s="128">
        <v>2.31</v>
      </c>
      <c r="AH103" s="128">
        <v>2.3199999999999998</v>
      </c>
      <c r="AI103" s="128">
        <v>2.33</v>
      </c>
      <c r="AJ103" s="128">
        <v>2.34</v>
      </c>
      <c r="AK103" s="128">
        <v>2.35</v>
      </c>
      <c r="AL103" s="128">
        <v>2.36</v>
      </c>
      <c r="AM103" s="128">
        <v>2.37</v>
      </c>
      <c r="AN103" s="128">
        <v>2.38</v>
      </c>
      <c r="AO103" s="128">
        <v>2.39</v>
      </c>
      <c r="AP103" s="128">
        <v>2.4</v>
      </c>
      <c r="AQ103" s="128">
        <v>2.41</v>
      </c>
      <c r="AR103" s="128">
        <v>2.42</v>
      </c>
      <c r="AS103" s="128">
        <v>2.4300000000000002</v>
      </c>
      <c r="AT103" s="128">
        <v>2.44</v>
      </c>
      <c r="AU103" s="128">
        <v>2.4500000000000002</v>
      </c>
      <c r="AV103" s="128">
        <v>2.46</v>
      </c>
      <c r="AW103" s="128">
        <v>2.4700000000000002</v>
      </c>
      <c r="AX103" s="128">
        <v>2.48</v>
      </c>
      <c r="AY103" s="128">
        <v>2.4900000000000002</v>
      </c>
      <c r="AZ103" s="128">
        <v>2.5</v>
      </c>
      <c r="BA103" s="128">
        <v>2.5099999999999998</v>
      </c>
      <c r="BB103" s="128">
        <v>2.52</v>
      </c>
      <c r="BC103" s="128">
        <v>2.5299999999999998</v>
      </c>
      <c r="BD103" s="128">
        <v>2.54</v>
      </c>
      <c r="BE103" s="128">
        <v>2.5499999999999998</v>
      </c>
      <c r="BF103" s="128">
        <v>2.56</v>
      </c>
      <c r="BG103" s="128">
        <v>2.57</v>
      </c>
      <c r="BH103" s="128">
        <v>2.58</v>
      </c>
      <c r="BI103" s="128">
        <v>2.59</v>
      </c>
      <c r="BJ103" s="128">
        <v>2.6</v>
      </c>
      <c r="BK103" s="128">
        <v>2.61</v>
      </c>
      <c r="BL103" s="128">
        <v>2.62</v>
      </c>
      <c r="BM103" s="128">
        <v>2.63</v>
      </c>
      <c r="BN103" s="128">
        <v>2.64</v>
      </c>
      <c r="BO103" s="128">
        <v>2.65</v>
      </c>
      <c r="BP103" s="128">
        <v>2.66</v>
      </c>
      <c r="BQ103" s="128">
        <v>2.67</v>
      </c>
      <c r="BR103" s="128">
        <v>2.68</v>
      </c>
      <c r="BS103" s="128">
        <v>2.69</v>
      </c>
      <c r="BT103" s="128">
        <v>2.7</v>
      </c>
      <c r="BU103" s="128">
        <v>2.71</v>
      </c>
      <c r="BV103" s="128">
        <v>2.72</v>
      </c>
      <c r="BW103" s="128">
        <v>2.73</v>
      </c>
      <c r="BX103" s="128">
        <v>2.74</v>
      </c>
      <c r="BY103" s="128">
        <v>2.75</v>
      </c>
      <c r="BZ103" s="128">
        <v>2.76</v>
      </c>
      <c r="CA103" s="128">
        <v>2.77</v>
      </c>
      <c r="CB103" s="128">
        <v>2.78</v>
      </c>
      <c r="CC103" s="128">
        <v>2.79</v>
      </c>
      <c r="CD103" s="128">
        <v>2.8</v>
      </c>
      <c r="CE103" s="128">
        <v>2.81</v>
      </c>
      <c r="CF103" s="128">
        <v>2.82</v>
      </c>
      <c r="CG103" s="128">
        <v>2.83</v>
      </c>
      <c r="CH103" s="128">
        <v>2.84</v>
      </c>
      <c r="CI103" s="128">
        <v>2.85</v>
      </c>
      <c r="CJ103" s="128">
        <v>2.86</v>
      </c>
      <c r="CK103" s="128">
        <v>2.87</v>
      </c>
      <c r="CL103" s="128">
        <v>2.88</v>
      </c>
      <c r="CM103" s="128">
        <v>2.89</v>
      </c>
      <c r="CN103" s="128">
        <v>2.9</v>
      </c>
      <c r="CO103" s="128">
        <v>2.91</v>
      </c>
      <c r="CP103" s="128">
        <v>2.92</v>
      </c>
      <c r="CQ103" s="128">
        <v>2.93</v>
      </c>
      <c r="CR103" s="128">
        <v>2.94</v>
      </c>
      <c r="CS103" s="128">
        <v>2.95</v>
      </c>
      <c r="CT103" s="128">
        <v>2.96</v>
      </c>
      <c r="CU103" s="128">
        <v>2.97</v>
      </c>
      <c r="CV103" s="128">
        <v>2.98</v>
      </c>
      <c r="CW103" s="128">
        <v>2.99</v>
      </c>
      <c r="CX103" s="128">
        <v>3</v>
      </c>
      <c r="CZ103" s="126">
        <f>SUMIF(MatrixF5[[1]:[2]],MatrixF5[[#This Row],[Столбец1]])/MatrixF5[[#This Row],[Столбец1]]</f>
        <v>101</v>
      </c>
      <c r="DA103" s="126">
        <f>SUMIF(MatrixF5[[1]:[2]],MatrixF5[[#This Row],[Столбец1]]+1)/(MatrixF5[[#This Row],[Столбец1]]+1)</f>
        <v>1</v>
      </c>
    </row>
    <row r="105" spans="1:105" ht="21" customHeight="1" x14ac:dyDescent="0.25">
      <c r="B105" s="126">
        <f>SUMIF(MatrixF5[[1]:[2]],MatrixF5[[#Headers],[1]])/MatrixF5[[#Headers],[1]]</f>
        <v>1</v>
      </c>
      <c r="C105" s="126">
        <f>SUMIF(MatrixF5[[1]:[2]],MatrixF5[[#Headers],[1,01]])/MatrixF5[[#Headers],[1,01]]</f>
        <v>2</v>
      </c>
      <c r="D105" s="126">
        <f>SUMIF(MatrixF5[[1]:[2]],MatrixF5[[#Headers],[1,02]])/MatrixF5[[#Headers],[1,02]]</f>
        <v>2</v>
      </c>
      <c r="E105" s="126">
        <f>SUMIF(MatrixF5[[1]:[2]],MatrixF5[[#Headers],[1,03]])/MatrixF5[[#Headers],[1,03]]</f>
        <v>3</v>
      </c>
      <c r="F105" s="126">
        <f>SUMIF(MatrixF5[[1]:[2]],MatrixF5[[#Headers],[1,04]])/MatrixF5[[#Headers],[1,04]]</f>
        <v>4</v>
      </c>
      <c r="G105" s="126">
        <f>SUMIF(MatrixF5[[1]:[2]],MatrixF5[[#Headers],[1,05]])/MatrixF5[[#Headers],[1,05]]</f>
        <v>4</v>
      </c>
      <c r="H105" s="126">
        <f>SUMIF(MatrixF5[[1]:[2]],MatrixF5[[#Headers],[1,06]])/MatrixF5[[#Headers],[1,06]]</f>
        <v>5</v>
      </c>
      <c r="I105" s="126">
        <f>SUMIF(MatrixF5[[1]:[2]],MatrixF5[[#Headers],[1,07]])/MatrixF5[[#Headers],[1,07]]</f>
        <v>6</v>
      </c>
      <c r="J105" s="126">
        <f>SUMIF(MatrixF5[[1]:[2]],MatrixF5[[#Headers],[1,08]])/MatrixF5[[#Headers],[1,08]]</f>
        <v>6</v>
      </c>
      <c r="K105" s="126">
        <f>SUMIF(MatrixF5[[1]:[2]],MatrixF5[[#Headers],[1,09]])/MatrixF5[[#Headers],[1,09]]</f>
        <v>6.9999999999999991</v>
      </c>
      <c r="L105" s="126">
        <f>SUMIF(MatrixF5[[1]:[2]],MatrixF5[[#Headers],[1,1]])/MatrixF5[[#Headers],[1,1]]</f>
        <v>7.9999999999999982</v>
      </c>
      <c r="M105" s="126">
        <f>SUMIF(MatrixF5[[1]:[2]],MatrixF5[[#Headers],[1,11]])/MatrixF5[[#Headers],[1,11]]</f>
        <v>8</v>
      </c>
      <c r="N105" s="126">
        <f>SUMIF(MatrixF5[[1]:[2]],MatrixF5[[#Headers],[1,12]])/MatrixF5[[#Headers],[1,12]]</f>
        <v>11.000000000000002</v>
      </c>
      <c r="O105" s="126">
        <f>SUMIF(MatrixF5[[1]:[2]],MatrixF5[[#Headers],[1,13]])/MatrixF5[[#Headers],[1,13]]</f>
        <v>9.9999999999999982</v>
      </c>
      <c r="P105" s="126">
        <f>SUMIF(MatrixF5[[1]:[2]],MatrixF5[[#Headers],[1,14]])/MatrixF5[[#Headers],[1,14]]</f>
        <v>11.000000000000002</v>
      </c>
      <c r="Q105" s="126">
        <f>SUMIF(MatrixF5[[1]:[2]],MatrixF5[[#Headers],[1,15]])/MatrixF5[[#Headers],[1,15]]</f>
        <v>12.000000000000004</v>
      </c>
      <c r="R105" s="126">
        <f>SUMIF(MatrixF5[[1]:[2]],MatrixF5[[#Headers],[1,16]])/MatrixF5[[#Headers],[1,16]]</f>
        <v>12</v>
      </c>
      <c r="S105" s="126">
        <f>SUMIF(MatrixF5[[1]:[2]],MatrixF5[[#Headers],[1,17]])/MatrixF5[[#Headers],[1,17]]</f>
        <v>14.999999999999998</v>
      </c>
      <c r="T105" s="126">
        <f>SUMIF(MatrixF5[[1]:[2]],MatrixF5[[#Headers],[1,18]])/MatrixF5[[#Headers],[1,18]]</f>
        <v>14</v>
      </c>
      <c r="U105" s="126">
        <f>SUMIF(MatrixF5[[1]:[2]],MatrixF5[[#Headers],[1,19]])/MatrixF5[[#Headers],[1,19]]</f>
        <v>13.999999999999998</v>
      </c>
      <c r="V105" s="126">
        <f>SUMIF(MatrixF5[[1]:[2]],MatrixF5[[#Headers],[1,2]])/MatrixF5[[#Headers],[1,2]]</f>
        <v>14.999999999999998</v>
      </c>
      <c r="W105" s="126">
        <f>SUMIF(MatrixF5[[1]:[2]],MatrixF5[[#Headers],[1,21]])/MatrixF5[[#Headers],[1,21]]</f>
        <v>18.000000000000007</v>
      </c>
      <c r="X105" s="126">
        <f>SUMIF(MatrixF5[[1]:[2]],MatrixF5[[#Headers],[1,22]])/MatrixF5[[#Headers],[1,22]]</f>
        <v>17</v>
      </c>
      <c r="Y105" s="126">
        <f>SUMIF(MatrixF5[[1]:[2]],MatrixF5[[#Headers],[1,23]])/MatrixF5[[#Headers],[1,23]]</f>
        <v>18.000000000000004</v>
      </c>
      <c r="Z105" s="126">
        <f>SUMIF(MatrixF5[[1]:[2]],MatrixF5[[#Headers],[1,24]])/MatrixF5[[#Headers],[1,24]]</f>
        <v>17.999999999999993</v>
      </c>
      <c r="AA105" s="126">
        <f>SUMIF(MatrixF5[[1]:[2]],MatrixF5[[#Headers],[1,25]])/MatrixF5[[#Headers],[1,25]]</f>
        <v>23</v>
      </c>
      <c r="AB105" s="126">
        <f>SUMIF(MatrixF5[[1]:[2]],MatrixF5[[#Headers],[1,26]])/MatrixF5[[#Headers],[1,26]]</f>
        <v>20.000000000000007</v>
      </c>
      <c r="AC105" s="126">
        <f>SUMIF(MatrixF5[[1]:[2]],MatrixF5[[#Headers],[1,27]])/MatrixF5[[#Headers],[1,27]]</f>
        <v>20.999999999999996</v>
      </c>
      <c r="AD105" s="126">
        <f>SUMIF(MatrixF5[[1]:[2]],MatrixF5[[#Headers],[1,28]])/MatrixF5[[#Headers],[1,28]]</f>
        <v>24.000000000000007</v>
      </c>
      <c r="AE105" s="126">
        <f>SUMIF(MatrixF5[[1]:[2]],MatrixF5[[#Headers],[1,29]])/MatrixF5[[#Headers],[1,29]]</f>
        <v>21.999999999999989</v>
      </c>
      <c r="AF105" s="126">
        <f>SUMIF(MatrixF5[[1]:[2]],MatrixF5[[#Headers],[1,3]])/MatrixF5[[#Headers],[1,3]]</f>
        <v>25.000000000000004</v>
      </c>
      <c r="AG105" s="126">
        <f>SUMIF(MatrixF5[[1]:[2]],MatrixF5[[#Headers],[1,31]])/MatrixF5[[#Headers],[1,31]]</f>
        <v>25.999999999999996</v>
      </c>
      <c r="AH105" s="126">
        <f>SUMIF(MatrixF5[[1]:[2]],MatrixF5[[#Headers],[1,32]])/MatrixF5[[#Headers],[1,32]]</f>
        <v>27</v>
      </c>
      <c r="AI105" s="126">
        <f>SUMIF(MatrixF5[[1]:[2]],MatrixF5[[#Headers],[1,33]])/MatrixF5[[#Headers],[1,33]]</f>
        <v>25.999999999999982</v>
      </c>
      <c r="AJ105" s="126">
        <f>SUMIF(MatrixF5[[1]:[2]],MatrixF5[[#Headers],[1,34]])/MatrixF5[[#Headers],[1,34]]</f>
        <v>26.000000000000007</v>
      </c>
      <c r="AK105" s="126">
        <f>SUMIF(MatrixF5[[1]:[2]],MatrixF5[[#Headers],[1,35]])/MatrixF5[[#Headers],[1,35]]</f>
        <v>31.000000000000014</v>
      </c>
      <c r="AL105" s="126">
        <f>SUMIF(MatrixF5[[1]:[2]],MatrixF5[[#Headers],[1,36]])/MatrixF5[[#Headers],[1,36]]</f>
        <v>29.999999999999989</v>
      </c>
      <c r="AM105" s="126">
        <f>SUMIF(MatrixF5[[1]:[2]],MatrixF5[[#Headers],[1,37]])/MatrixF5[[#Headers],[1,37]]</f>
        <v>29</v>
      </c>
      <c r="AN105" s="126">
        <f>SUMIF(MatrixF5[[1]:[2]],MatrixF5[[#Headers],[1,38]])/MatrixF5[[#Headers],[1,38]]</f>
        <v>34.000000000000007</v>
      </c>
      <c r="AO105" s="126">
        <f>SUMIF(MatrixF5[[1]:[2]],MatrixF5[[#Headers],[1,39]])/MatrixF5[[#Headers],[1,39]]</f>
        <v>35.000000000000014</v>
      </c>
      <c r="AP105" s="126">
        <f>SUMIF(MatrixF5[[1]:[2]],MatrixF5[[#Headers],[1,4]])/MatrixF5[[#Headers],[1,4]]</f>
        <v>31.999999999999986</v>
      </c>
      <c r="AQ105" s="126">
        <f>SUMIF(MatrixF5[[1]:[2]],MatrixF5[[#Headers],[1,41]])/MatrixF5[[#Headers],[1,41]]</f>
        <v>34.999999999999972</v>
      </c>
      <c r="AR105" s="126">
        <f>SUMIF(MatrixF5[[1]:[2]],MatrixF5[[#Headers],[1,42]])/MatrixF5[[#Headers],[1,42]]</f>
        <v>38.000000000000036</v>
      </c>
      <c r="AS105" s="126">
        <f>SUMIF(MatrixF5[[1]:[2]],MatrixF5[[#Headers],[1,43]])/MatrixF5[[#Headers],[1,43]]</f>
        <v>36</v>
      </c>
      <c r="AT105" s="126">
        <f>SUMIF(MatrixF5[[1]:[2]],MatrixF5[[#Headers],[1,44]])/MatrixF5[[#Headers],[1,44]]</f>
        <v>38.999999999999986</v>
      </c>
      <c r="AU105" s="126">
        <f>SUMIF(MatrixF5[[1]:[2]],MatrixF5[[#Headers],[1,45]])/MatrixF5[[#Headers],[1,45]]</f>
        <v>38.000000000000021</v>
      </c>
      <c r="AV105" s="126">
        <f>SUMIF(MatrixF5[[1]:[2]],MatrixF5[[#Headers],[1,46]])/MatrixF5[[#Headers],[1,46]]</f>
        <v>41.000000000000021</v>
      </c>
      <c r="AW105" s="126">
        <f>SUMIF(MatrixF5[[1]:[2]],MatrixF5[[#Headers],[1,47]])/MatrixF5[[#Headers],[1,47]]</f>
        <v>41.999999999999979</v>
      </c>
      <c r="AX105" s="126">
        <f>SUMIF(MatrixF5[[1]:[2]],MatrixF5[[#Headers],[1,48]])/MatrixF5[[#Headers],[1,48]]</f>
        <v>38.999999999999964</v>
      </c>
      <c r="AY105" s="126">
        <f>SUMIF(MatrixF5[[1]:[2]],MatrixF5[[#Headers],[1,49]])/MatrixF5[[#Headers],[1,49]]</f>
        <v>40.000000000000014</v>
      </c>
      <c r="AZ105" s="126">
        <f>SUMIF(MatrixF5[[1]:[2]],MatrixF5[[#Headers],[1,5]])/MatrixF5[[#Headers],[1,5]]</f>
        <v>61</v>
      </c>
      <c r="BA105" s="126">
        <f>SUMIF(MatrixF5[[1]:[2]],MatrixF5[[#Headers],[1,51]])/MatrixF5[[#Headers],[1,51]]</f>
        <v>41.999999999999979</v>
      </c>
      <c r="BB105" s="126">
        <f>SUMIF(MatrixF5[[1]:[2]],MatrixF5[[#Headers],[1,52]])/MatrixF5[[#Headers],[1,52]]</f>
        <v>45.000000000000028</v>
      </c>
      <c r="BC105" s="126">
        <f>SUMIF(MatrixF5[[1]:[2]],MatrixF5[[#Headers],[1,53]])/MatrixF5[[#Headers],[1,53]]</f>
        <v>48.000000000000028</v>
      </c>
      <c r="BD105" s="126">
        <f>SUMIF(MatrixF5[[1]:[2]],MatrixF5[[#Headers],[1,54]])/MatrixF5[[#Headers],[1,54]]</f>
        <v>49.000000000000014</v>
      </c>
      <c r="BE105" s="126">
        <f>SUMIF(MatrixF5[[1]:[2]],MatrixF5[[#Headers],[1,55]])/MatrixF5[[#Headers],[1,55]]</f>
        <v>51.99999999999995</v>
      </c>
      <c r="BF105" s="126">
        <f>SUMIF(MatrixF5[[1]:[2]],MatrixF5[[#Headers],[1,56]])/MatrixF5[[#Headers],[1,56]]</f>
        <v>51.000000000000036</v>
      </c>
      <c r="BG105" s="126">
        <f>SUMIF(MatrixF5[[1]:[2]],MatrixF5[[#Headers],[1,57]])/MatrixF5[[#Headers],[1,57]]</f>
        <v>51.99999999999995</v>
      </c>
      <c r="BH105" s="126">
        <f>SUMIF(MatrixF5[[1]:[2]],MatrixF5[[#Headers],[1,58]])/MatrixF5[[#Headers],[1,58]]</f>
        <v>56.999999999999957</v>
      </c>
      <c r="BI105" s="126">
        <f>SUMIF(MatrixF5[[1]:[2]],MatrixF5[[#Headers],[1,59]])/MatrixF5[[#Headers],[1,59]]</f>
        <v>56.000000000000071</v>
      </c>
      <c r="BJ105" s="126">
        <f>SUMIF(MatrixF5[[1]:[2]],MatrixF5[[#Headers],[1,6]])/MatrixF5[[#Headers],[1,6]]</f>
        <v>54.999999999999964</v>
      </c>
      <c r="BK105" s="126">
        <f>SUMIF(MatrixF5[[1]:[2]],MatrixF5[[#Headers],[1,61]])/MatrixF5[[#Headers],[1,61]]</f>
        <v>59.999999999999986</v>
      </c>
      <c r="BL105" s="126">
        <f>SUMIF(MatrixF5[[1]:[2]],MatrixF5[[#Headers],[1,62]])/MatrixF5[[#Headers],[1,62]]</f>
        <v>63.000000000000043</v>
      </c>
      <c r="BM105" s="126">
        <f>SUMIF(MatrixF5[[1]:[2]],MatrixF5[[#Headers],[1,63]])/MatrixF5[[#Headers],[1,63]]</f>
        <v>59.999999999999964</v>
      </c>
      <c r="BN105" s="126">
        <f>SUMIF(MatrixF5[[1]:[2]],MatrixF5[[#Headers],[1,64]])/MatrixF5[[#Headers],[1,64]]</f>
        <v>61.000000000000014</v>
      </c>
      <c r="BO105" s="126">
        <f>SUMIF(MatrixF5[[1]:[2]],MatrixF5[[#Headers],[1,65]])/MatrixF5[[#Headers],[1,65]]</f>
        <v>64.000000000000071</v>
      </c>
      <c r="BP105" s="126">
        <f>SUMIF(MatrixF5[[1]:[2]],MatrixF5[[#Headers],[1,66]])/MatrixF5[[#Headers],[1,66]]</f>
        <v>66.999999999999915</v>
      </c>
      <c r="BQ105" s="126">
        <f>SUMIF(MatrixF5[[1]:[2]],MatrixF5[[#Headers],[1,67]])/MatrixF5[[#Headers],[1,67]]</f>
        <v>63.00000000000005</v>
      </c>
      <c r="BR105" s="126">
        <f>SUMIF(MatrixF5[[1]:[2]],MatrixF5[[#Headers],[1,68]])/MatrixF5[[#Headers],[1,68]]</f>
        <v>68.000000000000114</v>
      </c>
      <c r="BS105" s="126">
        <f>SUMIF(MatrixF5[[1]:[2]],MatrixF5[[#Headers],[1,69]])/MatrixF5[[#Headers],[1,69]]</f>
        <v>70.999999999999943</v>
      </c>
      <c r="BT105" s="126">
        <f>SUMIF(MatrixF5[[1]:[2]],MatrixF5[[#Headers],[1,7]])/MatrixF5[[#Headers],[1,7]]</f>
        <v>72.000000000000085</v>
      </c>
      <c r="BU105" s="126">
        <f>SUMIF(MatrixF5[[1]:[2]],MatrixF5[[#Headers],[1,71]])/MatrixF5[[#Headers],[1,71]]</f>
        <v>70.999999999999886</v>
      </c>
      <c r="BV105" s="126">
        <f>SUMIF(MatrixF5[[1]:[2]],MatrixF5[[#Headers],[1,72]])/MatrixF5[[#Headers],[1,72]]</f>
        <v>75.999999999999972</v>
      </c>
      <c r="BW105" s="126">
        <f>SUMIF(MatrixF5[[1]:[2]],MatrixF5[[#Headers],[1,73]])/MatrixF5[[#Headers],[1,73]]</f>
        <v>75.000000000000057</v>
      </c>
      <c r="BX105" s="126">
        <f>SUMIF(MatrixF5[[1]:[2]],MatrixF5[[#Headers],[1,74]])/MatrixF5[[#Headers],[1,74]]</f>
        <v>74.999999999999915</v>
      </c>
      <c r="BY105" s="126">
        <f>SUMIF(MatrixF5[[1]:[2]],MatrixF5[[#Headers],[1,75]])/MatrixF5[[#Headers],[1,75]]</f>
        <v>84</v>
      </c>
      <c r="BZ105" s="126">
        <f>SUMIF(MatrixF5[[1]:[2]],MatrixF5[[#Headers],[1,76]])/MatrixF5[[#Headers],[1,76]]</f>
        <v>77.000000000000071</v>
      </c>
      <c r="CA105" s="126">
        <f>SUMIF(MatrixF5[[1]:[2]],MatrixF5[[#Headers],[1,77]])/MatrixF5[[#Headers],[1,77]]</f>
        <v>82.000000000000014</v>
      </c>
      <c r="CB105" s="126">
        <f>SUMIF(MatrixF5[[1]:[2]],MatrixF5[[#Headers],[1,78]])/MatrixF5[[#Headers],[1,78]]</f>
        <v>83.000000000000043</v>
      </c>
      <c r="CC105" s="126">
        <f>SUMIF(MatrixF5[[1]:[2]],MatrixF5[[#Headers],[1,79]])/MatrixF5[[#Headers],[1,79]]</f>
        <v>87.000000000000043</v>
      </c>
      <c r="CD105" s="126">
        <f>SUMIF(MatrixF5[[1]:[2]],MatrixF5[[#Headers],[1,8]])/MatrixF5[[#Headers],[1,8]]</f>
        <v>86</v>
      </c>
      <c r="CE105" s="126">
        <f>SUMIF(MatrixF5[[1]:[2]],MatrixF5[[#Headers],[1,81]])/MatrixF5[[#Headers],[1,81]]</f>
        <v>89.000000000000071</v>
      </c>
      <c r="CF105" s="126">
        <f>SUMIF(MatrixF5[[1]:[2]],MatrixF5[[#Headers],[1,82]])/MatrixF5[[#Headers],[1,82]]</f>
        <v>91.999999999999787</v>
      </c>
      <c r="CG105" s="126">
        <f>SUMIF(MatrixF5[[1]:[2]],MatrixF5[[#Headers],[1,83]])/MatrixF5[[#Headers],[1,83]]</f>
        <v>95.000000000000114</v>
      </c>
      <c r="CH105" s="126">
        <f>SUMIF(MatrixF5[[1]:[2]],MatrixF5[[#Headers],[1,84]])/MatrixF5[[#Headers],[1,84]]</f>
        <v>91.000000000000128</v>
      </c>
      <c r="CI105" s="126">
        <f>SUMIF(MatrixF5[[1]:[2]],MatrixF5[[#Headers],[1,85]])/MatrixF5[[#Headers],[1,85]]</f>
        <v>95.999999999999829</v>
      </c>
      <c r="CJ105" s="126">
        <f>SUMIF(MatrixF5[[1]:[2]],MatrixF5[[#Headers],[1,86]])/MatrixF5[[#Headers],[1,86]]</f>
        <v>97.000000000000185</v>
      </c>
      <c r="CK105" s="126">
        <f>SUMIF(MatrixF5[[1]:[2]],MatrixF5[[#Headers],[1,87]])/MatrixF5[[#Headers],[1,87]]</f>
        <v>97.000000000000128</v>
      </c>
      <c r="CL105" s="126">
        <f>SUMIF(MatrixF5[[1]:[2]],MatrixF5[[#Headers],[1,88]])/MatrixF5[[#Headers],[1,88]]</f>
        <v>103.99999999999986</v>
      </c>
      <c r="CM105" s="126">
        <f>SUMIF(MatrixF5[[1]:[2]],MatrixF5[[#Headers],[1,89]])/MatrixF5[[#Headers],[1,89]]</f>
        <v>102.99999999999976</v>
      </c>
      <c r="CN105" s="126">
        <f>SUMIF(MatrixF5[[1]:[2]],MatrixF5[[#Headers],[1,9]])/MatrixF5[[#Headers],[1,9]]</f>
        <v>103.0000000000002</v>
      </c>
      <c r="CO105" s="126">
        <f>SUMIF(MatrixF5[[1]:[2]],MatrixF5[[#Headers],[1,91]])/MatrixF5[[#Headers],[1,91]]</f>
        <v>107.99999999999984</v>
      </c>
      <c r="CP105" s="126">
        <f>SUMIF(MatrixF5[[1]:[2]],MatrixF5[[#Headers],[1,92]])/MatrixF5[[#Headers],[1,92]]</f>
        <v>110.99999999999977</v>
      </c>
      <c r="CQ105" s="126">
        <f>SUMIF(MatrixF5[[1]:[2]],MatrixF5[[#Headers],[1,93]])/MatrixF5[[#Headers],[1,93]]</f>
        <v>109.00000000000027</v>
      </c>
      <c r="CR105" s="126">
        <f>SUMIF(MatrixF5[[1]:[2]],MatrixF5[[#Headers],[1,94]])/MatrixF5[[#Headers],[1,94]]</f>
        <v>117.9999999999999</v>
      </c>
      <c r="CS105" s="126">
        <f>SUMIF(MatrixF5[[1]:[2]],MatrixF5[[#Headers],[1,95]])/MatrixF5[[#Headers],[1,95]]</f>
        <v>110.9999999999998</v>
      </c>
      <c r="CT105" s="126">
        <f>SUMIF(MatrixF5[[1]:[2]],MatrixF5[[#Headers],[1,96]])/MatrixF5[[#Headers],[1,96]]</f>
        <v>119.00000000000013</v>
      </c>
      <c r="CU105" s="126">
        <f>SUMIF(MatrixF5[[1]:[2]],MatrixF5[[#Headers],[1,97]])/MatrixF5[[#Headers],[1,97]]</f>
        <v>118.99999999999994</v>
      </c>
      <c r="CV105" s="126">
        <f>SUMIF(MatrixF5[[1]:[2]],MatrixF5[[#Headers],[1,98]])/MatrixF5[[#Headers],[1,98]]</f>
        <v>123.99999999999973</v>
      </c>
      <c r="CW105" s="126">
        <f>SUMIF(MatrixF5[[1]:[2]],MatrixF5[[#Headers],[1,99]])/MatrixF5[[#Headers],[1,99]]</f>
        <v>131.00000000000023</v>
      </c>
      <c r="CX105" s="126">
        <f>SUMIF(MatrixF5[[1]:[2]],MatrixF5[[#Headers],[2]])/MatrixF5[[#Headers],[2]]</f>
        <v>101</v>
      </c>
      <c r="CZ105" s="126">
        <f>SUM(CZ3:DA103)</f>
        <v>10201</v>
      </c>
    </row>
    <row r="106" spans="1:105" ht="21" customHeight="1" x14ac:dyDescent="0.25">
      <c r="B106" s="126"/>
      <c r="C106" s="126">
        <f>SUMIF(MatrixF5[[1]:[2]],MatrixF5[[#Headers],[1,01]]+1)/(MatrixF5[[#Headers],[1,01]]+1)</f>
        <v>130.99999999999977</v>
      </c>
      <c r="D106" s="126">
        <f>SUMIF(MatrixF5[[1]:[2]],MatrixF5[[#Headers],[1,02]]+1)/(MatrixF5[[#Headers],[1,02]]+1)</f>
        <v>124.00000000000026</v>
      </c>
      <c r="E106" s="126">
        <f>SUMIF(MatrixF5[[1]:[2]],MatrixF5[[#Headers],[1,03]]+1)/(MatrixF5[[#Headers],[1,03]]+1)</f>
        <v>119.00000000000004</v>
      </c>
      <c r="F106" s="126">
        <f>SUMIF(MatrixF5[[1]:[2]],MatrixF5[[#Headers],[1,04]]+1)/(MatrixF5[[#Headers],[1,04]]+1)</f>
        <v>118.99999999999987</v>
      </c>
      <c r="G106" s="126">
        <f>SUMIF(MatrixF5[[1]:[2]],MatrixF5[[#Headers],[1,05]]+1)/(MatrixF5[[#Headers],[1,05]]+1)</f>
        <v>111.00000000000023</v>
      </c>
      <c r="H106" s="126">
        <f>SUMIF(MatrixF5[[1]:[2]],MatrixF5[[#Headers],[1,06]]+1)/(MatrixF5[[#Headers],[1,06]]+1)</f>
        <v>118.0000000000001</v>
      </c>
      <c r="I106" s="126">
        <f>SUMIF(MatrixF5[[1]:[2]],MatrixF5[[#Headers],[1,07]]+1)/(MatrixF5[[#Headers],[1,07]]+1)</f>
        <v>108.99999999999973</v>
      </c>
      <c r="J106" s="126">
        <f>SUMIF(MatrixF5[[1]:[2]],MatrixF5[[#Headers],[1,08]]+1)/(MatrixF5[[#Headers],[1,08]]+1)</f>
        <v>111.00000000000026</v>
      </c>
      <c r="K106" s="126">
        <f>SUMIF(MatrixF5[[1]:[2]],MatrixF5[[#Headers],[1,09]]+1)/(MatrixF5[[#Headers],[1,09]]+1)</f>
        <v>108.00000000000016</v>
      </c>
      <c r="L106" s="126">
        <f>SUMIF(MatrixF5[[1]:[2]],MatrixF5[[#Headers],[1,1]]+1)/(MatrixF5[[#Headers],[1,1]]+1)</f>
        <v>102.99999999999982</v>
      </c>
      <c r="M106" s="126">
        <f>SUMIF(MatrixF5[[1]:[2]],MatrixF5[[#Headers],[1,11]]+1)/(MatrixF5[[#Headers],[1,11]]+1)</f>
        <v>103.00000000000024</v>
      </c>
      <c r="N106" s="126">
        <f>SUMIF(MatrixF5[[1]:[2]],MatrixF5[[#Headers],[1,12]]+1)/(MatrixF5[[#Headers],[1,12]]+1)</f>
        <v>108.00000000000014</v>
      </c>
      <c r="O106" s="126">
        <f>SUMIF(MatrixF5[[1]:[2]],MatrixF5[[#Headers],[1,13]]+1)/(MatrixF5[[#Headers],[1,13]]+1)</f>
        <v>92.999999999999886</v>
      </c>
      <c r="P106" s="126">
        <f>SUMIF(MatrixF5[[1]:[2]],MatrixF5[[#Headers],[1,14]]+1)/(MatrixF5[[#Headers],[1,14]]+1)</f>
        <v>96.999999999999787</v>
      </c>
      <c r="Q106" s="126">
        <f>SUMIF(MatrixF5[[1]:[2]],MatrixF5[[#Headers],[1,15]]+1)/(MatrixF5[[#Headers],[1,15]]+1)</f>
        <v>96.000000000000171</v>
      </c>
      <c r="R106" s="126">
        <f>SUMIF(MatrixF5[[1]:[2]],MatrixF5[[#Headers],[1,16]]+1)/(MatrixF5[[#Headers],[1,16]]+1)</f>
        <v>90.999999999999872</v>
      </c>
      <c r="S106" s="126">
        <f>SUMIF(MatrixF5[[1]:[2]],MatrixF5[[#Headers],[1,17]]+1)/(MatrixF5[[#Headers],[1,17]]+1)</f>
        <v>94.999999999999829</v>
      </c>
      <c r="T106" s="126">
        <f>SUMIF(MatrixF5[[1]:[2]],MatrixF5[[#Headers],[1,18]]+1)/(MatrixF5[[#Headers],[1,18]]+1)</f>
        <v>92.000000000000213</v>
      </c>
      <c r="U106" s="126">
        <f>SUMIF(MatrixF5[[1]:[2]],MatrixF5[[#Headers],[1,19]]+1)/(MatrixF5[[#Headers],[1,19]]+1)</f>
        <v>88.999999999999929</v>
      </c>
      <c r="V106" s="126">
        <f>SUMIF(MatrixF5[[1]:[2]],MatrixF5[[#Headers],[1,2]]+1)/(MatrixF5[[#Headers],[1,2]]+1)</f>
        <v>85.999999999999901</v>
      </c>
      <c r="W106" s="126">
        <f>SUMIF(MatrixF5[[1]:[2]],MatrixF5[[#Headers],[1,21]]+1)/(MatrixF5[[#Headers],[1,21]]+1)</f>
        <v>87.000000000000028</v>
      </c>
      <c r="X106" s="126">
        <f>SUMIF(MatrixF5[[1]:[2]],MatrixF5[[#Headers],[1,22]]+1)/(MatrixF5[[#Headers],[1,22]]+1)</f>
        <v>80.999999999999986</v>
      </c>
      <c r="Y106" s="126">
        <f>SUMIF(MatrixF5[[1]:[2]],MatrixF5[[#Headers],[1,23]]+1)/(MatrixF5[[#Headers],[1,23]]+1)</f>
        <v>83.999999999999915</v>
      </c>
      <c r="Z106" s="126">
        <f>SUMIF(MatrixF5[[1]:[2]],MatrixF5[[#Headers],[1,24]]+1)/(MatrixF5[[#Headers],[1,24]]+1)</f>
        <v>77.000000000000028</v>
      </c>
      <c r="AA106" s="126">
        <f>SUMIF(MatrixF5[[1]:[2]],MatrixF5[[#Headers],[1,25]]+1)/(MatrixF5[[#Headers],[1,25]]+1)</f>
        <v>84</v>
      </c>
      <c r="AB106" s="126">
        <f>SUMIF(MatrixF5[[1]:[2]],MatrixF5[[#Headers],[1,26]]+1)/(MatrixF5[[#Headers],[1,26]]+1)</f>
        <v>74.999999999999986</v>
      </c>
      <c r="AC106" s="126">
        <f>SUMIF(MatrixF5[[1]:[2]],MatrixF5[[#Headers],[1,27]]+1)/(MatrixF5[[#Headers],[1,27]]+1)</f>
        <v>77.000000000000057</v>
      </c>
      <c r="AD106" s="126">
        <f>SUMIF(MatrixF5[[1]:[2]],MatrixF5[[#Headers],[1,28]]+1)/(MatrixF5[[#Headers],[1,28]]+1)</f>
        <v>74.000000000000014</v>
      </c>
      <c r="AE106" s="126">
        <f>SUMIF(MatrixF5[[1]:[2]],MatrixF5[[#Headers],[1,29]]+1)/(MatrixF5[[#Headers],[1,29]]+1)</f>
        <v>71.000000000000014</v>
      </c>
      <c r="AF106" s="126">
        <f>SUMIF(MatrixF5[[1]:[2]],MatrixF5[[#Headers],[1,3]]+1)/(MatrixF5[[#Headers],[1,3]]+1)</f>
        <v>72.000000000000043</v>
      </c>
      <c r="AG106" s="126">
        <f>SUMIF(MatrixF5[[1]:[2]],MatrixF5[[#Headers],[1,31]]+1)/(MatrixF5[[#Headers],[1,31]]+1)</f>
        <v>71.000000000000043</v>
      </c>
      <c r="AH106" s="126">
        <f>SUMIF(MatrixF5[[1]:[2]],MatrixF5[[#Headers],[1,32]]+1)/(MatrixF5[[#Headers],[1,32]]+1)</f>
        <v>67.999999999999872</v>
      </c>
      <c r="AI106" s="126">
        <f>SUMIF(MatrixF5[[1]:[2]],MatrixF5[[#Headers],[1,33]]+1)/(MatrixF5[[#Headers],[1,33]]+1)</f>
        <v>63.000000000000007</v>
      </c>
      <c r="AJ106" s="126">
        <f>SUMIF(MatrixF5[[1]:[2]],MatrixF5[[#Headers],[1,34]]+1)/(MatrixF5[[#Headers],[1,34]]+1)</f>
        <v>67.000000000000071</v>
      </c>
      <c r="AK106" s="126">
        <f>SUMIF(MatrixF5[[1]:[2]],MatrixF5[[#Headers],[1,35]]+1)/(MatrixF5[[#Headers],[1,35]]+1)</f>
        <v>63.999999999999929</v>
      </c>
      <c r="AL106" s="126">
        <f>SUMIF(MatrixF5[[1]:[2]],MatrixF5[[#Headers],[1,36]]+1)/(MatrixF5[[#Headers],[1,36]]+1)</f>
        <v>61.000000000000021</v>
      </c>
      <c r="AM106" s="126">
        <f>SUMIF(MatrixF5[[1]:[2]],MatrixF5[[#Headers],[1,37]]+1)/(MatrixF5[[#Headers],[1,37]]+1)</f>
        <v>62.000000000000043</v>
      </c>
      <c r="AN106" s="126">
        <f>SUMIF(MatrixF5[[1]:[2]],MatrixF5[[#Headers],[1,38]]+1)/(MatrixF5[[#Headers],[1,38]]+1)</f>
        <v>60.999999999999943</v>
      </c>
      <c r="AO106" s="126">
        <f>SUMIF(MatrixF5[[1]:[2]],MatrixF5[[#Headers],[1,39]]+1)/(MatrixF5[[#Headers],[1,39]]+1)</f>
        <v>59.999999999999972</v>
      </c>
      <c r="AP106" s="126">
        <f>SUMIF(MatrixF5[[1]:[2]],MatrixF5[[#Headers],[1,4]]+1)/(MatrixF5[[#Headers],[1,4]]+1)</f>
        <v>55.000000000000064</v>
      </c>
      <c r="AQ106" s="126">
        <f>SUMIF(MatrixF5[[1]:[2]],MatrixF5[[#Headers],[1,41]]+1)/(MatrixF5[[#Headers],[1,41]]+1)</f>
        <v>55.999999999999943</v>
      </c>
      <c r="AR106" s="126">
        <f>SUMIF(MatrixF5[[1]:[2]],MatrixF5[[#Headers],[1,42]]+1)/(MatrixF5[[#Headers],[1,42]]+1)</f>
        <v>57.000000000000014</v>
      </c>
      <c r="AS106" s="126">
        <f>SUMIF(MatrixF5[[1]:[2]],MatrixF5[[#Headers],[1,43]]+1)/(MatrixF5[[#Headers],[1,43]]+1)</f>
        <v>52.000000000000078</v>
      </c>
      <c r="AT106" s="126">
        <f>SUMIF(MatrixF5[[1]:[2]],MatrixF5[[#Headers],[1,44]]+1)/(MatrixF5[[#Headers],[1,44]]+1)</f>
        <v>50.999999999999972</v>
      </c>
      <c r="AU106" s="126">
        <f>SUMIF(MatrixF5[[1]:[2]],MatrixF5[[#Headers],[1,45]]+1)/(MatrixF5[[#Headers],[1,45]]+1)</f>
        <v>52.000000000000043</v>
      </c>
      <c r="AV106" s="126">
        <f>SUMIF(MatrixF5[[1]:[2]],MatrixF5[[#Headers],[1,46]]+1)/(MatrixF5[[#Headers],[1,46]]+1)</f>
        <v>48.99999999999995</v>
      </c>
      <c r="AW106" s="126">
        <f>SUMIF(MatrixF5[[1]:[2]],MatrixF5[[#Headers],[1,47]]+1)/(MatrixF5[[#Headers],[1,47]]+1)</f>
        <v>49.999999999999986</v>
      </c>
      <c r="AX106" s="126">
        <f>SUMIF(MatrixF5[[1]:[2]],MatrixF5[[#Headers],[1,48]]+1)/(MatrixF5[[#Headers],[1,48]]+1)</f>
        <v>43.000000000000014</v>
      </c>
      <c r="AY106" s="126">
        <f>SUMIF(MatrixF5[[1]:[2]],MatrixF5[[#Headers],[1,49]]+1)/(MatrixF5[[#Headers],[1,49]]+1)</f>
        <v>41.999999999999979</v>
      </c>
      <c r="AZ106" s="126">
        <f>SUMIF(MatrixF5[[1]:[2]],MatrixF5[[#Headers],[1,5]]+1)/(MatrixF5[[#Headers],[1,5]]+1)</f>
        <v>61</v>
      </c>
      <c r="BA106" s="126">
        <f>SUMIF(MatrixF5[[1]:[2]],MatrixF5[[#Headers],[1,51]]+1)/(MatrixF5[[#Headers],[1,51]]+1)</f>
        <v>40.000000000000014</v>
      </c>
      <c r="BB106" s="126">
        <f>SUMIF(MatrixF5[[1]:[2]],MatrixF5[[#Headers],[1,52]]+1)/(MatrixF5[[#Headers],[1,52]]+1)</f>
        <v>38.999999999999993</v>
      </c>
      <c r="BC106" s="126">
        <f>SUMIF(MatrixF5[[1]:[2]],MatrixF5[[#Headers],[1,53]]+1)/(MatrixF5[[#Headers],[1,53]]+1)</f>
        <v>42.000000000000007</v>
      </c>
      <c r="BD106" s="126">
        <f>SUMIF(MatrixF5[[1]:[2]],MatrixF5[[#Headers],[1,54]]+1)/(MatrixF5[[#Headers],[1,54]]+1)</f>
        <v>41.000000000000036</v>
      </c>
      <c r="BE106" s="126">
        <f>SUMIF(MatrixF5[[1]:[2]],MatrixF5[[#Headers],[1,55]]+1)/(MatrixF5[[#Headers],[1,55]]+1)</f>
        <v>37.999999999999979</v>
      </c>
      <c r="BF106" s="126">
        <f>SUMIF(MatrixF5[[1]:[2]],MatrixF5[[#Headers],[1,56]]+1)/(MatrixF5[[#Headers],[1,56]]+1)</f>
        <v>39.000000000000014</v>
      </c>
      <c r="BG106" s="126">
        <f>SUMIF(MatrixF5[[1]:[2]],MatrixF5[[#Headers],[1,57]]+1)/(MatrixF5[[#Headers],[1,57]]+1)</f>
        <v>35.999999999999964</v>
      </c>
      <c r="BH106" s="126">
        <f>SUMIF(MatrixF5[[1]:[2]],MatrixF5[[#Headers],[1,58]]+1)/(MatrixF5[[#Headers],[1,58]]+1)</f>
        <v>37.999999999999979</v>
      </c>
      <c r="BI106" s="126">
        <f>SUMIF(MatrixF5[[1]:[2]],MatrixF5[[#Headers],[1,59]]+1)/(MatrixF5[[#Headers],[1,59]]+1)</f>
        <v>35.000000000000028</v>
      </c>
      <c r="BJ106" s="126">
        <f>SUMIF(MatrixF5[[1]:[2]],MatrixF5[[#Headers],[1,6]]+1)/(MatrixF5[[#Headers],[1,6]]+1)</f>
        <v>31.999999999999989</v>
      </c>
      <c r="BK106" s="126">
        <f>SUMIF(MatrixF5[[1]:[2]],MatrixF5[[#Headers],[1,61]]+1)/(MatrixF5[[#Headers],[1,61]]+1)</f>
        <v>34.999999999999993</v>
      </c>
      <c r="BL106" s="126">
        <f>SUMIF(MatrixF5[[1]:[2]],MatrixF5[[#Headers],[1,62]]+1)/(MatrixF5[[#Headers],[1,62]]+1)</f>
        <v>34.000000000000007</v>
      </c>
      <c r="BM106" s="126">
        <f>SUMIF(MatrixF5[[1]:[2]],MatrixF5[[#Headers],[1,63]]+1)/(MatrixF5[[#Headers],[1,63]]+1)</f>
        <v>29</v>
      </c>
      <c r="BN106" s="126">
        <f>SUMIF(MatrixF5[[1]:[2]],MatrixF5[[#Headers],[1,64]]+1)/(MatrixF5[[#Headers],[1,64]]+1)</f>
        <v>30.000000000000004</v>
      </c>
      <c r="BO106" s="126">
        <f>SUMIF(MatrixF5[[1]:[2]],MatrixF5[[#Headers],[1,65]]+1)/(MatrixF5[[#Headers],[1,65]]+1)</f>
        <v>31.000000000000007</v>
      </c>
      <c r="BP106" s="126">
        <f>SUMIF(MatrixF5[[1]:[2]],MatrixF5[[#Headers],[1,66]]+1)/(MatrixF5[[#Headers],[1,66]]+1)</f>
        <v>25.999999999999982</v>
      </c>
      <c r="BQ106" s="126">
        <f>SUMIF(MatrixF5[[1]:[2]],MatrixF5[[#Headers],[1,67]]+1)/(MatrixF5[[#Headers],[1,67]]+1)</f>
        <v>26.000000000000011</v>
      </c>
      <c r="BR106" s="126">
        <f>SUMIF(MatrixF5[[1]:[2]],MatrixF5[[#Headers],[1,68]]+1)/(MatrixF5[[#Headers],[1,68]]+1)</f>
        <v>27.000000000000014</v>
      </c>
      <c r="BS106" s="126">
        <f>SUMIF(MatrixF5[[1]:[2]],MatrixF5[[#Headers],[1,69]]+1)/(MatrixF5[[#Headers],[1,69]]+1)</f>
        <v>25.999999999999993</v>
      </c>
      <c r="BT106" s="126">
        <f>SUMIF(MatrixF5[[1]:[2]],MatrixF5[[#Headers],[1,7]]+1)/(MatrixF5[[#Headers],[1,7]]+1)</f>
        <v>25.000000000000007</v>
      </c>
      <c r="BU106" s="126">
        <f>SUMIF(MatrixF5[[1]:[2]],MatrixF5[[#Headers],[1,71]]+1)/(MatrixF5[[#Headers],[1,71]]+1)</f>
        <v>22.000000000000004</v>
      </c>
      <c r="BV106" s="126">
        <f>SUMIF(MatrixF5[[1]:[2]],MatrixF5[[#Headers],[1,72]]+1)/(MatrixF5[[#Headers],[1,72]]+1)</f>
        <v>23.999999999999996</v>
      </c>
      <c r="BW106" s="126">
        <f>SUMIF(MatrixF5[[1]:[2]],MatrixF5[[#Headers],[1,73]]+1)/(MatrixF5[[#Headers],[1,73]]+1)</f>
        <v>20.999999999999989</v>
      </c>
      <c r="BX106" s="126">
        <f>SUMIF(MatrixF5[[1]:[2]],MatrixF5[[#Headers],[1,74]]+1)/(MatrixF5[[#Headers],[1,74]]+1)</f>
        <v>20.000000000000007</v>
      </c>
      <c r="BY106" s="126">
        <f>SUMIF(MatrixF5[[1]:[2]],MatrixF5[[#Headers],[1,75]]+1)/(MatrixF5[[#Headers],[1,75]]+1)</f>
        <v>23</v>
      </c>
      <c r="BZ106" s="126">
        <f>SUMIF(MatrixF5[[1]:[2]],MatrixF5[[#Headers],[1,76]]+1)/(MatrixF5[[#Headers],[1,76]]+1)</f>
        <v>17.999999999999993</v>
      </c>
      <c r="CA106" s="126">
        <f>SUMIF(MatrixF5[[1]:[2]],MatrixF5[[#Headers],[1,77]]+1)/(MatrixF5[[#Headers],[1,77]]+1)</f>
        <v>18.000000000000007</v>
      </c>
      <c r="CB106" s="126">
        <f>SUMIF(MatrixF5[[1]:[2]],MatrixF5[[#Headers],[1,78]]+1)/(MatrixF5[[#Headers],[1,78]]+1)</f>
        <v>17.000000000000004</v>
      </c>
      <c r="CC106" s="126">
        <f>SUMIF(MatrixF5[[1]:[2]],MatrixF5[[#Headers],[1,79]]+1)/(MatrixF5[[#Headers],[1,79]]+1)</f>
        <v>17.999999999999996</v>
      </c>
      <c r="CD106" s="126">
        <f>SUMIF(MatrixF5[[1]:[2]],MatrixF5[[#Headers],[1,8]]+1)/(MatrixF5[[#Headers],[1,8]]+1)</f>
        <v>14.999999999999998</v>
      </c>
      <c r="CE106" s="126">
        <f>SUMIF(MatrixF5[[1]:[2]],MatrixF5[[#Headers],[1,81]]+1)/(MatrixF5[[#Headers],[1,81]]+1)</f>
        <v>13.999999999999998</v>
      </c>
      <c r="CF106" s="126">
        <f>SUMIF(MatrixF5[[1]:[2]],MatrixF5[[#Headers],[1,82]]+1)/(MatrixF5[[#Headers],[1,82]]+1)</f>
        <v>13.999999999999998</v>
      </c>
      <c r="CG106" s="126">
        <f>SUMIF(MatrixF5[[1]:[2]],MatrixF5[[#Headers],[1,83]]+1)/(MatrixF5[[#Headers],[1,83]]+1)</f>
        <v>14.999999999999996</v>
      </c>
      <c r="CH106" s="126">
        <f>SUMIF(MatrixF5[[1]:[2]],MatrixF5[[#Headers],[1,84]]+1)/(MatrixF5[[#Headers],[1,84]]+1)</f>
        <v>12</v>
      </c>
      <c r="CI106" s="126">
        <f>SUMIF(MatrixF5[[1]:[2]],MatrixF5[[#Headers],[1,85]]+1)/(MatrixF5[[#Headers],[1,85]]+1)</f>
        <v>12.000000000000004</v>
      </c>
      <c r="CJ106" s="126">
        <f>SUMIF(MatrixF5[[1]:[2]],MatrixF5[[#Headers],[1,86]]+1)/(MatrixF5[[#Headers],[1,86]]+1)</f>
        <v>10.999999999999998</v>
      </c>
      <c r="CK106" s="126">
        <f>SUMIF(MatrixF5[[1]:[2]],MatrixF5[[#Headers],[1,87]]+1)/(MatrixF5[[#Headers],[1,87]]+1)</f>
        <v>10.000000000000002</v>
      </c>
      <c r="CL106" s="126">
        <f>SUMIF(MatrixF5[[1]:[2]],MatrixF5[[#Headers],[1,88]]+1)/(MatrixF5[[#Headers],[1,88]]+1)</f>
        <v>10.999999999999998</v>
      </c>
      <c r="CM106" s="126">
        <f>SUMIF(MatrixF5[[1]:[2]],MatrixF5[[#Headers],[1,89]]+1)/(MatrixF5[[#Headers],[1,89]]+1)</f>
        <v>8.0000000000000018</v>
      </c>
      <c r="CN106" s="126">
        <f>SUMIF(MatrixF5[[1]:[2]],MatrixF5[[#Headers],[1,9]]+1)/(MatrixF5[[#Headers],[1,9]]+1)</f>
        <v>7.9999999999999991</v>
      </c>
      <c r="CO106" s="126">
        <f>SUMIF(MatrixF5[[1]:[2]],MatrixF5[[#Headers],[1,91]]+1)/(MatrixF5[[#Headers],[1,91]]+1)</f>
        <v>7</v>
      </c>
      <c r="CP106" s="126">
        <f>SUMIF(MatrixF5[[1]:[2]],MatrixF5[[#Headers],[1,92]]+1)/(MatrixF5[[#Headers],[1,92]]+1)</f>
        <v>6</v>
      </c>
      <c r="CQ106" s="126">
        <f>SUMIF(MatrixF5[[1]:[2]],MatrixF5[[#Headers],[1,93]]+1)/(MatrixF5[[#Headers],[1,93]]+1)</f>
        <v>6.0000000000000009</v>
      </c>
      <c r="CR106" s="126">
        <f>SUMIF(MatrixF5[[1]:[2]],MatrixF5[[#Headers],[1,94]]+1)/(MatrixF5[[#Headers],[1,94]]+1)</f>
        <v>5</v>
      </c>
      <c r="CS106" s="126">
        <f>SUMIF(MatrixF5[[1]:[2]],MatrixF5[[#Headers],[1,95]]+1)/(MatrixF5[[#Headers],[1,95]]+1)</f>
        <v>4</v>
      </c>
      <c r="CT106" s="126">
        <f>SUMIF(MatrixF5[[1]:[2]],MatrixF5[[#Headers],[1,96]]+1)/(MatrixF5[[#Headers],[1,96]]+1)</f>
        <v>4</v>
      </c>
      <c r="CU106" s="126">
        <f>SUMIF(MatrixF5[[1]:[2]],MatrixF5[[#Headers],[1,97]]+1)/(MatrixF5[[#Headers],[1,97]]+1)</f>
        <v>3.0000000000000004</v>
      </c>
      <c r="CV106" s="126">
        <f>SUMIF(MatrixF5[[1]:[2]],MatrixF5[[#Headers],[1,98]]+1)/(MatrixF5[[#Headers],[1,98]]+1)</f>
        <v>2</v>
      </c>
      <c r="CW106" s="126">
        <f>SUMIF(MatrixF5[[1]:[2]],MatrixF5[[#Headers],[1,99]]+1)/(MatrixF5[[#Headers],[1,99]]+1)</f>
        <v>2</v>
      </c>
      <c r="CX106" s="126">
        <f>SUMIF(MatrixF5[[1]:[2]],MatrixF5[[#Headers],[2]]+1)/(MatrixF5[[#Headers],[2]]+1)</f>
        <v>1</v>
      </c>
    </row>
  </sheetData>
  <mergeCells count="1">
    <mergeCell ref="A1:C1"/>
  </mergeCells>
  <conditionalFormatting sqref="B3:CX103">
    <cfRule type="cellIs" dxfId="106" priority="1" operator="equal">
      <formula>1.57</formula>
    </cfRule>
    <cfRule type="colorScale" priority="2">
      <colorScale>
        <cfvo type="min"/>
        <cfvo type="percentile" val="50"/>
        <cfvo type="max"/>
        <color rgb="FFF8696B"/>
        <color rgb="FFFFEB84"/>
        <color rgb="FF63BE7B"/>
      </colorScale>
    </cfRule>
  </conditionalFormatting>
  <hyperlinks>
    <hyperlink ref="A1:C1" location="Содержание!A1" display="&lt;&lt;НАЗАД" xr:uid="{00000000-0004-0000-1100-000000000000}"/>
  </hyperlinks>
  <pageMargins left="0.7" right="0.7" top="0.75" bottom="0.75" header="0.3" footer="0.3"/>
  <pageSetup paperSize="9" orientation="portrait" r:id="rId1"/>
  <ignoredErrors>
    <ignoredError sqref="CZ105" emptyCellReference="1"/>
  </ignoredErrors>
  <tableParts count="1">
    <tablePart r:id="rId2"/>
  </tableParts>
</worksheet>
</file>

<file path=customUI/_rels/customUI.xml.rels><?xml version="1.0" encoding="UTF-8" standalone="yes"?>
<Relationships xmlns="http://schemas.openxmlformats.org/package/2006/relationships"><Relationship Id="&#1050;&#1088;&#1080;&#1090;&#1077;&#1088;&#1080;&#1081;_7" Type="http://schemas.openxmlformats.org/officeDocument/2006/relationships/image" Target="images/xT6xU8xU0xUAxTXxU8xU0xU1_71.png"/><Relationship Id="&#1057;&#1074;&#1105;&#1088;&#1090;&#1082;&#1072;_8" Type="http://schemas.openxmlformats.org/officeDocument/2006/relationships/image" Target="images/xTDxTUxUPxU8xUAxU2xTS_81.png"/><Relationship Id="&#1054;&#1095;&#1080;&#1089;&#1090;&#1082;&#1072;_&#1086;&#1073;&#1083;&#1072;&#1089;&#1090;&#1080;_7" Type="http://schemas.openxmlformats.org/officeDocument/2006/relationships/image" Target="images/xTAxUFxU0xU9xUAxU2xTS_xU6xTTxU3xTSxU9xUAxU0_71.png"/><Relationship Id="&#1057;&#1083;&#1091;&#1095;&#1072;&#1081;&#1085;&#1086;&#1077;_&#1085;&#1072;&#1087;&#1086;&#1083;&#1077;&#1085;&#1080;&#1077;_&#1084;&#1072;&#1090;&#1088;&#1080;&#1094;&#1099;" Type="http://schemas.openxmlformats.org/officeDocument/2006/relationships/image" Target="images/xTDxU3xUBxUFxTSxU1xU5xU6xTX_xU5xTSxU7xU6xU3xTXxU5xU0xTX_xU4xTSxUAxU8xU0xUExUJ1.png"/><Relationship Id="&#1053;&#1086;&#1074;&#1099;&#1081;_&#1083;&#1080;&#1089;&#1090;_7" Type="http://schemas.openxmlformats.org/officeDocument/2006/relationships/image" Target="images/xT9xU6xTUxUJxU1_xU3xU0xU9xUA_71.png"/><Relationship Id="&#1040;&#1082;&#1090;&#1080;&#1074;&#1085;&#1072;&#1103;_&#1101;&#1082;&#1089;&#1087;&#1077;&#1088;&#1090;&#1080;&#1079;&#1072;_7" Type="http://schemas.openxmlformats.org/officeDocument/2006/relationships/image" Target="images/xSWxU2xUAxU0xTUxU5xTSxUN_xULxU2xU9xU7xTXxU8xUAxU0xTZxTS_71.png"/><Relationship Id="&#1041;&#1072;&#1079;&#1072;" Type="http://schemas.openxmlformats.org/officeDocument/2006/relationships/image" Target="images/xSXxTSxTZxTS1.png"/></Relationships>
</file>

<file path=customUI/_rels/customUI14.xml.rels><?xml version="1.0" encoding="UTF-8" standalone="yes"?>
<Relationships xmlns="http://schemas.openxmlformats.org/package/2006/relationships"><Relationship Id="&#1050;&#1088;&#1080;&#1090;&#1077;&#1088;&#1080;&#1081;_7" Type="http://schemas.openxmlformats.org/officeDocument/2006/relationships/image" Target="images/xT6xU8xU0xUAxTXxU8xU0xU1_7.png"/><Relationship Id="&#1057;&#1074;&#1105;&#1088;&#1090;&#1082;&#1072;_8" Type="http://schemas.openxmlformats.org/officeDocument/2006/relationships/image" Target="images/xTDxTUxUPxU8xUAxU2xTS_8.png"/><Relationship Id="&#1054;&#1095;&#1080;&#1089;&#1090;&#1082;&#1072;_&#1086;&#1073;&#1083;&#1072;&#1089;&#1090;&#1080;_7" Type="http://schemas.openxmlformats.org/officeDocument/2006/relationships/image" Target="images/xTAxUFxU0xU9xUAxU2xTS_xU6xTTxU3xTSxU9xUAxU0_7.png"/><Relationship Id="&#1057;&#1083;&#1091;&#1095;&#1072;&#1081;&#1085;&#1086;&#1077;_&#1085;&#1072;&#1087;&#1086;&#1083;&#1077;&#1085;&#1080;&#1077;_&#1084;&#1072;&#1090;&#1088;&#1080;&#1094;&#1099;" Type="http://schemas.openxmlformats.org/officeDocument/2006/relationships/image" Target="images/xTDxU3xUBxUFxTSxU1xU5xU6xTX_xU5xTSxU7xU6xU3xTXxU5xU0xTX_xU4xTSxUAxU8xU0xUExUJ.png"/><Relationship Id="&#1053;&#1086;&#1074;&#1099;&#1081;_&#1083;&#1080;&#1089;&#1090;_7" Type="http://schemas.openxmlformats.org/officeDocument/2006/relationships/image" Target="images/xT9xU6xTUxUJxU1_xU3xU0xU9xUA_7.png"/><Relationship Id="&#1040;&#1082;&#1090;&#1080;&#1074;&#1085;&#1072;&#1103;_&#1101;&#1082;&#1089;&#1087;&#1077;&#1088;&#1090;&#1080;&#1079;&#1072;_7" Type="http://schemas.openxmlformats.org/officeDocument/2006/relationships/image" Target="images/xSWxU2xUAxU0xTUxU5xTSxUN_xULxU2xU9xU7xTXxU8xUAxU0xTZxTS_7.png"/><Relationship Id="&#1041;&#1072;&#1079;&#1072;" Type="http://schemas.openxmlformats.org/officeDocument/2006/relationships/image" Target="images/xSXxTSxTZxTS.png"/></Relationships>
</file>

<file path=customUI/customUI.xml><?xml version="1.0" encoding="utf-8"?>
<!-- <?xml version="1.0" encoding="UTF-8" standalone="yes"?> -->
<customUI xmlns="http://schemas.microsoft.com/office/2006/01/customui">
  <ribbon startFromScratch="false">
    <tabs>
      <tab id="EDEKONMODAL" label="EDEKONMODAL" visible="true" insertBeforeMso="TabHome">
        <group id="Создание_модели" label="Создание модели">
          <button id="Вставить_критерий" label="Вставить критерий" size="large" image="Критерий_7" onAction="RibbonButtonCriteriumAdd" description="Элемент предназначен для вставки блока приведения критерия из количественной формы в качественную" screentip="Вставка блока приведения критерия" supertip="Элемент предназначен для вставки блока приведения критерия из количественной формы в качественну"/>
          <button id="Вставить_свёртку" label="Вставить свёртку" size="large" image="Свёртка_8" onAction="RibbonButtonMatrixAdd" description="Элемент предназначен для вставки блока матрицы свёртки" screentip="Вставка блока матрицы свёртки" supertip="Элемент предназначен для вставки блока матрицы свёртки пары критериев"/>
          <button id="Случайное_наполнение" label="Случайное наполнение свёртки" size="large" image="Случайное_наполение_матрицы" onAction="RibbonButtonAutoMatrixClick" description="Элемент предназначен для случайного наполнения свёртки" screentip="Элемент предназначен для случайного наполнения свёртки" supertip="Если у Вас есть необходимость создать быструю демонстрационную модель, то Вы можете воспользоваться данной опцией"/>
          <button id="Вставить_экспертизу" label="Вставить экспертизу" size="large" image="Активная_экспертиза_7" onAction="RibbonButtonExpAdd" description="Элемент предназначен для вставки блока проведения жкспертного анализа на лист" screentip="Вставка блока Активная экспертиза" supertip="Элемент предназначен для вставки блока проведения экспертного анализа на лист"/>
          <button id="Очистить_область" label="Очистить область" size="large" image="Очистка_области_7" onAction="RibbonButtonClearandClearcontentClick" description="Элемент предназначен для очистки определённой пользователем области на листе от форм и форматирования" screentip="Элемент предназначен для очистки определённой пользователем области" supertip="Элемент предназначен для очистки определённой пользователем области"/>
        </group>
        <group id="Дополнительно" label="Дополнительно">
          <button id="Подключить_базу_данных" label="Подключить базу данных" size="large" image="База" onAction="RibbonButtonBaseOntClick" description="Элемент предназначен для принудительного подключения базы данных наполнения квадрантов матриц" screentip="Элемент предназначен для подключения базы данных" supertip="В некоторых расчётах требуется подключение базы данных наполнения квадрантов матрицы. Этот элемент наполнит программу подготовленными данными."/>
        </group>
      </tab>
    </tabs>
  </ribbon>
</customUI>
</file>

<file path=customUI/customUI14.xml><?xml version="1.0" encoding="utf-8"?>
<!-- <?xml version="1.0" standalone="yes"?> -->
<customUI xmlns="http://schemas.microsoft.com/office/2009/07/customui">
  <ribbon startFromScratch="false">
    <tabs>
      <tab id="EDEKONMODAL" label="EDEKONMODAL" visible="true" insertBeforeMso="TabHome">
        <group id="Работа_с_листами" label="Новый лист для модели">
          <button id="Вставить_лист" label="Вставить новый лист для модели" size="large" image="Новый_лист_7" onAction="RibbonButtonNewSheet" description="Элемент предназначен для с удобной рпзмерностью ячеек" screentip="Вставка нового листа с ячейками удобной размерности" supertip="Вставка нового листа с ячейками удобной размерности"/>
        </group>
        <group id="Создание_модели" label="Создание модели">
          <button id="Вставить_критерий" label="Вставить критерий" size="large" image="Критерий_7" onAction="RibbonButtonCriteriumAdd" description="Элемент предназначен для вставки блока приведения критерия из количественной формы в качественную" screentip="Вставка блока приведения критерия" supertip="Элемент предназначен для вставки блока приведения критерия из количественной формы в качественну"/>
          <button id="Вставить_свёртку" label="Вставить свёртку" size="large" image="Свёртка_8" onAction="RibbonButtonMatrixAdd" description="Элемент предназначен для вставки блока матрицы свёртки" screentip="Вставка блока матрицы свёртки" supertip="Элемент предназначен для вставки блока матрицы свёртки пары критериев"/>
          <button id="Случайное_наполнение" label="Случайное наполнение свёртки" size="large" image="Случайное_наполение_матрицы" onAction="RibbonButtonAutoMatrixClick" description="Элемент предназначен для случайного наполнения свёртки" screentip="Элемент предназначен для случайного наполнения свёртки" supertip="Если у Вас есть необходимость создать быструю демонстрационную модель, то Вы можете воспользоваться данной опцией"/>
          <button id="Вставить_экспертизу" label="Вставить экспертизу" size="large" image="Активная_экспертиза_7" onAction="RibbonButtonExpAdd" description="Элемент предназначен для вставки блока проведения жкспертного анализа на лист" screentip="Вставка блока Активная экспертиза" supertip="Элемент предназначен для вставки блока проведения экспертного анализа на лист"/>
          <button id="Очистить_область" label="Очистить область" size="large" image="Очистка_области_7" onAction="RibbonButtonClearandClearcontentClick" description="Элемент предназначен для очистки определённой пользователем области на листе от форм и форматирования" screentip="Элемент предназначен для очистки определённой пользователем области" supertip="Элемент предназначен для очистки определённой пользователем области"/>
        </group>
        <group id="Дополнительно" label="Дополнительно">
          <button id="Подключить_базу_данных" label="Подключить базу данных" size="large" image="База" onAction="RibbonButtonBaseOntClick" description="Элемент предназначен для принудительного подключения базы данных наполнения квадрантов матриц" screentip="Элемент предназначен для подключения базы данных" supertip="В некоторых расчётах требуется подключение базы данных наполнения квадрантов матрицы. Этот элемент наполнит программу подготовленными данными."/>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21</vt:i4>
      </vt:variant>
    </vt:vector>
  </HeadingPairs>
  <TitlesOfParts>
    <vt:vector size="21" baseType="lpstr">
      <vt:lpstr>Содержание</vt:lpstr>
      <vt:lpstr>Чувствительность</vt:lpstr>
      <vt:lpstr>Чувствительность (мини)</vt:lpstr>
      <vt:lpstr>Чувчтвительность 2</vt:lpstr>
      <vt:lpstr>Множество</vt:lpstr>
      <vt:lpstr>Множество_202207112140401240</vt:lpstr>
      <vt:lpstr>Почетный результат изъёбов 1</vt:lpstr>
      <vt:lpstr>Модель</vt:lpstr>
      <vt:lpstr>Лист1</vt:lpstr>
      <vt:lpstr>Подбор 2</vt:lpstr>
      <vt:lpstr>Перебор_2_20170709140117</vt:lpstr>
      <vt:lpstr>123</vt:lpstr>
      <vt:lpstr>Модель - Формы</vt:lpstr>
      <vt:lpstr>Перебор</vt:lpstr>
      <vt:lpstr>Лист9</vt:lpstr>
      <vt:lpstr>F0</vt:lpstr>
      <vt:lpstr>F1</vt:lpstr>
      <vt:lpstr>F2</vt:lpstr>
      <vt:lpstr>F3</vt:lpstr>
      <vt:lpstr>F4</vt:lpstr>
      <vt:lpstr>F5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Gureev Self</dc:creator>
  <cp:lastModifiedBy>Dan</cp:lastModifiedBy>
  <cp:lastPrinted>2016-08-12T21:33:30Z</cp:lastPrinted>
  <dcterms:created xsi:type="dcterms:W3CDTF">2016-05-11T07:45:58Z</dcterms:created>
  <dcterms:modified xsi:type="dcterms:W3CDTF">2022-08-04T16:21:27Z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bc49aea5-e1f2-40fd-9fd7-ac05925cf6fd</vt:lpwstr>
  </property>
</Properties>
</file>